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/>
  <bookViews>
    <workbookView xWindow="-45" yWindow="1665" windowWidth="20730" windowHeight="7680" tabRatio="793"/>
  </bookViews>
  <sheets>
    <sheet name="5 Tm Pool Auto (2)" sheetId="73" r:id="rId1"/>
    <sheet name="4 Tm Pool Auto (2)" sheetId="74" r:id="rId2"/>
    <sheet name="4 Tm Rd 1" sheetId="75" r:id="rId3"/>
    <sheet name="5 Tm Rd 1" sheetId="76" r:id="rId4"/>
    <sheet name="12 CLub A Division 14 tm po" sheetId="66" r:id="rId5"/>
    <sheet name="12 Club B Div 10 tms" sheetId="68" r:id="rId6"/>
    <sheet name="13 Club  Div A 20 tms (2)" sheetId="67" r:id="rId7"/>
    <sheet name="13 Club B Div 10 tms " sheetId="69" r:id="rId8"/>
    <sheet name="14 Club Division A 15 tms" sheetId="70" r:id="rId9"/>
    <sheet name="14 CLub B Division 14 tm po (2)" sheetId="71" r:id="rId10"/>
    <sheet name="15 Club 15 tms" sheetId="64" r:id="rId11"/>
    <sheet name="16 Club 15 tms " sheetId="65" r:id="rId12"/>
    <sheet name="17 -18 Club 15 Tms " sheetId="47" r:id="rId13"/>
    <sheet name="RatingResultsSummary" sheetId="84" r:id="rId14"/>
    <sheet name="Initial" sheetId="72" r:id="rId15"/>
    <sheet name="Final" sheetId="85" r:id="rId16"/>
    <sheet name="Final-PM" sheetId="86" r:id="rId17"/>
  </sheets>
  <externalReferences>
    <externalReference r:id="rId18"/>
    <externalReference r:id="rId19"/>
    <externalReference r:id="rId20"/>
    <externalReference r:id="rId21"/>
    <externalReference r:id="rId22"/>
  </externalReferences>
  <definedNames>
    <definedName name="div">#REF!</definedName>
    <definedName name="DormanTM">#REF!</definedName>
    <definedName name="Gold_Division" localSheetId="6">'13 Club  Div A 20 tms (2)'!$A$395:$J$398</definedName>
    <definedName name="mizuno">#REF!</definedName>
    <definedName name="Playoff_K">[3]Example!$AS$3</definedName>
    <definedName name="Pool_K">[3]Example!$AS$2</definedName>
    <definedName name="_xlnm.Print_Area" localSheetId="4">'12 CLub A Division 14 tm po'!$A$1:$AQ$373</definedName>
    <definedName name="_xlnm.Print_Area" localSheetId="5">'12 Club B Div 10 tms'!$A$1:$AQ$175,'12 Club B Div 10 tms'!$A$182:$AQ$234</definedName>
    <definedName name="_xlnm.Print_Area" localSheetId="6">'13 Club  Div A 20 tms (2)'!$A$1:$AQ$345,'13 Club  Div A 20 tms (2)'!$A$354:$AQ$454</definedName>
    <definedName name="_xlnm.Print_Area" localSheetId="7">'13 Club B Div 10 tms '!$A$1:$AQ$175,'13 Club B Div 10 tms '!$A$182:$AQ$234</definedName>
    <definedName name="_xlnm.Print_Area" localSheetId="9">'14 CLub B Division 14 tm po (2)'!$A$1:$AQ$373</definedName>
    <definedName name="_xlnm.Print_Area" localSheetId="8">'14 Club Division A 15 tms'!$A$1:$AQ$260,'14 Club Division A 15 tms'!$A$273:$AQ$373</definedName>
    <definedName name="_xlnm.Print_Area" localSheetId="10">'15 Club 15 tms'!$A$1:$AQ$260,'15 Club 15 tms'!$A$273:$AQ$373</definedName>
    <definedName name="_xlnm.Print_Area" localSheetId="11">'16 Club 15 tms '!$A$1:$AQ$260,'16 Club 15 tms '!$A$273:$AQ$373</definedName>
    <definedName name="_xlnm.Print_Area" localSheetId="12">'17 -18 Club 15 Tms '!$A$1:$AQ$260,'17 -18 Club 15 Tms '!$A$273:$AQ$373</definedName>
    <definedName name="_xlnm.Print_Area" localSheetId="1">'4 Tm Pool Auto (2)'!$A$1:$AR$90,'4 Tm Pool Auto (2)'!$A$96:$AR$148</definedName>
    <definedName name="_xlnm.Print_Area" localSheetId="2">'4 Tm Rd 1'!$A$1:$AR$90,'4 Tm Rd 1'!$A$96:$AR$148</definedName>
    <definedName name="_xlnm.Print_Area" localSheetId="0">'5 Tm Pool Auto (2)'!$A$1:$AQ$90,'5 Tm Pool Auto (2)'!$A$96:$AQ$148</definedName>
    <definedName name="_xlnm.Print_Area" localSheetId="3">'5 Tm Rd 1'!$A$1:$AQ$90,'5 Tm Rd 1'!$A$96:$AQ$148</definedName>
    <definedName name="prize">#REF!</definedName>
    <definedName name="score" localSheetId="4">#REF!</definedName>
    <definedName name="score" localSheetId="6">#REF!</definedName>
    <definedName name="score" localSheetId="7">#REF!</definedName>
    <definedName name="score" localSheetId="8">#REF!</definedName>
    <definedName name="score" localSheetId="10">#REF!</definedName>
    <definedName name="score" localSheetId="11">#REF!</definedName>
    <definedName name="score" localSheetId="12">#REF!</definedName>
    <definedName name="score" localSheetId="15">#REF!</definedName>
    <definedName name="score" localSheetId="16">#REF!</definedName>
    <definedName name="score">#REF!</definedName>
    <definedName name="sex">#REF!</definedName>
    <definedName name="Silver_Division" localSheetId="6">'13 Club  Div A 20 tms (2)'!$V$395:$AE$398</definedName>
    <definedName name="solver_adj" localSheetId="4" hidden="1">'12 CLub A Division 14 tm po'!$AW$13</definedName>
    <definedName name="solver_adj" localSheetId="6" hidden="1">'13 Club  Div A 20 tms (2)'!$AW$16,'13 Club  Div A 20 tms (2)'!$AW$18:$AW$19</definedName>
    <definedName name="solver_adj" localSheetId="9" hidden="1">'14 CLub B Division 14 tm po (2)'!$AW$6:$AW$7,'14 CLub B Division 14 tm po (2)'!$AW$8,'14 CLub B Division 14 tm po (2)'!$AW$10</definedName>
    <definedName name="solver_adj" localSheetId="8" hidden="1">'14 Club Division A 15 tms'!$AW$13,'14 Club Division A 15 tms'!$AW$15</definedName>
    <definedName name="solver_adj" localSheetId="10" hidden="1">'15 Club 15 tms'!$AW$7:$AW$9</definedName>
    <definedName name="solver_adj" localSheetId="11" hidden="1">'16 Club 15 tms '!$AW$9:$AW$10,'16 Club 15 tms '!$AW$12:$AW$13</definedName>
    <definedName name="solver_adj" localSheetId="12" hidden="1">'17 -18 Club 15 Tms '!$AW$13:$AW$16</definedName>
    <definedName name="solver_cvg" localSheetId="4" hidden="1">0.0001</definedName>
    <definedName name="solver_cvg" localSheetId="6" hidden="1">0.0001</definedName>
    <definedName name="solver_cvg" localSheetId="9" hidden="1">0.0001</definedName>
    <definedName name="solver_cvg" localSheetId="8" hidden="1">0.0001</definedName>
    <definedName name="solver_cvg" localSheetId="10" hidden="1">0.0001</definedName>
    <definedName name="solver_cvg" localSheetId="11" hidden="1">0.0001</definedName>
    <definedName name="solver_cvg" localSheetId="12" hidden="1">0.0001</definedName>
    <definedName name="solver_drv" localSheetId="4" hidden="1">1</definedName>
    <definedName name="solver_drv" localSheetId="6" hidden="1">1</definedName>
    <definedName name="solver_drv" localSheetId="9" hidden="1">1</definedName>
    <definedName name="solver_drv" localSheetId="8" hidden="1">1</definedName>
    <definedName name="solver_drv" localSheetId="10" hidden="1">1</definedName>
    <definedName name="solver_drv" localSheetId="11" hidden="1">1</definedName>
    <definedName name="solver_drv" localSheetId="12" hidden="1">1</definedName>
    <definedName name="solver_eng" localSheetId="4" hidden="1">1</definedName>
    <definedName name="solver_eng" localSheetId="6" hidden="1">1</definedName>
    <definedName name="solver_eng" localSheetId="9" hidden="1">1</definedName>
    <definedName name="solver_eng" localSheetId="8" hidden="1">1</definedName>
    <definedName name="solver_eng" localSheetId="10" hidden="1">1</definedName>
    <definedName name="solver_eng" localSheetId="11" hidden="1">1</definedName>
    <definedName name="solver_eng" localSheetId="12" hidden="1">1</definedName>
    <definedName name="solver_est" localSheetId="4" hidden="1">1</definedName>
    <definedName name="solver_est" localSheetId="6" hidden="1">1</definedName>
    <definedName name="solver_est" localSheetId="9" hidden="1">1</definedName>
    <definedName name="solver_est" localSheetId="8" hidden="1">1</definedName>
    <definedName name="solver_est" localSheetId="10" hidden="1">1</definedName>
    <definedName name="solver_est" localSheetId="11" hidden="1">1</definedName>
    <definedName name="solver_est" localSheetId="12" hidden="1">1</definedName>
    <definedName name="solver_itr" localSheetId="4" hidden="1">2147483647</definedName>
    <definedName name="solver_itr" localSheetId="6" hidden="1">2147483647</definedName>
    <definedName name="solver_itr" localSheetId="9" hidden="1">2147483647</definedName>
    <definedName name="solver_itr" localSheetId="8" hidden="1">2147483647</definedName>
    <definedName name="solver_itr" localSheetId="10" hidden="1">2147483647</definedName>
    <definedName name="solver_itr" localSheetId="11" hidden="1">2147483647</definedName>
    <definedName name="solver_itr" localSheetId="12" hidden="1">2147483647</definedName>
    <definedName name="solver_lhs1" localSheetId="9" hidden="1">'14 CLub B Division 14 tm po (2)'!$AW$7:$AW$8</definedName>
    <definedName name="solver_lhs1" localSheetId="11" hidden="1">'16 Club 15 tms '!$AW$9:$AW$10</definedName>
    <definedName name="solver_mip" localSheetId="4" hidden="1">2147483647</definedName>
    <definedName name="solver_mip" localSheetId="6" hidden="1">2147483647</definedName>
    <definedName name="solver_mip" localSheetId="9" hidden="1">2147483647</definedName>
    <definedName name="solver_mip" localSheetId="8" hidden="1">2147483647</definedName>
    <definedName name="solver_mip" localSheetId="10" hidden="1">2147483647</definedName>
    <definedName name="solver_mip" localSheetId="11" hidden="1">2147483647</definedName>
    <definedName name="solver_mip" localSheetId="12" hidden="1">2147483647</definedName>
    <definedName name="solver_mni" localSheetId="4" hidden="1">30</definedName>
    <definedName name="solver_mni" localSheetId="6" hidden="1">30</definedName>
    <definedName name="solver_mni" localSheetId="9" hidden="1">30</definedName>
    <definedName name="solver_mni" localSheetId="8" hidden="1">30</definedName>
    <definedName name="solver_mni" localSheetId="10" hidden="1">30</definedName>
    <definedName name="solver_mni" localSheetId="11" hidden="1">30</definedName>
    <definedName name="solver_mni" localSheetId="12" hidden="1">30</definedName>
    <definedName name="solver_mrt" localSheetId="4" hidden="1">0.075</definedName>
    <definedName name="solver_mrt" localSheetId="6" hidden="1">0.075</definedName>
    <definedName name="solver_mrt" localSheetId="9" hidden="1">0.075</definedName>
    <definedName name="solver_mrt" localSheetId="8" hidden="1">0.075</definedName>
    <definedName name="solver_mrt" localSheetId="10" hidden="1">0.075</definedName>
    <definedName name="solver_mrt" localSheetId="11" hidden="1">0.075</definedName>
    <definedName name="solver_mrt" localSheetId="12" hidden="1">0.075</definedName>
    <definedName name="solver_msl" localSheetId="4" hidden="1">2</definedName>
    <definedName name="solver_msl" localSheetId="6" hidden="1">2</definedName>
    <definedName name="solver_msl" localSheetId="9" hidden="1">2</definedName>
    <definedName name="solver_msl" localSheetId="8" hidden="1">2</definedName>
    <definedName name="solver_msl" localSheetId="10" hidden="1">2</definedName>
    <definedName name="solver_msl" localSheetId="11" hidden="1">2</definedName>
    <definedName name="solver_msl" localSheetId="12" hidden="1">2</definedName>
    <definedName name="solver_neg" localSheetId="4" hidden="1">1</definedName>
    <definedName name="solver_neg" localSheetId="6" hidden="1">1</definedName>
    <definedName name="solver_neg" localSheetId="9" hidden="1">1</definedName>
    <definedName name="solver_neg" localSheetId="8" hidden="1">1</definedName>
    <definedName name="solver_neg" localSheetId="10" hidden="1">1</definedName>
    <definedName name="solver_neg" localSheetId="11" hidden="1">1</definedName>
    <definedName name="solver_neg" localSheetId="12" hidden="1">1</definedName>
    <definedName name="solver_nod" localSheetId="4" hidden="1">2147483647</definedName>
    <definedName name="solver_nod" localSheetId="6" hidden="1">2147483647</definedName>
    <definedName name="solver_nod" localSheetId="9" hidden="1">2147483647</definedName>
    <definedName name="solver_nod" localSheetId="8" hidden="1">2147483647</definedName>
    <definedName name="solver_nod" localSheetId="10" hidden="1">2147483647</definedName>
    <definedName name="solver_nod" localSheetId="11" hidden="1">2147483647</definedName>
    <definedName name="solver_nod" localSheetId="12" hidden="1">2147483647</definedName>
    <definedName name="solver_num" localSheetId="4" hidden="1">0</definedName>
    <definedName name="solver_num" localSheetId="6" hidden="1">0</definedName>
    <definedName name="solver_num" localSheetId="9" hidden="1">1</definedName>
    <definedName name="solver_num" localSheetId="8" hidden="1">0</definedName>
    <definedName name="solver_num" localSheetId="10" hidden="1">0</definedName>
    <definedName name="solver_num" localSheetId="11" hidden="1">1</definedName>
    <definedName name="solver_num" localSheetId="12" hidden="1">0</definedName>
    <definedName name="solver_nwt" localSheetId="4" hidden="1">1</definedName>
    <definedName name="solver_nwt" localSheetId="6" hidden="1">1</definedName>
    <definedName name="solver_nwt" localSheetId="9" hidden="1">1</definedName>
    <definedName name="solver_nwt" localSheetId="8" hidden="1">1</definedName>
    <definedName name="solver_nwt" localSheetId="10" hidden="1">1</definedName>
    <definedName name="solver_nwt" localSheetId="11" hidden="1">1</definedName>
    <definedName name="solver_nwt" localSheetId="12" hidden="1">1</definedName>
    <definedName name="solver_opt" localSheetId="4" hidden="1">'12 CLub A Division 14 tm po'!$AZ$21</definedName>
    <definedName name="solver_opt" localSheetId="6" hidden="1">'13 Club  Div A 20 tms (2)'!$AZ$26</definedName>
    <definedName name="solver_opt" localSheetId="9" hidden="1">'14 CLub B Division 14 tm po (2)'!$AZ$21</definedName>
    <definedName name="solver_opt" localSheetId="8" hidden="1">'14 Club Division A 15 tms'!$AZ$21</definedName>
    <definedName name="solver_opt" localSheetId="10" hidden="1">'15 Club 15 tms'!$AZ$22</definedName>
    <definedName name="solver_opt" localSheetId="11" hidden="1">'16 Club 15 tms '!$AZ$21</definedName>
    <definedName name="solver_opt" localSheetId="12" hidden="1">'17 -18 Club 15 Tms '!$AZ$22</definedName>
    <definedName name="solver_pre" localSheetId="4" hidden="1">0.000001</definedName>
    <definedName name="solver_pre" localSheetId="6" hidden="1">0.000001</definedName>
    <definedName name="solver_pre" localSheetId="9" hidden="1">0.000001</definedName>
    <definedName name="solver_pre" localSheetId="8" hidden="1">0.000001</definedName>
    <definedName name="solver_pre" localSheetId="10" hidden="1">0.000001</definedName>
    <definedName name="solver_pre" localSheetId="11" hidden="1">0.000001</definedName>
    <definedName name="solver_pre" localSheetId="12" hidden="1">0.000001</definedName>
    <definedName name="solver_rbv" localSheetId="4" hidden="1">1</definedName>
    <definedName name="solver_rbv" localSheetId="6" hidden="1">1</definedName>
    <definedName name="solver_rbv" localSheetId="9" hidden="1">1</definedName>
    <definedName name="solver_rbv" localSheetId="8" hidden="1">1</definedName>
    <definedName name="solver_rbv" localSheetId="10" hidden="1">1</definedName>
    <definedName name="solver_rbv" localSheetId="11" hidden="1">1</definedName>
    <definedName name="solver_rbv" localSheetId="12" hidden="1">1</definedName>
    <definedName name="solver_rel1" localSheetId="9" hidden="1">1</definedName>
    <definedName name="solver_rel1" localSheetId="11" hidden="1">1</definedName>
    <definedName name="solver_rhs1" localSheetId="9" hidden="1">2200</definedName>
    <definedName name="solver_rhs1" localSheetId="11" hidden="1">2600</definedName>
    <definedName name="solver_rlx" localSheetId="4" hidden="1">2</definedName>
    <definedName name="solver_rlx" localSheetId="6" hidden="1">2</definedName>
    <definedName name="solver_rlx" localSheetId="9" hidden="1">2</definedName>
    <definedName name="solver_rlx" localSheetId="8" hidden="1">2</definedName>
    <definedName name="solver_rlx" localSheetId="10" hidden="1">2</definedName>
    <definedName name="solver_rlx" localSheetId="11" hidden="1">2</definedName>
    <definedName name="solver_rlx" localSheetId="12" hidden="1">2</definedName>
    <definedName name="solver_rsd" localSheetId="4" hidden="1">0</definedName>
    <definedName name="solver_rsd" localSheetId="6" hidden="1">0</definedName>
    <definedName name="solver_rsd" localSheetId="9" hidden="1">0</definedName>
    <definedName name="solver_rsd" localSheetId="8" hidden="1">0</definedName>
    <definedName name="solver_rsd" localSheetId="10" hidden="1">0</definedName>
    <definedName name="solver_rsd" localSheetId="11" hidden="1">0</definedName>
    <definedName name="solver_rsd" localSheetId="12" hidden="1">0</definedName>
    <definedName name="solver_scl" localSheetId="4" hidden="1">1</definedName>
    <definedName name="solver_scl" localSheetId="6" hidden="1">1</definedName>
    <definedName name="solver_scl" localSheetId="9" hidden="1">1</definedName>
    <definedName name="solver_scl" localSheetId="8" hidden="1">1</definedName>
    <definedName name="solver_scl" localSheetId="10" hidden="1">1</definedName>
    <definedName name="solver_scl" localSheetId="11" hidden="1">1</definedName>
    <definedName name="solver_scl" localSheetId="12" hidden="1">1</definedName>
    <definedName name="solver_sho" localSheetId="4" hidden="1">2</definedName>
    <definedName name="solver_sho" localSheetId="6" hidden="1">2</definedName>
    <definedName name="solver_sho" localSheetId="9" hidden="1">2</definedName>
    <definedName name="solver_sho" localSheetId="8" hidden="1">2</definedName>
    <definedName name="solver_sho" localSheetId="10" hidden="1">2</definedName>
    <definedName name="solver_sho" localSheetId="11" hidden="1">2</definedName>
    <definedName name="solver_sho" localSheetId="12" hidden="1">2</definedName>
    <definedName name="solver_ssz" localSheetId="4" hidden="1">100</definedName>
    <definedName name="solver_ssz" localSheetId="6" hidden="1">100</definedName>
    <definedName name="solver_ssz" localSheetId="9" hidden="1">100</definedName>
    <definedName name="solver_ssz" localSheetId="8" hidden="1">100</definedName>
    <definedName name="solver_ssz" localSheetId="10" hidden="1">100</definedName>
    <definedName name="solver_ssz" localSheetId="11" hidden="1">100</definedName>
    <definedName name="solver_ssz" localSheetId="12" hidden="1">100</definedName>
    <definedName name="solver_tim" localSheetId="4" hidden="1">2147483647</definedName>
    <definedName name="solver_tim" localSheetId="6" hidden="1">2147483647</definedName>
    <definedName name="solver_tim" localSheetId="9" hidden="1">2147483647</definedName>
    <definedName name="solver_tim" localSheetId="8" hidden="1">2147483647</definedName>
    <definedName name="solver_tim" localSheetId="10" hidden="1">2147483647</definedName>
    <definedName name="solver_tim" localSheetId="11" hidden="1">2147483647</definedName>
    <definedName name="solver_tim" localSheetId="12" hidden="1">2147483647</definedName>
    <definedName name="solver_tol" localSheetId="4" hidden="1">0.01</definedName>
    <definedName name="solver_tol" localSheetId="6" hidden="1">0.01</definedName>
    <definedName name="solver_tol" localSheetId="9" hidden="1">0.01</definedName>
    <definedName name="solver_tol" localSheetId="8" hidden="1">0.01</definedName>
    <definedName name="solver_tol" localSheetId="10" hidden="1">0.01</definedName>
    <definedName name="solver_tol" localSheetId="11" hidden="1">0.01</definedName>
    <definedName name="solver_tol" localSheetId="12" hidden="1">0.01</definedName>
    <definedName name="solver_typ" localSheetId="4" hidden="1">2</definedName>
    <definedName name="solver_typ" localSheetId="6" hidden="1">2</definedName>
    <definedName name="solver_typ" localSheetId="9" hidden="1">2</definedName>
    <definedName name="solver_typ" localSheetId="8" hidden="1">2</definedName>
    <definedName name="solver_typ" localSheetId="10" hidden="1">2</definedName>
    <definedName name="solver_typ" localSheetId="11" hidden="1">2</definedName>
    <definedName name="solver_typ" localSheetId="12" hidden="1">2</definedName>
    <definedName name="solver_val" localSheetId="4" hidden="1">0</definedName>
    <definedName name="solver_val" localSheetId="6" hidden="1">0</definedName>
    <definedName name="solver_val" localSheetId="9" hidden="1">0</definedName>
    <definedName name="solver_val" localSheetId="8" hidden="1">0</definedName>
    <definedName name="solver_val" localSheetId="10" hidden="1">0</definedName>
    <definedName name="solver_val" localSheetId="11" hidden="1">0</definedName>
    <definedName name="solver_val" localSheetId="12" hidden="1">0</definedName>
    <definedName name="solver_ver" localSheetId="4" hidden="1">3</definedName>
    <definedName name="solver_ver" localSheetId="6" hidden="1">3</definedName>
    <definedName name="solver_ver" localSheetId="9" hidden="1">3</definedName>
    <definedName name="solver_ver" localSheetId="8" hidden="1">3</definedName>
    <definedName name="solver_ver" localSheetId="10" hidden="1">3</definedName>
    <definedName name="solver_ver" localSheetId="11" hidden="1">3</definedName>
    <definedName name="solver_ver" localSheetId="12" hidden="1">3</definedName>
    <definedName name="Ts">#REF!</definedName>
    <definedName name="UniformNeeds">#REF!</definedName>
  </definedNames>
  <calcPr calcId="145621" concurrentCalc="0"/>
</workbook>
</file>

<file path=xl/calcChain.xml><?xml version="1.0" encoding="utf-8"?>
<calcChain xmlns="http://schemas.openxmlformats.org/spreadsheetml/2006/main">
  <c r="E189" i="86" l="1"/>
  <c r="E188" i="86"/>
  <c r="E187" i="86"/>
  <c r="E186" i="86"/>
  <c r="E185" i="86"/>
  <c r="E184" i="86"/>
  <c r="E183" i="86"/>
  <c r="E182" i="86"/>
  <c r="E181" i="86"/>
  <c r="E180" i="86"/>
  <c r="E179" i="86"/>
  <c r="E178" i="86"/>
  <c r="E177" i="86"/>
  <c r="E176" i="86"/>
  <c r="E175" i="86"/>
  <c r="E174" i="86"/>
  <c r="E173" i="86"/>
  <c r="E172" i="86"/>
  <c r="E171" i="86"/>
  <c r="E170" i="86"/>
  <c r="E169" i="86"/>
  <c r="E168" i="86"/>
  <c r="E167" i="86"/>
  <c r="E166" i="86"/>
  <c r="E165" i="86"/>
  <c r="E164" i="86"/>
  <c r="E163" i="86"/>
  <c r="E162" i="86"/>
  <c r="E161" i="86"/>
  <c r="E160" i="86"/>
  <c r="E159" i="86"/>
  <c r="E158" i="86"/>
  <c r="E157" i="86"/>
  <c r="E156" i="86"/>
  <c r="E155" i="86"/>
  <c r="E154" i="86"/>
  <c r="E153" i="86"/>
  <c r="E152" i="86"/>
  <c r="E151" i="86"/>
  <c r="E150" i="86"/>
  <c r="E149" i="86"/>
  <c r="E148" i="86"/>
  <c r="E147" i="86"/>
  <c r="E146" i="86"/>
  <c r="E145" i="86"/>
  <c r="C146" i="86"/>
  <c r="C147" i="86"/>
  <c r="C148" i="86"/>
  <c r="C149" i="86"/>
  <c r="C150" i="86"/>
  <c r="C151" i="86"/>
  <c r="C152" i="86"/>
  <c r="C153" i="86"/>
  <c r="C154" i="86"/>
  <c r="C155" i="86"/>
  <c r="C156" i="86"/>
  <c r="C157" i="86"/>
  <c r="C158" i="86"/>
  <c r="C159" i="86"/>
  <c r="C160" i="86"/>
  <c r="C161" i="86"/>
  <c r="C162" i="86"/>
  <c r="C163" i="86"/>
  <c r="C164" i="86"/>
  <c r="C165" i="86"/>
  <c r="C166" i="86"/>
  <c r="C167" i="86"/>
  <c r="C168" i="86"/>
  <c r="C169" i="86"/>
  <c r="C170" i="86"/>
  <c r="C171" i="86"/>
  <c r="C172" i="86"/>
  <c r="C173" i="86"/>
  <c r="C174" i="86"/>
  <c r="C175" i="86"/>
  <c r="C176" i="86"/>
  <c r="C177" i="86"/>
  <c r="C178" i="86"/>
  <c r="C179" i="86"/>
  <c r="C180" i="86"/>
  <c r="C181" i="86"/>
  <c r="C182" i="86"/>
  <c r="C183" i="86"/>
  <c r="C184" i="86"/>
  <c r="C185" i="86"/>
  <c r="C186" i="86"/>
  <c r="C187" i="86"/>
  <c r="C188" i="86"/>
  <c r="C189" i="86"/>
  <c r="D182" i="86"/>
  <c r="D183" i="86"/>
  <c r="D184" i="86"/>
  <c r="D185" i="86"/>
  <c r="D186" i="86"/>
  <c r="D187" i="86"/>
  <c r="D188" i="86"/>
  <c r="D189" i="86"/>
  <c r="D190" i="86"/>
  <c r="E190" i="86"/>
  <c r="C190" i="86"/>
  <c r="K190" i="86"/>
  <c r="F190" i="86"/>
  <c r="K189" i="86"/>
  <c r="F189" i="86"/>
  <c r="R266" i="86"/>
  <c r="K266" i="86"/>
  <c r="F266" i="86"/>
  <c r="E266" i="86"/>
  <c r="E269" i="86"/>
  <c r="E271" i="86"/>
  <c r="E263" i="86"/>
  <c r="E264" i="86"/>
  <c r="E267" i="86"/>
  <c r="E256" i="86"/>
  <c r="E254" i="86"/>
  <c r="E261" i="86"/>
  <c r="E255" i="86"/>
  <c r="E258" i="86"/>
  <c r="E265" i="86"/>
  <c r="E260" i="86"/>
  <c r="E259" i="86"/>
  <c r="E257" i="86"/>
  <c r="E262" i="86"/>
  <c r="E253" i="86"/>
  <c r="C254" i="86"/>
  <c r="C255" i="86"/>
  <c r="C256" i="86"/>
  <c r="C257" i="86"/>
  <c r="C258" i="86"/>
  <c r="C259" i="86"/>
  <c r="C260" i="86"/>
  <c r="C261" i="86"/>
  <c r="C262" i="86"/>
  <c r="C263" i="86"/>
  <c r="C264" i="86"/>
  <c r="C265" i="86"/>
  <c r="C266" i="86"/>
  <c r="C267" i="86"/>
  <c r="E270" i="86"/>
  <c r="E268" i="86"/>
  <c r="C268" i="86"/>
  <c r="C269" i="86"/>
  <c r="C270" i="86"/>
  <c r="C271" i="86"/>
  <c r="D268" i="86"/>
  <c r="D269" i="86"/>
  <c r="D270" i="86"/>
  <c r="D266" i="86"/>
  <c r="R270" i="86"/>
  <c r="K270" i="86"/>
  <c r="F270" i="86"/>
  <c r="R268" i="86"/>
  <c r="K268" i="86"/>
  <c r="F268" i="86"/>
  <c r="R269" i="86"/>
  <c r="K269" i="86"/>
  <c r="F269" i="86"/>
  <c r="R271" i="86"/>
  <c r="K271" i="86"/>
  <c r="F271" i="86"/>
  <c r="D271" i="86"/>
  <c r="R263" i="86"/>
  <c r="K263" i="86"/>
  <c r="F263" i="86"/>
  <c r="D263" i="86"/>
  <c r="R264" i="86"/>
  <c r="K264" i="86"/>
  <c r="F264" i="86"/>
  <c r="D267" i="86"/>
  <c r="D264" i="86"/>
  <c r="R267" i="86"/>
  <c r="K267" i="86"/>
  <c r="F267" i="86"/>
  <c r="D254" i="86"/>
  <c r="D255" i="86"/>
  <c r="D256" i="86"/>
  <c r="D257" i="86"/>
  <c r="D258" i="86"/>
  <c r="D259" i="86"/>
  <c r="D260" i="86"/>
  <c r="D261" i="86"/>
  <c r="D262" i="86"/>
  <c r="D265" i="86"/>
  <c r="R256" i="86"/>
  <c r="K256" i="86"/>
  <c r="F256" i="86"/>
  <c r="R254" i="86"/>
  <c r="K254" i="86"/>
  <c r="F254" i="86"/>
  <c r="R261" i="86"/>
  <c r="K261" i="86"/>
  <c r="F261" i="86"/>
  <c r="R255" i="86"/>
  <c r="K255" i="86"/>
  <c r="F255" i="86"/>
  <c r="R258" i="86"/>
  <c r="K258" i="86"/>
  <c r="F258" i="86"/>
  <c r="R265" i="86"/>
  <c r="K265" i="86"/>
  <c r="F265" i="86"/>
  <c r="R260" i="86"/>
  <c r="K260" i="86"/>
  <c r="F260" i="86"/>
  <c r="R259" i="86"/>
  <c r="K259" i="86"/>
  <c r="F259" i="86"/>
  <c r="R257" i="86"/>
  <c r="K257" i="86"/>
  <c r="F257" i="86"/>
  <c r="R262" i="86"/>
  <c r="K262" i="86"/>
  <c r="F262" i="86"/>
  <c r="E242" i="86"/>
  <c r="E246" i="86"/>
  <c r="E245" i="86"/>
  <c r="E235" i="86"/>
  <c r="E241" i="86"/>
  <c r="E239" i="86"/>
  <c r="E248" i="86"/>
  <c r="E244" i="86"/>
  <c r="E225" i="86"/>
  <c r="E230" i="86"/>
  <c r="E223" i="86"/>
  <c r="E249" i="86"/>
  <c r="E236" i="86"/>
  <c r="E231" i="86"/>
  <c r="E234" i="86"/>
  <c r="E233" i="86"/>
  <c r="E226" i="86"/>
  <c r="E228" i="86"/>
  <c r="E240" i="86"/>
  <c r="E227" i="86"/>
  <c r="E224" i="86"/>
  <c r="E237" i="86"/>
  <c r="E229" i="86"/>
  <c r="E232" i="86"/>
  <c r="E219" i="86"/>
  <c r="E222" i="86"/>
  <c r="C223" i="86"/>
  <c r="C224" i="86"/>
  <c r="C225" i="86"/>
  <c r="C226" i="86"/>
  <c r="C227" i="86"/>
  <c r="C228" i="86"/>
  <c r="C229" i="86"/>
  <c r="C230" i="86"/>
  <c r="C231" i="86"/>
  <c r="C232" i="86"/>
  <c r="C233" i="86"/>
  <c r="C234" i="86"/>
  <c r="C235" i="86"/>
  <c r="C236" i="86"/>
  <c r="C237" i="86"/>
  <c r="E238" i="86"/>
  <c r="C238" i="86"/>
  <c r="C239" i="86"/>
  <c r="C240" i="86"/>
  <c r="E247" i="86"/>
  <c r="E243" i="86"/>
  <c r="C241" i="86"/>
  <c r="C242" i="86"/>
  <c r="C243" i="86"/>
  <c r="C244" i="86"/>
  <c r="C245" i="86"/>
  <c r="C246" i="86"/>
  <c r="C247" i="86"/>
  <c r="C248" i="86"/>
  <c r="C249" i="86"/>
  <c r="E252" i="86"/>
  <c r="E251" i="86"/>
  <c r="E250" i="86"/>
  <c r="C250" i="86"/>
  <c r="C251" i="86"/>
  <c r="C252" i="86"/>
  <c r="C253" i="86"/>
  <c r="D242" i="86"/>
  <c r="D243" i="86"/>
  <c r="D250" i="86"/>
  <c r="D251" i="86"/>
  <c r="D252" i="86"/>
  <c r="D247" i="86"/>
  <c r="D238" i="86"/>
  <c r="R238" i="86"/>
  <c r="K238" i="86"/>
  <c r="F238" i="86"/>
  <c r="R247" i="86"/>
  <c r="K247" i="86"/>
  <c r="F247" i="86"/>
  <c r="R250" i="86"/>
  <c r="K250" i="86"/>
  <c r="F250" i="86"/>
  <c r="R252" i="86"/>
  <c r="K252" i="86"/>
  <c r="F252" i="86"/>
  <c r="R251" i="86"/>
  <c r="K251" i="86"/>
  <c r="F251" i="86"/>
  <c r="R243" i="86"/>
  <c r="K243" i="86"/>
  <c r="F243" i="86"/>
  <c r="R242" i="86"/>
  <c r="K242" i="86"/>
  <c r="F242" i="86"/>
  <c r="R246" i="86"/>
  <c r="K246" i="86"/>
  <c r="F246" i="86"/>
  <c r="D246" i="86"/>
  <c r="R253" i="86"/>
  <c r="K253" i="86"/>
  <c r="F253" i="86"/>
  <c r="D253" i="86"/>
  <c r="R245" i="86"/>
  <c r="K245" i="86"/>
  <c r="F245" i="86"/>
  <c r="D245" i="86"/>
  <c r="D244" i="86"/>
  <c r="D248" i="86"/>
  <c r="D239" i="86"/>
  <c r="D241" i="86"/>
  <c r="D235" i="86"/>
  <c r="R235" i="86"/>
  <c r="K235" i="86"/>
  <c r="F235" i="86"/>
  <c r="R241" i="86"/>
  <c r="K241" i="86"/>
  <c r="F241" i="86"/>
  <c r="R239" i="86"/>
  <c r="K239" i="86"/>
  <c r="F239" i="86"/>
  <c r="R248" i="86"/>
  <c r="K248" i="86"/>
  <c r="F248" i="86"/>
  <c r="R244" i="86"/>
  <c r="K244" i="86"/>
  <c r="F244" i="86"/>
  <c r="R225" i="86"/>
  <c r="K225" i="86"/>
  <c r="F225" i="86"/>
  <c r="D223" i="86"/>
  <c r="D224" i="86"/>
  <c r="D225" i="86"/>
  <c r="R230" i="86"/>
  <c r="K230" i="86"/>
  <c r="F230" i="86"/>
  <c r="D230" i="86"/>
  <c r="D231" i="86"/>
  <c r="D232" i="86"/>
  <c r="D226" i="86"/>
  <c r="D227" i="86"/>
  <c r="D228" i="86"/>
  <c r="D229" i="86"/>
  <c r="D236" i="86"/>
  <c r="D237" i="86"/>
  <c r="D240" i="86"/>
  <c r="D233" i="86"/>
  <c r="D234" i="86"/>
  <c r="D249" i="86"/>
  <c r="R223" i="86"/>
  <c r="K223" i="86"/>
  <c r="F223" i="86"/>
  <c r="R249" i="86"/>
  <c r="K249" i="86"/>
  <c r="F249" i="86"/>
  <c r="R236" i="86"/>
  <c r="K236" i="86"/>
  <c r="F236" i="86"/>
  <c r="R231" i="86"/>
  <c r="K231" i="86"/>
  <c r="F231" i="86"/>
  <c r="R234" i="86"/>
  <c r="K234" i="86"/>
  <c r="F234" i="86"/>
  <c r="R233" i="86"/>
  <c r="K233" i="86"/>
  <c r="F233" i="86"/>
  <c r="R226" i="86"/>
  <c r="K226" i="86"/>
  <c r="F226" i="86"/>
  <c r="R228" i="86"/>
  <c r="K228" i="86"/>
  <c r="F228" i="86"/>
  <c r="R240" i="86"/>
  <c r="K240" i="86"/>
  <c r="F240" i="86"/>
  <c r="R227" i="86"/>
  <c r="K227" i="86"/>
  <c r="F227" i="86"/>
  <c r="R224" i="86"/>
  <c r="K224" i="86"/>
  <c r="F224" i="86"/>
  <c r="R237" i="86"/>
  <c r="K237" i="86"/>
  <c r="F237" i="86"/>
  <c r="R229" i="86"/>
  <c r="K229" i="86"/>
  <c r="F229" i="86"/>
  <c r="R232" i="86"/>
  <c r="K232" i="86"/>
  <c r="F232" i="86"/>
  <c r="R219" i="86"/>
  <c r="K219" i="86"/>
  <c r="F219" i="86"/>
  <c r="E214" i="86"/>
  <c r="E203" i="86"/>
  <c r="E204" i="86"/>
  <c r="E213" i="86"/>
  <c r="E216" i="86"/>
  <c r="E212" i="86"/>
  <c r="E200" i="86"/>
  <c r="E211" i="86"/>
  <c r="E194" i="86"/>
  <c r="E208" i="86"/>
  <c r="E207" i="86"/>
  <c r="E197" i="86"/>
  <c r="E195" i="86"/>
  <c r="E201" i="86"/>
  <c r="E199" i="86"/>
  <c r="E196" i="86"/>
  <c r="E192" i="86"/>
  <c r="E205" i="86"/>
  <c r="E206" i="86"/>
  <c r="E198" i="86"/>
  <c r="E202" i="86"/>
  <c r="E209" i="86"/>
  <c r="E193" i="86"/>
  <c r="E191" i="86"/>
  <c r="C192" i="86"/>
  <c r="C193" i="86"/>
  <c r="C194" i="86"/>
  <c r="C195" i="86"/>
  <c r="C196" i="86"/>
  <c r="C197" i="86"/>
  <c r="C198" i="86"/>
  <c r="C199" i="86"/>
  <c r="C200" i="86"/>
  <c r="C201" i="86"/>
  <c r="C202" i="86"/>
  <c r="C203" i="86"/>
  <c r="C204" i="86"/>
  <c r="C205" i="86"/>
  <c r="C206" i="86"/>
  <c r="C207" i="86"/>
  <c r="C208" i="86"/>
  <c r="C209" i="86"/>
  <c r="E210" i="86"/>
  <c r="C210" i="86"/>
  <c r="C211" i="86"/>
  <c r="C212" i="86"/>
  <c r="E215" i="86"/>
  <c r="C213" i="86"/>
  <c r="C214" i="86"/>
  <c r="C215" i="86"/>
  <c r="C216" i="86"/>
  <c r="D214" i="86"/>
  <c r="D215" i="86"/>
  <c r="E221" i="86"/>
  <c r="E220" i="86"/>
  <c r="E218" i="86"/>
  <c r="E217" i="86"/>
  <c r="C217" i="86"/>
  <c r="C218" i="86"/>
  <c r="C219" i="86"/>
  <c r="C220" i="86"/>
  <c r="C221" i="86"/>
  <c r="D217" i="86"/>
  <c r="D218" i="86"/>
  <c r="D219" i="86"/>
  <c r="D220" i="86"/>
  <c r="D221" i="86"/>
  <c r="D210" i="86"/>
  <c r="D222" i="86"/>
  <c r="C222" i="86"/>
  <c r="R222" i="86"/>
  <c r="K222" i="86"/>
  <c r="F222" i="86"/>
  <c r="R210" i="86"/>
  <c r="K210" i="86"/>
  <c r="F210" i="86"/>
  <c r="R218" i="86"/>
  <c r="K218" i="86"/>
  <c r="F218" i="86"/>
  <c r="R220" i="86"/>
  <c r="K220" i="86"/>
  <c r="F220" i="86"/>
  <c r="R217" i="86"/>
  <c r="K217" i="86"/>
  <c r="F217" i="86"/>
  <c r="R221" i="86"/>
  <c r="K221" i="86"/>
  <c r="F221" i="86"/>
  <c r="R215" i="86"/>
  <c r="K215" i="86"/>
  <c r="F215" i="86"/>
  <c r="R214" i="86"/>
  <c r="K214" i="86"/>
  <c r="F214" i="86"/>
  <c r="R203" i="86"/>
  <c r="K203" i="86"/>
  <c r="F203" i="86"/>
  <c r="D203" i="86"/>
  <c r="R204" i="86"/>
  <c r="K204" i="86"/>
  <c r="F204" i="86"/>
  <c r="D204" i="86"/>
  <c r="R213" i="86"/>
  <c r="K213" i="86"/>
  <c r="F213" i="86"/>
  <c r="D213" i="86"/>
  <c r="R216" i="86"/>
  <c r="K216" i="86"/>
  <c r="F216" i="86"/>
  <c r="D216" i="86"/>
  <c r="R212" i="86"/>
  <c r="K212" i="86"/>
  <c r="F212" i="86"/>
  <c r="D212" i="86"/>
  <c r="R200" i="86"/>
  <c r="K200" i="86"/>
  <c r="F200" i="86"/>
  <c r="D192" i="86"/>
  <c r="D193" i="86"/>
  <c r="D205" i="86"/>
  <c r="D206" i="86"/>
  <c r="D207" i="86"/>
  <c r="D208" i="86"/>
  <c r="D209" i="86"/>
  <c r="D194" i="86"/>
  <c r="D195" i="86"/>
  <c r="D196" i="86"/>
  <c r="D197" i="86"/>
  <c r="D198" i="86"/>
  <c r="D199" i="86"/>
  <c r="D200" i="86"/>
  <c r="D201" i="86"/>
  <c r="D202" i="86"/>
  <c r="D211" i="86"/>
  <c r="R211" i="86"/>
  <c r="K211" i="86"/>
  <c r="F211" i="86"/>
  <c r="R194" i="86"/>
  <c r="K194" i="86"/>
  <c r="F194" i="86"/>
  <c r="R208" i="86"/>
  <c r="K208" i="86"/>
  <c r="F208" i="86"/>
  <c r="R207" i="86"/>
  <c r="K207" i="86"/>
  <c r="F207" i="86"/>
  <c r="R197" i="86"/>
  <c r="K197" i="86"/>
  <c r="F197" i="86"/>
  <c r="R195" i="86"/>
  <c r="K195" i="86"/>
  <c r="F195" i="86"/>
  <c r="R201" i="86"/>
  <c r="K201" i="86"/>
  <c r="F201" i="86"/>
  <c r="R199" i="86"/>
  <c r="K199" i="86"/>
  <c r="F199" i="86"/>
  <c r="R196" i="86"/>
  <c r="K196" i="86"/>
  <c r="F196" i="86"/>
  <c r="R192" i="86"/>
  <c r="K192" i="86"/>
  <c r="F192" i="86"/>
  <c r="R205" i="86"/>
  <c r="K205" i="86"/>
  <c r="F205" i="86"/>
  <c r="R206" i="86"/>
  <c r="K206" i="86"/>
  <c r="F206" i="86"/>
  <c r="R198" i="86"/>
  <c r="K198" i="86"/>
  <c r="F198" i="86"/>
  <c r="R202" i="86"/>
  <c r="K202" i="86"/>
  <c r="F202" i="86"/>
  <c r="R209" i="86"/>
  <c r="K209" i="86"/>
  <c r="F209" i="86"/>
  <c r="R193" i="86"/>
  <c r="K193" i="86"/>
  <c r="F193" i="86"/>
  <c r="E132" i="86"/>
  <c r="D174" i="86"/>
  <c r="D191" i="86"/>
  <c r="D178" i="86"/>
  <c r="D179" i="86"/>
  <c r="D180" i="86"/>
  <c r="D175" i="86"/>
  <c r="C191" i="86"/>
  <c r="R186" i="86"/>
  <c r="K186" i="86"/>
  <c r="F186" i="86"/>
  <c r="R179" i="86"/>
  <c r="K179" i="86"/>
  <c r="F179" i="86"/>
  <c r="R175" i="86"/>
  <c r="K175" i="86"/>
  <c r="F175" i="86"/>
  <c r="R184" i="86"/>
  <c r="K184" i="86"/>
  <c r="F184" i="86"/>
  <c r="R188" i="86"/>
  <c r="K188" i="86"/>
  <c r="F188" i="86"/>
  <c r="R178" i="86"/>
  <c r="K178" i="86"/>
  <c r="F178" i="86"/>
  <c r="R183" i="86"/>
  <c r="K183" i="86"/>
  <c r="F183" i="86"/>
  <c r="R180" i="86"/>
  <c r="K180" i="86"/>
  <c r="F180" i="86"/>
  <c r="R191" i="86"/>
  <c r="K191" i="86"/>
  <c r="F191" i="86"/>
  <c r="R185" i="86"/>
  <c r="K185" i="86"/>
  <c r="F185" i="86"/>
  <c r="R182" i="86"/>
  <c r="K182" i="86"/>
  <c r="F182" i="86"/>
  <c r="R174" i="86"/>
  <c r="K174" i="86"/>
  <c r="F174" i="86"/>
  <c r="R187" i="86"/>
  <c r="K187" i="86"/>
  <c r="F187" i="86"/>
  <c r="D168" i="86"/>
  <c r="R168" i="86"/>
  <c r="K168" i="86"/>
  <c r="F168" i="86"/>
  <c r="R177" i="86"/>
  <c r="K177" i="86"/>
  <c r="F177" i="86"/>
  <c r="D177" i="86"/>
  <c r="R173" i="86"/>
  <c r="K173" i="86"/>
  <c r="F173" i="86"/>
  <c r="D161" i="86"/>
  <c r="D173" i="86"/>
  <c r="R161" i="86"/>
  <c r="K161" i="86"/>
  <c r="F161" i="86"/>
  <c r="R176" i="86"/>
  <c r="K176" i="86"/>
  <c r="F176" i="86"/>
  <c r="D176" i="86"/>
  <c r="R148" i="86"/>
  <c r="K148" i="86"/>
  <c r="F148" i="86"/>
  <c r="D146" i="86"/>
  <c r="D147" i="86"/>
  <c r="D148" i="86"/>
  <c r="D149" i="86"/>
  <c r="D150" i="86"/>
  <c r="D151" i="86"/>
  <c r="D152" i="86"/>
  <c r="D162" i="86"/>
  <c r="D163" i="86"/>
  <c r="D164" i="86"/>
  <c r="D165" i="86"/>
  <c r="D166" i="86"/>
  <c r="D153" i="86"/>
  <c r="D154" i="86"/>
  <c r="D155" i="86"/>
  <c r="D156" i="86"/>
  <c r="D157" i="86"/>
  <c r="D158" i="86"/>
  <c r="D159" i="86"/>
  <c r="D160" i="86"/>
  <c r="D169" i="86"/>
  <c r="D170" i="86"/>
  <c r="D167" i="86"/>
  <c r="D171" i="86"/>
  <c r="D172" i="86"/>
  <c r="R172" i="86"/>
  <c r="K172" i="86"/>
  <c r="F172" i="86"/>
  <c r="R155" i="86"/>
  <c r="K155" i="86"/>
  <c r="F155" i="86"/>
  <c r="R159" i="86"/>
  <c r="K159" i="86"/>
  <c r="F159" i="86"/>
  <c r="R171" i="86"/>
  <c r="K171" i="86"/>
  <c r="F171" i="86"/>
  <c r="R167" i="86"/>
  <c r="K167" i="86"/>
  <c r="F167" i="86"/>
  <c r="R156" i="86"/>
  <c r="K156" i="86"/>
  <c r="F156" i="86"/>
  <c r="R158" i="86"/>
  <c r="K158" i="86"/>
  <c r="F158" i="86"/>
  <c r="R162" i="86"/>
  <c r="K162" i="86"/>
  <c r="F162" i="86"/>
  <c r="R157" i="86"/>
  <c r="K157" i="86"/>
  <c r="F157" i="86"/>
  <c r="R154" i="86"/>
  <c r="K154" i="86"/>
  <c r="F154" i="86"/>
  <c r="R163" i="86"/>
  <c r="K163" i="86"/>
  <c r="F163" i="86"/>
  <c r="R150" i="86"/>
  <c r="K150" i="86"/>
  <c r="F150" i="86"/>
  <c r="R147" i="86"/>
  <c r="K147" i="86"/>
  <c r="F147" i="86"/>
  <c r="R146" i="86"/>
  <c r="K146" i="86"/>
  <c r="F146" i="86"/>
  <c r="R169" i="86"/>
  <c r="K169" i="86"/>
  <c r="F169" i="86"/>
  <c r="R170" i="86"/>
  <c r="K170" i="86"/>
  <c r="F170" i="86"/>
  <c r="R164" i="86"/>
  <c r="K164" i="86"/>
  <c r="F164" i="86"/>
  <c r="R160" i="86"/>
  <c r="K160" i="86"/>
  <c r="F160" i="86"/>
  <c r="R166" i="86"/>
  <c r="K166" i="86"/>
  <c r="F166" i="86"/>
  <c r="R165" i="86"/>
  <c r="K165" i="86"/>
  <c r="F165" i="86"/>
  <c r="R149" i="86"/>
  <c r="K149" i="86"/>
  <c r="F149" i="86"/>
  <c r="R151" i="86"/>
  <c r="K151" i="86"/>
  <c r="F151" i="86"/>
  <c r="R152" i="86"/>
  <c r="K152" i="86"/>
  <c r="F152" i="86"/>
  <c r="R181" i="86"/>
  <c r="K181" i="86"/>
  <c r="F181" i="86"/>
  <c r="D181" i="86"/>
  <c r="R153" i="86"/>
  <c r="K153" i="86"/>
  <c r="F153" i="86"/>
  <c r="R132" i="86"/>
  <c r="K132" i="86"/>
  <c r="F132" i="86"/>
  <c r="E124" i="86"/>
  <c r="E133" i="86"/>
  <c r="E125" i="86"/>
  <c r="E103" i="86"/>
  <c r="E110" i="86"/>
  <c r="E99" i="86"/>
  <c r="E115" i="86"/>
  <c r="E123" i="86"/>
  <c r="E96" i="86"/>
  <c r="E104" i="86"/>
  <c r="E108" i="86"/>
  <c r="E112" i="86"/>
  <c r="E92" i="86"/>
  <c r="E116" i="86"/>
  <c r="E114" i="86"/>
  <c r="E117" i="86"/>
  <c r="E102" i="86"/>
  <c r="E98" i="86"/>
  <c r="E101" i="86"/>
  <c r="E111" i="86"/>
  <c r="E97" i="86"/>
  <c r="E105" i="86"/>
  <c r="E94" i="86"/>
  <c r="E107" i="86"/>
  <c r="E109" i="86"/>
  <c r="E95" i="86"/>
  <c r="E93" i="86"/>
  <c r="E106" i="86"/>
  <c r="E100" i="86"/>
  <c r="E85" i="86"/>
  <c r="E91" i="86"/>
  <c r="C92" i="86"/>
  <c r="C93" i="86"/>
  <c r="C94" i="86"/>
  <c r="C95" i="86"/>
  <c r="C96" i="86"/>
  <c r="C97" i="86"/>
  <c r="C98" i="86"/>
  <c r="C99" i="86"/>
  <c r="C100" i="86"/>
  <c r="C101" i="86"/>
  <c r="C102" i="86"/>
  <c r="C103" i="86"/>
  <c r="C104" i="86"/>
  <c r="C105" i="86"/>
  <c r="C106" i="86"/>
  <c r="C107" i="86"/>
  <c r="C108" i="86"/>
  <c r="C109" i="86"/>
  <c r="C110" i="86"/>
  <c r="C111" i="86"/>
  <c r="E113" i="86"/>
  <c r="C112" i="86"/>
  <c r="C113" i="86"/>
  <c r="C114" i="86"/>
  <c r="C115" i="86"/>
  <c r="C116" i="86"/>
  <c r="C117" i="86"/>
  <c r="E122" i="86"/>
  <c r="E121" i="86"/>
  <c r="E120" i="86"/>
  <c r="E119" i="86"/>
  <c r="E118" i="86"/>
  <c r="C118" i="86"/>
  <c r="C119" i="86"/>
  <c r="C120" i="86"/>
  <c r="C121" i="86"/>
  <c r="C122" i="86"/>
  <c r="C123" i="86"/>
  <c r="C124" i="86"/>
  <c r="C125" i="86"/>
  <c r="E131" i="86"/>
  <c r="E130" i="86"/>
  <c r="E129" i="86"/>
  <c r="E128" i="86"/>
  <c r="E127" i="86"/>
  <c r="E126" i="86"/>
  <c r="C126" i="86"/>
  <c r="C127" i="86"/>
  <c r="C128" i="86"/>
  <c r="C129" i="86"/>
  <c r="C130" i="86"/>
  <c r="C131" i="86"/>
  <c r="C132" i="86"/>
  <c r="C133" i="86"/>
  <c r="E144" i="86"/>
  <c r="E143" i="86"/>
  <c r="E142" i="86"/>
  <c r="E141" i="86"/>
  <c r="E140" i="86"/>
  <c r="E139" i="86"/>
  <c r="E138" i="86"/>
  <c r="E137" i="86"/>
  <c r="E136" i="86"/>
  <c r="E135" i="86"/>
  <c r="E134" i="86"/>
  <c r="C134" i="86"/>
  <c r="C135" i="86"/>
  <c r="C136" i="86"/>
  <c r="C137" i="86"/>
  <c r="C138" i="86"/>
  <c r="C139" i="86"/>
  <c r="C140" i="86"/>
  <c r="C141" i="86"/>
  <c r="C142" i="86"/>
  <c r="C143" i="86"/>
  <c r="C144" i="86"/>
  <c r="C145" i="86"/>
  <c r="D124" i="86"/>
  <c r="D134" i="86"/>
  <c r="D135" i="86"/>
  <c r="D136" i="86"/>
  <c r="D137" i="86"/>
  <c r="D138" i="86"/>
  <c r="D139" i="86"/>
  <c r="D140" i="86"/>
  <c r="D141" i="86"/>
  <c r="D142" i="86"/>
  <c r="D126" i="86"/>
  <c r="D127" i="86"/>
  <c r="D128" i="86"/>
  <c r="D129" i="86"/>
  <c r="D118" i="86"/>
  <c r="D119" i="86"/>
  <c r="D120" i="86"/>
  <c r="D121" i="86"/>
  <c r="D122" i="86"/>
  <c r="D130" i="86"/>
  <c r="D113" i="86"/>
  <c r="D143" i="86"/>
  <c r="D131" i="86"/>
  <c r="D144" i="86"/>
  <c r="D132" i="86"/>
  <c r="R126" i="86"/>
  <c r="K126" i="86"/>
  <c r="F126" i="86"/>
  <c r="R136" i="86"/>
  <c r="K136" i="86"/>
  <c r="F136" i="86"/>
  <c r="R144" i="86"/>
  <c r="K144" i="86"/>
  <c r="F144" i="86"/>
  <c r="R140" i="86"/>
  <c r="K140" i="86"/>
  <c r="F140" i="86"/>
  <c r="R134" i="86"/>
  <c r="K134" i="86"/>
  <c r="F134" i="86"/>
  <c r="R141" i="86"/>
  <c r="K141" i="86"/>
  <c r="F141" i="86"/>
  <c r="R135" i="86"/>
  <c r="K135" i="86"/>
  <c r="F135" i="86"/>
  <c r="R138" i="86"/>
  <c r="K138" i="86"/>
  <c r="F138" i="86"/>
  <c r="R131" i="86"/>
  <c r="K131" i="86"/>
  <c r="F131" i="86"/>
  <c r="R137" i="86"/>
  <c r="K137" i="86"/>
  <c r="F137" i="86"/>
  <c r="R127" i="86"/>
  <c r="K127" i="86"/>
  <c r="F127" i="86"/>
  <c r="R121" i="86"/>
  <c r="K121" i="86"/>
  <c r="F121" i="86"/>
  <c r="R120" i="86"/>
  <c r="K120" i="86"/>
  <c r="F120" i="86"/>
  <c r="R143" i="86"/>
  <c r="K143" i="86"/>
  <c r="F143" i="86"/>
  <c r="R139" i="86"/>
  <c r="K139" i="86"/>
  <c r="F139" i="86"/>
  <c r="R113" i="86"/>
  <c r="K113" i="86"/>
  <c r="F113" i="86"/>
  <c r="R119" i="86"/>
  <c r="K119" i="86"/>
  <c r="F119" i="86"/>
  <c r="R128" i="86"/>
  <c r="K128" i="86"/>
  <c r="F128" i="86"/>
  <c r="R130" i="86"/>
  <c r="K130" i="86"/>
  <c r="F130" i="86"/>
  <c r="R118" i="86"/>
  <c r="K118" i="86"/>
  <c r="F118" i="86"/>
  <c r="R122" i="86"/>
  <c r="K122" i="86"/>
  <c r="F122" i="86"/>
  <c r="R129" i="86"/>
  <c r="K129" i="86"/>
  <c r="F129" i="86"/>
  <c r="R142" i="86"/>
  <c r="K142" i="86"/>
  <c r="F142" i="86"/>
  <c r="R124" i="86"/>
  <c r="K124" i="86"/>
  <c r="F124" i="86"/>
  <c r="R145" i="86"/>
  <c r="K145" i="86"/>
  <c r="F145" i="86"/>
  <c r="D133" i="86"/>
  <c r="D145" i="86"/>
  <c r="R133" i="86"/>
  <c r="K133" i="86"/>
  <c r="F133" i="86"/>
  <c r="R125" i="86"/>
  <c r="K125" i="86"/>
  <c r="F125" i="86"/>
  <c r="D125" i="86"/>
  <c r="R103" i="86"/>
  <c r="K103" i="86"/>
  <c r="F103" i="86"/>
  <c r="D103" i="86"/>
  <c r="R110" i="86"/>
  <c r="K110" i="86"/>
  <c r="F110" i="86"/>
  <c r="D99" i="86"/>
  <c r="D110" i="86"/>
  <c r="R99" i="86"/>
  <c r="K99" i="86"/>
  <c r="F99" i="86"/>
  <c r="R115" i="86"/>
  <c r="K115" i="86"/>
  <c r="F115" i="86"/>
  <c r="D115" i="86"/>
  <c r="R123" i="86"/>
  <c r="K123" i="86"/>
  <c r="F123" i="86"/>
  <c r="D123" i="86"/>
  <c r="R96" i="86"/>
  <c r="K96" i="86"/>
  <c r="F96" i="86"/>
  <c r="D96" i="86"/>
  <c r="R104" i="86"/>
  <c r="K104" i="86"/>
  <c r="F104" i="86"/>
  <c r="D100" i="86"/>
  <c r="D104" i="86"/>
  <c r="D105" i="86"/>
  <c r="D106" i="86"/>
  <c r="D92" i="86"/>
  <c r="D93" i="86"/>
  <c r="D94" i="86"/>
  <c r="D95" i="86"/>
  <c r="D107" i="86"/>
  <c r="D108" i="86"/>
  <c r="D109" i="86"/>
  <c r="D97" i="86"/>
  <c r="D111" i="86"/>
  <c r="D101" i="86"/>
  <c r="D98" i="86"/>
  <c r="D102" i="86"/>
  <c r="D116" i="86"/>
  <c r="D117" i="86"/>
  <c r="D114" i="86"/>
  <c r="D112" i="86"/>
  <c r="R108" i="86"/>
  <c r="K108" i="86"/>
  <c r="F108" i="86"/>
  <c r="R112" i="86"/>
  <c r="K112" i="86"/>
  <c r="F112" i="86"/>
  <c r="R92" i="86"/>
  <c r="K92" i="86"/>
  <c r="F92" i="86"/>
  <c r="R116" i="86"/>
  <c r="K116" i="86"/>
  <c r="F116" i="86"/>
  <c r="R114" i="86"/>
  <c r="K114" i="86"/>
  <c r="F114" i="86"/>
  <c r="R117" i="86"/>
  <c r="K117" i="86"/>
  <c r="F117" i="86"/>
  <c r="R102" i="86"/>
  <c r="K102" i="86"/>
  <c r="F102" i="86"/>
  <c r="R98" i="86"/>
  <c r="K98" i="86"/>
  <c r="F98" i="86"/>
  <c r="R101" i="86"/>
  <c r="K101" i="86"/>
  <c r="F101" i="86"/>
  <c r="R111" i="86"/>
  <c r="K111" i="86"/>
  <c r="F111" i="86"/>
  <c r="R97" i="86"/>
  <c r="K97" i="86"/>
  <c r="F97" i="86"/>
  <c r="R105" i="86"/>
  <c r="K105" i="86"/>
  <c r="F105" i="86"/>
  <c r="R94" i="86"/>
  <c r="K94" i="86"/>
  <c r="F94" i="86"/>
  <c r="R107" i="86"/>
  <c r="K107" i="86"/>
  <c r="F107" i="86"/>
  <c r="R109" i="86"/>
  <c r="K109" i="86"/>
  <c r="F109" i="86"/>
  <c r="R95" i="86"/>
  <c r="K95" i="86"/>
  <c r="F95" i="86"/>
  <c r="R93" i="86"/>
  <c r="K93" i="86"/>
  <c r="F93" i="86"/>
  <c r="R106" i="86"/>
  <c r="K106" i="86"/>
  <c r="F106" i="86"/>
  <c r="R100" i="86"/>
  <c r="K100" i="86"/>
  <c r="F100" i="86"/>
  <c r="R85" i="86"/>
  <c r="K85" i="86"/>
  <c r="F85" i="86"/>
  <c r="E78" i="86"/>
  <c r="E57" i="86"/>
  <c r="E66" i="86"/>
  <c r="E61" i="86"/>
  <c r="E59" i="86"/>
  <c r="E58" i="86"/>
  <c r="E69" i="86"/>
  <c r="E54" i="86"/>
  <c r="E45" i="86"/>
  <c r="E50" i="86"/>
  <c r="E62" i="86"/>
  <c r="E60" i="86"/>
  <c r="E52" i="86"/>
  <c r="E53" i="86"/>
  <c r="E49" i="86"/>
  <c r="E47" i="86"/>
  <c r="E51" i="86"/>
  <c r="E48" i="86"/>
  <c r="E46" i="86"/>
  <c r="E55" i="86"/>
  <c r="E44" i="86"/>
  <c r="C45" i="86"/>
  <c r="C46" i="86"/>
  <c r="C47" i="86"/>
  <c r="C48" i="86"/>
  <c r="C49" i="86"/>
  <c r="C50" i="86"/>
  <c r="C51" i="86"/>
  <c r="C52" i="86"/>
  <c r="C53" i="86"/>
  <c r="C54" i="86"/>
  <c r="C55" i="86"/>
  <c r="E56" i="86"/>
  <c r="C56" i="86"/>
  <c r="C57" i="86"/>
  <c r="C58" i="86"/>
  <c r="C59" i="86"/>
  <c r="C60" i="86"/>
  <c r="C61" i="86"/>
  <c r="C62" i="86"/>
  <c r="E68" i="86"/>
  <c r="E67" i="86"/>
  <c r="E65" i="86"/>
  <c r="E64" i="86"/>
  <c r="E63" i="86"/>
  <c r="C63" i="86"/>
  <c r="C64" i="86"/>
  <c r="C65" i="86"/>
  <c r="C66" i="86"/>
  <c r="C67" i="86"/>
  <c r="C68" i="86"/>
  <c r="C69" i="86"/>
  <c r="E77" i="86"/>
  <c r="E76" i="86"/>
  <c r="E75" i="86"/>
  <c r="E74" i="86"/>
  <c r="E73" i="86"/>
  <c r="E72" i="86"/>
  <c r="E71" i="86"/>
  <c r="E70" i="86"/>
  <c r="C70" i="86"/>
  <c r="C71" i="86"/>
  <c r="C72" i="86"/>
  <c r="C73" i="86"/>
  <c r="C74" i="86"/>
  <c r="C75" i="86"/>
  <c r="C76" i="86"/>
  <c r="C77" i="86"/>
  <c r="C78" i="86"/>
  <c r="E88" i="86"/>
  <c r="E87" i="86"/>
  <c r="E86" i="86"/>
  <c r="E84" i="86"/>
  <c r="E83" i="86"/>
  <c r="E82" i="86"/>
  <c r="E81" i="86"/>
  <c r="E80" i="86"/>
  <c r="E79" i="86"/>
  <c r="C79" i="86"/>
  <c r="C80" i="86"/>
  <c r="C81" i="86"/>
  <c r="C82" i="86"/>
  <c r="C83" i="86"/>
  <c r="C84" i="86"/>
  <c r="C85" i="86"/>
  <c r="C86" i="86"/>
  <c r="C87" i="86"/>
  <c r="C88" i="86"/>
  <c r="D79" i="86"/>
  <c r="D80" i="86"/>
  <c r="D81" i="86"/>
  <c r="D82" i="86"/>
  <c r="D83" i="86"/>
  <c r="D84" i="86"/>
  <c r="D85" i="86"/>
  <c r="D86" i="86"/>
  <c r="D87" i="86"/>
  <c r="D88" i="86"/>
  <c r="D70" i="86"/>
  <c r="D71" i="86"/>
  <c r="D72" i="86"/>
  <c r="D73" i="86"/>
  <c r="D67" i="86"/>
  <c r="D68" i="86"/>
  <c r="D56" i="86"/>
  <c r="D89" i="86"/>
  <c r="D63" i="86"/>
  <c r="D64" i="86"/>
  <c r="D65" i="86"/>
  <c r="D74" i="86"/>
  <c r="D75" i="86"/>
  <c r="D76" i="86"/>
  <c r="D77" i="86"/>
  <c r="D90" i="86"/>
  <c r="D91" i="86"/>
  <c r="E90" i="86"/>
  <c r="E89" i="86"/>
  <c r="C89" i="86"/>
  <c r="C90" i="86"/>
  <c r="C91" i="86"/>
  <c r="R63" i="86"/>
  <c r="K63" i="86"/>
  <c r="F63" i="86"/>
  <c r="R75" i="86"/>
  <c r="K75" i="86"/>
  <c r="F75" i="86"/>
  <c r="R70" i="86"/>
  <c r="K70" i="86"/>
  <c r="F70" i="86"/>
  <c r="R90" i="86"/>
  <c r="K90" i="86"/>
  <c r="F90" i="86"/>
  <c r="R80" i="86"/>
  <c r="K80" i="86"/>
  <c r="F80" i="86"/>
  <c r="R72" i="86"/>
  <c r="K72" i="86"/>
  <c r="F72" i="86"/>
  <c r="R87" i="86"/>
  <c r="K87" i="86"/>
  <c r="F87" i="86"/>
  <c r="R91" i="86"/>
  <c r="K91" i="86"/>
  <c r="F91" i="86"/>
  <c r="R81" i="86"/>
  <c r="K81" i="86"/>
  <c r="F81" i="86"/>
  <c r="R84" i="86"/>
  <c r="K84" i="86"/>
  <c r="F84" i="86"/>
  <c r="R74" i="86"/>
  <c r="K74" i="86"/>
  <c r="F74" i="86"/>
  <c r="R71" i="86"/>
  <c r="K71" i="86"/>
  <c r="F71" i="86"/>
  <c r="R64" i="86"/>
  <c r="K64" i="86"/>
  <c r="F64" i="86"/>
  <c r="R77" i="86"/>
  <c r="K77" i="86"/>
  <c r="F77" i="86"/>
  <c r="R76" i="86"/>
  <c r="K76" i="86"/>
  <c r="F76" i="86"/>
  <c r="R65" i="86"/>
  <c r="K65" i="86"/>
  <c r="F65" i="86"/>
  <c r="R86" i="86"/>
  <c r="K86" i="86"/>
  <c r="F86" i="86"/>
  <c r="R67" i="86"/>
  <c r="K67" i="86"/>
  <c r="F67" i="86"/>
  <c r="R89" i="86"/>
  <c r="K89" i="86"/>
  <c r="F89" i="86"/>
  <c r="R79" i="86"/>
  <c r="K79" i="86"/>
  <c r="F79" i="86"/>
  <c r="R56" i="86"/>
  <c r="K56" i="86"/>
  <c r="F56" i="86"/>
  <c r="R83" i="86"/>
  <c r="K83" i="86"/>
  <c r="F83" i="86"/>
  <c r="R82" i="86"/>
  <c r="K82" i="86"/>
  <c r="F82" i="86"/>
  <c r="R68" i="86"/>
  <c r="K68" i="86"/>
  <c r="F68" i="86"/>
  <c r="R73" i="86"/>
  <c r="K73" i="86"/>
  <c r="F73" i="86"/>
  <c r="R88" i="86"/>
  <c r="K88" i="86"/>
  <c r="F88" i="86"/>
  <c r="R78" i="86"/>
  <c r="K78" i="86"/>
  <c r="F78" i="86"/>
  <c r="D57" i="86"/>
  <c r="D78" i="86"/>
  <c r="R57" i="86"/>
  <c r="K57" i="86"/>
  <c r="F57" i="86"/>
  <c r="R66" i="86"/>
  <c r="K66" i="86"/>
  <c r="F66" i="86"/>
  <c r="D61" i="86"/>
  <c r="D66" i="86"/>
  <c r="R61" i="86"/>
  <c r="K61" i="86"/>
  <c r="F61" i="86"/>
  <c r="R59" i="86"/>
  <c r="K59" i="86"/>
  <c r="F59" i="86"/>
  <c r="D59" i="86"/>
  <c r="D58" i="86"/>
  <c r="R58" i="86"/>
  <c r="K58" i="86"/>
  <c r="F58" i="86"/>
  <c r="R69" i="86"/>
  <c r="K69" i="86"/>
  <c r="F69" i="86"/>
  <c r="D69" i="86"/>
  <c r="R54" i="86"/>
  <c r="K54" i="86"/>
  <c r="F54" i="86"/>
  <c r="D54" i="86"/>
  <c r="R45" i="86"/>
  <c r="K45" i="86"/>
  <c r="F45" i="86"/>
  <c r="D55" i="86"/>
  <c r="D45" i="86"/>
  <c r="D46" i="86"/>
  <c r="D47" i="86"/>
  <c r="D48" i="86"/>
  <c r="D49" i="86"/>
  <c r="D50" i="86"/>
  <c r="D51" i="86"/>
  <c r="D52" i="86"/>
  <c r="D53" i="86"/>
  <c r="D60" i="86"/>
  <c r="D62" i="86"/>
  <c r="R50" i="86"/>
  <c r="K50" i="86"/>
  <c r="F50" i="86"/>
  <c r="R62" i="86"/>
  <c r="K62" i="86"/>
  <c r="F62" i="86"/>
  <c r="R60" i="86"/>
  <c r="K60" i="86"/>
  <c r="F60" i="86"/>
  <c r="R52" i="86"/>
  <c r="K52" i="86"/>
  <c r="F52" i="86"/>
  <c r="R53" i="86"/>
  <c r="K53" i="86"/>
  <c r="F53" i="86"/>
  <c r="R49" i="86"/>
  <c r="K49" i="86"/>
  <c r="F49" i="86"/>
  <c r="R47" i="86"/>
  <c r="K47" i="86"/>
  <c r="F47" i="86"/>
  <c r="R51" i="86"/>
  <c r="K51" i="86"/>
  <c r="F51" i="86"/>
  <c r="R48" i="86"/>
  <c r="K48" i="86"/>
  <c r="F48" i="86"/>
  <c r="R46" i="86"/>
  <c r="K46" i="86"/>
  <c r="F46" i="86"/>
  <c r="R55" i="86"/>
  <c r="K55" i="86"/>
  <c r="F55" i="86"/>
  <c r="E42" i="86"/>
  <c r="E19" i="86"/>
  <c r="E30" i="86"/>
  <c r="E23" i="86"/>
  <c r="E22" i="86"/>
  <c r="E26" i="86"/>
  <c r="E28" i="86"/>
  <c r="E25" i="86"/>
  <c r="E27" i="86"/>
  <c r="E32" i="86"/>
  <c r="E16" i="86"/>
  <c r="E29" i="86"/>
  <c r="E41" i="86"/>
  <c r="E33" i="86"/>
  <c r="E40" i="86"/>
  <c r="E17" i="86"/>
  <c r="E38" i="86"/>
  <c r="E20" i="86"/>
  <c r="E15" i="86"/>
  <c r="E24" i="86"/>
  <c r="E31" i="86"/>
  <c r="E13" i="86"/>
  <c r="E8" i="86"/>
  <c r="E9" i="86"/>
  <c r="E12" i="86"/>
  <c r="E18" i="86"/>
  <c r="E10" i="86"/>
  <c r="E11" i="86"/>
  <c r="E14" i="86"/>
  <c r="E4" i="86"/>
  <c r="E7" i="86"/>
  <c r="C8" i="86"/>
  <c r="C9" i="86"/>
  <c r="C10" i="86"/>
  <c r="C11" i="86"/>
  <c r="C12" i="86"/>
  <c r="C13" i="86"/>
  <c r="C14" i="86"/>
  <c r="C15" i="86"/>
  <c r="C16" i="86"/>
  <c r="C17" i="86"/>
  <c r="C18" i="86"/>
  <c r="E21" i="86"/>
  <c r="C19" i="86"/>
  <c r="C20" i="86"/>
  <c r="C21" i="86"/>
  <c r="C22" i="86"/>
  <c r="C23" i="86"/>
  <c r="C24" i="86"/>
  <c r="C25" i="86"/>
  <c r="C26" i="86"/>
  <c r="C27" i="86"/>
  <c r="C28" i="86"/>
  <c r="C29" i="86"/>
  <c r="C30" i="86"/>
  <c r="C31" i="86"/>
  <c r="E37" i="86"/>
  <c r="E36" i="86"/>
  <c r="E35" i="86"/>
  <c r="E34" i="86"/>
  <c r="C32" i="86"/>
  <c r="C33" i="86"/>
  <c r="C34" i="86"/>
  <c r="C35" i="86"/>
  <c r="C36" i="86"/>
  <c r="C37" i="86"/>
  <c r="C38" i="86"/>
  <c r="E39" i="86"/>
  <c r="C39" i="86"/>
  <c r="C40" i="86"/>
  <c r="C41" i="86"/>
  <c r="C42" i="86"/>
  <c r="D42" i="86"/>
  <c r="D34" i="86"/>
  <c r="D35" i="86"/>
  <c r="D36" i="86"/>
  <c r="D37" i="86"/>
  <c r="D43" i="86"/>
  <c r="D39" i="86"/>
  <c r="D21" i="86"/>
  <c r="E43" i="86"/>
  <c r="C43" i="86"/>
  <c r="C44" i="86"/>
  <c r="D44" i="86"/>
  <c r="R44" i="86"/>
  <c r="K44" i="86"/>
  <c r="F44" i="86"/>
  <c r="R21" i="86"/>
  <c r="K21" i="86"/>
  <c r="F21" i="86"/>
  <c r="R36" i="86"/>
  <c r="K36" i="86"/>
  <c r="F36" i="86"/>
  <c r="R39" i="86"/>
  <c r="K39" i="86"/>
  <c r="F39" i="86"/>
  <c r="R34" i="86"/>
  <c r="K34" i="86"/>
  <c r="F34" i="86"/>
  <c r="R35" i="86"/>
  <c r="K35" i="86"/>
  <c r="F35" i="86"/>
  <c r="R43" i="86"/>
  <c r="K43" i="86"/>
  <c r="F43" i="86"/>
  <c r="R37" i="86"/>
  <c r="K37" i="86"/>
  <c r="F37" i="86"/>
  <c r="R42" i="86"/>
  <c r="K42" i="86"/>
  <c r="F42" i="86"/>
  <c r="R19" i="86"/>
  <c r="K19" i="86"/>
  <c r="F19" i="86"/>
  <c r="D19" i="86"/>
  <c r="D15" i="86"/>
  <c r="D16" i="86"/>
  <c r="D17" i="86"/>
  <c r="D18" i="86"/>
  <c r="D12" i="86"/>
  <c r="D8" i="86"/>
  <c r="D9" i="86"/>
  <c r="D13" i="86"/>
  <c r="D22" i="86"/>
  <c r="D23" i="86"/>
  <c r="D24" i="86"/>
  <c r="D25" i="86"/>
  <c r="D26" i="86"/>
  <c r="D27" i="86"/>
  <c r="D28" i="86"/>
  <c r="D29" i="86"/>
  <c r="D30" i="86"/>
  <c r="D31" i="86"/>
  <c r="D20" i="86"/>
  <c r="D38" i="86"/>
  <c r="D40" i="86"/>
  <c r="D32" i="86"/>
  <c r="D33" i="86"/>
  <c r="D41" i="86"/>
  <c r="R30" i="86"/>
  <c r="K30" i="86"/>
  <c r="F30" i="86"/>
  <c r="R23" i="86"/>
  <c r="K23" i="86"/>
  <c r="F23" i="86"/>
  <c r="R22" i="86"/>
  <c r="K22" i="86"/>
  <c r="F22" i="86"/>
  <c r="R26" i="86"/>
  <c r="K26" i="86"/>
  <c r="F26" i="86"/>
  <c r="R28" i="86"/>
  <c r="K28" i="86"/>
  <c r="F28" i="86"/>
  <c r="R25" i="86"/>
  <c r="K25" i="86"/>
  <c r="F25" i="86"/>
  <c r="R27" i="86"/>
  <c r="K27" i="86"/>
  <c r="F27" i="86"/>
  <c r="R32" i="86"/>
  <c r="K32" i="86"/>
  <c r="F32" i="86"/>
  <c r="R16" i="86"/>
  <c r="K16" i="86"/>
  <c r="F16" i="86"/>
  <c r="R29" i="86"/>
  <c r="K29" i="86"/>
  <c r="F29" i="86"/>
  <c r="R41" i="86"/>
  <c r="K41" i="86"/>
  <c r="F41" i="86"/>
  <c r="R33" i="86"/>
  <c r="K33" i="86"/>
  <c r="F33" i="86"/>
  <c r="R40" i="86"/>
  <c r="K40" i="86"/>
  <c r="F40" i="86"/>
  <c r="R17" i="86"/>
  <c r="K17" i="86"/>
  <c r="F17" i="86"/>
  <c r="R38" i="86"/>
  <c r="K38" i="86"/>
  <c r="F38" i="86"/>
  <c r="R20" i="86"/>
  <c r="K20" i="86"/>
  <c r="F20" i="86"/>
  <c r="R15" i="86"/>
  <c r="K15" i="86"/>
  <c r="F15" i="86"/>
  <c r="R24" i="86"/>
  <c r="K24" i="86"/>
  <c r="F24" i="86"/>
  <c r="R31" i="86"/>
  <c r="K31" i="86"/>
  <c r="F31" i="86"/>
  <c r="R13" i="86"/>
  <c r="K13" i="86"/>
  <c r="F13" i="86"/>
  <c r="R8" i="86"/>
  <c r="K8" i="86"/>
  <c r="F8" i="86"/>
  <c r="R9" i="86"/>
  <c r="K9" i="86"/>
  <c r="F9" i="86"/>
  <c r="R12" i="86"/>
  <c r="K12" i="86"/>
  <c r="F12" i="86"/>
  <c r="R18" i="86"/>
  <c r="K18" i="86"/>
  <c r="F18" i="86"/>
  <c r="R10" i="86"/>
  <c r="K10" i="86"/>
  <c r="F10" i="86"/>
  <c r="D10" i="86"/>
  <c r="D14" i="86"/>
  <c r="D11" i="86"/>
  <c r="R11" i="86"/>
  <c r="K11" i="86"/>
  <c r="F11" i="86"/>
  <c r="R14" i="86"/>
  <c r="K14" i="86"/>
  <c r="F14" i="86"/>
  <c r="R4" i="86"/>
  <c r="K4" i="86"/>
  <c r="F4" i="86"/>
  <c r="E3" i="86"/>
  <c r="E6" i="86"/>
  <c r="E2" i="86"/>
  <c r="C2" i="86"/>
  <c r="E5" i="86"/>
  <c r="C3" i="86"/>
  <c r="C4" i="86"/>
  <c r="C5" i="86"/>
  <c r="C6" i="86"/>
  <c r="D4" i="86"/>
  <c r="D5" i="86"/>
  <c r="C7" i="86"/>
  <c r="D7" i="86"/>
  <c r="R7" i="86"/>
  <c r="K7" i="86"/>
  <c r="F7" i="86"/>
  <c r="R5" i="86"/>
  <c r="K5" i="86"/>
  <c r="F5" i="86"/>
  <c r="R3" i="86"/>
  <c r="K3" i="86"/>
  <c r="F3" i="86"/>
  <c r="D3" i="86"/>
  <c r="R6" i="86"/>
  <c r="K6" i="86"/>
  <c r="F6" i="86"/>
  <c r="D6" i="86"/>
  <c r="D2" i="86"/>
  <c r="R2" i="86"/>
  <c r="K2" i="86"/>
  <c r="F2" i="86"/>
  <c r="K445" i="85"/>
  <c r="F445" i="85"/>
  <c r="E445" i="85"/>
  <c r="E443" i="85"/>
  <c r="C443" i="85"/>
  <c r="D443" i="85"/>
  <c r="D444" i="85"/>
  <c r="D445" i="85"/>
  <c r="E444" i="85"/>
  <c r="C444" i="85"/>
  <c r="C445" i="85"/>
  <c r="K444" i="85"/>
  <c r="F444" i="85"/>
  <c r="K443" i="85"/>
  <c r="F443" i="85"/>
  <c r="K441" i="85"/>
  <c r="F441" i="85"/>
  <c r="E441" i="85"/>
  <c r="E440" i="85"/>
  <c r="C441" i="85"/>
  <c r="D441" i="85"/>
  <c r="K440" i="85"/>
  <c r="F440" i="85"/>
  <c r="C440" i="85"/>
  <c r="D440" i="85"/>
  <c r="K437" i="85"/>
  <c r="F437" i="85"/>
  <c r="E437" i="85"/>
  <c r="E436" i="85"/>
  <c r="C437" i="85"/>
  <c r="D437" i="85"/>
  <c r="K436" i="85"/>
  <c r="F436" i="85"/>
  <c r="C436" i="85"/>
  <c r="D436" i="85"/>
  <c r="K433" i="85"/>
  <c r="F433" i="85"/>
  <c r="E433" i="85"/>
  <c r="E432" i="85"/>
  <c r="C433" i="85"/>
  <c r="D433" i="85"/>
  <c r="K432" i="85"/>
  <c r="F432" i="85"/>
  <c r="E431" i="85"/>
  <c r="C432" i="85"/>
  <c r="D432" i="85"/>
  <c r="R431" i="85"/>
  <c r="K431" i="85"/>
  <c r="F431" i="85"/>
  <c r="E430" i="85"/>
  <c r="C431" i="85"/>
  <c r="D431" i="85"/>
  <c r="R430" i="85"/>
  <c r="K430" i="85"/>
  <c r="F430" i="85"/>
  <c r="E429" i="85"/>
  <c r="C429" i="85"/>
  <c r="D429" i="85"/>
  <c r="D430" i="85"/>
  <c r="C430" i="85"/>
  <c r="R429" i="85"/>
  <c r="K429" i="85"/>
  <c r="F429" i="85"/>
  <c r="R428" i="85"/>
  <c r="R427" i="85"/>
  <c r="K427" i="85"/>
  <c r="F427" i="85"/>
  <c r="E427" i="85"/>
  <c r="E421" i="85"/>
  <c r="E420" i="85"/>
  <c r="E419" i="85"/>
  <c r="E418" i="85"/>
  <c r="E417" i="85"/>
  <c r="E416" i="85"/>
  <c r="E415" i="85"/>
  <c r="E414" i="85"/>
  <c r="E413" i="85"/>
  <c r="E412" i="85"/>
  <c r="E411" i="85"/>
  <c r="E410" i="85"/>
  <c r="E409" i="85"/>
  <c r="E408" i="85"/>
  <c r="E407" i="85"/>
  <c r="E406" i="85"/>
  <c r="E405" i="85"/>
  <c r="E404" i="85"/>
  <c r="E403" i="85"/>
  <c r="E402" i="85"/>
  <c r="E401" i="85"/>
  <c r="E400" i="85"/>
  <c r="E399" i="85"/>
  <c r="E398" i="85"/>
  <c r="E397" i="85"/>
  <c r="E396" i="85"/>
  <c r="E395" i="85"/>
  <c r="E394" i="85"/>
  <c r="E393" i="85"/>
  <c r="E392" i="85"/>
  <c r="E391" i="85"/>
  <c r="C392" i="85"/>
  <c r="C393" i="85"/>
  <c r="C394" i="85"/>
  <c r="C395" i="85"/>
  <c r="C396" i="85"/>
  <c r="C397" i="85"/>
  <c r="C398" i="85"/>
  <c r="C399" i="85"/>
  <c r="C400" i="85"/>
  <c r="C401" i="85"/>
  <c r="C402" i="85"/>
  <c r="C403" i="85"/>
  <c r="C404" i="85"/>
  <c r="C405" i="85"/>
  <c r="C406" i="85"/>
  <c r="C407" i="85"/>
  <c r="C408" i="85"/>
  <c r="C409" i="85"/>
  <c r="C410" i="85"/>
  <c r="C411" i="85"/>
  <c r="C412" i="85"/>
  <c r="C413" i="85"/>
  <c r="C414" i="85"/>
  <c r="C415" i="85"/>
  <c r="C416" i="85"/>
  <c r="C417" i="85"/>
  <c r="C418" i="85"/>
  <c r="C419" i="85"/>
  <c r="C420" i="85"/>
  <c r="C421" i="85"/>
  <c r="D421" i="85"/>
  <c r="D422" i="85"/>
  <c r="D423" i="85"/>
  <c r="D424" i="85"/>
  <c r="D425" i="85"/>
  <c r="D426" i="85"/>
  <c r="D427" i="85"/>
  <c r="E426" i="85"/>
  <c r="E425" i="85"/>
  <c r="E424" i="85"/>
  <c r="E423" i="85"/>
  <c r="E422" i="85"/>
  <c r="C422" i="85"/>
  <c r="C423" i="85"/>
  <c r="C424" i="85"/>
  <c r="C425" i="85"/>
  <c r="C426" i="85"/>
  <c r="C427" i="85"/>
  <c r="R426" i="85"/>
  <c r="K426" i="85"/>
  <c r="F426" i="85"/>
  <c r="R425" i="85"/>
  <c r="K425" i="85"/>
  <c r="F425" i="85"/>
  <c r="R424" i="85"/>
  <c r="K424" i="85"/>
  <c r="F424" i="85"/>
  <c r="R423" i="85"/>
  <c r="K423" i="85"/>
  <c r="F423" i="85"/>
  <c r="R422" i="85"/>
  <c r="K422" i="85"/>
  <c r="F422" i="85"/>
  <c r="R421" i="85"/>
  <c r="K421" i="85"/>
  <c r="F421" i="85"/>
  <c r="R420" i="85"/>
  <c r="K420" i="85"/>
  <c r="F420" i="85"/>
  <c r="D420" i="85"/>
  <c r="R419" i="85"/>
  <c r="K419" i="85"/>
  <c r="F419" i="85"/>
  <c r="D419" i="85"/>
  <c r="R418" i="85"/>
  <c r="K418" i="85"/>
  <c r="F418" i="85"/>
  <c r="D417" i="85"/>
  <c r="D418" i="85"/>
  <c r="R417" i="85"/>
  <c r="K417" i="85"/>
  <c r="F417" i="85"/>
  <c r="R416" i="85"/>
  <c r="K416" i="85"/>
  <c r="F416" i="85"/>
  <c r="D392" i="85"/>
  <c r="D393" i="85"/>
  <c r="D394" i="85"/>
  <c r="D395" i="85"/>
  <c r="D396" i="85"/>
  <c r="D397" i="85"/>
  <c r="D398" i="85"/>
  <c r="D399" i="85"/>
  <c r="D400" i="85"/>
  <c r="D401" i="85"/>
  <c r="D402" i="85"/>
  <c r="D403" i="85"/>
  <c r="D404" i="85"/>
  <c r="D405" i="85"/>
  <c r="D406" i="85"/>
  <c r="D407" i="85"/>
  <c r="D408" i="85"/>
  <c r="D409" i="85"/>
  <c r="D410" i="85"/>
  <c r="D411" i="85"/>
  <c r="D412" i="85"/>
  <c r="D413" i="85"/>
  <c r="D414" i="85"/>
  <c r="D415" i="85"/>
  <c r="D416" i="85"/>
  <c r="R415" i="85"/>
  <c r="K415" i="85"/>
  <c r="F415" i="85"/>
  <c r="R414" i="85"/>
  <c r="K414" i="85"/>
  <c r="F414" i="85"/>
  <c r="R413" i="85"/>
  <c r="K413" i="85"/>
  <c r="F413" i="85"/>
  <c r="R412" i="85"/>
  <c r="K412" i="85"/>
  <c r="F412" i="85"/>
  <c r="R411" i="85"/>
  <c r="K411" i="85"/>
  <c r="F411" i="85"/>
  <c r="R410" i="85"/>
  <c r="K410" i="85"/>
  <c r="F410" i="85"/>
  <c r="R409" i="85"/>
  <c r="K409" i="85"/>
  <c r="F409" i="85"/>
  <c r="R408" i="85"/>
  <c r="K408" i="85"/>
  <c r="F408" i="85"/>
  <c r="R407" i="85"/>
  <c r="K407" i="85"/>
  <c r="F407" i="85"/>
  <c r="R406" i="85"/>
  <c r="K406" i="85"/>
  <c r="F406" i="85"/>
  <c r="R405" i="85"/>
  <c r="K405" i="85"/>
  <c r="F405" i="85"/>
  <c r="R404" i="85"/>
  <c r="K404" i="85"/>
  <c r="F404" i="85"/>
  <c r="R403" i="85"/>
  <c r="K403" i="85"/>
  <c r="F403" i="85"/>
  <c r="R402" i="85"/>
  <c r="K402" i="85"/>
  <c r="F402" i="85"/>
  <c r="R401" i="85"/>
  <c r="K401" i="85"/>
  <c r="F401" i="85"/>
  <c r="R400" i="85"/>
  <c r="K400" i="85"/>
  <c r="F400" i="85"/>
  <c r="R399" i="85"/>
  <c r="K399" i="85"/>
  <c r="F399" i="85"/>
  <c r="R398" i="85"/>
  <c r="K398" i="85"/>
  <c r="F398" i="85"/>
  <c r="R397" i="85"/>
  <c r="K397" i="85"/>
  <c r="F397" i="85"/>
  <c r="R396" i="85"/>
  <c r="K396" i="85"/>
  <c r="F396" i="85"/>
  <c r="R395" i="85"/>
  <c r="K395" i="85"/>
  <c r="F395" i="85"/>
  <c r="R394" i="85"/>
  <c r="K394" i="85"/>
  <c r="F394" i="85"/>
  <c r="R393" i="85"/>
  <c r="K393" i="85"/>
  <c r="F393" i="85"/>
  <c r="R392" i="85"/>
  <c r="K392" i="85"/>
  <c r="F392" i="85"/>
  <c r="R391" i="85"/>
  <c r="K391" i="85"/>
  <c r="F391" i="85"/>
  <c r="E379" i="85"/>
  <c r="E378" i="85"/>
  <c r="E377" i="85"/>
  <c r="E376" i="85"/>
  <c r="E375" i="85"/>
  <c r="E374" i="85"/>
  <c r="E373" i="85"/>
  <c r="E372" i="85"/>
  <c r="E371" i="85"/>
  <c r="E370" i="85"/>
  <c r="E369" i="85"/>
  <c r="E368" i="85"/>
  <c r="E367" i="85"/>
  <c r="E366" i="85"/>
  <c r="E365" i="85"/>
  <c r="E364" i="85"/>
  <c r="E363" i="85"/>
  <c r="E362" i="85"/>
  <c r="E361" i="85"/>
  <c r="E360" i="85"/>
  <c r="E359" i="85"/>
  <c r="E358" i="85"/>
  <c r="E357" i="85"/>
  <c r="E356" i="85"/>
  <c r="E355" i="85"/>
  <c r="E354" i="85"/>
  <c r="E353" i="85"/>
  <c r="E352" i="85"/>
  <c r="E351" i="85"/>
  <c r="E350" i="85"/>
  <c r="E349" i="85"/>
  <c r="E348" i="85"/>
  <c r="E347" i="85"/>
  <c r="E346" i="85"/>
  <c r="E345" i="85"/>
  <c r="E344" i="85"/>
  <c r="E343" i="85"/>
  <c r="E342" i="85"/>
  <c r="C343" i="85"/>
  <c r="C344" i="85"/>
  <c r="C345" i="85"/>
  <c r="C346" i="85"/>
  <c r="C347" i="85"/>
  <c r="C348" i="85"/>
  <c r="C349" i="85"/>
  <c r="C350" i="85"/>
  <c r="C351" i="85"/>
  <c r="C352" i="85"/>
  <c r="C353" i="85"/>
  <c r="C354" i="85"/>
  <c r="C355" i="85"/>
  <c r="C356" i="85"/>
  <c r="C357" i="85"/>
  <c r="C358" i="85"/>
  <c r="C359" i="85"/>
  <c r="C360" i="85"/>
  <c r="C361" i="85"/>
  <c r="C362" i="85"/>
  <c r="C363" i="85"/>
  <c r="C364" i="85"/>
  <c r="C365" i="85"/>
  <c r="C366" i="85"/>
  <c r="C367" i="85"/>
  <c r="C368" i="85"/>
  <c r="C369" i="85"/>
  <c r="C370" i="85"/>
  <c r="C371" i="85"/>
  <c r="C372" i="85"/>
  <c r="C373" i="85"/>
  <c r="C374" i="85"/>
  <c r="C375" i="85"/>
  <c r="C376" i="85"/>
  <c r="C377" i="85"/>
  <c r="C378" i="85"/>
  <c r="C379" i="85"/>
  <c r="D379" i="85"/>
  <c r="D380" i="85"/>
  <c r="D381" i="85"/>
  <c r="D382" i="85"/>
  <c r="D383" i="85"/>
  <c r="D384" i="85"/>
  <c r="D385" i="85"/>
  <c r="D386" i="85"/>
  <c r="D387" i="85"/>
  <c r="D388" i="85"/>
  <c r="D389" i="85"/>
  <c r="D390" i="85"/>
  <c r="D391" i="85"/>
  <c r="E390" i="85"/>
  <c r="E389" i="85"/>
  <c r="E388" i="85"/>
  <c r="E387" i="85"/>
  <c r="E386" i="85"/>
  <c r="E385" i="85"/>
  <c r="E384" i="85"/>
  <c r="E383" i="85"/>
  <c r="E382" i="85"/>
  <c r="E381" i="85"/>
  <c r="E380" i="85"/>
  <c r="C380" i="85"/>
  <c r="C381" i="85"/>
  <c r="C382" i="85"/>
  <c r="C383" i="85"/>
  <c r="C384" i="85"/>
  <c r="C385" i="85"/>
  <c r="C386" i="85"/>
  <c r="C387" i="85"/>
  <c r="C388" i="85"/>
  <c r="C389" i="85"/>
  <c r="C390" i="85"/>
  <c r="C391" i="85"/>
  <c r="R390" i="85"/>
  <c r="K390" i="85"/>
  <c r="F390" i="85"/>
  <c r="R389" i="85"/>
  <c r="K389" i="85"/>
  <c r="F389" i="85"/>
  <c r="R388" i="85"/>
  <c r="K388" i="85"/>
  <c r="F388" i="85"/>
  <c r="R387" i="85"/>
  <c r="K387" i="85"/>
  <c r="F387" i="85"/>
  <c r="R386" i="85"/>
  <c r="K386" i="85"/>
  <c r="F386" i="85"/>
  <c r="R385" i="85"/>
  <c r="K385" i="85"/>
  <c r="F385" i="85"/>
  <c r="R384" i="85"/>
  <c r="K384" i="85"/>
  <c r="F384" i="85"/>
  <c r="R383" i="85"/>
  <c r="K383" i="85"/>
  <c r="F383" i="85"/>
  <c r="R382" i="85"/>
  <c r="K382" i="85"/>
  <c r="F382" i="85"/>
  <c r="R381" i="85"/>
  <c r="K381" i="85"/>
  <c r="F381" i="85"/>
  <c r="R380" i="85"/>
  <c r="K380" i="85"/>
  <c r="F380" i="85"/>
  <c r="R379" i="85"/>
  <c r="K379" i="85"/>
  <c r="F379" i="85"/>
  <c r="R378" i="85"/>
  <c r="K378" i="85"/>
  <c r="F378" i="85"/>
  <c r="D378" i="85"/>
  <c r="R377" i="85"/>
  <c r="K377" i="85"/>
  <c r="F377" i="85"/>
  <c r="D377" i="85"/>
  <c r="R376" i="85"/>
  <c r="K376" i="85"/>
  <c r="F376" i="85"/>
  <c r="D376" i="85"/>
  <c r="R375" i="85"/>
  <c r="K375" i="85"/>
  <c r="F375" i="85"/>
  <c r="D370" i="85"/>
  <c r="D371" i="85"/>
  <c r="D372" i="85"/>
  <c r="D373" i="85"/>
  <c r="D374" i="85"/>
  <c r="D375" i="85"/>
  <c r="R374" i="85"/>
  <c r="K374" i="85"/>
  <c r="F374" i="85"/>
  <c r="R373" i="85"/>
  <c r="K373" i="85"/>
  <c r="F373" i="85"/>
  <c r="R372" i="85"/>
  <c r="K372" i="85"/>
  <c r="F372" i="85"/>
  <c r="R371" i="85"/>
  <c r="K371" i="85"/>
  <c r="F371" i="85"/>
  <c r="R370" i="85"/>
  <c r="K370" i="85"/>
  <c r="F370" i="85"/>
  <c r="R369" i="85"/>
  <c r="K369" i="85"/>
  <c r="F369" i="85"/>
  <c r="D369" i="85"/>
  <c r="R368" i="85"/>
  <c r="K368" i="85"/>
  <c r="F368" i="85"/>
  <c r="D368" i="85"/>
  <c r="R367" i="85"/>
  <c r="K367" i="85"/>
  <c r="F367" i="85"/>
  <c r="D343" i="85"/>
  <c r="D344" i="85"/>
  <c r="D345" i="85"/>
  <c r="D346" i="85"/>
  <c r="D347" i="85"/>
  <c r="D348" i="85"/>
  <c r="D349" i="85"/>
  <c r="D350" i="85"/>
  <c r="D351" i="85"/>
  <c r="D352" i="85"/>
  <c r="D353" i="85"/>
  <c r="D354" i="85"/>
  <c r="D355" i="85"/>
  <c r="D356" i="85"/>
  <c r="D357" i="85"/>
  <c r="D358" i="85"/>
  <c r="D359" i="85"/>
  <c r="D360" i="85"/>
  <c r="D361" i="85"/>
  <c r="D362" i="85"/>
  <c r="D363" i="85"/>
  <c r="D364" i="85"/>
  <c r="D365" i="85"/>
  <c r="D366" i="85"/>
  <c r="D367" i="85"/>
  <c r="R366" i="85"/>
  <c r="K366" i="85"/>
  <c r="F366" i="85"/>
  <c r="R365" i="85"/>
  <c r="K365" i="85"/>
  <c r="F365" i="85"/>
  <c r="R364" i="85"/>
  <c r="K364" i="85"/>
  <c r="F364" i="85"/>
  <c r="R363" i="85"/>
  <c r="K363" i="85"/>
  <c r="F363" i="85"/>
  <c r="R362" i="85"/>
  <c r="K362" i="85"/>
  <c r="F362" i="85"/>
  <c r="R361" i="85"/>
  <c r="K361" i="85"/>
  <c r="F361" i="85"/>
  <c r="R360" i="85"/>
  <c r="K360" i="85"/>
  <c r="F360" i="85"/>
  <c r="R359" i="85"/>
  <c r="K359" i="85"/>
  <c r="F359" i="85"/>
  <c r="R358" i="85"/>
  <c r="K358" i="85"/>
  <c r="F358" i="85"/>
  <c r="R357" i="85"/>
  <c r="K357" i="85"/>
  <c r="F357" i="85"/>
  <c r="R356" i="85"/>
  <c r="K356" i="85"/>
  <c r="F356" i="85"/>
  <c r="R355" i="85"/>
  <c r="K355" i="85"/>
  <c r="F355" i="85"/>
  <c r="R354" i="85"/>
  <c r="K354" i="85"/>
  <c r="F354" i="85"/>
  <c r="R353" i="85"/>
  <c r="K353" i="85"/>
  <c r="F353" i="85"/>
  <c r="R352" i="85"/>
  <c r="K352" i="85"/>
  <c r="F352" i="85"/>
  <c r="R351" i="85"/>
  <c r="K351" i="85"/>
  <c r="F351" i="85"/>
  <c r="R350" i="85"/>
  <c r="K350" i="85"/>
  <c r="F350" i="85"/>
  <c r="R349" i="85"/>
  <c r="K349" i="85"/>
  <c r="F349" i="85"/>
  <c r="R348" i="85"/>
  <c r="K348" i="85"/>
  <c r="F348" i="85"/>
  <c r="R347" i="85"/>
  <c r="K347" i="85"/>
  <c r="F347" i="85"/>
  <c r="R346" i="85"/>
  <c r="K346" i="85"/>
  <c r="F346" i="85"/>
  <c r="R345" i="85"/>
  <c r="K345" i="85"/>
  <c r="F345" i="85"/>
  <c r="R344" i="85"/>
  <c r="K344" i="85"/>
  <c r="F344" i="85"/>
  <c r="R343" i="85"/>
  <c r="K343" i="85"/>
  <c r="F343" i="85"/>
  <c r="R342" i="85"/>
  <c r="K342" i="85"/>
  <c r="F342" i="85"/>
  <c r="E322" i="85"/>
  <c r="E321" i="85"/>
  <c r="E320" i="85"/>
  <c r="E319" i="85"/>
  <c r="E318" i="85"/>
  <c r="E317" i="85"/>
  <c r="E316" i="85"/>
  <c r="E315" i="85"/>
  <c r="E314" i="85"/>
  <c r="E313" i="85"/>
  <c r="E312" i="85"/>
  <c r="E311" i="85"/>
  <c r="E310" i="85"/>
  <c r="E309" i="85"/>
  <c r="E308" i="85"/>
  <c r="E307" i="85"/>
  <c r="E306" i="85"/>
  <c r="E305" i="85"/>
  <c r="E304" i="85"/>
  <c r="E303" i="85"/>
  <c r="E302" i="85"/>
  <c r="E301" i="85"/>
  <c r="E300" i="85"/>
  <c r="E299" i="85"/>
  <c r="E298" i="85"/>
  <c r="E297" i="85"/>
  <c r="E296" i="85"/>
  <c r="E295" i="85"/>
  <c r="E294" i="85"/>
  <c r="E293" i="85"/>
  <c r="E292" i="85"/>
  <c r="E291" i="85"/>
  <c r="E290" i="85"/>
  <c r="E289" i="85"/>
  <c r="E288" i="85"/>
  <c r="E287" i="85"/>
  <c r="E286" i="85"/>
  <c r="E285" i="85"/>
  <c r="E284" i="85"/>
  <c r="E283" i="85"/>
  <c r="C284" i="85"/>
  <c r="C285" i="85"/>
  <c r="C286" i="85"/>
  <c r="C287" i="85"/>
  <c r="C288" i="85"/>
  <c r="C289" i="85"/>
  <c r="C290" i="85"/>
  <c r="C291" i="85"/>
  <c r="C292" i="85"/>
  <c r="C293" i="85"/>
  <c r="C294" i="85"/>
  <c r="C295" i="85"/>
  <c r="C296" i="85"/>
  <c r="C297" i="85"/>
  <c r="C298" i="85"/>
  <c r="C299" i="85"/>
  <c r="C300" i="85"/>
  <c r="C301" i="85"/>
  <c r="C302" i="85"/>
  <c r="C303" i="85"/>
  <c r="C304" i="85"/>
  <c r="C305" i="85"/>
  <c r="C306" i="85"/>
  <c r="C307" i="85"/>
  <c r="C308" i="85"/>
  <c r="C309" i="85"/>
  <c r="C310" i="85"/>
  <c r="C311" i="85"/>
  <c r="C312" i="85"/>
  <c r="C313" i="85"/>
  <c r="C314" i="85"/>
  <c r="C315" i="85"/>
  <c r="C316" i="85"/>
  <c r="C317" i="85"/>
  <c r="C318" i="85"/>
  <c r="C319" i="85"/>
  <c r="C320" i="85"/>
  <c r="C321" i="85"/>
  <c r="C322" i="85"/>
  <c r="D322" i="85"/>
  <c r="D323" i="85"/>
  <c r="D324" i="85"/>
  <c r="D325" i="85"/>
  <c r="D326" i="85"/>
  <c r="D327" i="85"/>
  <c r="D328" i="85"/>
  <c r="D329" i="85"/>
  <c r="D330" i="85"/>
  <c r="D331" i="85"/>
  <c r="D332" i="85"/>
  <c r="D333" i="85"/>
  <c r="D334" i="85"/>
  <c r="D335" i="85"/>
  <c r="D336" i="85"/>
  <c r="D337" i="85"/>
  <c r="D338" i="85"/>
  <c r="D339" i="85"/>
  <c r="D340" i="85"/>
  <c r="D341" i="85"/>
  <c r="D342" i="85"/>
  <c r="E341" i="85"/>
  <c r="E340" i="85"/>
  <c r="E339" i="85"/>
  <c r="E338" i="85"/>
  <c r="E337" i="85"/>
  <c r="E336" i="85"/>
  <c r="E335" i="85"/>
  <c r="E334" i="85"/>
  <c r="E333" i="85"/>
  <c r="E332" i="85"/>
  <c r="E331" i="85"/>
  <c r="E330" i="85"/>
  <c r="E329" i="85"/>
  <c r="E328" i="85"/>
  <c r="E327" i="85"/>
  <c r="E326" i="85"/>
  <c r="E325" i="85"/>
  <c r="E324" i="85"/>
  <c r="E323" i="85"/>
  <c r="C323" i="85"/>
  <c r="C324" i="85"/>
  <c r="C325" i="85"/>
  <c r="C326" i="85"/>
  <c r="C327" i="85"/>
  <c r="C328" i="85"/>
  <c r="C329" i="85"/>
  <c r="C330" i="85"/>
  <c r="C331" i="85"/>
  <c r="C332" i="85"/>
  <c r="C333" i="85"/>
  <c r="C334" i="85"/>
  <c r="C335" i="85"/>
  <c r="C336" i="85"/>
  <c r="C337" i="85"/>
  <c r="C338" i="85"/>
  <c r="C339" i="85"/>
  <c r="C340" i="85"/>
  <c r="C341" i="85"/>
  <c r="C342" i="85"/>
  <c r="R341" i="85"/>
  <c r="K341" i="85"/>
  <c r="F341" i="85"/>
  <c r="R340" i="85"/>
  <c r="K340" i="85"/>
  <c r="F340" i="85"/>
  <c r="R339" i="85"/>
  <c r="K339" i="85"/>
  <c r="F339" i="85"/>
  <c r="R338" i="85"/>
  <c r="K338" i="85"/>
  <c r="F338" i="85"/>
  <c r="R337" i="85"/>
  <c r="K337" i="85"/>
  <c r="F337" i="85"/>
  <c r="R336" i="85"/>
  <c r="K336" i="85"/>
  <c r="F336" i="85"/>
  <c r="R335" i="85"/>
  <c r="K335" i="85"/>
  <c r="F335" i="85"/>
  <c r="R334" i="85"/>
  <c r="K334" i="85"/>
  <c r="F334" i="85"/>
  <c r="R333" i="85"/>
  <c r="K333" i="85"/>
  <c r="F333" i="85"/>
  <c r="R332" i="85"/>
  <c r="K332" i="85"/>
  <c r="F332" i="85"/>
  <c r="R331" i="85"/>
  <c r="K331" i="85"/>
  <c r="F331" i="85"/>
  <c r="R330" i="85"/>
  <c r="K330" i="85"/>
  <c r="F330" i="85"/>
  <c r="R329" i="85"/>
  <c r="K329" i="85"/>
  <c r="F329" i="85"/>
  <c r="R328" i="85"/>
  <c r="K328" i="85"/>
  <c r="F328" i="85"/>
  <c r="R327" i="85"/>
  <c r="K327" i="85"/>
  <c r="F327" i="85"/>
  <c r="R326" i="85"/>
  <c r="K326" i="85"/>
  <c r="F326" i="85"/>
  <c r="R325" i="85"/>
  <c r="K325" i="85"/>
  <c r="F325" i="85"/>
  <c r="R324" i="85"/>
  <c r="K324" i="85"/>
  <c r="F324" i="85"/>
  <c r="R323" i="85"/>
  <c r="K323" i="85"/>
  <c r="F323" i="85"/>
  <c r="R322" i="85"/>
  <c r="K322" i="85"/>
  <c r="F322" i="85"/>
  <c r="R321" i="85"/>
  <c r="K321" i="85"/>
  <c r="F321" i="85"/>
  <c r="D321" i="85"/>
  <c r="R320" i="85"/>
  <c r="K320" i="85"/>
  <c r="F320" i="85"/>
  <c r="D320" i="85"/>
  <c r="R319" i="85"/>
  <c r="K319" i="85"/>
  <c r="F319" i="85"/>
  <c r="D319" i="85"/>
  <c r="R318" i="85"/>
  <c r="K318" i="85"/>
  <c r="F318" i="85"/>
  <c r="D318" i="85"/>
  <c r="R317" i="85"/>
  <c r="K317" i="85"/>
  <c r="F317" i="85"/>
  <c r="D317" i="85"/>
  <c r="R316" i="85"/>
  <c r="K316" i="85"/>
  <c r="F316" i="85"/>
  <c r="D284" i="85"/>
  <c r="D285" i="85"/>
  <c r="D286" i="85"/>
  <c r="D287" i="85"/>
  <c r="D288" i="85"/>
  <c r="D289" i="85"/>
  <c r="D290" i="85"/>
  <c r="D291" i="85"/>
  <c r="D292" i="85"/>
  <c r="D293" i="85"/>
  <c r="D294" i="85"/>
  <c r="D295" i="85"/>
  <c r="D296" i="85"/>
  <c r="D297" i="85"/>
  <c r="D298" i="85"/>
  <c r="D299" i="85"/>
  <c r="D300" i="85"/>
  <c r="D301" i="85"/>
  <c r="D302" i="85"/>
  <c r="D303" i="85"/>
  <c r="D304" i="85"/>
  <c r="D305" i="85"/>
  <c r="D306" i="85"/>
  <c r="D307" i="85"/>
  <c r="D308" i="85"/>
  <c r="D309" i="85"/>
  <c r="D310" i="85"/>
  <c r="D311" i="85"/>
  <c r="D312" i="85"/>
  <c r="D313" i="85"/>
  <c r="D314" i="85"/>
  <c r="D315" i="85"/>
  <c r="D316" i="85"/>
  <c r="R315" i="85"/>
  <c r="K315" i="85"/>
  <c r="F315" i="85"/>
  <c r="R314" i="85"/>
  <c r="K314" i="85"/>
  <c r="F314" i="85"/>
  <c r="R313" i="85"/>
  <c r="K313" i="85"/>
  <c r="F313" i="85"/>
  <c r="R312" i="85"/>
  <c r="K312" i="85"/>
  <c r="F312" i="85"/>
  <c r="R311" i="85"/>
  <c r="K311" i="85"/>
  <c r="F311" i="85"/>
  <c r="R310" i="85"/>
  <c r="K310" i="85"/>
  <c r="F310" i="85"/>
  <c r="R309" i="85"/>
  <c r="K309" i="85"/>
  <c r="F309" i="85"/>
  <c r="R308" i="85"/>
  <c r="K308" i="85"/>
  <c r="F308" i="85"/>
  <c r="R307" i="85"/>
  <c r="K307" i="85"/>
  <c r="F307" i="85"/>
  <c r="R306" i="85"/>
  <c r="K306" i="85"/>
  <c r="F306" i="85"/>
  <c r="R305" i="85"/>
  <c r="K305" i="85"/>
  <c r="F305" i="85"/>
  <c r="R304" i="85"/>
  <c r="K304" i="85"/>
  <c r="F304" i="85"/>
  <c r="R303" i="85"/>
  <c r="K303" i="85"/>
  <c r="F303" i="85"/>
  <c r="R302" i="85"/>
  <c r="K302" i="85"/>
  <c r="F302" i="85"/>
  <c r="R301" i="85"/>
  <c r="K301" i="85"/>
  <c r="F301" i="85"/>
  <c r="R300" i="85"/>
  <c r="K300" i="85"/>
  <c r="F300" i="85"/>
  <c r="R299" i="85"/>
  <c r="K299" i="85"/>
  <c r="F299" i="85"/>
  <c r="R298" i="85"/>
  <c r="K298" i="85"/>
  <c r="F298" i="85"/>
  <c r="R297" i="85"/>
  <c r="K297" i="85"/>
  <c r="F297" i="85"/>
  <c r="R296" i="85"/>
  <c r="K296" i="85"/>
  <c r="F296" i="85"/>
  <c r="R295" i="85"/>
  <c r="K295" i="85"/>
  <c r="F295" i="85"/>
  <c r="R294" i="85"/>
  <c r="K294" i="85"/>
  <c r="F294" i="85"/>
  <c r="R293" i="85"/>
  <c r="K293" i="85"/>
  <c r="F293" i="85"/>
  <c r="R292" i="85"/>
  <c r="K292" i="85"/>
  <c r="F292" i="85"/>
  <c r="R291" i="85"/>
  <c r="K291" i="85"/>
  <c r="F291" i="85"/>
  <c r="R290" i="85"/>
  <c r="K290" i="85"/>
  <c r="F290" i="85"/>
  <c r="R289" i="85"/>
  <c r="K289" i="85"/>
  <c r="F289" i="85"/>
  <c r="R288" i="85"/>
  <c r="K288" i="85"/>
  <c r="F288" i="85"/>
  <c r="R287" i="85"/>
  <c r="K287" i="85"/>
  <c r="F287" i="85"/>
  <c r="R286" i="85"/>
  <c r="K286" i="85"/>
  <c r="F286" i="85"/>
  <c r="R285" i="85"/>
  <c r="K285" i="85"/>
  <c r="F285" i="85"/>
  <c r="R284" i="85"/>
  <c r="K284" i="85"/>
  <c r="F284" i="85"/>
  <c r="R283" i="85"/>
  <c r="K283" i="85"/>
  <c r="F283" i="85"/>
  <c r="E264" i="85"/>
  <c r="E263" i="85"/>
  <c r="E262" i="85"/>
  <c r="E261" i="85"/>
  <c r="E260" i="85"/>
  <c r="E259" i="85"/>
  <c r="E258" i="85"/>
  <c r="E257" i="85"/>
  <c r="E256" i="85"/>
  <c r="E255" i="85"/>
  <c r="E254" i="85"/>
  <c r="E253" i="85"/>
  <c r="E252" i="85"/>
  <c r="E251" i="85"/>
  <c r="E250" i="85"/>
  <c r="E249" i="85"/>
  <c r="E248" i="85"/>
  <c r="E247" i="85"/>
  <c r="E246" i="85"/>
  <c r="E245" i="85"/>
  <c r="E244" i="85"/>
  <c r="E243" i="85"/>
  <c r="E242" i="85"/>
  <c r="E241" i="85"/>
  <c r="E240" i="85"/>
  <c r="E239" i="85"/>
  <c r="E238" i="85"/>
  <c r="E237" i="85"/>
  <c r="E236" i="85"/>
  <c r="E235" i="85"/>
  <c r="E234" i="85"/>
  <c r="E233" i="85"/>
  <c r="E232" i="85"/>
  <c r="E231" i="85"/>
  <c r="E230" i="85"/>
  <c r="E229" i="85"/>
  <c r="E228" i="85"/>
  <c r="E227" i="85"/>
  <c r="E226" i="85"/>
  <c r="E225" i="85"/>
  <c r="E224" i="85"/>
  <c r="E223" i="85"/>
  <c r="E222" i="85"/>
  <c r="E221" i="85"/>
  <c r="E220" i="85"/>
  <c r="E219" i="85"/>
  <c r="E218" i="85"/>
  <c r="E217" i="85"/>
  <c r="E216" i="85"/>
  <c r="E215" i="85"/>
  <c r="E214" i="85"/>
  <c r="E213" i="85"/>
  <c r="C214" i="85"/>
  <c r="C215" i="85"/>
  <c r="C216" i="85"/>
  <c r="C217" i="85"/>
  <c r="C218" i="85"/>
  <c r="C219" i="85"/>
  <c r="C220" i="85"/>
  <c r="C221" i="85"/>
  <c r="C222" i="85"/>
  <c r="C223" i="85"/>
  <c r="C224" i="85"/>
  <c r="C225" i="85"/>
  <c r="C226" i="85"/>
  <c r="C227" i="85"/>
  <c r="C228" i="85"/>
  <c r="C229" i="85"/>
  <c r="C230" i="85"/>
  <c r="C231" i="85"/>
  <c r="C232" i="85"/>
  <c r="C233" i="85"/>
  <c r="C234" i="85"/>
  <c r="C235" i="85"/>
  <c r="C236" i="85"/>
  <c r="C237" i="85"/>
  <c r="C238" i="85"/>
  <c r="C239" i="85"/>
  <c r="C240" i="85"/>
  <c r="C241" i="85"/>
  <c r="C242" i="85"/>
  <c r="C243" i="85"/>
  <c r="C244" i="85"/>
  <c r="C245" i="85"/>
  <c r="C246" i="85"/>
  <c r="C247" i="85"/>
  <c r="C248" i="85"/>
  <c r="C249" i="85"/>
  <c r="C250" i="85"/>
  <c r="C251" i="85"/>
  <c r="C252" i="85"/>
  <c r="C253" i="85"/>
  <c r="C254" i="85"/>
  <c r="C255" i="85"/>
  <c r="C256" i="85"/>
  <c r="C257" i="85"/>
  <c r="C258" i="85"/>
  <c r="C259" i="85"/>
  <c r="C260" i="85"/>
  <c r="C261" i="85"/>
  <c r="C262" i="85"/>
  <c r="C263" i="85"/>
  <c r="C264" i="85"/>
  <c r="D264" i="85"/>
  <c r="D265" i="85"/>
  <c r="D266" i="85"/>
  <c r="D267" i="85"/>
  <c r="D268" i="85"/>
  <c r="D269" i="85"/>
  <c r="D270" i="85"/>
  <c r="D271" i="85"/>
  <c r="D272" i="85"/>
  <c r="D273" i="85"/>
  <c r="D274" i="85"/>
  <c r="D275" i="85"/>
  <c r="D276" i="85"/>
  <c r="D277" i="85"/>
  <c r="D278" i="85"/>
  <c r="D279" i="85"/>
  <c r="D280" i="85"/>
  <c r="D281" i="85"/>
  <c r="D282" i="85"/>
  <c r="D283" i="85"/>
  <c r="E282" i="85"/>
  <c r="E281" i="85"/>
  <c r="E280" i="85"/>
  <c r="E279" i="85"/>
  <c r="E278" i="85"/>
  <c r="E277" i="85"/>
  <c r="E276" i="85"/>
  <c r="E275" i="85"/>
  <c r="E274" i="85"/>
  <c r="E273" i="85"/>
  <c r="E272" i="85"/>
  <c r="E271" i="85"/>
  <c r="E270" i="85"/>
  <c r="E269" i="85"/>
  <c r="E268" i="85"/>
  <c r="E267" i="85"/>
  <c r="E266" i="85"/>
  <c r="E265" i="85"/>
  <c r="C265" i="85"/>
  <c r="C266" i="85"/>
  <c r="C267" i="85"/>
  <c r="C268" i="85"/>
  <c r="C269" i="85"/>
  <c r="C270" i="85"/>
  <c r="C271" i="85"/>
  <c r="C272" i="85"/>
  <c r="C273" i="85"/>
  <c r="C274" i="85"/>
  <c r="C275" i="85"/>
  <c r="C276" i="85"/>
  <c r="C277" i="85"/>
  <c r="C278" i="85"/>
  <c r="C279" i="85"/>
  <c r="C280" i="85"/>
  <c r="C281" i="85"/>
  <c r="C282" i="85"/>
  <c r="C283" i="85"/>
  <c r="R282" i="85"/>
  <c r="K282" i="85"/>
  <c r="F282" i="85"/>
  <c r="R281" i="85"/>
  <c r="K281" i="85"/>
  <c r="F281" i="85"/>
  <c r="R280" i="85"/>
  <c r="K280" i="85"/>
  <c r="F280" i="85"/>
  <c r="R279" i="85"/>
  <c r="K279" i="85"/>
  <c r="F279" i="85"/>
  <c r="R278" i="85"/>
  <c r="K278" i="85"/>
  <c r="F278" i="85"/>
  <c r="R277" i="85"/>
  <c r="K277" i="85"/>
  <c r="F277" i="85"/>
  <c r="R276" i="85"/>
  <c r="K276" i="85"/>
  <c r="F276" i="85"/>
  <c r="R275" i="85"/>
  <c r="K275" i="85"/>
  <c r="F275" i="85"/>
  <c r="R274" i="85"/>
  <c r="K274" i="85"/>
  <c r="F274" i="85"/>
  <c r="R273" i="85"/>
  <c r="K273" i="85"/>
  <c r="F273" i="85"/>
  <c r="R272" i="85"/>
  <c r="K272" i="85"/>
  <c r="F272" i="85"/>
  <c r="R271" i="85"/>
  <c r="K271" i="85"/>
  <c r="F271" i="85"/>
  <c r="R270" i="85"/>
  <c r="K270" i="85"/>
  <c r="F270" i="85"/>
  <c r="R269" i="85"/>
  <c r="K269" i="85"/>
  <c r="F269" i="85"/>
  <c r="R268" i="85"/>
  <c r="K268" i="85"/>
  <c r="F268" i="85"/>
  <c r="R267" i="85"/>
  <c r="K267" i="85"/>
  <c r="F267" i="85"/>
  <c r="R266" i="85"/>
  <c r="K266" i="85"/>
  <c r="F266" i="85"/>
  <c r="R265" i="85"/>
  <c r="K265" i="85"/>
  <c r="F265" i="85"/>
  <c r="R264" i="85"/>
  <c r="K264" i="85"/>
  <c r="F264" i="85"/>
  <c r="R263" i="85"/>
  <c r="K263" i="85"/>
  <c r="F263" i="85"/>
  <c r="D262" i="85"/>
  <c r="D263" i="85"/>
  <c r="R262" i="85"/>
  <c r="K262" i="85"/>
  <c r="F262" i="85"/>
  <c r="R261" i="85"/>
  <c r="K261" i="85"/>
  <c r="F261" i="85"/>
  <c r="D261" i="85"/>
  <c r="R260" i="85"/>
  <c r="K260" i="85"/>
  <c r="F260" i="85"/>
  <c r="D259" i="85"/>
  <c r="D260" i="85"/>
  <c r="R259" i="85"/>
  <c r="K259" i="85"/>
  <c r="F259" i="85"/>
  <c r="R258" i="85"/>
  <c r="K258" i="85"/>
  <c r="F258" i="85"/>
  <c r="D258" i="85"/>
  <c r="R257" i="85"/>
  <c r="K257" i="85"/>
  <c r="F257" i="85"/>
  <c r="D216" i="85"/>
  <c r="D217" i="85"/>
  <c r="D218" i="85"/>
  <c r="D219" i="85"/>
  <c r="D220" i="85"/>
  <c r="D221" i="85"/>
  <c r="D222" i="85"/>
  <c r="D223" i="85"/>
  <c r="D224" i="85"/>
  <c r="D225" i="85"/>
  <c r="D226" i="85"/>
  <c r="D227" i="85"/>
  <c r="D228" i="85"/>
  <c r="D229" i="85"/>
  <c r="D230" i="85"/>
  <c r="D231" i="85"/>
  <c r="D232" i="85"/>
  <c r="D233" i="85"/>
  <c r="D234" i="85"/>
  <c r="D235" i="85"/>
  <c r="D236" i="85"/>
  <c r="D237" i="85"/>
  <c r="D238" i="85"/>
  <c r="D239" i="85"/>
  <c r="D240" i="85"/>
  <c r="D241" i="85"/>
  <c r="D242" i="85"/>
  <c r="D243" i="85"/>
  <c r="D244" i="85"/>
  <c r="D245" i="85"/>
  <c r="D246" i="85"/>
  <c r="D247" i="85"/>
  <c r="D248" i="85"/>
  <c r="D249" i="85"/>
  <c r="D250" i="85"/>
  <c r="D251" i="85"/>
  <c r="D252" i="85"/>
  <c r="D253" i="85"/>
  <c r="D254" i="85"/>
  <c r="D255" i="85"/>
  <c r="D256" i="85"/>
  <c r="D257" i="85"/>
  <c r="R256" i="85"/>
  <c r="K256" i="85"/>
  <c r="F256" i="85"/>
  <c r="R255" i="85"/>
  <c r="K255" i="85"/>
  <c r="F255" i="85"/>
  <c r="R254" i="85"/>
  <c r="K254" i="85"/>
  <c r="F254" i="85"/>
  <c r="R253" i="85"/>
  <c r="K253" i="85"/>
  <c r="F253" i="85"/>
  <c r="R252" i="85"/>
  <c r="K252" i="85"/>
  <c r="F252" i="85"/>
  <c r="R251" i="85"/>
  <c r="K251" i="85"/>
  <c r="F251" i="85"/>
  <c r="R250" i="85"/>
  <c r="K250" i="85"/>
  <c r="F250" i="85"/>
  <c r="R249" i="85"/>
  <c r="K249" i="85"/>
  <c r="F249" i="85"/>
  <c r="R248" i="85"/>
  <c r="K248" i="85"/>
  <c r="F248" i="85"/>
  <c r="R247" i="85"/>
  <c r="K247" i="85"/>
  <c r="F247" i="85"/>
  <c r="R246" i="85"/>
  <c r="K246" i="85"/>
  <c r="F246" i="85"/>
  <c r="R245" i="85"/>
  <c r="K245" i="85"/>
  <c r="F245" i="85"/>
  <c r="R244" i="85"/>
  <c r="K244" i="85"/>
  <c r="F244" i="85"/>
  <c r="R243" i="85"/>
  <c r="K243" i="85"/>
  <c r="F243" i="85"/>
  <c r="R242" i="85"/>
  <c r="K242" i="85"/>
  <c r="F242" i="85"/>
  <c r="R241" i="85"/>
  <c r="K241" i="85"/>
  <c r="F241" i="85"/>
  <c r="R240" i="85"/>
  <c r="K240" i="85"/>
  <c r="F240" i="85"/>
  <c r="R239" i="85"/>
  <c r="K239" i="85"/>
  <c r="F239" i="85"/>
  <c r="R238" i="85"/>
  <c r="K238" i="85"/>
  <c r="F238" i="85"/>
  <c r="R237" i="85"/>
  <c r="K237" i="85"/>
  <c r="F237" i="85"/>
  <c r="R236" i="85"/>
  <c r="K236" i="85"/>
  <c r="F236" i="85"/>
  <c r="R235" i="85"/>
  <c r="K235" i="85"/>
  <c r="F235" i="85"/>
  <c r="R234" i="85"/>
  <c r="K234" i="85"/>
  <c r="F234" i="85"/>
  <c r="R233" i="85"/>
  <c r="K233" i="85"/>
  <c r="F233" i="85"/>
  <c r="R232" i="85"/>
  <c r="K232" i="85"/>
  <c r="F232" i="85"/>
  <c r="R231" i="85"/>
  <c r="K231" i="85"/>
  <c r="F231" i="85"/>
  <c r="R230" i="85"/>
  <c r="K230" i="85"/>
  <c r="F230" i="85"/>
  <c r="R229" i="85"/>
  <c r="K229" i="85"/>
  <c r="F229" i="85"/>
  <c r="R228" i="85"/>
  <c r="K228" i="85"/>
  <c r="F228" i="85"/>
  <c r="R227" i="85"/>
  <c r="K227" i="85"/>
  <c r="F227" i="85"/>
  <c r="R226" i="85"/>
  <c r="K226" i="85"/>
  <c r="F226" i="85"/>
  <c r="R225" i="85"/>
  <c r="K225" i="85"/>
  <c r="F225" i="85"/>
  <c r="R224" i="85"/>
  <c r="K224" i="85"/>
  <c r="F224" i="85"/>
  <c r="R223" i="85"/>
  <c r="K223" i="85"/>
  <c r="F223" i="85"/>
  <c r="R222" i="85"/>
  <c r="K222" i="85"/>
  <c r="F222" i="85"/>
  <c r="R221" i="85"/>
  <c r="K221" i="85"/>
  <c r="F221" i="85"/>
  <c r="R220" i="85"/>
  <c r="K220" i="85"/>
  <c r="F220" i="85"/>
  <c r="R219" i="85"/>
  <c r="K219" i="85"/>
  <c r="F219" i="85"/>
  <c r="R218" i="85"/>
  <c r="K218" i="85"/>
  <c r="F218" i="85"/>
  <c r="R217" i="85"/>
  <c r="K217" i="85"/>
  <c r="F217" i="85"/>
  <c r="R216" i="85"/>
  <c r="K216" i="85"/>
  <c r="F216" i="85"/>
  <c r="R215" i="85"/>
  <c r="K215" i="85"/>
  <c r="F215" i="85"/>
  <c r="D215" i="85"/>
  <c r="R214" i="85"/>
  <c r="K214" i="85"/>
  <c r="F214" i="85"/>
  <c r="D214" i="85"/>
  <c r="R213" i="85"/>
  <c r="K213" i="85"/>
  <c r="F213" i="85"/>
  <c r="E176" i="85"/>
  <c r="E175" i="85"/>
  <c r="E174" i="85"/>
  <c r="E173" i="85"/>
  <c r="E172" i="85"/>
  <c r="E171" i="85"/>
  <c r="E170" i="85"/>
  <c r="E169" i="85"/>
  <c r="E168" i="85"/>
  <c r="E167" i="85"/>
  <c r="E166" i="85"/>
  <c r="E165" i="85"/>
  <c r="E164" i="85"/>
  <c r="E163" i="85"/>
  <c r="E162" i="85"/>
  <c r="E161" i="85"/>
  <c r="E160" i="85"/>
  <c r="E159" i="85"/>
  <c r="E158" i="85"/>
  <c r="E157" i="85"/>
  <c r="E156" i="85"/>
  <c r="E155" i="85"/>
  <c r="E154" i="85"/>
  <c r="E153" i="85"/>
  <c r="E152" i="85"/>
  <c r="E151" i="85"/>
  <c r="E150" i="85"/>
  <c r="E149" i="85"/>
  <c r="E148" i="85"/>
  <c r="E147" i="85"/>
  <c r="E146" i="85"/>
  <c r="E145" i="85"/>
  <c r="E144" i="85"/>
  <c r="E143" i="85"/>
  <c r="E142" i="85"/>
  <c r="E141" i="85"/>
  <c r="E140" i="85"/>
  <c r="E139" i="85"/>
  <c r="E138" i="85"/>
  <c r="E137" i="85"/>
  <c r="E136" i="85"/>
  <c r="E135" i="85"/>
  <c r="E134" i="85"/>
  <c r="E133" i="85"/>
  <c r="E132" i="85"/>
  <c r="E131" i="85"/>
  <c r="C132" i="85"/>
  <c r="C133" i="85"/>
  <c r="C134" i="85"/>
  <c r="C135" i="85"/>
  <c r="C136" i="85"/>
  <c r="C137" i="85"/>
  <c r="C138" i="85"/>
  <c r="C139" i="85"/>
  <c r="C140" i="85"/>
  <c r="C141" i="85"/>
  <c r="C142" i="85"/>
  <c r="C143" i="85"/>
  <c r="C144" i="85"/>
  <c r="C145" i="85"/>
  <c r="C146" i="85"/>
  <c r="C147" i="85"/>
  <c r="C148" i="85"/>
  <c r="C149" i="85"/>
  <c r="C150" i="85"/>
  <c r="C151" i="85"/>
  <c r="C152" i="85"/>
  <c r="C153" i="85"/>
  <c r="C154" i="85"/>
  <c r="C155" i="85"/>
  <c r="C156" i="85"/>
  <c r="C157" i="85"/>
  <c r="C158" i="85"/>
  <c r="C159" i="85"/>
  <c r="C160" i="85"/>
  <c r="C161" i="85"/>
  <c r="C162" i="85"/>
  <c r="C163" i="85"/>
  <c r="C164" i="85"/>
  <c r="C165" i="85"/>
  <c r="C166" i="85"/>
  <c r="C167" i="85"/>
  <c r="C168" i="85"/>
  <c r="C169" i="85"/>
  <c r="C170" i="85"/>
  <c r="C171" i="85"/>
  <c r="C172" i="85"/>
  <c r="C173" i="85"/>
  <c r="C174" i="85"/>
  <c r="C175" i="85"/>
  <c r="C176" i="85"/>
  <c r="D176" i="85"/>
  <c r="D177" i="85"/>
  <c r="D178" i="85"/>
  <c r="D179" i="85"/>
  <c r="D180" i="85"/>
  <c r="D181" i="85"/>
  <c r="D182" i="85"/>
  <c r="D183" i="85"/>
  <c r="D184" i="85"/>
  <c r="D185" i="85"/>
  <c r="D186" i="85"/>
  <c r="D187" i="85"/>
  <c r="D188" i="85"/>
  <c r="D189" i="85"/>
  <c r="D190" i="85"/>
  <c r="D191" i="85"/>
  <c r="D192" i="85"/>
  <c r="D193" i="85"/>
  <c r="D194" i="85"/>
  <c r="D195" i="85"/>
  <c r="D196" i="85"/>
  <c r="D197" i="85"/>
  <c r="D198" i="85"/>
  <c r="D199" i="85"/>
  <c r="D200" i="85"/>
  <c r="D201" i="85"/>
  <c r="D202" i="85"/>
  <c r="D203" i="85"/>
  <c r="D204" i="85"/>
  <c r="D205" i="85"/>
  <c r="D206" i="85"/>
  <c r="D207" i="85"/>
  <c r="D208" i="85"/>
  <c r="D209" i="85"/>
  <c r="D210" i="85"/>
  <c r="D211" i="85"/>
  <c r="D212" i="85"/>
  <c r="D213" i="85"/>
  <c r="E212" i="85"/>
  <c r="E211" i="85"/>
  <c r="E210" i="85"/>
  <c r="E209" i="85"/>
  <c r="E208" i="85"/>
  <c r="E207" i="85"/>
  <c r="E206" i="85"/>
  <c r="E205" i="85"/>
  <c r="E204" i="85"/>
  <c r="E203" i="85"/>
  <c r="E202" i="85"/>
  <c r="E201" i="85"/>
  <c r="E200" i="85"/>
  <c r="E199" i="85"/>
  <c r="E198" i="85"/>
  <c r="E197" i="85"/>
  <c r="E196" i="85"/>
  <c r="E195" i="85"/>
  <c r="E194" i="85"/>
  <c r="E193" i="85"/>
  <c r="E192" i="85"/>
  <c r="E191" i="85"/>
  <c r="E190" i="85"/>
  <c r="E189" i="85"/>
  <c r="E188" i="85"/>
  <c r="E187" i="85"/>
  <c r="E186" i="85"/>
  <c r="E185" i="85"/>
  <c r="E184" i="85"/>
  <c r="E183" i="85"/>
  <c r="E182" i="85"/>
  <c r="E181" i="85"/>
  <c r="E180" i="85"/>
  <c r="E179" i="85"/>
  <c r="E178" i="85"/>
  <c r="E177" i="85"/>
  <c r="C177" i="85"/>
  <c r="C178" i="85"/>
  <c r="C179" i="85"/>
  <c r="C180" i="85"/>
  <c r="C181" i="85"/>
  <c r="C182" i="85"/>
  <c r="C183" i="85"/>
  <c r="C184" i="85"/>
  <c r="C185" i="85"/>
  <c r="C186" i="85"/>
  <c r="C187" i="85"/>
  <c r="C188" i="85"/>
  <c r="C189" i="85"/>
  <c r="C190" i="85"/>
  <c r="C191" i="85"/>
  <c r="C192" i="85"/>
  <c r="C193" i="85"/>
  <c r="C194" i="85"/>
  <c r="C195" i="85"/>
  <c r="C196" i="85"/>
  <c r="C197" i="85"/>
  <c r="C198" i="85"/>
  <c r="C199" i="85"/>
  <c r="C200" i="85"/>
  <c r="C201" i="85"/>
  <c r="C202" i="85"/>
  <c r="C203" i="85"/>
  <c r="C204" i="85"/>
  <c r="C205" i="85"/>
  <c r="C206" i="85"/>
  <c r="C207" i="85"/>
  <c r="C208" i="85"/>
  <c r="C209" i="85"/>
  <c r="C210" i="85"/>
  <c r="C211" i="85"/>
  <c r="C212" i="85"/>
  <c r="C213" i="85"/>
  <c r="R212" i="85"/>
  <c r="K212" i="85"/>
  <c r="F212" i="85"/>
  <c r="R211" i="85"/>
  <c r="K211" i="85"/>
  <c r="F211" i="85"/>
  <c r="R210" i="85"/>
  <c r="K210" i="85"/>
  <c r="F210" i="85"/>
  <c r="R209" i="85"/>
  <c r="K209" i="85"/>
  <c r="F209" i="85"/>
  <c r="R208" i="85"/>
  <c r="K208" i="85"/>
  <c r="F208" i="85"/>
  <c r="R207" i="85"/>
  <c r="K207" i="85"/>
  <c r="F207" i="85"/>
  <c r="R206" i="85"/>
  <c r="K206" i="85"/>
  <c r="F206" i="85"/>
  <c r="R205" i="85"/>
  <c r="K205" i="85"/>
  <c r="F205" i="85"/>
  <c r="R204" i="85"/>
  <c r="K204" i="85"/>
  <c r="F204" i="85"/>
  <c r="R203" i="85"/>
  <c r="K203" i="85"/>
  <c r="F203" i="85"/>
  <c r="R202" i="85"/>
  <c r="K202" i="85"/>
  <c r="F202" i="85"/>
  <c r="R201" i="85"/>
  <c r="K201" i="85"/>
  <c r="F201" i="85"/>
  <c r="R200" i="85"/>
  <c r="K200" i="85"/>
  <c r="F200" i="85"/>
  <c r="R199" i="85"/>
  <c r="K199" i="85"/>
  <c r="F199" i="85"/>
  <c r="R198" i="85"/>
  <c r="K198" i="85"/>
  <c r="F198" i="85"/>
  <c r="R197" i="85"/>
  <c r="K197" i="85"/>
  <c r="F197" i="85"/>
  <c r="R196" i="85"/>
  <c r="K196" i="85"/>
  <c r="F196" i="85"/>
  <c r="R195" i="85"/>
  <c r="K195" i="85"/>
  <c r="F195" i="85"/>
  <c r="R194" i="85"/>
  <c r="K194" i="85"/>
  <c r="F194" i="85"/>
  <c r="R193" i="85"/>
  <c r="K193" i="85"/>
  <c r="F193" i="85"/>
  <c r="R192" i="85"/>
  <c r="K192" i="85"/>
  <c r="F192" i="85"/>
  <c r="R191" i="85"/>
  <c r="K191" i="85"/>
  <c r="F191" i="85"/>
  <c r="R190" i="85"/>
  <c r="K190" i="85"/>
  <c r="F190" i="85"/>
  <c r="R189" i="85"/>
  <c r="K189" i="85"/>
  <c r="F189" i="85"/>
  <c r="R188" i="85"/>
  <c r="K188" i="85"/>
  <c r="F188" i="85"/>
  <c r="R187" i="85"/>
  <c r="K187" i="85"/>
  <c r="F187" i="85"/>
  <c r="R186" i="85"/>
  <c r="K186" i="85"/>
  <c r="F186" i="85"/>
  <c r="R185" i="85"/>
  <c r="K185" i="85"/>
  <c r="F185" i="85"/>
  <c r="R184" i="85"/>
  <c r="K184" i="85"/>
  <c r="F184" i="85"/>
  <c r="R183" i="85"/>
  <c r="K183" i="85"/>
  <c r="F183" i="85"/>
  <c r="R182" i="85"/>
  <c r="K182" i="85"/>
  <c r="F182" i="85"/>
  <c r="R181" i="85"/>
  <c r="K181" i="85"/>
  <c r="F181" i="85"/>
  <c r="R180" i="85"/>
  <c r="K180" i="85"/>
  <c r="F180" i="85"/>
  <c r="R179" i="85"/>
  <c r="K179" i="85"/>
  <c r="F179" i="85"/>
  <c r="R178" i="85"/>
  <c r="K178" i="85"/>
  <c r="F178" i="85"/>
  <c r="R177" i="85"/>
  <c r="K177" i="85"/>
  <c r="F177" i="85"/>
  <c r="R176" i="85"/>
  <c r="K176" i="85"/>
  <c r="F176" i="85"/>
  <c r="R175" i="85"/>
  <c r="K175" i="85"/>
  <c r="F175" i="85"/>
  <c r="D174" i="85"/>
  <c r="D175" i="85"/>
  <c r="R174" i="85"/>
  <c r="K174" i="85"/>
  <c r="F174" i="85"/>
  <c r="R173" i="85"/>
  <c r="K173" i="85"/>
  <c r="F173" i="85"/>
  <c r="D173" i="85"/>
  <c r="R172" i="85"/>
  <c r="K172" i="85"/>
  <c r="F172" i="85"/>
  <c r="D172" i="85"/>
  <c r="R171" i="85"/>
  <c r="K171" i="85"/>
  <c r="F171" i="85"/>
  <c r="D170" i="85"/>
  <c r="D171" i="85"/>
  <c r="R170" i="85"/>
  <c r="K170" i="85"/>
  <c r="F170" i="85"/>
  <c r="R169" i="85"/>
  <c r="K169" i="85"/>
  <c r="F169" i="85"/>
  <c r="D169" i="85"/>
  <c r="R168" i="85"/>
  <c r="K168" i="85"/>
  <c r="F168" i="85"/>
  <c r="D168" i="85"/>
  <c r="R167" i="85"/>
  <c r="K167" i="85"/>
  <c r="F167" i="85"/>
  <c r="D167" i="85"/>
  <c r="R166" i="85"/>
  <c r="K166" i="85"/>
  <c r="F166" i="85"/>
  <c r="D132" i="85"/>
  <c r="D133" i="85"/>
  <c r="D134" i="85"/>
  <c r="D135" i="85"/>
  <c r="D136" i="85"/>
  <c r="D137" i="85"/>
  <c r="D138" i="85"/>
  <c r="D139" i="85"/>
  <c r="D140" i="85"/>
  <c r="D141" i="85"/>
  <c r="D142" i="85"/>
  <c r="D143" i="85"/>
  <c r="D144" i="85"/>
  <c r="D145" i="85"/>
  <c r="D146" i="85"/>
  <c r="D147" i="85"/>
  <c r="D148" i="85"/>
  <c r="D149" i="85"/>
  <c r="D150" i="85"/>
  <c r="D151" i="85"/>
  <c r="D152" i="85"/>
  <c r="D153" i="85"/>
  <c r="D154" i="85"/>
  <c r="D155" i="85"/>
  <c r="D156" i="85"/>
  <c r="D157" i="85"/>
  <c r="D158" i="85"/>
  <c r="D159" i="85"/>
  <c r="D160" i="85"/>
  <c r="D161" i="85"/>
  <c r="D162" i="85"/>
  <c r="D163" i="85"/>
  <c r="D164" i="85"/>
  <c r="D165" i="85"/>
  <c r="D166" i="85"/>
  <c r="R165" i="85"/>
  <c r="K165" i="85"/>
  <c r="F165" i="85"/>
  <c r="R164" i="85"/>
  <c r="K164" i="85"/>
  <c r="F164" i="85"/>
  <c r="R163" i="85"/>
  <c r="K163" i="85"/>
  <c r="F163" i="85"/>
  <c r="R162" i="85"/>
  <c r="K162" i="85"/>
  <c r="F162" i="85"/>
  <c r="R161" i="85"/>
  <c r="K161" i="85"/>
  <c r="F161" i="85"/>
  <c r="R160" i="85"/>
  <c r="K160" i="85"/>
  <c r="F160" i="85"/>
  <c r="R159" i="85"/>
  <c r="K159" i="85"/>
  <c r="F159" i="85"/>
  <c r="R158" i="85"/>
  <c r="K158" i="85"/>
  <c r="F158" i="85"/>
  <c r="R157" i="85"/>
  <c r="K157" i="85"/>
  <c r="F157" i="85"/>
  <c r="R156" i="85"/>
  <c r="K156" i="85"/>
  <c r="F156" i="85"/>
  <c r="R155" i="85"/>
  <c r="K155" i="85"/>
  <c r="F155" i="85"/>
  <c r="R154" i="85"/>
  <c r="K154" i="85"/>
  <c r="F154" i="85"/>
  <c r="R153" i="85"/>
  <c r="K153" i="85"/>
  <c r="F153" i="85"/>
  <c r="R152" i="85"/>
  <c r="K152" i="85"/>
  <c r="F152" i="85"/>
  <c r="R151" i="85"/>
  <c r="K151" i="85"/>
  <c r="F151" i="85"/>
  <c r="R150" i="85"/>
  <c r="K150" i="85"/>
  <c r="F150" i="85"/>
  <c r="R149" i="85"/>
  <c r="K149" i="85"/>
  <c r="F149" i="85"/>
  <c r="R148" i="85"/>
  <c r="K148" i="85"/>
  <c r="F148" i="85"/>
  <c r="R147" i="85"/>
  <c r="K147" i="85"/>
  <c r="F147" i="85"/>
  <c r="R146" i="85"/>
  <c r="K146" i="85"/>
  <c r="F146" i="85"/>
  <c r="R145" i="85"/>
  <c r="K145" i="85"/>
  <c r="F145" i="85"/>
  <c r="R144" i="85"/>
  <c r="K144" i="85"/>
  <c r="F144" i="85"/>
  <c r="R143" i="85"/>
  <c r="K143" i="85"/>
  <c r="F143" i="85"/>
  <c r="R142" i="85"/>
  <c r="K142" i="85"/>
  <c r="F142" i="85"/>
  <c r="R141" i="85"/>
  <c r="K141" i="85"/>
  <c r="F141" i="85"/>
  <c r="R140" i="85"/>
  <c r="K140" i="85"/>
  <c r="F140" i="85"/>
  <c r="R139" i="85"/>
  <c r="K139" i="85"/>
  <c r="F139" i="85"/>
  <c r="R138" i="85"/>
  <c r="K138" i="85"/>
  <c r="F138" i="85"/>
  <c r="R137" i="85"/>
  <c r="K137" i="85"/>
  <c r="F137" i="85"/>
  <c r="R136" i="85"/>
  <c r="K136" i="85"/>
  <c r="F136" i="85"/>
  <c r="R135" i="85"/>
  <c r="K135" i="85"/>
  <c r="F135" i="85"/>
  <c r="R134" i="85"/>
  <c r="K134" i="85"/>
  <c r="F134" i="85"/>
  <c r="R133" i="85"/>
  <c r="K133" i="85"/>
  <c r="F133" i="85"/>
  <c r="R132" i="85"/>
  <c r="K132" i="85"/>
  <c r="F132" i="85"/>
  <c r="R131" i="85"/>
  <c r="K131" i="85"/>
  <c r="F131" i="85"/>
  <c r="E95" i="85"/>
  <c r="E94" i="85"/>
  <c r="E93" i="85"/>
  <c r="E92" i="85"/>
  <c r="E91" i="85"/>
  <c r="E90" i="85"/>
  <c r="E89" i="85"/>
  <c r="E88" i="85"/>
  <c r="E87" i="85"/>
  <c r="E86" i="85"/>
  <c r="E85" i="85"/>
  <c r="E84" i="85"/>
  <c r="E83" i="85"/>
  <c r="E82" i="85"/>
  <c r="E81" i="85"/>
  <c r="E80" i="85"/>
  <c r="E79" i="85"/>
  <c r="E78" i="85"/>
  <c r="E77" i="85"/>
  <c r="E76" i="85"/>
  <c r="E75" i="85"/>
  <c r="E74" i="85"/>
  <c r="E73" i="85"/>
  <c r="E72" i="85"/>
  <c r="E71" i="85"/>
  <c r="E70" i="85"/>
  <c r="E69" i="85"/>
  <c r="E68" i="85"/>
  <c r="E67" i="85"/>
  <c r="E66" i="85"/>
  <c r="E65" i="85"/>
  <c r="E64" i="85"/>
  <c r="E63" i="85"/>
  <c r="E62" i="85"/>
  <c r="C63" i="85"/>
  <c r="C64" i="85"/>
  <c r="C65" i="85"/>
  <c r="C66" i="85"/>
  <c r="C67" i="85"/>
  <c r="C68" i="85"/>
  <c r="C69" i="85"/>
  <c r="C70" i="85"/>
  <c r="C71" i="85"/>
  <c r="C72" i="85"/>
  <c r="C73" i="85"/>
  <c r="C74" i="85"/>
  <c r="C75" i="85"/>
  <c r="C76" i="85"/>
  <c r="C77" i="85"/>
  <c r="C78" i="85"/>
  <c r="C79" i="85"/>
  <c r="C80" i="85"/>
  <c r="C81" i="85"/>
  <c r="C82" i="85"/>
  <c r="C83" i="85"/>
  <c r="C84" i="85"/>
  <c r="C85" i="85"/>
  <c r="C86" i="85"/>
  <c r="C87" i="85"/>
  <c r="C88" i="85"/>
  <c r="C89" i="85"/>
  <c r="C90" i="85"/>
  <c r="C91" i="85"/>
  <c r="C92" i="85"/>
  <c r="C93" i="85"/>
  <c r="C94" i="85"/>
  <c r="C95" i="85"/>
  <c r="D95" i="85"/>
  <c r="D96" i="85"/>
  <c r="D97" i="85"/>
  <c r="D98" i="85"/>
  <c r="D99" i="85"/>
  <c r="D100" i="85"/>
  <c r="D101" i="85"/>
  <c r="D102" i="85"/>
  <c r="D103" i="85"/>
  <c r="D104" i="85"/>
  <c r="D105" i="85"/>
  <c r="D106" i="85"/>
  <c r="D107" i="85"/>
  <c r="D108" i="85"/>
  <c r="D109" i="85"/>
  <c r="D110" i="85"/>
  <c r="D111" i="85"/>
  <c r="D112" i="85"/>
  <c r="D113" i="85"/>
  <c r="D114" i="85"/>
  <c r="D115" i="85"/>
  <c r="D116" i="85"/>
  <c r="D117" i="85"/>
  <c r="D118" i="85"/>
  <c r="D119" i="85"/>
  <c r="D120" i="85"/>
  <c r="D121" i="85"/>
  <c r="D122" i="85"/>
  <c r="D123" i="85"/>
  <c r="D124" i="85"/>
  <c r="D125" i="85"/>
  <c r="D126" i="85"/>
  <c r="D127" i="85"/>
  <c r="D128" i="85"/>
  <c r="D129" i="85"/>
  <c r="D130" i="85"/>
  <c r="D131" i="85"/>
  <c r="E130" i="85"/>
  <c r="E129" i="85"/>
  <c r="E128" i="85"/>
  <c r="E127" i="85"/>
  <c r="E126" i="85"/>
  <c r="E125" i="85"/>
  <c r="E124" i="85"/>
  <c r="E123" i="85"/>
  <c r="E122" i="85"/>
  <c r="E121" i="85"/>
  <c r="E120" i="85"/>
  <c r="E119" i="85"/>
  <c r="E118" i="85"/>
  <c r="E117" i="85"/>
  <c r="E116" i="85"/>
  <c r="E115" i="85"/>
  <c r="E114" i="85"/>
  <c r="E113" i="85"/>
  <c r="E112" i="85"/>
  <c r="E111" i="85"/>
  <c r="E110" i="85"/>
  <c r="E109" i="85"/>
  <c r="E108" i="85"/>
  <c r="E107" i="85"/>
  <c r="E106" i="85"/>
  <c r="E105" i="85"/>
  <c r="E104" i="85"/>
  <c r="E103" i="85"/>
  <c r="E102" i="85"/>
  <c r="E101" i="85"/>
  <c r="E100" i="85"/>
  <c r="E99" i="85"/>
  <c r="E98" i="85"/>
  <c r="E97" i="85"/>
  <c r="E96" i="85"/>
  <c r="C96" i="85"/>
  <c r="C97" i="85"/>
  <c r="C98" i="85"/>
  <c r="C99" i="85"/>
  <c r="C100" i="85"/>
  <c r="C101" i="85"/>
  <c r="C102" i="85"/>
  <c r="C103" i="85"/>
  <c r="C104" i="85"/>
  <c r="C105" i="85"/>
  <c r="C106" i="85"/>
  <c r="C107" i="85"/>
  <c r="C108" i="85"/>
  <c r="C109" i="85"/>
  <c r="C110" i="85"/>
  <c r="C111" i="85"/>
  <c r="C112" i="85"/>
  <c r="C113" i="85"/>
  <c r="C114" i="85"/>
  <c r="C115" i="85"/>
  <c r="C116" i="85"/>
  <c r="C117" i="85"/>
  <c r="C118" i="85"/>
  <c r="C119" i="85"/>
  <c r="C120" i="85"/>
  <c r="C121" i="85"/>
  <c r="C122" i="85"/>
  <c r="C123" i="85"/>
  <c r="C124" i="85"/>
  <c r="C125" i="85"/>
  <c r="C126" i="85"/>
  <c r="C127" i="85"/>
  <c r="C128" i="85"/>
  <c r="C129" i="85"/>
  <c r="C130" i="85"/>
  <c r="C131" i="85"/>
  <c r="R130" i="85"/>
  <c r="K130" i="85"/>
  <c r="F130" i="85"/>
  <c r="R129" i="85"/>
  <c r="K129" i="85"/>
  <c r="F129" i="85"/>
  <c r="R128" i="85"/>
  <c r="K128" i="85"/>
  <c r="F128" i="85"/>
  <c r="R127" i="85"/>
  <c r="K127" i="85"/>
  <c r="F127" i="85"/>
  <c r="R126" i="85"/>
  <c r="K126" i="85"/>
  <c r="F126" i="85"/>
  <c r="R125" i="85"/>
  <c r="K125" i="85"/>
  <c r="F125" i="85"/>
  <c r="R124" i="85"/>
  <c r="K124" i="85"/>
  <c r="F124" i="85"/>
  <c r="R123" i="85"/>
  <c r="K123" i="85"/>
  <c r="F123" i="85"/>
  <c r="R122" i="85"/>
  <c r="K122" i="85"/>
  <c r="F122" i="85"/>
  <c r="R121" i="85"/>
  <c r="K121" i="85"/>
  <c r="F121" i="85"/>
  <c r="R120" i="85"/>
  <c r="K120" i="85"/>
  <c r="F120" i="85"/>
  <c r="R119" i="85"/>
  <c r="K119" i="85"/>
  <c r="F119" i="85"/>
  <c r="R118" i="85"/>
  <c r="K118" i="85"/>
  <c r="F118" i="85"/>
  <c r="R117" i="85"/>
  <c r="K117" i="85"/>
  <c r="F117" i="85"/>
  <c r="R116" i="85"/>
  <c r="K116" i="85"/>
  <c r="F116" i="85"/>
  <c r="R115" i="85"/>
  <c r="K115" i="85"/>
  <c r="F115" i="85"/>
  <c r="R114" i="85"/>
  <c r="K114" i="85"/>
  <c r="F114" i="85"/>
  <c r="R113" i="85"/>
  <c r="K113" i="85"/>
  <c r="F113" i="85"/>
  <c r="R112" i="85"/>
  <c r="K112" i="85"/>
  <c r="F112" i="85"/>
  <c r="R111" i="85"/>
  <c r="K111" i="85"/>
  <c r="F111" i="85"/>
  <c r="R110" i="85"/>
  <c r="K110" i="85"/>
  <c r="F110" i="85"/>
  <c r="R109" i="85"/>
  <c r="K109" i="85"/>
  <c r="F109" i="85"/>
  <c r="R108" i="85"/>
  <c r="K108" i="85"/>
  <c r="F108" i="85"/>
  <c r="R107" i="85"/>
  <c r="K107" i="85"/>
  <c r="F107" i="85"/>
  <c r="R106" i="85"/>
  <c r="K106" i="85"/>
  <c r="F106" i="85"/>
  <c r="R105" i="85"/>
  <c r="K105" i="85"/>
  <c r="F105" i="85"/>
  <c r="R104" i="85"/>
  <c r="K104" i="85"/>
  <c r="F104" i="85"/>
  <c r="R103" i="85"/>
  <c r="K103" i="85"/>
  <c r="F103" i="85"/>
  <c r="R102" i="85"/>
  <c r="K102" i="85"/>
  <c r="F102" i="85"/>
  <c r="R101" i="85"/>
  <c r="K101" i="85"/>
  <c r="F101" i="85"/>
  <c r="R100" i="85"/>
  <c r="K100" i="85"/>
  <c r="F100" i="85"/>
  <c r="R99" i="85"/>
  <c r="K99" i="85"/>
  <c r="F99" i="85"/>
  <c r="R98" i="85"/>
  <c r="K98" i="85"/>
  <c r="F98" i="85"/>
  <c r="R97" i="85"/>
  <c r="K97" i="85"/>
  <c r="F97" i="85"/>
  <c r="R96" i="85"/>
  <c r="K96" i="85"/>
  <c r="F96" i="85"/>
  <c r="R95" i="85"/>
  <c r="K95" i="85"/>
  <c r="F95" i="85"/>
  <c r="R94" i="85"/>
  <c r="K94" i="85"/>
  <c r="F94" i="85"/>
  <c r="D93" i="85"/>
  <c r="D94" i="85"/>
  <c r="R93" i="85"/>
  <c r="K93" i="85"/>
  <c r="F93" i="85"/>
  <c r="R92" i="85"/>
  <c r="K92" i="85"/>
  <c r="F92" i="85"/>
  <c r="D91" i="85"/>
  <c r="D92" i="85"/>
  <c r="R91" i="85"/>
  <c r="K91" i="85"/>
  <c r="F91" i="85"/>
  <c r="R90" i="85"/>
  <c r="K90" i="85"/>
  <c r="F90" i="85"/>
  <c r="D90" i="85"/>
  <c r="R89" i="85"/>
  <c r="K89" i="85"/>
  <c r="F89" i="85"/>
  <c r="D88" i="85"/>
  <c r="D89" i="85"/>
  <c r="R88" i="85"/>
  <c r="K88" i="85"/>
  <c r="F88" i="85"/>
  <c r="R87" i="85"/>
  <c r="K87" i="85"/>
  <c r="F87" i="85"/>
  <c r="D87" i="85"/>
  <c r="R86" i="85"/>
  <c r="K86" i="85"/>
  <c r="F86" i="85"/>
  <c r="D86" i="85"/>
  <c r="R85" i="85"/>
  <c r="K85" i="85"/>
  <c r="F85" i="85"/>
  <c r="D64" i="85"/>
  <c r="D65" i="85"/>
  <c r="D66" i="85"/>
  <c r="D67" i="85"/>
  <c r="D68" i="85"/>
  <c r="D69" i="85"/>
  <c r="D70" i="85"/>
  <c r="D71" i="85"/>
  <c r="D72" i="85"/>
  <c r="D73" i="85"/>
  <c r="D74" i="85"/>
  <c r="D75" i="85"/>
  <c r="D76" i="85"/>
  <c r="D77" i="85"/>
  <c r="D78" i="85"/>
  <c r="D79" i="85"/>
  <c r="D80" i="85"/>
  <c r="D81" i="85"/>
  <c r="D82" i="85"/>
  <c r="D83" i="85"/>
  <c r="D84" i="85"/>
  <c r="D85" i="85"/>
  <c r="R84" i="85"/>
  <c r="K84" i="85"/>
  <c r="F84" i="85"/>
  <c r="R83" i="85"/>
  <c r="K83" i="85"/>
  <c r="F83" i="85"/>
  <c r="R82" i="85"/>
  <c r="K82" i="85"/>
  <c r="F82" i="85"/>
  <c r="R81" i="85"/>
  <c r="K81" i="85"/>
  <c r="F81" i="85"/>
  <c r="R80" i="85"/>
  <c r="K80" i="85"/>
  <c r="F80" i="85"/>
  <c r="R79" i="85"/>
  <c r="K79" i="85"/>
  <c r="F79" i="85"/>
  <c r="R78" i="85"/>
  <c r="K78" i="85"/>
  <c r="F78" i="85"/>
  <c r="R77" i="85"/>
  <c r="K77" i="85"/>
  <c r="F77" i="85"/>
  <c r="R76" i="85"/>
  <c r="K76" i="85"/>
  <c r="F76" i="85"/>
  <c r="R75" i="85"/>
  <c r="K75" i="85"/>
  <c r="F75" i="85"/>
  <c r="R74" i="85"/>
  <c r="K74" i="85"/>
  <c r="F74" i="85"/>
  <c r="R73" i="85"/>
  <c r="K73" i="85"/>
  <c r="F73" i="85"/>
  <c r="R72" i="85"/>
  <c r="K72" i="85"/>
  <c r="F72" i="85"/>
  <c r="R71" i="85"/>
  <c r="K71" i="85"/>
  <c r="F71" i="85"/>
  <c r="R70" i="85"/>
  <c r="K70" i="85"/>
  <c r="F70" i="85"/>
  <c r="R69" i="85"/>
  <c r="K69" i="85"/>
  <c r="F69" i="85"/>
  <c r="R68" i="85"/>
  <c r="K68" i="85"/>
  <c r="F68" i="85"/>
  <c r="R67" i="85"/>
  <c r="K67" i="85"/>
  <c r="F67" i="85"/>
  <c r="R66" i="85"/>
  <c r="K66" i="85"/>
  <c r="F66" i="85"/>
  <c r="R65" i="85"/>
  <c r="K65" i="85"/>
  <c r="F65" i="85"/>
  <c r="R64" i="85"/>
  <c r="K64" i="85"/>
  <c r="F64" i="85"/>
  <c r="R63" i="85"/>
  <c r="K63" i="85"/>
  <c r="F63" i="85"/>
  <c r="D63" i="85"/>
  <c r="R62" i="85"/>
  <c r="K62" i="85"/>
  <c r="F62" i="85"/>
  <c r="E49" i="85"/>
  <c r="E48" i="85"/>
  <c r="E47" i="85"/>
  <c r="E46" i="85"/>
  <c r="E45" i="85"/>
  <c r="E44" i="85"/>
  <c r="E43" i="85"/>
  <c r="E42" i="85"/>
  <c r="E41" i="85"/>
  <c r="E40" i="85"/>
  <c r="E39" i="85"/>
  <c r="E38" i="85"/>
  <c r="E37" i="85"/>
  <c r="E36" i="85"/>
  <c r="E35" i="85"/>
  <c r="E34" i="85"/>
  <c r="E33" i="85"/>
  <c r="E32" i="85"/>
  <c r="E31" i="85"/>
  <c r="E30" i="85"/>
  <c r="E29" i="85"/>
  <c r="E28" i="85"/>
  <c r="E27" i="85"/>
  <c r="E26" i="85"/>
  <c r="E25" i="85"/>
  <c r="E24" i="85"/>
  <c r="E23" i="85"/>
  <c r="E22" i="85"/>
  <c r="E21" i="85"/>
  <c r="E20" i="85"/>
  <c r="E19" i="85"/>
  <c r="E18" i="85"/>
  <c r="E17" i="85"/>
  <c r="E16" i="85"/>
  <c r="E15" i="85"/>
  <c r="E14" i="85"/>
  <c r="E13" i="85"/>
  <c r="E12" i="85"/>
  <c r="E11" i="85"/>
  <c r="E10" i="85"/>
  <c r="E9" i="85"/>
  <c r="C10" i="85"/>
  <c r="C11" i="85"/>
  <c r="C12" i="85"/>
  <c r="C13" i="85"/>
  <c r="C14" i="85"/>
  <c r="C15" i="85"/>
  <c r="C16" i="85"/>
  <c r="C17" i="85"/>
  <c r="C18" i="85"/>
  <c r="C19" i="85"/>
  <c r="C20" i="85"/>
  <c r="C21" i="85"/>
  <c r="C22" i="85"/>
  <c r="C23" i="85"/>
  <c r="C24" i="85"/>
  <c r="C25" i="85"/>
  <c r="C26" i="85"/>
  <c r="C27" i="85"/>
  <c r="C28" i="85"/>
  <c r="C29" i="85"/>
  <c r="C30" i="85"/>
  <c r="C31" i="85"/>
  <c r="C32" i="85"/>
  <c r="C33" i="85"/>
  <c r="C34" i="85"/>
  <c r="C35" i="85"/>
  <c r="C36" i="85"/>
  <c r="C37" i="85"/>
  <c r="C38" i="85"/>
  <c r="C39" i="85"/>
  <c r="C40" i="85"/>
  <c r="C41" i="85"/>
  <c r="C42" i="85"/>
  <c r="C43" i="85"/>
  <c r="C44" i="85"/>
  <c r="C45" i="85"/>
  <c r="C46" i="85"/>
  <c r="C47" i="85"/>
  <c r="C48" i="85"/>
  <c r="C49" i="85"/>
  <c r="D49" i="85"/>
  <c r="D50" i="85"/>
  <c r="D51" i="85"/>
  <c r="D52" i="85"/>
  <c r="D53" i="85"/>
  <c r="D54" i="85"/>
  <c r="D55" i="85"/>
  <c r="D56" i="85"/>
  <c r="D57" i="85"/>
  <c r="D58" i="85"/>
  <c r="D59" i="85"/>
  <c r="D60" i="85"/>
  <c r="D61" i="85"/>
  <c r="D62" i="85"/>
  <c r="E61" i="85"/>
  <c r="E60" i="85"/>
  <c r="E59" i="85"/>
  <c r="E58" i="85"/>
  <c r="E57" i="85"/>
  <c r="E56" i="85"/>
  <c r="E55" i="85"/>
  <c r="E54" i="85"/>
  <c r="E53" i="85"/>
  <c r="E52" i="85"/>
  <c r="E51" i="85"/>
  <c r="E50" i="85"/>
  <c r="C50" i="85"/>
  <c r="C51" i="85"/>
  <c r="C52" i="85"/>
  <c r="C53" i="85"/>
  <c r="C54" i="85"/>
  <c r="C55" i="85"/>
  <c r="C56" i="85"/>
  <c r="C57" i="85"/>
  <c r="C58" i="85"/>
  <c r="C59" i="85"/>
  <c r="C60" i="85"/>
  <c r="C61" i="85"/>
  <c r="C62" i="85"/>
  <c r="R61" i="85"/>
  <c r="K61" i="85"/>
  <c r="F61" i="85"/>
  <c r="R60" i="85"/>
  <c r="K60" i="85"/>
  <c r="F60" i="85"/>
  <c r="R59" i="85"/>
  <c r="K59" i="85"/>
  <c r="F59" i="85"/>
  <c r="R58" i="85"/>
  <c r="K58" i="85"/>
  <c r="F58" i="85"/>
  <c r="R57" i="85"/>
  <c r="K57" i="85"/>
  <c r="F57" i="85"/>
  <c r="R56" i="85"/>
  <c r="K56" i="85"/>
  <c r="F56" i="85"/>
  <c r="R55" i="85"/>
  <c r="K55" i="85"/>
  <c r="F55" i="85"/>
  <c r="R54" i="85"/>
  <c r="K54" i="85"/>
  <c r="F54" i="85"/>
  <c r="R53" i="85"/>
  <c r="K53" i="85"/>
  <c r="F53" i="85"/>
  <c r="R52" i="85"/>
  <c r="K52" i="85"/>
  <c r="F52" i="85"/>
  <c r="R51" i="85"/>
  <c r="K51" i="85"/>
  <c r="F51" i="85"/>
  <c r="R50" i="85"/>
  <c r="K50" i="85"/>
  <c r="F50" i="85"/>
  <c r="R49" i="85"/>
  <c r="K49" i="85"/>
  <c r="F49" i="85"/>
  <c r="R48" i="85"/>
  <c r="K48" i="85"/>
  <c r="F48" i="85"/>
  <c r="D48" i="85"/>
  <c r="R47" i="85"/>
  <c r="K47" i="85"/>
  <c r="F47" i="85"/>
  <c r="D18" i="85"/>
  <c r="D19" i="85"/>
  <c r="D20" i="85"/>
  <c r="D21" i="85"/>
  <c r="D22" i="85"/>
  <c r="D23" i="85"/>
  <c r="D24" i="85"/>
  <c r="D25" i="85"/>
  <c r="D26" i="85"/>
  <c r="D27" i="85"/>
  <c r="D28" i="85"/>
  <c r="D29" i="85"/>
  <c r="D30" i="85"/>
  <c r="D31" i="85"/>
  <c r="D32" i="85"/>
  <c r="D33" i="85"/>
  <c r="D34" i="85"/>
  <c r="D35" i="85"/>
  <c r="D36" i="85"/>
  <c r="D37" i="85"/>
  <c r="D38" i="85"/>
  <c r="D39" i="85"/>
  <c r="D40" i="85"/>
  <c r="D41" i="85"/>
  <c r="D42" i="85"/>
  <c r="D43" i="85"/>
  <c r="D44" i="85"/>
  <c r="D45" i="85"/>
  <c r="D46" i="85"/>
  <c r="D47" i="85"/>
  <c r="R46" i="85"/>
  <c r="K46" i="85"/>
  <c r="F46" i="85"/>
  <c r="R45" i="85"/>
  <c r="K45" i="85"/>
  <c r="F45" i="85"/>
  <c r="R44" i="85"/>
  <c r="K44" i="85"/>
  <c r="F44" i="85"/>
  <c r="R43" i="85"/>
  <c r="K43" i="85"/>
  <c r="F43" i="85"/>
  <c r="R42" i="85"/>
  <c r="K42" i="85"/>
  <c r="F42" i="85"/>
  <c r="R41" i="85"/>
  <c r="K41" i="85"/>
  <c r="F41" i="85"/>
  <c r="R40" i="85"/>
  <c r="K40" i="85"/>
  <c r="F40" i="85"/>
  <c r="R39" i="85"/>
  <c r="K39" i="85"/>
  <c r="F39" i="85"/>
  <c r="R38" i="85"/>
  <c r="K38" i="85"/>
  <c r="F38" i="85"/>
  <c r="R37" i="85"/>
  <c r="K37" i="85"/>
  <c r="F37" i="85"/>
  <c r="R36" i="85"/>
  <c r="K36" i="85"/>
  <c r="F36" i="85"/>
  <c r="R35" i="85"/>
  <c r="K35" i="85"/>
  <c r="F35" i="85"/>
  <c r="R34" i="85"/>
  <c r="K34" i="85"/>
  <c r="F34" i="85"/>
  <c r="R33" i="85"/>
  <c r="K33" i="85"/>
  <c r="F33" i="85"/>
  <c r="R32" i="85"/>
  <c r="K32" i="85"/>
  <c r="F32" i="85"/>
  <c r="R31" i="85"/>
  <c r="K31" i="85"/>
  <c r="F31" i="85"/>
  <c r="R30" i="85"/>
  <c r="K30" i="85"/>
  <c r="F30" i="85"/>
  <c r="R29" i="85"/>
  <c r="K29" i="85"/>
  <c r="F29" i="85"/>
  <c r="R28" i="85"/>
  <c r="K28" i="85"/>
  <c r="F28" i="85"/>
  <c r="R27" i="85"/>
  <c r="K27" i="85"/>
  <c r="F27" i="85"/>
  <c r="R26" i="85"/>
  <c r="K26" i="85"/>
  <c r="F26" i="85"/>
  <c r="R25" i="85"/>
  <c r="K25" i="85"/>
  <c r="F25" i="85"/>
  <c r="R24" i="85"/>
  <c r="K24" i="85"/>
  <c r="F24" i="85"/>
  <c r="R23" i="85"/>
  <c r="K23" i="85"/>
  <c r="F23" i="85"/>
  <c r="R22" i="85"/>
  <c r="K22" i="85"/>
  <c r="F22" i="85"/>
  <c r="R21" i="85"/>
  <c r="K21" i="85"/>
  <c r="F21" i="85"/>
  <c r="R20" i="85"/>
  <c r="K20" i="85"/>
  <c r="F20" i="85"/>
  <c r="R19" i="85"/>
  <c r="K19" i="85"/>
  <c r="F19" i="85"/>
  <c r="R18" i="85"/>
  <c r="K18" i="85"/>
  <c r="F18" i="85"/>
  <c r="R17" i="85"/>
  <c r="K17" i="85"/>
  <c r="F17" i="85"/>
  <c r="D17" i="85"/>
  <c r="R16" i="85"/>
  <c r="K16" i="85"/>
  <c r="F16" i="85"/>
  <c r="D12" i="85"/>
  <c r="D13" i="85"/>
  <c r="D14" i="85"/>
  <c r="D15" i="85"/>
  <c r="D16" i="85"/>
  <c r="R15" i="85"/>
  <c r="K15" i="85"/>
  <c r="F15" i="85"/>
  <c r="R14" i="85"/>
  <c r="K14" i="85"/>
  <c r="F14" i="85"/>
  <c r="R13" i="85"/>
  <c r="K13" i="85"/>
  <c r="F13" i="85"/>
  <c r="R12" i="85"/>
  <c r="K12" i="85"/>
  <c r="F12" i="85"/>
  <c r="R11" i="85"/>
  <c r="K11" i="85"/>
  <c r="F11" i="85"/>
  <c r="D11" i="85"/>
  <c r="R10" i="85"/>
  <c r="K10" i="85"/>
  <c r="F10" i="85"/>
  <c r="D10" i="85"/>
  <c r="R9" i="85"/>
  <c r="K9" i="85"/>
  <c r="F9" i="85"/>
  <c r="E6" i="85"/>
  <c r="E5" i="85"/>
  <c r="E4" i="85"/>
  <c r="E3" i="85"/>
  <c r="E2" i="85"/>
  <c r="C2" i="85"/>
  <c r="C3" i="85"/>
  <c r="C4" i="85"/>
  <c r="C5" i="85"/>
  <c r="C6" i="85"/>
  <c r="D6" i="85"/>
  <c r="D7" i="85"/>
  <c r="D8" i="85"/>
  <c r="D9" i="85"/>
  <c r="E8" i="85"/>
  <c r="E7" i="85"/>
  <c r="C7" i="85"/>
  <c r="C8" i="85"/>
  <c r="C9" i="85"/>
  <c r="R8" i="85"/>
  <c r="K8" i="85"/>
  <c r="F8" i="85"/>
  <c r="R7" i="85"/>
  <c r="K7" i="85"/>
  <c r="F7" i="85"/>
  <c r="R6" i="85"/>
  <c r="K6" i="85"/>
  <c r="F6" i="85"/>
  <c r="R5" i="85"/>
  <c r="K5" i="85"/>
  <c r="F5" i="85"/>
  <c r="D5" i="85"/>
  <c r="R4" i="85"/>
  <c r="K4" i="85"/>
  <c r="F4" i="85"/>
  <c r="D4" i="85"/>
  <c r="R3" i="85"/>
  <c r="K3" i="85"/>
  <c r="F3" i="85"/>
  <c r="D2" i="85"/>
  <c r="D3" i="85"/>
  <c r="R2" i="85"/>
  <c r="K2" i="85"/>
  <c r="F2" i="85"/>
  <c r="F445" i="72"/>
  <c r="E445" i="72"/>
  <c r="E443" i="72"/>
  <c r="C443" i="72"/>
  <c r="D443" i="72"/>
  <c r="D444" i="72"/>
  <c r="D445" i="72"/>
  <c r="E444" i="72"/>
  <c r="C444" i="72"/>
  <c r="C445" i="72"/>
  <c r="F444" i="72"/>
  <c r="F443" i="72"/>
  <c r="K445" i="72"/>
  <c r="K444" i="72"/>
  <c r="K443" i="72"/>
  <c r="K441" i="72"/>
  <c r="AW11" i="65"/>
  <c r="K440" i="72"/>
  <c r="F441" i="72"/>
  <c r="E441" i="72"/>
  <c r="E440" i="72"/>
  <c r="C440" i="72"/>
  <c r="D440" i="72"/>
  <c r="C441" i="72"/>
  <c r="D441" i="72"/>
  <c r="F440" i="72"/>
  <c r="AW7" i="76"/>
  <c r="AW6" i="76"/>
  <c r="AW5" i="76"/>
  <c r="AW4" i="76"/>
  <c r="AW3" i="76"/>
  <c r="AW6" i="75"/>
  <c r="AW5" i="75"/>
  <c r="AW4" i="75"/>
  <c r="AW3" i="75"/>
  <c r="AU147" i="76"/>
  <c r="AT147" i="76"/>
  <c r="E133" i="76"/>
  <c r="E134" i="76"/>
  <c r="E135" i="76"/>
  <c r="E136" i="76"/>
  <c r="G133" i="76"/>
  <c r="G134" i="76"/>
  <c r="G135" i="76"/>
  <c r="G136" i="76"/>
  <c r="J132" i="76"/>
  <c r="J145" i="76"/>
  <c r="J133" i="76"/>
  <c r="J134" i="76"/>
  <c r="J135" i="76"/>
  <c r="J136" i="76"/>
  <c r="H133" i="76"/>
  <c r="H134" i="76"/>
  <c r="H135" i="76"/>
  <c r="H136" i="76"/>
  <c r="J146" i="76"/>
  <c r="J147" i="76"/>
  <c r="B133" i="76"/>
  <c r="B134" i="76"/>
  <c r="B135" i="76"/>
  <c r="B136" i="76"/>
  <c r="D133" i="76"/>
  <c r="D134" i="76"/>
  <c r="D135" i="76"/>
  <c r="D136" i="76"/>
  <c r="H132" i="76"/>
  <c r="H145" i="76"/>
  <c r="H146" i="76"/>
  <c r="H147" i="76"/>
  <c r="V94" i="76"/>
  <c r="B126" i="76"/>
  <c r="B143" i="76"/>
  <c r="C143" i="76"/>
  <c r="D143" i="76"/>
  <c r="G145" i="76"/>
  <c r="G146" i="76"/>
  <c r="G147" i="76"/>
  <c r="L94" i="76"/>
  <c r="B125" i="76"/>
  <c r="B142" i="76"/>
  <c r="C142" i="76"/>
  <c r="D142" i="76"/>
  <c r="E145" i="76"/>
  <c r="E146" i="76"/>
  <c r="E147" i="76"/>
  <c r="AF94" i="76"/>
  <c r="B127" i="76"/>
  <c r="B144" i="76"/>
  <c r="C144" i="76"/>
  <c r="D145" i="76"/>
  <c r="D146" i="76"/>
  <c r="D147" i="76"/>
  <c r="B94" i="76"/>
  <c r="B124" i="76"/>
  <c r="B141" i="76"/>
  <c r="C141" i="76"/>
  <c r="B145" i="76"/>
  <c r="B146" i="76"/>
  <c r="B147" i="76"/>
  <c r="AU146" i="76"/>
  <c r="AT146" i="76"/>
  <c r="AU145" i="76"/>
  <c r="AT145" i="76"/>
  <c r="AU144" i="76"/>
  <c r="AT144" i="76"/>
  <c r="D144" i="76"/>
  <c r="G144" i="76"/>
  <c r="J144" i="76"/>
  <c r="AU143" i="76"/>
  <c r="AT143" i="76"/>
  <c r="G143" i="76"/>
  <c r="J143" i="76"/>
  <c r="AU142" i="76"/>
  <c r="AT142" i="76"/>
  <c r="G142" i="76"/>
  <c r="J142" i="76"/>
  <c r="AU141" i="76"/>
  <c r="AT141" i="76"/>
  <c r="D141" i="76"/>
  <c r="G141" i="76"/>
  <c r="J141" i="76"/>
  <c r="AU140" i="76"/>
  <c r="AT140" i="76"/>
  <c r="K137" i="76"/>
  <c r="AL94" i="76"/>
  <c r="K127" i="76"/>
  <c r="AB94" i="76"/>
  <c r="K126" i="76"/>
  <c r="R94" i="76"/>
  <c r="K125" i="76"/>
  <c r="H94" i="76"/>
  <c r="K124" i="76"/>
  <c r="A118" i="76"/>
  <c r="F117" i="76"/>
  <c r="A113" i="76"/>
  <c r="J112" i="76"/>
  <c r="A109" i="76"/>
  <c r="F107" i="76"/>
  <c r="A107" i="76"/>
  <c r="A104" i="76"/>
  <c r="A89" i="76"/>
  <c r="AE85" i="76"/>
  <c r="AE31" i="76"/>
  <c r="AE32" i="76"/>
  <c r="AE33" i="76"/>
  <c r="AE34" i="76"/>
  <c r="AE35" i="76"/>
  <c r="AE36" i="76"/>
  <c r="AC85" i="76"/>
  <c r="AC31" i="76"/>
  <c r="AC32" i="76"/>
  <c r="AC33" i="76"/>
  <c r="AC34" i="76"/>
  <c r="AC35" i="76"/>
  <c r="AC36" i="76"/>
  <c r="AE86" i="76"/>
  <c r="AE87" i="76"/>
  <c r="AC86" i="76"/>
  <c r="AC87" i="76"/>
  <c r="AB85" i="76"/>
  <c r="AB31" i="76"/>
  <c r="AB32" i="76"/>
  <c r="AB33" i="76"/>
  <c r="AB34" i="76"/>
  <c r="AB35" i="76"/>
  <c r="AB36" i="76"/>
  <c r="Z85" i="76"/>
  <c r="Z31" i="76"/>
  <c r="Z32" i="76"/>
  <c r="Z33" i="76"/>
  <c r="Z34" i="76"/>
  <c r="Z35" i="76"/>
  <c r="Z36" i="76"/>
  <c r="AB86" i="76"/>
  <c r="AB87" i="76"/>
  <c r="Z86" i="76"/>
  <c r="Z87" i="76"/>
  <c r="Y85" i="76"/>
  <c r="Y31" i="76"/>
  <c r="Y32" i="76"/>
  <c r="Y33" i="76"/>
  <c r="Y34" i="76"/>
  <c r="Y35" i="76"/>
  <c r="Y36" i="76"/>
  <c r="W85" i="76"/>
  <c r="W31" i="76"/>
  <c r="W32" i="76"/>
  <c r="W33" i="76"/>
  <c r="W34" i="76"/>
  <c r="W35" i="76"/>
  <c r="W36" i="76"/>
  <c r="Y86" i="76"/>
  <c r="Y87" i="76"/>
  <c r="W86" i="76"/>
  <c r="W87" i="76"/>
  <c r="Q75" i="76"/>
  <c r="S75" i="76"/>
  <c r="N64" i="76"/>
  <c r="P64" i="76"/>
  <c r="N65" i="76"/>
  <c r="P65" i="76"/>
  <c r="N66" i="76"/>
  <c r="P66" i="76"/>
  <c r="N31" i="76"/>
  <c r="N32" i="76"/>
  <c r="N33" i="76"/>
  <c r="N34" i="76"/>
  <c r="N35" i="76"/>
  <c r="N67" i="76"/>
  <c r="P67" i="76"/>
  <c r="N68" i="76"/>
  <c r="P31" i="76"/>
  <c r="P32" i="76"/>
  <c r="P33" i="76"/>
  <c r="P34" i="76"/>
  <c r="P35" i="76"/>
  <c r="P68" i="76"/>
  <c r="O71" i="76"/>
  <c r="N75" i="76"/>
  <c r="K75" i="76"/>
  <c r="M75" i="76"/>
  <c r="H75" i="76"/>
  <c r="J75" i="76"/>
  <c r="E75" i="76"/>
  <c r="E64" i="76"/>
  <c r="G64" i="76"/>
  <c r="E65" i="76"/>
  <c r="G65" i="76"/>
  <c r="E31" i="76"/>
  <c r="E32" i="76"/>
  <c r="E33" i="76"/>
  <c r="E34" i="76"/>
  <c r="E35" i="76"/>
  <c r="E66" i="76"/>
  <c r="G66" i="76"/>
  <c r="E67" i="76"/>
  <c r="G31" i="76"/>
  <c r="G32" i="76"/>
  <c r="G33" i="76"/>
  <c r="G34" i="76"/>
  <c r="G35" i="76"/>
  <c r="G67" i="76"/>
  <c r="E68" i="76"/>
  <c r="G68" i="76"/>
  <c r="F71" i="76"/>
  <c r="G75" i="76"/>
  <c r="B75" i="76"/>
  <c r="D75" i="76"/>
  <c r="E14" i="76"/>
  <c r="B82" i="76"/>
  <c r="C82" i="76"/>
  <c r="D82" i="76"/>
  <c r="G85" i="76"/>
  <c r="G36" i="76"/>
  <c r="B74" i="76"/>
  <c r="D74" i="76"/>
  <c r="E12" i="76"/>
  <c r="B81" i="76"/>
  <c r="C81" i="76"/>
  <c r="D81" i="76"/>
  <c r="E85" i="76"/>
  <c r="E36" i="76"/>
  <c r="G86" i="76"/>
  <c r="G87" i="76"/>
  <c r="G82" i="76"/>
  <c r="J82" i="76"/>
  <c r="M82" i="76"/>
  <c r="N85" i="76"/>
  <c r="N36" i="76"/>
  <c r="K76" i="76"/>
  <c r="M76" i="76"/>
  <c r="H76" i="76"/>
  <c r="H31" i="76"/>
  <c r="H32" i="76"/>
  <c r="H33" i="76"/>
  <c r="H34" i="76"/>
  <c r="H35" i="76"/>
  <c r="H64" i="76"/>
  <c r="J64" i="76"/>
  <c r="H65" i="76"/>
  <c r="J65" i="76"/>
  <c r="H66" i="76"/>
  <c r="J66" i="76"/>
  <c r="H67" i="76"/>
  <c r="J67" i="76"/>
  <c r="H68" i="76"/>
  <c r="J31" i="76"/>
  <c r="J32" i="76"/>
  <c r="J33" i="76"/>
  <c r="J34" i="76"/>
  <c r="J35" i="76"/>
  <c r="J68" i="76"/>
  <c r="I71" i="76"/>
  <c r="J76" i="76"/>
  <c r="E76" i="76"/>
  <c r="G76" i="76"/>
  <c r="B76" i="76"/>
  <c r="D76" i="76"/>
  <c r="E16" i="76"/>
  <c r="B83" i="76"/>
  <c r="C83" i="76"/>
  <c r="D83" i="76"/>
  <c r="G83" i="76"/>
  <c r="J85" i="76"/>
  <c r="J36" i="76"/>
  <c r="E72" i="76"/>
  <c r="G72" i="76"/>
  <c r="B31" i="76"/>
  <c r="B32" i="76"/>
  <c r="B33" i="76"/>
  <c r="B34" i="76"/>
  <c r="B35" i="76"/>
  <c r="B64" i="76"/>
  <c r="D64" i="76"/>
  <c r="B65" i="76"/>
  <c r="D31" i="76"/>
  <c r="D32" i="76"/>
  <c r="D33" i="76"/>
  <c r="D34" i="76"/>
  <c r="D35" i="76"/>
  <c r="D65" i="76"/>
  <c r="B66" i="76"/>
  <c r="D66" i="76"/>
  <c r="B67" i="76"/>
  <c r="D67" i="76"/>
  <c r="B68" i="76"/>
  <c r="D68" i="76"/>
  <c r="C71" i="76"/>
  <c r="B72" i="76"/>
  <c r="E8" i="76"/>
  <c r="B79" i="76"/>
  <c r="C79" i="76"/>
  <c r="B85" i="76"/>
  <c r="B36" i="76"/>
  <c r="E10" i="76"/>
  <c r="B80" i="76"/>
  <c r="C80" i="76"/>
  <c r="D85" i="76"/>
  <c r="D36" i="76"/>
  <c r="B86" i="76"/>
  <c r="B87" i="76"/>
  <c r="D79" i="76"/>
  <c r="G79" i="76"/>
  <c r="H85" i="76"/>
  <c r="H36" i="76"/>
  <c r="J86" i="76"/>
  <c r="J87" i="76"/>
  <c r="J83" i="76"/>
  <c r="M83" i="76"/>
  <c r="P85" i="76"/>
  <c r="P36" i="76"/>
  <c r="N86" i="76"/>
  <c r="N87" i="76"/>
  <c r="P82" i="76"/>
  <c r="S82" i="76"/>
  <c r="V85" i="76"/>
  <c r="V31" i="76"/>
  <c r="V32" i="76"/>
  <c r="V33" i="76"/>
  <c r="V34" i="76"/>
  <c r="V35" i="76"/>
  <c r="V36" i="76"/>
  <c r="Q72" i="76"/>
  <c r="S72" i="76"/>
  <c r="N72" i="76"/>
  <c r="P72" i="76"/>
  <c r="K72" i="76"/>
  <c r="M72" i="76"/>
  <c r="H72" i="76"/>
  <c r="H86" i="76"/>
  <c r="H87" i="76"/>
  <c r="J79" i="76"/>
  <c r="M79" i="76"/>
  <c r="P79" i="76"/>
  <c r="S79" i="76"/>
  <c r="T85" i="76"/>
  <c r="T31" i="76"/>
  <c r="T32" i="76"/>
  <c r="T33" i="76"/>
  <c r="T34" i="76"/>
  <c r="T35" i="76"/>
  <c r="T36" i="76"/>
  <c r="V86" i="76"/>
  <c r="V87" i="76"/>
  <c r="T86" i="76"/>
  <c r="T87" i="76"/>
  <c r="N74" i="76"/>
  <c r="P74" i="76"/>
  <c r="K74" i="76"/>
  <c r="K64" i="76"/>
  <c r="M64" i="76"/>
  <c r="K31" i="76"/>
  <c r="K32" i="76"/>
  <c r="K33" i="76"/>
  <c r="K34" i="76"/>
  <c r="K35" i="76"/>
  <c r="K65" i="76"/>
  <c r="M65" i="76"/>
  <c r="K66" i="76"/>
  <c r="M31" i="76"/>
  <c r="M32" i="76"/>
  <c r="M33" i="76"/>
  <c r="M34" i="76"/>
  <c r="M35" i="76"/>
  <c r="M66" i="76"/>
  <c r="K67" i="76"/>
  <c r="M67" i="76"/>
  <c r="K68" i="76"/>
  <c r="M68" i="76"/>
  <c r="L71" i="76"/>
  <c r="M74" i="76"/>
  <c r="H74" i="76"/>
  <c r="J74" i="76"/>
  <c r="E74" i="76"/>
  <c r="E86" i="76"/>
  <c r="E87" i="76"/>
  <c r="G81" i="76"/>
  <c r="J81" i="76"/>
  <c r="M85" i="76"/>
  <c r="M36" i="76"/>
  <c r="H73" i="76"/>
  <c r="J73" i="76"/>
  <c r="E73" i="76"/>
  <c r="G73" i="76"/>
  <c r="B73" i="76"/>
  <c r="D73" i="76"/>
  <c r="D86" i="76"/>
  <c r="D87" i="76"/>
  <c r="D80" i="76"/>
  <c r="G80" i="76"/>
  <c r="J80" i="76"/>
  <c r="K85" i="76"/>
  <c r="K36" i="76"/>
  <c r="M86" i="76"/>
  <c r="M87" i="76"/>
  <c r="M81" i="76"/>
  <c r="P81" i="76"/>
  <c r="S85" i="76"/>
  <c r="S31" i="76"/>
  <c r="S32" i="76"/>
  <c r="S33" i="76"/>
  <c r="S34" i="76"/>
  <c r="S35" i="76"/>
  <c r="S36" i="76"/>
  <c r="N76" i="76"/>
  <c r="P76" i="76"/>
  <c r="P86" i="76"/>
  <c r="P87" i="76"/>
  <c r="P83" i="76"/>
  <c r="Q85" i="76"/>
  <c r="Q31" i="76"/>
  <c r="Q32" i="76"/>
  <c r="Q33" i="76"/>
  <c r="Q34" i="76"/>
  <c r="Q35" i="76"/>
  <c r="Q36" i="76"/>
  <c r="S86" i="76"/>
  <c r="S87" i="76"/>
  <c r="Q86" i="76"/>
  <c r="Q87" i="76"/>
  <c r="K86" i="76"/>
  <c r="K87" i="76"/>
  <c r="AC76" i="76"/>
  <c r="AE76" i="76"/>
  <c r="Z76" i="76"/>
  <c r="AB76" i="76"/>
  <c r="W76" i="76"/>
  <c r="Y76" i="76"/>
  <c r="T76" i="76"/>
  <c r="V76" i="76"/>
  <c r="Q64" i="76"/>
  <c r="S64" i="76"/>
  <c r="Q65" i="76"/>
  <c r="S65" i="76"/>
  <c r="Q66" i="76"/>
  <c r="S66" i="76"/>
  <c r="Q67" i="76"/>
  <c r="S67" i="76"/>
  <c r="Q68" i="76"/>
  <c r="S68" i="76"/>
  <c r="R71" i="76"/>
  <c r="Q76" i="76"/>
  <c r="S83" i="76"/>
  <c r="V83" i="76"/>
  <c r="Y83" i="76"/>
  <c r="AB83" i="76"/>
  <c r="AE83" i="76"/>
  <c r="AU83" i="76"/>
  <c r="AT83" i="76"/>
  <c r="AC75" i="76"/>
  <c r="AE75" i="76"/>
  <c r="Z75" i="76"/>
  <c r="AB75" i="76"/>
  <c r="W75" i="76"/>
  <c r="Y75" i="76"/>
  <c r="T75" i="76"/>
  <c r="T64" i="76"/>
  <c r="V64" i="76"/>
  <c r="T65" i="76"/>
  <c r="V65" i="76"/>
  <c r="T66" i="76"/>
  <c r="V66" i="76"/>
  <c r="T67" i="76"/>
  <c r="V67" i="76"/>
  <c r="T68" i="76"/>
  <c r="V68" i="76"/>
  <c r="U71" i="76"/>
  <c r="V75" i="76"/>
  <c r="V82" i="76"/>
  <c r="Y82" i="76"/>
  <c r="AB82" i="76"/>
  <c r="AE82" i="76"/>
  <c r="AU82" i="76"/>
  <c r="AT82" i="76"/>
  <c r="AC74" i="76"/>
  <c r="AE74" i="76"/>
  <c r="Z74" i="76"/>
  <c r="AB74" i="76"/>
  <c r="W74" i="76"/>
  <c r="Y74" i="76"/>
  <c r="T74" i="76"/>
  <c r="V74" i="76"/>
  <c r="Q74" i="76"/>
  <c r="S74" i="76"/>
  <c r="S81" i="76"/>
  <c r="V81" i="76"/>
  <c r="Y81" i="76"/>
  <c r="AB81" i="76"/>
  <c r="AE81" i="76"/>
  <c r="AU81" i="76"/>
  <c r="AT81" i="76"/>
  <c r="AC73" i="76"/>
  <c r="AE73" i="76"/>
  <c r="Z73" i="76"/>
  <c r="AB73" i="76"/>
  <c r="W73" i="76"/>
  <c r="Y73" i="76"/>
  <c r="T73" i="76"/>
  <c r="V73" i="76"/>
  <c r="Q73" i="76"/>
  <c r="S73" i="76"/>
  <c r="N73" i="76"/>
  <c r="P73" i="76"/>
  <c r="K73" i="76"/>
  <c r="M80" i="76"/>
  <c r="P80" i="76"/>
  <c r="S80" i="76"/>
  <c r="V80" i="76"/>
  <c r="Y80" i="76"/>
  <c r="AB80" i="76"/>
  <c r="AE80" i="76"/>
  <c r="AU80" i="76"/>
  <c r="AT80" i="76"/>
  <c r="AC72" i="76"/>
  <c r="AE72" i="76"/>
  <c r="Z72" i="76"/>
  <c r="AB72" i="76"/>
  <c r="W72" i="76"/>
  <c r="Y72" i="76"/>
  <c r="T72" i="76"/>
  <c r="V79" i="76"/>
  <c r="Y79" i="76"/>
  <c r="AB79" i="76"/>
  <c r="AE79" i="76"/>
  <c r="AU79" i="76"/>
  <c r="AT79" i="76"/>
  <c r="S76" i="76"/>
  <c r="AF76" i="76"/>
  <c r="P75" i="76"/>
  <c r="AF75" i="76"/>
  <c r="G74" i="76"/>
  <c r="AF74" i="76"/>
  <c r="M73" i="76"/>
  <c r="AF73" i="76"/>
  <c r="D72" i="76"/>
  <c r="J72" i="76"/>
  <c r="V72" i="76"/>
  <c r="AF72" i="76"/>
  <c r="AC64" i="76"/>
  <c r="AE64" i="76"/>
  <c r="AC65" i="76"/>
  <c r="AE65" i="76"/>
  <c r="AC66" i="76"/>
  <c r="AE66" i="76"/>
  <c r="AC67" i="76"/>
  <c r="AE67" i="76"/>
  <c r="AC68" i="76"/>
  <c r="AE68" i="76"/>
  <c r="AD71" i="76"/>
  <c r="Z64" i="76"/>
  <c r="AB64" i="76"/>
  <c r="Z65" i="76"/>
  <c r="AB65" i="76"/>
  <c r="Z66" i="76"/>
  <c r="AB66" i="76"/>
  <c r="Z67" i="76"/>
  <c r="AB67" i="76"/>
  <c r="Z68" i="76"/>
  <c r="AB68" i="76"/>
  <c r="AA71" i="76"/>
  <c r="W64" i="76"/>
  <c r="Y64" i="76"/>
  <c r="W65" i="76"/>
  <c r="Y65" i="76"/>
  <c r="W66" i="76"/>
  <c r="Y66" i="76"/>
  <c r="W67" i="76"/>
  <c r="Y67" i="76"/>
  <c r="W68" i="76"/>
  <c r="Y68" i="76"/>
  <c r="X71" i="76"/>
  <c r="AF68" i="76"/>
  <c r="AG68" i="76"/>
  <c r="AF67" i="76"/>
  <c r="AG67" i="76"/>
  <c r="AF66" i="76"/>
  <c r="AG66" i="76"/>
  <c r="AF65" i="76"/>
  <c r="AG65" i="76"/>
  <c r="AF64" i="76"/>
  <c r="AG64" i="76"/>
  <c r="B62" i="76"/>
  <c r="D62" i="76"/>
  <c r="E62" i="76"/>
  <c r="G62" i="76"/>
  <c r="H62" i="76"/>
  <c r="H39" i="76"/>
  <c r="J39" i="76"/>
  <c r="H40" i="76"/>
  <c r="J40" i="76"/>
  <c r="H41" i="76"/>
  <c r="J41" i="76"/>
  <c r="H42" i="76"/>
  <c r="J42" i="76"/>
  <c r="H43" i="76"/>
  <c r="J43" i="76"/>
  <c r="H44" i="76"/>
  <c r="J62" i="76"/>
  <c r="K62" i="76"/>
  <c r="M62" i="76"/>
  <c r="N62" i="76"/>
  <c r="N39" i="76"/>
  <c r="P39" i="76"/>
  <c r="N40" i="76"/>
  <c r="P40" i="76"/>
  <c r="N41" i="76"/>
  <c r="P41" i="76"/>
  <c r="N42" i="76"/>
  <c r="P42" i="76"/>
  <c r="N43" i="76"/>
  <c r="P43" i="76"/>
  <c r="N44" i="76"/>
  <c r="P62" i="76"/>
  <c r="Q39" i="76"/>
  <c r="S39" i="76"/>
  <c r="Q40" i="76"/>
  <c r="S40" i="76"/>
  <c r="Q41" i="76"/>
  <c r="S41" i="76"/>
  <c r="Q42" i="76"/>
  <c r="S42" i="76"/>
  <c r="Q43" i="76"/>
  <c r="S43" i="76"/>
  <c r="Q44" i="76"/>
  <c r="Q62" i="76"/>
  <c r="S62" i="76"/>
  <c r="T62" i="76"/>
  <c r="V62" i="76"/>
  <c r="W62" i="76"/>
  <c r="Y62" i="76"/>
  <c r="Z62" i="76"/>
  <c r="AB62" i="76"/>
  <c r="AC62" i="76"/>
  <c r="AE62" i="76"/>
  <c r="AF62" i="76"/>
  <c r="B61" i="76"/>
  <c r="D61" i="76"/>
  <c r="E61" i="76"/>
  <c r="E39" i="76"/>
  <c r="G39" i="76"/>
  <c r="E40" i="76"/>
  <c r="G40" i="76"/>
  <c r="E41" i="76"/>
  <c r="G41" i="76"/>
  <c r="E42" i="76"/>
  <c r="G42" i="76"/>
  <c r="E43" i="76"/>
  <c r="G43" i="76"/>
  <c r="E44" i="76"/>
  <c r="G61" i="76"/>
  <c r="H61" i="76"/>
  <c r="J61" i="76"/>
  <c r="K61" i="76"/>
  <c r="M61" i="76"/>
  <c r="N61" i="76"/>
  <c r="P61" i="76"/>
  <c r="Q61" i="76"/>
  <c r="S61" i="76"/>
  <c r="T61" i="76"/>
  <c r="T39" i="76"/>
  <c r="V39" i="76"/>
  <c r="T40" i="76"/>
  <c r="V40" i="76"/>
  <c r="T41" i="76"/>
  <c r="V41" i="76"/>
  <c r="T42" i="76"/>
  <c r="V42" i="76"/>
  <c r="T43" i="76"/>
  <c r="V43" i="76"/>
  <c r="T44" i="76"/>
  <c r="V61" i="76"/>
  <c r="W61" i="76"/>
  <c r="Y61" i="76"/>
  <c r="Z61" i="76"/>
  <c r="AB61" i="76"/>
  <c r="AC61" i="76"/>
  <c r="AE61" i="76"/>
  <c r="AF61" i="76"/>
  <c r="B60" i="76"/>
  <c r="D60" i="76"/>
  <c r="E60" i="76"/>
  <c r="G60" i="76"/>
  <c r="H60" i="76"/>
  <c r="J60" i="76"/>
  <c r="K60" i="76"/>
  <c r="K39" i="76"/>
  <c r="M39" i="76"/>
  <c r="K40" i="76"/>
  <c r="M40" i="76"/>
  <c r="K41" i="76"/>
  <c r="M41" i="76"/>
  <c r="K42" i="76"/>
  <c r="M42" i="76"/>
  <c r="K43" i="76"/>
  <c r="M43" i="76"/>
  <c r="K44" i="76"/>
  <c r="M60" i="76"/>
  <c r="N60" i="76"/>
  <c r="P60" i="76"/>
  <c r="Q60" i="76"/>
  <c r="S60" i="76"/>
  <c r="T60" i="76"/>
  <c r="V60" i="76"/>
  <c r="W60" i="76"/>
  <c r="Y60" i="76"/>
  <c r="Z60" i="76"/>
  <c r="AB60" i="76"/>
  <c r="AC60" i="76"/>
  <c r="AE60" i="76"/>
  <c r="AF60" i="76"/>
  <c r="B59" i="76"/>
  <c r="B39" i="76"/>
  <c r="D39" i="76"/>
  <c r="B40" i="76"/>
  <c r="D40" i="76"/>
  <c r="B41" i="76"/>
  <c r="D41" i="76"/>
  <c r="B42" i="76"/>
  <c r="D42" i="76"/>
  <c r="B43" i="76"/>
  <c r="D43" i="76"/>
  <c r="B44" i="76"/>
  <c r="D59" i="76"/>
  <c r="E59" i="76"/>
  <c r="G59" i="76"/>
  <c r="H59" i="76"/>
  <c r="J59" i="76"/>
  <c r="K59" i="76"/>
  <c r="M59" i="76"/>
  <c r="N59" i="76"/>
  <c r="P59" i="76"/>
  <c r="Q59" i="76"/>
  <c r="S59" i="76"/>
  <c r="T59" i="76"/>
  <c r="V59" i="76"/>
  <c r="W59" i="76"/>
  <c r="Y59" i="76"/>
  <c r="Z59" i="76"/>
  <c r="AB59" i="76"/>
  <c r="AC59" i="76"/>
  <c r="AE59" i="76"/>
  <c r="AF59" i="76"/>
  <c r="B58" i="76"/>
  <c r="D58" i="76"/>
  <c r="E58" i="76"/>
  <c r="G58" i="76"/>
  <c r="H58" i="76"/>
  <c r="J58" i="76"/>
  <c r="K58" i="76"/>
  <c r="M58" i="76"/>
  <c r="N58" i="76"/>
  <c r="P58" i="76"/>
  <c r="Q58" i="76"/>
  <c r="S58" i="76"/>
  <c r="T58" i="76"/>
  <c r="V58" i="76"/>
  <c r="W58" i="76"/>
  <c r="Y58" i="76"/>
  <c r="Z58" i="76"/>
  <c r="AB58" i="76"/>
  <c r="AC58" i="76"/>
  <c r="AE58" i="76"/>
  <c r="AF58" i="76"/>
  <c r="B56" i="76"/>
  <c r="D56" i="76"/>
  <c r="E56" i="76"/>
  <c r="G56" i="76"/>
  <c r="H56" i="76"/>
  <c r="H37" i="76"/>
  <c r="J37" i="76"/>
  <c r="I37" i="76"/>
  <c r="J56" i="76"/>
  <c r="K56" i="76"/>
  <c r="M56" i="76"/>
  <c r="N56" i="76"/>
  <c r="N37" i="76"/>
  <c r="P37" i="76"/>
  <c r="O37" i="76"/>
  <c r="P56" i="76"/>
  <c r="Q37" i="76"/>
  <c r="S37" i="76"/>
  <c r="R37" i="76"/>
  <c r="Q56" i="76"/>
  <c r="S56" i="76"/>
  <c r="T56" i="76"/>
  <c r="V56" i="76"/>
  <c r="W56" i="76"/>
  <c r="Y56" i="76"/>
  <c r="Z56" i="76"/>
  <c r="AB56" i="76"/>
  <c r="AC56" i="76"/>
  <c r="AE56" i="76"/>
  <c r="AF56" i="76"/>
  <c r="B55" i="76"/>
  <c r="D55" i="76"/>
  <c r="E55" i="76"/>
  <c r="E37" i="76"/>
  <c r="G37" i="76"/>
  <c r="F37" i="76"/>
  <c r="G55" i="76"/>
  <c r="H55" i="76"/>
  <c r="J55" i="76"/>
  <c r="K55" i="76"/>
  <c r="M55" i="76"/>
  <c r="N55" i="76"/>
  <c r="P55" i="76"/>
  <c r="Q55" i="76"/>
  <c r="S55" i="76"/>
  <c r="T55" i="76"/>
  <c r="T37" i="76"/>
  <c r="V37" i="76"/>
  <c r="U37" i="76"/>
  <c r="V55" i="76"/>
  <c r="W55" i="76"/>
  <c r="Y55" i="76"/>
  <c r="Z55" i="76"/>
  <c r="AB55" i="76"/>
  <c r="AC55" i="76"/>
  <c r="AE55" i="76"/>
  <c r="AF55" i="76"/>
  <c r="B54" i="76"/>
  <c r="D54" i="76"/>
  <c r="E54" i="76"/>
  <c r="G54" i="76"/>
  <c r="H54" i="76"/>
  <c r="J54" i="76"/>
  <c r="K54" i="76"/>
  <c r="K37" i="76"/>
  <c r="M37" i="76"/>
  <c r="L37" i="76"/>
  <c r="M54" i="76"/>
  <c r="N54" i="76"/>
  <c r="P54" i="76"/>
  <c r="Q54" i="76"/>
  <c r="S54" i="76"/>
  <c r="T54" i="76"/>
  <c r="V54" i="76"/>
  <c r="W54" i="76"/>
  <c r="Y54" i="76"/>
  <c r="Z54" i="76"/>
  <c r="AB54" i="76"/>
  <c r="AC54" i="76"/>
  <c r="AE54" i="76"/>
  <c r="AF54" i="76"/>
  <c r="B53" i="76"/>
  <c r="B37" i="76"/>
  <c r="D37" i="76"/>
  <c r="C37" i="76"/>
  <c r="D53" i="76"/>
  <c r="E53" i="76"/>
  <c r="G53" i="76"/>
  <c r="H53" i="76"/>
  <c r="J53" i="76"/>
  <c r="K53" i="76"/>
  <c r="M53" i="76"/>
  <c r="N53" i="76"/>
  <c r="P53" i="76"/>
  <c r="Q53" i="76"/>
  <c r="S53" i="76"/>
  <c r="T53" i="76"/>
  <c r="V53" i="76"/>
  <c r="W53" i="76"/>
  <c r="Y53" i="76"/>
  <c r="Z53" i="76"/>
  <c r="AB53" i="76"/>
  <c r="AC53" i="76"/>
  <c r="AE53" i="76"/>
  <c r="AF53" i="76"/>
  <c r="B52" i="76"/>
  <c r="D52" i="76"/>
  <c r="E52" i="76"/>
  <c r="G52" i="76"/>
  <c r="H52" i="76"/>
  <c r="J52" i="76"/>
  <c r="K52" i="76"/>
  <c r="M52" i="76"/>
  <c r="N52" i="76"/>
  <c r="P52" i="76"/>
  <c r="Q52" i="76"/>
  <c r="S52" i="76"/>
  <c r="T52" i="76"/>
  <c r="V52" i="76"/>
  <c r="W52" i="76"/>
  <c r="Y52" i="76"/>
  <c r="Z52" i="76"/>
  <c r="AB52" i="76"/>
  <c r="AC52" i="76"/>
  <c r="AE52" i="76"/>
  <c r="AF52" i="76"/>
  <c r="B50" i="76"/>
  <c r="D50" i="76"/>
  <c r="E50" i="76"/>
  <c r="G50" i="76"/>
  <c r="H50" i="76"/>
  <c r="J50" i="76"/>
  <c r="K50" i="76"/>
  <c r="M50" i="76"/>
  <c r="N50" i="76"/>
  <c r="P50" i="76"/>
  <c r="Q50" i="76"/>
  <c r="S50" i="76"/>
  <c r="T50" i="76"/>
  <c r="V50" i="76"/>
  <c r="W50" i="76"/>
  <c r="Y50" i="76"/>
  <c r="Z50" i="76"/>
  <c r="AB50" i="76"/>
  <c r="AC50" i="76"/>
  <c r="AE50" i="76"/>
  <c r="AF50" i="76"/>
  <c r="AG50" i="76"/>
  <c r="B49" i="76"/>
  <c r="D49" i="76"/>
  <c r="E49" i="76"/>
  <c r="G49" i="76"/>
  <c r="H49" i="76"/>
  <c r="J49" i="76"/>
  <c r="K49" i="76"/>
  <c r="M49" i="76"/>
  <c r="N49" i="76"/>
  <c r="P49" i="76"/>
  <c r="Q49" i="76"/>
  <c r="S49" i="76"/>
  <c r="T49" i="76"/>
  <c r="V49" i="76"/>
  <c r="W49" i="76"/>
  <c r="Y49" i="76"/>
  <c r="Z49" i="76"/>
  <c r="AB49" i="76"/>
  <c r="AC49" i="76"/>
  <c r="AE49" i="76"/>
  <c r="AF49" i="76"/>
  <c r="AG49" i="76"/>
  <c r="B48" i="76"/>
  <c r="D48" i="76"/>
  <c r="E48" i="76"/>
  <c r="G48" i="76"/>
  <c r="H48" i="76"/>
  <c r="J48" i="76"/>
  <c r="K48" i="76"/>
  <c r="M48" i="76"/>
  <c r="N48" i="76"/>
  <c r="P48" i="76"/>
  <c r="Q48" i="76"/>
  <c r="S48" i="76"/>
  <c r="T48" i="76"/>
  <c r="V48" i="76"/>
  <c r="W48" i="76"/>
  <c r="Y48" i="76"/>
  <c r="Z48" i="76"/>
  <c r="AB48" i="76"/>
  <c r="AC48" i="76"/>
  <c r="AE48" i="76"/>
  <c r="AF48" i="76"/>
  <c r="AG48" i="76"/>
  <c r="B47" i="76"/>
  <c r="D47" i="76"/>
  <c r="E47" i="76"/>
  <c r="G47" i="76"/>
  <c r="H47" i="76"/>
  <c r="J47" i="76"/>
  <c r="K47" i="76"/>
  <c r="M47" i="76"/>
  <c r="N47" i="76"/>
  <c r="P47" i="76"/>
  <c r="Q47" i="76"/>
  <c r="S47" i="76"/>
  <c r="T47" i="76"/>
  <c r="V47" i="76"/>
  <c r="W47" i="76"/>
  <c r="Y47" i="76"/>
  <c r="Z47" i="76"/>
  <c r="AB47" i="76"/>
  <c r="AC47" i="76"/>
  <c r="AE47" i="76"/>
  <c r="AF47" i="76"/>
  <c r="AG47" i="76"/>
  <c r="B46" i="76"/>
  <c r="D46" i="76"/>
  <c r="E46" i="76"/>
  <c r="G46" i="76"/>
  <c r="H46" i="76"/>
  <c r="J46" i="76"/>
  <c r="K46" i="76"/>
  <c r="M46" i="76"/>
  <c r="N46" i="76"/>
  <c r="P46" i="76"/>
  <c r="Q46" i="76"/>
  <c r="S46" i="76"/>
  <c r="T46" i="76"/>
  <c r="V46" i="76"/>
  <c r="W46" i="76"/>
  <c r="Y46" i="76"/>
  <c r="Z46" i="76"/>
  <c r="AB46" i="76"/>
  <c r="AC46" i="76"/>
  <c r="AE46" i="76"/>
  <c r="AF46" i="76"/>
  <c r="AG46" i="76"/>
  <c r="AC39" i="76"/>
  <c r="AE39" i="76"/>
  <c r="AC40" i="76"/>
  <c r="AE40" i="76"/>
  <c r="AC41" i="76"/>
  <c r="AE41" i="76"/>
  <c r="AC42" i="76"/>
  <c r="AE42" i="76"/>
  <c r="AC43" i="76"/>
  <c r="AE43" i="76"/>
  <c r="AC44" i="76"/>
  <c r="Z39" i="76"/>
  <c r="AB39" i="76"/>
  <c r="Z40" i="76"/>
  <c r="AB40" i="76"/>
  <c r="Z41" i="76"/>
  <c r="AB41" i="76"/>
  <c r="Z42" i="76"/>
  <c r="AB42" i="76"/>
  <c r="Z43" i="76"/>
  <c r="AB43" i="76"/>
  <c r="Z44" i="76"/>
  <c r="W39" i="76"/>
  <c r="Y39" i="76"/>
  <c r="W40" i="76"/>
  <c r="Y40" i="76"/>
  <c r="W41" i="76"/>
  <c r="Y41" i="76"/>
  <c r="W42" i="76"/>
  <c r="Y42" i="76"/>
  <c r="W43" i="76"/>
  <c r="Y43" i="76"/>
  <c r="W44" i="76"/>
  <c r="AE37" i="76"/>
  <c r="AC37" i="76"/>
  <c r="AD37" i="76"/>
  <c r="AB37" i="76"/>
  <c r="Z37" i="76"/>
  <c r="AA37" i="76"/>
  <c r="Y37" i="76"/>
  <c r="W37" i="76"/>
  <c r="X37" i="76"/>
  <c r="AE30" i="76"/>
  <c r="AC30" i="76"/>
  <c r="AB30" i="76"/>
  <c r="Z30" i="76"/>
  <c r="Y30" i="76"/>
  <c r="W30" i="76"/>
  <c r="V30" i="76"/>
  <c r="T30" i="76"/>
  <c r="S30" i="76"/>
  <c r="Q30" i="76"/>
  <c r="P30" i="76"/>
  <c r="N30" i="76"/>
  <c r="M30" i="76"/>
  <c r="K30" i="76"/>
  <c r="J30" i="76"/>
  <c r="H30" i="76"/>
  <c r="G30" i="76"/>
  <c r="E30" i="76"/>
  <c r="D30" i="76"/>
  <c r="B30" i="76"/>
  <c r="AD29" i="76"/>
  <c r="AA29" i="76"/>
  <c r="X29" i="76"/>
  <c r="U29" i="76"/>
  <c r="R29" i="76"/>
  <c r="O29" i="76"/>
  <c r="L29" i="76"/>
  <c r="I29" i="76"/>
  <c r="F29" i="76"/>
  <c r="A29" i="76"/>
  <c r="AG28" i="76"/>
  <c r="AH28" i="76"/>
  <c r="AI28" i="76"/>
  <c r="AJ28" i="76"/>
  <c r="AK28" i="76"/>
  <c r="AL28" i="76"/>
  <c r="AM28" i="76"/>
  <c r="AN28" i="76"/>
  <c r="AO28" i="76"/>
  <c r="AP28" i="76"/>
  <c r="AQ28" i="76"/>
  <c r="AF28" i="76"/>
  <c r="AD28" i="76"/>
  <c r="AA28" i="76"/>
  <c r="X28" i="76"/>
  <c r="U28" i="76"/>
  <c r="R28" i="76"/>
  <c r="O28" i="76"/>
  <c r="L28" i="76"/>
  <c r="I28" i="76"/>
  <c r="F28" i="76"/>
  <c r="A28" i="76"/>
  <c r="AG27" i="76"/>
  <c r="AH27" i="76"/>
  <c r="AI27" i="76"/>
  <c r="AJ27" i="76"/>
  <c r="AK27" i="76"/>
  <c r="AL27" i="76"/>
  <c r="AM27" i="76"/>
  <c r="AN27" i="76"/>
  <c r="AO27" i="76"/>
  <c r="AP27" i="76"/>
  <c r="AQ27" i="76"/>
  <c r="AF27" i="76"/>
  <c r="AD27" i="76"/>
  <c r="AA27" i="76"/>
  <c r="X27" i="76"/>
  <c r="U27" i="76"/>
  <c r="R27" i="76"/>
  <c r="O27" i="76"/>
  <c r="L27" i="76"/>
  <c r="I27" i="76"/>
  <c r="F27" i="76"/>
  <c r="A27" i="76"/>
  <c r="AG26" i="76"/>
  <c r="AH26" i="76"/>
  <c r="AI26" i="76"/>
  <c r="AJ26" i="76"/>
  <c r="AK26" i="76"/>
  <c r="AL26" i="76"/>
  <c r="AM26" i="76"/>
  <c r="AN26" i="76"/>
  <c r="AO26" i="76"/>
  <c r="AP26" i="76"/>
  <c r="AQ26" i="76"/>
  <c r="AF26" i="76"/>
  <c r="AD26" i="76"/>
  <c r="AA26" i="76"/>
  <c r="X26" i="76"/>
  <c r="U26" i="76"/>
  <c r="R26" i="76"/>
  <c r="O26" i="76"/>
  <c r="L26" i="76"/>
  <c r="I26" i="76"/>
  <c r="F26" i="76"/>
  <c r="A26" i="76"/>
  <c r="AG25" i="76"/>
  <c r="AH25" i="76"/>
  <c r="AI25" i="76"/>
  <c r="AJ25" i="76"/>
  <c r="AK25" i="76"/>
  <c r="AL25" i="76"/>
  <c r="AM25" i="76"/>
  <c r="AN25" i="76"/>
  <c r="AO25" i="76"/>
  <c r="AP25" i="76"/>
  <c r="AQ25" i="76"/>
  <c r="AF25" i="76"/>
  <c r="AD25" i="76"/>
  <c r="AA25" i="76"/>
  <c r="X25" i="76"/>
  <c r="U25" i="76"/>
  <c r="R25" i="76"/>
  <c r="O25" i="76"/>
  <c r="L25" i="76"/>
  <c r="I25" i="76"/>
  <c r="F25" i="76"/>
  <c r="AG24" i="76"/>
  <c r="AH24" i="76"/>
  <c r="AI24" i="76"/>
  <c r="AJ24" i="76"/>
  <c r="AK24" i="76"/>
  <c r="AL24" i="76"/>
  <c r="AM24" i="76"/>
  <c r="AN24" i="76"/>
  <c r="AO24" i="76"/>
  <c r="AP24" i="76"/>
  <c r="AQ24" i="76"/>
  <c r="AF24" i="76"/>
  <c r="AD24" i="76"/>
  <c r="AA24" i="76"/>
  <c r="X24" i="76"/>
  <c r="U24" i="76"/>
  <c r="R24" i="76"/>
  <c r="O24" i="76"/>
  <c r="L24" i="76"/>
  <c r="I24" i="76"/>
  <c r="F24" i="76"/>
  <c r="AC22" i="76"/>
  <c r="Z22" i="76"/>
  <c r="W22" i="76"/>
  <c r="T22" i="76"/>
  <c r="Q22" i="76"/>
  <c r="N22" i="76"/>
  <c r="K22" i="76"/>
  <c r="H22" i="76"/>
  <c r="E22" i="76"/>
  <c r="E17" i="76"/>
  <c r="AC16" i="76"/>
  <c r="Z16" i="76"/>
  <c r="W16" i="76"/>
  <c r="R16" i="76"/>
  <c r="L16" i="76"/>
  <c r="A16" i="76"/>
  <c r="E15" i="76"/>
  <c r="E8" i="75"/>
  <c r="B94" i="75"/>
  <c r="B124" i="75"/>
  <c r="B141" i="75"/>
  <c r="AT140" i="75"/>
  <c r="E14" i="75"/>
  <c r="L94" i="75"/>
  <c r="B125" i="75"/>
  <c r="B142" i="75"/>
  <c r="AT141" i="75"/>
  <c r="B133" i="75"/>
  <c r="B134" i="75"/>
  <c r="B135" i="75"/>
  <c r="B136" i="75"/>
  <c r="D133" i="75"/>
  <c r="D134" i="75"/>
  <c r="D135" i="75"/>
  <c r="D136" i="75"/>
  <c r="H132" i="75"/>
  <c r="E133" i="75"/>
  <c r="E134" i="75"/>
  <c r="E135" i="75"/>
  <c r="E136" i="75"/>
  <c r="G133" i="75"/>
  <c r="G134" i="75"/>
  <c r="G135" i="75"/>
  <c r="G136" i="75"/>
  <c r="J132" i="75"/>
  <c r="B79" i="75"/>
  <c r="AT79" i="75"/>
  <c r="E10" i="75"/>
  <c r="B80" i="75"/>
  <c r="AT80" i="75"/>
  <c r="E12" i="75"/>
  <c r="B81" i="75"/>
  <c r="AT81" i="75"/>
  <c r="B82" i="75"/>
  <c r="AT82" i="75"/>
  <c r="AC72" i="75"/>
  <c r="AE72" i="75"/>
  <c r="Z72" i="75"/>
  <c r="AB72" i="75"/>
  <c r="W72" i="75"/>
  <c r="Y72" i="75"/>
  <c r="T72" i="75"/>
  <c r="V72" i="75"/>
  <c r="Q31" i="75"/>
  <c r="Q32" i="75"/>
  <c r="Q33" i="75"/>
  <c r="Q34" i="75"/>
  <c r="Q35" i="75"/>
  <c r="Q64" i="75"/>
  <c r="S64" i="75"/>
  <c r="Q65" i="75"/>
  <c r="S31" i="75"/>
  <c r="S32" i="75"/>
  <c r="S33" i="75"/>
  <c r="S34" i="75"/>
  <c r="S35" i="75"/>
  <c r="S65" i="75"/>
  <c r="Q66" i="75"/>
  <c r="S66" i="75"/>
  <c r="Q67" i="75"/>
  <c r="S67" i="75"/>
  <c r="Q68" i="75"/>
  <c r="S68" i="75"/>
  <c r="R71" i="75"/>
  <c r="Q72" i="75"/>
  <c r="N72" i="75"/>
  <c r="P72" i="75"/>
  <c r="K31" i="75"/>
  <c r="K32" i="75"/>
  <c r="K33" i="75"/>
  <c r="K34" i="75"/>
  <c r="K35" i="75"/>
  <c r="K64" i="75"/>
  <c r="M64" i="75"/>
  <c r="K65" i="75"/>
  <c r="M65" i="75"/>
  <c r="K66" i="75"/>
  <c r="M31" i="75"/>
  <c r="M32" i="75"/>
  <c r="M33" i="75"/>
  <c r="M34" i="75"/>
  <c r="M35" i="75"/>
  <c r="M66" i="75"/>
  <c r="K67" i="75"/>
  <c r="M67" i="75"/>
  <c r="K68" i="75"/>
  <c r="M68" i="75"/>
  <c r="L71" i="75"/>
  <c r="K72" i="75"/>
  <c r="H72" i="75"/>
  <c r="J72" i="75"/>
  <c r="E31" i="75"/>
  <c r="E32" i="75"/>
  <c r="E33" i="75"/>
  <c r="E34" i="75"/>
  <c r="E35" i="75"/>
  <c r="E64" i="75"/>
  <c r="G64" i="75"/>
  <c r="E65" i="75"/>
  <c r="G65" i="75"/>
  <c r="E66" i="75"/>
  <c r="G66" i="75"/>
  <c r="E67" i="75"/>
  <c r="G31" i="75"/>
  <c r="G32" i="75"/>
  <c r="G33" i="75"/>
  <c r="G34" i="75"/>
  <c r="G35" i="75"/>
  <c r="G67" i="75"/>
  <c r="E68" i="75"/>
  <c r="G68" i="75"/>
  <c r="F71" i="75"/>
  <c r="E72" i="75"/>
  <c r="B72" i="75"/>
  <c r="D72" i="75"/>
  <c r="C79" i="75"/>
  <c r="D79" i="75"/>
  <c r="E85" i="75"/>
  <c r="E36" i="75"/>
  <c r="B75" i="75"/>
  <c r="D75" i="75"/>
  <c r="C82" i="75"/>
  <c r="D82" i="75"/>
  <c r="G85" i="75"/>
  <c r="G36" i="75"/>
  <c r="E86" i="75"/>
  <c r="E87" i="75"/>
  <c r="G79" i="75"/>
  <c r="J79" i="75"/>
  <c r="K85" i="75"/>
  <c r="K36" i="75"/>
  <c r="H74" i="75"/>
  <c r="J74" i="75"/>
  <c r="E74" i="75"/>
  <c r="G74" i="75"/>
  <c r="B74" i="75"/>
  <c r="B64" i="75"/>
  <c r="D64" i="75"/>
  <c r="B31" i="75"/>
  <c r="B32" i="75"/>
  <c r="B33" i="75"/>
  <c r="B34" i="75"/>
  <c r="B35" i="75"/>
  <c r="B65" i="75"/>
  <c r="D65" i="75"/>
  <c r="B66" i="75"/>
  <c r="D31" i="75"/>
  <c r="D32" i="75"/>
  <c r="D33" i="75"/>
  <c r="D34" i="75"/>
  <c r="D35" i="75"/>
  <c r="D66" i="75"/>
  <c r="B67" i="75"/>
  <c r="D67" i="75"/>
  <c r="B68" i="75"/>
  <c r="D68" i="75"/>
  <c r="C71" i="75"/>
  <c r="D74" i="75"/>
  <c r="C81" i="75"/>
  <c r="D85" i="75"/>
  <c r="D36" i="75"/>
  <c r="C80" i="75"/>
  <c r="B85" i="75"/>
  <c r="B36" i="75"/>
  <c r="D86" i="75"/>
  <c r="D87" i="75"/>
  <c r="D81" i="75"/>
  <c r="G81" i="75"/>
  <c r="J81" i="75"/>
  <c r="M85" i="75"/>
  <c r="M36" i="75"/>
  <c r="K86" i="75"/>
  <c r="K87" i="75"/>
  <c r="M79" i="75"/>
  <c r="P79" i="75"/>
  <c r="Q85" i="75"/>
  <c r="Q36" i="75"/>
  <c r="N73" i="75"/>
  <c r="P73" i="75"/>
  <c r="K73" i="75"/>
  <c r="M73" i="75"/>
  <c r="H64" i="75"/>
  <c r="J64" i="75"/>
  <c r="H31" i="75"/>
  <c r="H32" i="75"/>
  <c r="H33" i="75"/>
  <c r="H34" i="75"/>
  <c r="H35" i="75"/>
  <c r="H65" i="75"/>
  <c r="J65" i="75"/>
  <c r="H66" i="75"/>
  <c r="J66" i="75"/>
  <c r="H67" i="75"/>
  <c r="J31" i="75"/>
  <c r="J32" i="75"/>
  <c r="J33" i="75"/>
  <c r="J34" i="75"/>
  <c r="J35" i="75"/>
  <c r="J67" i="75"/>
  <c r="H68" i="75"/>
  <c r="J68" i="75"/>
  <c r="I71" i="75"/>
  <c r="H73" i="75"/>
  <c r="E73" i="75"/>
  <c r="G73" i="75"/>
  <c r="B73" i="75"/>
  <c r="B86" i="75"/>
  <c r="B87" i="75"/>
  <c r="D80" i="75"/>
  <c r="G80" i="75"/>
  <c r="H85" i="75"/>
  <c r="H36" i="75"/>
  <c r="E75" i="75"/>
  <c r="G75" i="75"/>
  <c r="G86" i="75"/>
  <c r="G87" i="75"/>
  <c r="G82" i="75"/>
  <c r="J85" i="75"/>
  <c r="J36" i="75"/>
  <c r="H86" i="75"/>
  <c r="H87" i="75"/>
  <c r="J80" i="75"/>
  <c r="M80" i="75"/>
  <c r="P80" i="75"/>
  <c r="S85" i="75"/>
  <c r="S36" i="75"/>
  <c r="Q86" i="75"/>
  <c r="Q87" i="75"/>
  <c r="S79" i="75"/>
  <c r="V79" i="75"/>
  <c r="Y79" i="75"/>
  <c r="AB79" i="75"/>
  <c r="AE79" i="75"/>
  <c r="AU79" i="75"/>
  <c r="AC73" i="75"/>
  <c r="AE73" i="75"/>
  <c r="Z73" i="75"/>
  <c r="AB73" i="75"/>
  <c r="W73" i="75"/>
  <c r="Y73" i="75"/>
  <c r="T73" i="75"/>
  <c r="V73" i="75"/>
  <c r="Q73" i="75"/>
  <c r="S73" i="75"/>
  <c r="S86" i="75"/>
  <c r="S87" i="75"/>
  <c r="S80" i="75"/>
  <c r="V80" i="75"/>
  <c r="Y80" i="75"/>
  <c r="AB80" i="75"/>
  <c r="AE80" i="75"/>
  <c r="AU80" i="75"/>
  <c r="AC74" i="75"/>
  <c r="AE74" i="75"/>
  <c r="Z74" i="75"/>
  <c r="AB74" i="75"/>
  <c r="W74" i="75"/>
  <c r="Y74" i="75"/>
  <c r="T74" i="75"/>
  <c r="V74" i="75"/>
  <c r="Q74" i="75"/>
  <c r="S74" i="75"/>
  <c r="N64" i="75"/>
  <c r="P64" i="75"/>
  <c r="N65" i="75"/>
  <c r="P65" i="75"/>
  <c r="N31" i="75"/>
  <c r="N32" i="75"/>
  <c r="N33" i="75"/>
  <c r="N34" i="75"/>
  <c r="N35" i="75"/>
  <c r="N66" i="75"/>
  <c r="P66" i="75"/>
  <c r="N67" i="75"/>
  <c r="P31" i="75"/>
  <c r="P32" i="75"/>
  <c r="P33" i="75"/>
  <c r="P34" i="75"/>
  <c r="P35" i="75"/>
  <c r="P67" i="75"/>
  <c r="N68" i="75"/>
  <c r="P68" i="75"/>
  <c r="O71" i="75"/>
  <c r="N74" i="75"/>
  <c r="K74" i="75"/>
  <c r="M74" i="75"/>
  <c r="M86" i="75"/>
  <c r="M87" i="75"/>
  <c r="M81" i="75"/>
  <c r="N85" i="75"/>
  <c r="N36" i="75"/>
  <c r="K75" i="75"/>
  <c r="M75" i="75"/>
  <c r="H75" i="75"/>
  <c r="J75" i="75"/>
  <c r="J86" i="75"/>
  <c r="J87" i="75"/>
  <c r="J82" i="75"/>
  <c r="M82" i="75"/>
  <c r="P85" i="75"/>
  <c r="P36" i="75"/>
  <c r="N86" i="75"/>
  <c r="N87" i="75"/>
  <c r="P81" i="75"/>
  <c r="S81" i="75"/>
  <c r="V81" i="75"/>
  <c r="Y81" i="75"/>
  <c r="AB81" i="75"/>
  <c r="AE81" i="75"/>
  <c r="AU81" i="75"/>
  <c r="AC75" i="75"/>
  <c r="AE75" i="75"/>
  <c r="Z75" i="75"/>
  <c r="AB75" i="75"/>
  <c r="W75" i="75"/>
  <c r="Y75" i="75"/>
  <c r="T75" i="75"/>
  <c r="V75" i="75"/>
  <c r="Q75" i="75"/>
  <c r="S75" i="75"/>
  <c r="N75" i="75"/>
  <c r="P75" i="75"/>
  <c r="P86" i="75"/>
  <c r="P87" i="75"/>
  <c r="P82" i="75"/>
  <c r="S82" i="75"/>
  <c r="V82" i="75"/>
  <c r="Y82" i="75"/>
  <c r="AB82" i="75"/>
  <c r="AE82" i="75"/>
  <c r="AU82" i="75"/>
  <c r="E16" i="75"/>
  <c r="B83" i="75"/>
  <c r="AT83" i="75"/>
  <c r="AC76" i="75"/>
  <c r="AE76" i="75"/>
  <c r="Z76" i="75"/>
  <c r="AB76" i="75"/>
  <c r="W76" i="75"/>
  <c r="Y76" i="75"/>
  <c r="T76" i="75"/>
  <c r="V76" i="75"/>
  <c r="Q76" i="75"/>
  <c r="S76" i="75"/>
  <c r="N76" i="75"/>
  <c r="P76" i="75"/>
  <c r="K76" i="75"/>
  <c r="M76" i="75"/>
  <c r="H76" i="75"/>
  <c r="J76" i="75"/>
  <c r="E76" i="75"/>
  <c r="G76" i="75"/>
  <c r="B76" i="75"/>
  <c r="D76" i="75"/>
  <c r="C83" i="75"/>
  <c r="D83" i="75"/>
  <c r="G83" i="75"/>
  <c r="J83" i="75"/>
  <c r="M83" i="75"/>
  <c r="P83" i="75"/>
  <c r="S83" i="75"/>
  <c r="V83" i="75"/>
  <c r="Y83" i="75"/>
  <c r="AB83" i="75"/>
  <c r="AE83" i="75"/>
  <c r="AU83" i="75"/>
  <c r="AX6" i="75"/>
  <c r="C142" i="75"/>
  <c r="D142" i="75"/>
  <c r="E145" i="75"/>
  <c r="E146" i="75"/>
  <c r="E147" i="75"/>
  <c r="G142" i="75"/>
  <c r="J142" i="75"/>
  <c r="AU141" i="75"/>
  <c r="AY6" i="75"/>
  <c r="AY14" i="76"/>
  <c r="AX14" i="76"/>
  <c r="AW14" i="76"/>
  <c r="AV14" i="76"/>
  <c r="AU14" i="76"/>
  <c r="AC14" i="76"/>
  <c r="Z14" i="76"/>
  <c r="W14" i="76"/>
  <c r="R14" i="76"/>
  <c r="L14" i="76"/>
  <c r="A14" i="76"/>
  <c r="V94" i="75"/>
  <c r="B126" i="75"/>
  <c r="B143" i="75"/>
  <c r="AT142" i="75"/>
  <c r="AX5" i="75"/>
  <c r="C143" i="75"/>
  <c r="D143" i="75"/>
  <c r="G145" i="75"/>
  <c r="G146" i="75"/>
  <c r="G147" i="75"/>
  <c r="G143" i="75"/>
  <c r="J143" i="75"/>
  <c r="AU142" i="75"/>
  <c r="AY5" i="75"/>
  <c r="AY13" i="76"/>
  <c r="AX13" i="76"/>
  <c r="AW13" i="76"/>
  <c r="AV13" i="76"/>
  <c r="AU13" i="76"/>
  <c r="E13" i="76"/>
  <c r="AF94" i="75"/>
  <c r="B127" i="75"/>
  <c r="B144" i="75"/>
  <c r="AT143" i="75"/>
  <c r="AX4" i="75"/>
  <c r="C144" i="75"/>
  <c r="D145" i="75"/>
  <c r="D146" i="75"/>
  <c r="D147" i="75"/>
  <c r="D144" i="75"/>
  <c r="G144" i="75"/>
  <c r="J144" i="75"/>
  <c r="AU143" i="75"/>
  <c r="AY4" i="75"/>
  <c r="AY12" i="76"/>
  <c r="AX12" i="76"/>
  <c r="AW12" i="76"/>
  <c r="AV12" i="76"/>
  <c r="AU12" i="76"/>
  <c r="AC12" i="76"/>
  <c r="Z12" i="76"/>
  <c r="W12" i="76"/>
  <c r="R12" i="76"/>
  <c r="L12" i="76"/>
  <c r="A12" i="76"/>
  <c r="AX3" i="75"/>
  <c r="C141" i="75"/>
  <c r="B145" i="75"/>
  <c r="B146" i="75"/>
  <c r="B147" i="75"/>
  <c r="D141" i="75"/>
  <c r="G141" i="75"/>
  <c r="J141" i="75"/>
  <c r="AU140" i="75"/>
  <c r="AY3" i="75"/>
  <c r="AY11" i="76"/>
  <c r="AX11" i="76"/>
  <c r="AW11" i="76"/>
  <c r="AV11" i="76"/>
  <c r="AU11" i="76"/>
  <c r="E11" i="76"/>
  <c r="AC10" i="76"/>
  <c r="Z10" i="76"/>
  <c r="W10" i="76"/>
  <c r="R10" i="76"/>
  <c r="L10" i="76"/>
  <c r="A10" i="76"/>
  <c r="E9" i="76"/>
  <c r="AC8" i="76"/>
  <c r="Z8" i="76"/>
  <c r="W8" i="76"/>
  <c r="R8" i="76"/>
  <c r="L8" i="76"/>
  <c r="A8" i="76"/>
  <c r="AX7" i="76"/>
  <c r="AY7" i="76"/>
  <c r="R7" i="76"/>
  <c r="L7" i="76"/>
  <c r="AX6" i="76"/>
  <c r="AY6" i="76"/>
  <c r="K6" i="76"/>
  <c r="AX5" i="76"/>
  <c r="AY5" i="76"/>
  <c r="AX4" i="76"/>
  <c r="AY4" i="76"/>
  <c r="AX3" i="76"/>
  <c r="AY3" i="76"/>
  <c r="AU147" i="75"/>
  <c r="AT147" i="75"/>
  <c r="J145" i="75"/>
  <c r="J133" i="75"/>
  <c r="J134" i="75"/>
  <c r="J135" i="75"/>
  <c r="J136" i="75"/>
  <c r="H133" i="75"/>
  <c r="H134" i="75"/>
  <c r="H135" i="75"/>
  <c r="H136" i="75"/>
  <c r="J146" i="75"/>
  <c r="J147" i="75"/>
  <c r="H145" i="75"/>
  <c r="H146" i="75"/>
  <c r="H147" i="75"/>
  <c r="AU146" i="75"/>
  <c r="AT146" i="75"/>
  <c r="AU145" i="75"/>
  <c r="AT145" i="75"/>
  <c r="AU144" i="75"/>
  <c r="AT144" i="75"/>
  <c r="K137" i="75"/>
  <c r="E11" i="75"/>
  <c r="AL94" i="75"/>
  <c r="K127" i="75"/>
  <c r="E13" i="75"/>
  <c r="AB94" i="75"/>
  <c r="K126" i="75"/>
  <c r="E15" i="75"/>
  <c r="R94" i="75"/>
  <c r="K125" i="75"/>
  <c r="E9" i="75"/>
  <c r="H94" i="75"/>
  <c r="K124" i="75"/>
  <c r="A118" i="75"/>
  <c r="F117" i="75"/>
  <c r="A113" i="75"/>
  <c r="J112" i="75"/>
  <c r="A109" i="75"/>
  <c r="F107" i="75"/>
  <c r="A107" i="75"/>
  <c r="A104" i="75"/>
  <c r="A89" i="75"/>
  <c r="AE85" i="75"/>
  <c r="AE31" i="75"/>
  <c r="AE32" i="75"/>
  <c r="AE33" i="75"/>
  <c r="AE34" i="75"/>
  <c r="AE35" i="75"/>
  <c r="AE36" i="75"/>
  <c r="AC85" i="75"/>
  <c r="AC31" i="75"/>
  <c r="AC32" i="75"/>
  <c r="AC33" i="75"/>
  <c r="AC34" i="75"/>
  <c r="AC35" i="75"/>
  <c r="AC36" i="75"/>
  <c r="AE86" i="75"/>
  <c r="AE87" i="75"/>
  <c r="AC86" i="75"/>
  <c r="AC87" i="75"/>
  <c r="AB85" i="75"/>
  <c r="AB31" i="75"/>
  <c r="AB32" i="75"/>
  <c r="AB33" i="75"/>
  <c r="AB34" i="75"/>
  <c r="AB35" i="75"/>
  <c r="AB36" i="75"/>
  <c r="Z85" i="75"/>
  <c r="Z31" i="75"/>
  <c r="Z32" i="75"/>
  <c r="Z33" i="75"/>
  <c r="Z34" i="75"/>
  <c r="Z35" i="75"/>
  <c r="Z36" i="75"/>
  <c r="AB86" i="75"/>
  <c r="AB87" i="75"/>
  <c r="Z86" i="75"/>
  <c r="Z87" i="75"/>
  <c r="Y85" i="75"/>
  <c r="Y31" i="75"/>
  <c r="Y32" i="75"/>
  <c r="Y33" i="75"/>
  <c r="Y34" i="75"/>
  <c r="Y35" i="75"/>
  <c r="Y36" i="75"/>
  <c r="W85" i="75"/>
  <c r="W31" i="75"/>
  <c r="W32" i="75"/>
  <c r="W33" i="75"/>
  <c r="W34" i="75"/>
  <c r="W35" i="75"/>
  <c r="W36" i="75"/>
  <c r="Y86" i="75"/>
  <c r="Y87" i="75"/>
  <c r="W86" i="75"/>
  <c r="W87" i="75"/>
  <c r="V85" i="75"/>
  <c r="V31" i="75"/>
  <c r="V32" i="75"/>
  <c r="V33" i="75"/>
  <c r="V34" i="75"/>
  <c r="V35" i="75"/>
  <c r="V36" i="75"/>
  <c r="T85" i="75"/>
  <c r="T31" i="75"/>
  <c r="T32" i="75"/>
  <c r="T33" i="75"/>
  <c r="T34" i="75"/>
  <c r="T35" i="75"/>
  <c r="T36" i="75"/>
  <c r="V86" i="75"/>
  <c r="V87" i="75"/>
  <c r="T86" i="75"/>
  <c r="T87" i="75"/>
  <c r="AF76" i="75"/>
  <c r="AF75" i="75"/>
  <c r="P74" i="75"/>
  <c r="AF74" i="75"/>
  <c r="D73" i="75"/>
  <c r="J73" i="75"/>
  <c r="AF73" i="75"/>
  <c r="G72" i="75"/>
  <c r="M72" i="75"/>
  <c r="S72" i="75"/>
  <c r="AF72" i="75"/>
  <c r="AC64" i="75"/>
  <c r="AE64" i="75"/>
  <c r="AC65" i="75"/>
  <c r="AE65" i="75"/>
  <c r="AC66" i="75"/>
  <c r="AE66" i="75"/>
  <c r="AC67" i="75"/>
  <c r="AE67" i="75"/>
  <c r="AC68" i="75"/>
  <c r="AE68" i="75"/>
  <c r="AD71" i="75"/>
  <c r="Z64" i="75"/>
  <c r="AB64" i="75"/>
  <c r="Z65" i="75"/>
  <c r="AB65" i="75"/>
  <c r="Z66" i="75"/>
  <c r="AB66" i="75"/>
  <c r="Z67" i="75"/>
  <c r="AB67" i="75"/>
  <c r="Z68" i="75"/>
  <c r="AB68" i="75"/>
  <c r="AA71" i="75"/>
  <c r="W64" i="75"/>
  <c r="Y64" i="75"/>
  <c r="W65" i="75"/>
  <c r="Y65" i="75"/>
  <c r="W66" i="75"/>
  <c r="Y66" i="75"/>
  <c r="W67" i="75"/>
  <c r="Y67" i="75"/>
  <c r="W68" i="75"/>
  <c r="Y68" i="75"/>
  <c r="X71" i="75"/>
  <c r="T64" i="75"/>
  <c r="V64" i="75"/>
  <c r="T65" i="75"/>
  <c r="V65" i="75"/>
  <c r="T66" i="75"/>
  <c r="V66" i="75"/>
  <c r="T67" i="75"/>
  <c r="V67" i="75"/>
  <c r="T68" i="75"/>
  <c r="V68" i="75"/>
  <c r="U71" i="75"/>
  <c r="AF68" i="75"/>
  <c r="AG68" i="75"/>
  <c r="AF67" i="75"/>
  <c r="AG67" i="75"/>
  <c r="AF66" i="75"/>
  <c r="AG66" i="75"/>
  <c r="AF65" i="75"/>
  <c r="AG65" i="75"/>
  <c r="AF64" i="75"/>
  <c r="AG64" i="75"/>
  <c r="B62" i="75"/>
  <c r="D62" i="75"/>
  <c r="E62" i="75"/>
  <c r="G62" i="75"/>
  <c r="H62" i="75"/>
  <c r="J62" i="75"/>
  <c r="K62" i="75"/>
  <c r="M62" i="75"/>
  <c r="N62" i="75"/>
  <c r="P62" i="75"/>
  <c r="Q62" i="75"/>
  <c r="S62" i="75"/>
  <c r="T62" i="75"/>
  <c r="V62" i="75"/>
  <c r="W62" i="75"/>
  <c r="Y62" i="75"/>
  <c r="Z62" i="75"/>
  <c r="AB62" i="75"/>
  <c r="AC62" i="75"/>
  <c r="AE62" i="75"/>
  <c r="AF62" i="75"/>
  <c r="B61" i="75"/>
  <c r="D61" i="75"/>
  <c r="E61" i="75"/>
  <c r="E39" i="75"/>
  <c r="G39" i="75"/>
  <c r="E40" i="75"/>
  <c r="G40" i="75"/>
  <c r="E41" i="75"/>
  <c r="G41" i="75"/>
  <c r="E42" i="75"/>
  <c r="G42" i="75"/>
  <c r="E43" i="75"/>
  <c r="G43" i="75"/>
  <c r="E44" i="75"/>
  <c r="G61" i="75"/>
  <c r="H61" i="75"/>
  <c r="H39" i="75"/>
  <c r="J39" i="75"/>
  <c r="H40" i="75"/>
  <c r="J40" i="75"/>
  <c r="H41" i="75"/>
  <c r="J41" i="75"/>
  <c r="H42" i="75"/>
  <c r="J42" i="75"/>
  <c r="H43" i="75"/>
  <c r="J43" i="75"/>
  <c r="H44" i="75"/>
  <c r="J61" i="75"/>
  <c r="K61" i="75"/>
  <c r="M61" i="75"/>
  <c r="N61" i="75"/>
  <c r="N39" i="75"/>
  <c r="P39" i="75"/>
  <c r="N40" i="75"/>
  <c r="P40" i="75"/>
  <c r="N41" i="75"/>
  <c r="P41" i="75"/>
  <c r="N42" i="75"/>
  <c r="P42" i="75"/>
  <c r="N43" i="75"/>
  <c r="P43" i="75"/>
  <c r="N44" i="75"/>
  <c r="P61" i="75"/>
  <c r="Q61" i="75"/>
  <c r="S61" i="75"/>
  <c r="T61" i="75"/>
  <c r="V61" i="75"/>
  <c r="W61" i="75"/>
  <c r="Y61" i="75"/>
  <c r="Z61" i="75"/>
  <c r="AB61" i="75"/>
  <c r="AC61" i="75"/>
  <c r="AE61" i="75"/>
  <c r="AF61" i="75"/>
  <c r="B60" i="75"/>
  <c r="B39" i="75"/>
  <c r="D39" i="75"/>
  <c r="B40" i="75"/>
  <c r="D40" i="75"/>
  <c r="B41" i="75"/>
  <c r="D41" i="75"/>
  <c r="B42" i="75"/>
  <c r="D42" i="75"/>
  <c r="B43" i="75"/>
  <c r="D43" i="75"/>
  <c r="B44" i="75"/>
  <c r="D60" i="75"/>
  <c r="E60" i="75"/>
  <c r="G60" i="75"/>
  <c r="H60" i="75"/>
  <c r="J60" i="75"/>
  <c r="K60" i="75"/>
  <c r="K39" i="75"/>
  <c r="M39" i="75"/>
  <c r="K40" i="75"/>
  <c r="M40" i="75"/>
  <c r="K41" i="75"/>
  <c r="M41" i="75"/>
  <c r="K42" i="75"/>
  <c r="M42" i="75"/>
  <c r="K43" i="75"/>
  <c r="M43" i="75"/>
  <c r="K44" i="75"/>
  <c r="M60" i="75"/>
  <c r="N60" i="75"/>
  <c r="P60" i="75"/>
  <c r="Q60" i="75"/>
  <c r="S60" i="75"/>
  <c r="T60" i="75"/>
  <c r="V60" i="75"/>
  <c r="W60" i="75"/>
  <c r="Y60" i="75"/>
  <c r="Z60" i="75"/>
  <c r="AB60" i="75"/>
  <c r="AC60" i="75"/>
  <c r="AE60" i="75"/>
  <c r="AF60" i="75"/>
  <c r="B59" i="75"/>
  <c r="D59" i="75"/>
  <c r="E59" i="75"/>
  <c r="G59" i="75"/>
  <c r="H59" i="75"/>
  <c r="J59" i="75"/>
  <c r="K59" i="75"/>
  <c r="M59" i="75"/>
  <c r="N59" i="75"/>
  <c r="P59" i="75"/>
  <c r="Q59" i="75"/>
  <c r="Q39" i="75"/>
  <c r="S39" i="75"/>
  <c r="Q40" i="75"/>
  <c r="S40" i="75"/>
  <c r="Q41" i="75"/>
  <c r="S41" i="75"/>
  <c r="Q42" i="75"/>
  <c r="S42" i="75"/>
  <c r="Q43" i="75"/>
  <c r="S43" i="75"/>
  <c r="Q44" i="75"/>
  <c r="S59" i="75"/>
  <c r="T59" i="75"/>
  <c r="V59" i="75"/>
  <c r="W59" i="75"/>
  <c r="Y59" i="75"/>
  <c r="Z59" i="75"/>
  <c r="AB59" i="75"/>
  <c r="AC59" i="75"/>
  <c r="AE59" i="75"/>
  <c r="AF59" i="75"/>
  <c r="B58" i="75"/>
  <c r="D58" i="75"/>
  <c r="E58" i="75"/>
  <c r="G58" i="75"/>
  <c r="H58" i="75"/>
  <c r="J58" i="75"/>
  <c r="K58" i="75"/>
  <c r="M58" i="75"/>
  <c r="N58" i="75"/>
  <c r="P58" i="75"/>
  <c r="Q58" i="75"/>
  <c r="S58" i="75"/>
  <c r="T58" i="75"/>
  <c r="V58" i="75"/>
  <c r="W58" i="75"/>
  <c r="Y58" i="75"/>
  <c r="Z58" i="75"/>
  <c r="AB58" i="75"/>
  <c r="AC58" i="75"/>
  <c r="AE58" i="75"/>
  <c r="AF58" i="75"/>
  <c r="B56" i="75"/>
  <c r="D56" i="75"/>
  <c r="E56" i="75"/>
  <c r="G56" i="75"/>
  <c r="H56" i="75"/>
  <c r="J56" i="75"/>
  <c r="K56" i="75"/>
  <c r="M56" i="75"/>
  <c r="N56" i="75"/>
  <c r="P56" i="75"/>
  <c r="Q56" i="75"/>
  <c r="S56" i="75"/>
  <c r="T56" i="75"/>
  <c r="V56" i="75"/>
  <c r="W56" i="75"/>
  <c r="Y56" i="75"/>
  <c r="Z56" i="75"/>
  <c r="AB56" i="75"/>
  <c r="AC56" i="75"/>
  <c r="AE56" i="75"/>
  <c r="AF56" i="75"/>
  <c r="B55" i="75"/>
  <c r="D55" i="75"/>
  <c r="E55" i="75"/>
  <c r="E37" i="75"/>
  <c r="G37" i="75"/>
  <c r="F37" i="75"/>
  <c r="G55" i="75"/>
  <c r="H55" i="75"/>
  <c r="H37" i="75"/>
  <c r="J37" i="75"/>
  <c r="I37" i="75"/>
  <c r="J55" i="75"/>
  <c r="K55" i="75"/>
  <c r="M55" i="75"/>
  <c r="N55" i="75"/>
  <c r="N37" i="75"/>
  <c r="P37" i="75"/>
  <c r="O37" i="75"/>
  <c r="P55" i="75"/>
  <c r="Q55" i="75"/>
  <c r="S55" i="75"/>
  <c r="T55" i="75"/>
  <c r="V55" i="75"/>
  <c r="W55" i="75"/>
  <c r="Y55" i="75"/>
  <c r="Z55" i="75"/>
  <c r="AB55" i="75"/>
  <c r="AC55" i="75"/>
  <c r="AE55" i="75"/>
  <c r="AF55" i="75"/>
  <c r="B54" i="75"/>
  <c r="B37" i="75"/>
  <c r="D37" i="75"/>
  <c r="C37" i="75"/>
  <c r="D54" i="75"/>
  <c r="E54" i="75"/>
  <c r="G54" i="75"/>
  <c r="H54" i="75"/>
  <c r="J54" i="75"/>
  <c r="K54" i="75"/>
  <c r="K37" i="75"/>
  <c r="M37" i="75"/>
  <c r="L37" i="75"/>
  <c r="M54" i="75"/>
  <c r="N54" i="75"/>
  <c r="P54" i="75"/>
  <c r="Q54" i="75"/>
  <c r="S54" i="75"/>
  <c r="T54" i="75"/>
  <c r="V54" i="75"/>
  <c r="W54" i="75"/>
  <c r="Y54" i="75"/>
  <c r="Z54" i="75"/>
  <c r="AB54" i="75"/>
  <c r="AC54" i="75"/>
  <c r="AE54" i="75"/>
  <c r="AF54" i="75"/>
  <c r="B53" i="75"/>
  <c r="D53" i="75"/>
  <c r="E53" i="75"/>
  <c r="G53" i="75"/>
  <c r="H53" i="75"/>
  <c r="J53" i="75"/>
  <c r="K53" i="75"/>
  <c r="M53" i="75"/>
  <c r="N53" i="75"/>
  <c r="P53" i="75"/>
  <c r="Q53" i="75"/>
  <c r="Q37" i="75"/>
  <c r="S37" i="75"/>
  <c r="R37" i="75"/>
  <c r="S53" i="75"/>
  <c r="T53" i="75"/>
  <c r="V53" i="75"/>
  <c r="W53" i="75"/>
  <c r="Y53" i="75"/>
  <c r="Z53" i="75"/>
  <c r="AB53" i="75"/>
  <c r="AC53" i="75"/>
  <c r="AE53" i="75"/>
  <c r="AF53" i="75"/>
  <c r="B52" i="75"/>
  <c r="D52" i="75"/>
  <c r="E52" i="75"/>
  <c r="G52" i="75"/>
  <c r="H52" i="75"/>
  <c r="J52" i="75"/>
  <c r="K52" i="75"/>
  <c r="M52" i="75"/>
  <c r="N52" i="75"/>
  <c r="P52" i="75"/>
  <c r="Q52" i="75"/>
  <c r="S52" i="75"/>
  <c r="T52" i="75"/>
  <c r="V52" i="75"/>
  <c r="W52" i="75"/>
  <c r="Y52" i="75"/>
  <c r="Z52" i="75"/>
  <c r="AB52" i="75"/>
  <c r="AC52" i="75"/>
  <c r="AE52" i="75"/>
  <c r="AF52" i="75"/>
  <c r="B50" i="75"/>
  <c r="D50" i="75"/>
  <c r="E50" i="75"/>
  <c r="G50" i="75"/>
  <c r="H50" i="75"/>
  <c r="J50" i="75"/>
  <c r="K50" i="75"/>
  <c r="M50" i="75"/>
  <c r="N50" i="75"/>
  <c r="P50" i="75"/>
  <c r="Q50" i="75"/>
  <c r="S50" i="75"/>
  <c r="T50" i="75"/>
  <c r="V50" i="75"/>
  <c r="W50" i="75"/>
  <c r="Y50" i="75"/>
  <c r="Z50" i="75"/>
  <c r="AB50" i="75"/>
  <c r="AC50" i="75"/>
  <c r="AE50" i="75"/>
  <c r="AF50" i="75"/>
  <c r="AG50" i="75"/>
  <c r="B49" i="75"/>
  <c r="D49" i="75"/>
  <c r="E49" i="75"/>
  <c r="G49" i="75"/>
  <c r="H49" i="75"/>
  <c r="J49" i="75"/>
  <c r="K49" i="75"/>
  <c r="M49" i="75"/>
  <c r="N49" i="75"/>
  <c r="P49" i="75"/>
  <c r="Q49" i="75"/>
  <c r="S49" i="75"/>
  <c r="T49" i="75"/>
  <c r="V49" i="75"/>
  <c r="W49" i="75"/>
  <c r="Y49" i="75"/>
  <c r="Z49" i="75"/>
  <c r="AB49" i="75"/>
  <c r="AC49" i="75"/>
  <c r="AE49" i="75"/>
  <c r="AF49" i="75"/>
  <c r="AG49" i="75"/>
  <c r="B48" i="75"/>
  <c r="D48" i="75"/>
  <c r="E48" i="75"/>
  <c r="G48" i="75"/>
  <c r="H48" i="75"/>
  <c r="J48" i="75"/>
  <c r="K48" i="75"/>
  <c r="M48" i="75"/>
  <c r="N48" i="75"/>
  <c r="P48" i="75"/>
  <c r="Q48" i="75"/>
  <c r="S48" i="75"/>
  <c r="T48" i="75"/>
  <c r="V48" i="75"/>
  <c r="W48" i="75"/>
  <c r="Y48" i="75"/>
  <c r="Z48" i="75"/>
  <c r="AB48" i="75"/>
  <c r="AC48" i="75"/>
  <c r="AE48" i="75"/>
  <c r="AF48" i="75"/>
  <c r="AG48" i="75"/>
  <c r="B47" i="75"/>
  <c r="D47" i="75"/>
  <c r="E47" i="75"/>
  <c r="G47" i="75"/>
  <c r="H47" i="75"/>
  <c r="J47" i="75"/>
  <c r="K47" i="75"/>
  <c r="M47" i="75"/>
  <c r="N47" i="75"/>
  <c r="P47" i="75"/>
  <c r="Q47" i="75"/>
  <c r="S47" i="75"/>
  <c r="T47" i="75"/>
  <c r="V47" i="75"/>
  <c r="W47" i="75"/>
  <c r="Y47" i="75"/>
  <c r="Z47" i="75"/>
  <c r="AB47" i="75"/>
  <c r="AC47" i="75"/>
  <c r="AE47" i="75"/>
  <c r="AF47" i="75"/>
  <c r="AG47" i="75"/>
  <c r="B46" i="75"/>
  <c r="D46" i="75"/>
  <c r="E46" i="75"/>
  <c r="G46" i="75"/>
  <c r="H46" i="75"/>
  <c r="J46" i="75"/>
  <c r="K46" i="75"/>
  <c r="M46" i="75"/>
  <c r="N46" i="75"/>
  <c r="P46" i="75"/>
  <c r="Q46" i="75"/>
  <c r="S46" i="75"/>
  <c r="T46" i="75"/>
  <c r="V46" i="75"/>
  <c r="W46" i="75"/>
  <c r="Y46" i="75"/>
  <c r="Z46" i="75"/>
  <c r="AB46" i="75"/>
  <c r="AC46" i="75"/>
  <c r="AE46" i="75"/>
  <c r="AF46" i="75"/>
  <c r="AG46" i="75"/>
  <c r="AC39" i="75"/>
  <c r="AE39" i="75"/>
  <c r="AC40" i="75"/>
  <c r="AE40" i="75"/>
  <c r="AC41" i="75"/>
  <c r="AE41" i="75"/>
  <c r="AC42" i="75"/>
  <c r="AE42" i="75"/>
  <c r="AC43" i="75"/>
  <c r="AE43" i="75"/>
  <c r="AC44" i="75"/>
  <c r="Z39" i="75"/>
  <c r="AB39" i="75"/>
  <c r="Z40" i="75"/>
  <c r="AB40" i="75"/>
  <c r="Z41" i="75"/>
  <c r="AB41" i="75"/>
  <c r="Z42" i="75"/>
  <c r="AB42" i="75"/>
  <c r="Z43" i="75"/>
  <c r="AB43" i="75"/>
  <c r="Z44" i="75"/>
  <c r="W39" i="75"/>
  <c r="Y39" i="75"/>
  <c r="W40" i="75"/>
  <c r="Y40" i="75"/>
  <c r="W41" i="75"/>
  <c r="Y41" i="75"/>
  <c r="W42" i="75"/>
  <c r="Y42" i="75"/>
  <c r="W43" i="75"/>
  <c r="Y43" i="75"/>
  <c r="W44" i="75"/>
  <c r="T39" i="75"/>
  <c r="V39" i="75"/>
  <c r="T40" i="75"/>
  <c r="V40" i="75"/>
  <c r="T41" i="75"/>
  <c r="V41" i="75"/>
  <c r="T42" i="75"/>
  <c r="V42" i="75"/>
  <c r="T43" i="75"/>
  <c r="V43" i="75"/>
  <c r="T44" i="75"/>
  <c r="AE37" i="75"/>
  <c r="AC37" i="75"/>
  <c r="AD37" i="75"/>
  <c r="AB37" i="75"/>
  <c r="Z37" i="75"/>
  <c r="AA37" i="75"/>
  <c r="Y37" i="75"/>
  <c r="W37" i="75"/>
  <c r="X37" i="75"/>
  <c r="V37" i="75"/>
  <c r="T37" i="75"/>
  <c r="U37" i="75"/>
  <c r="AE30" i="75"/>
  <c r="AC30" i="75"/>
  <c r="AB30" i="75"/>
  <c r="Z30" i="75"/>
  <c r="Y30" i="75"/>
  <c r="W30" i="75"/>
  <c r="V30" i="75"/>
  <c r="T30" i="75"/>
  <c r="S30" i="75"/>
  <c r="Q30" i="75"/>
  <c r="P30" i="75"/>
  <c r="N30" i="75"/>
  <c r="M30" i="75"/>
  <c r="K30" i="75"/>
  <c r="J30" i="75"/>
  <c r="H30" i="75"/>
  <c r="G30" i="75"/>
  <c r="E30" i="75"/>
  <c r="D30" i="75"/>
  <c r="B30" i="75"/>
  <c r="AD29" i="75"/>
  <c r="AA29" i="75"/>
  <c r="X29" i="75"/>
  <c r="U29" i="75"/>
  <c r="R29" i="75"/>
  <c r="O29" i="75"/>
  <c r="L29" i="75"/>
  <c r="I29" i="75"/>
  <c r="F29" i="75"/>
  <c r="A29" i="75"/>
  <c r="AG28" i="75"/>
  <c r="AH28" i="75"/>
  <c r="AI28" i="75"/>
  <c r="AJ28" i="75"/>
  <c r="AK28" i="75"/>
  <c r="AL28" i="75"/>
  <c r="AM28" i="75"/>
  <c r="AN28" i="75"/>
  <c r="AO28" i="75"/>
  <c r="AP28" i="75"/>
  <c r="AQ28" i="75"/>
  <c r="AF28" i="75"/>
  <c r="AD28" i="75"/>
  <c r="AA28" i="75"/>
  <c r="X28" i="75"/>
  <c r="U28" i="75"/>
  <c r="R28" i="75"/>
  <c r="O28" i="75"/>
  <c r="L28" i="75"/>
  <c r="I28" i="75"/>
  <c r="F28" i="75"/>
  <c r="A28" i="75"/>
  <c r="AG27" i="75"/>
  <c r="AH27" i="75"/>
  <c r="AI27" i="75"/>
  <c r="AJ27" i="75"/>
  <c r="AK27" i="75"/>
  <c r="AL27" i="75"/>
  <c r="AM27" i="75"/>
  <c r="AN27" i="75"/>
  <c r="AO27" i="75"/>
  <c r="AP27" i="75"/>
  <c r="AQ27" i="75"/>
  <c r="AF27" i="75"/>
  <c r="AD27" i="75"/>
  <c r="AA27" i="75"/>
  <c r="X27" i="75"/>
  <c r="U27" i="75"/>
  <c r="R27" i="75"/>
  <c r="O27" i="75"/>
  <c r="L27" i="75"/>
  <c r="I27" i="75"/>
  <c r="F27" i="75"/>
  <c r="A27" i="75"/>
  <c r="AG26" i="75"/>
  <c r="AH26" i="75"/>
  <c r="AI26" i="75"/>
  <c r="AJ26" i="75"/>
  <c r="AK26" i="75"/>
  <c r="AL26" i="75"/>
  <c r="AM26" i="75"/>
  <c r="AN26" i="75"/>
  <c r="AO26" i="75"/>
  <c r="AP26" i="75"/>
  <c r="AQ26" i="75"/>
  <c r="AF26" i="75"/>
  <c r="AD26" i="75"/>
  <c r="AA26" i="75"/>
  <c r="X26" i="75"/>
  <c r="U26" i="75"/>
  <c r="R26" i="75"/>
  <c r="O26" i="75"/>
  <c r="L26" i="75"/>
  <c r="I26" i="75"/>
  <c r="F26" i="75"/>
  <c r="A26" i="75"/>
  <c r="AG25" i="75"/>
  <c r="AH25" i="75"/>
  <c r="AI25" i="75"/>
  <c r="AJ25" i="75"/>
  <c r="AK25" i="75"/>
  <c r="AL25" i="75"/>
  <c r="AM25" i="75"/>
  <c r="AN25" i="75"/>
  <c r="AO25" i="75"/>
  <c r="AP25" i="75"/>
  <c r="AQ25" i="75"/>
  <c r="AF25" i="75"/>
  <c r="AD25" i="75"/>
  <c r="AA25" i="75"/>
  <c r="X25" i="75"/>
  <c r="U25" i="75"/>
  <c r="R25" i="75"/>
  <c r="O25" i="75"/>
  <c r="L25" i="75"/>
  <c r="I25" i="75"/>
  <c r="F25" i="75"/>
  <c r="AG24" i="75"/>
  <c r="AH24" i="75"/>
  <c r="AI24" i="75"/>
  <c r="AJ24" i="75"/>
  <c r="AK24" i="75"/>
  <c r="AL24" i="75"/>
  <c r="AM24" i="75"/>
  <c r="AN24" i="75"/>
  <c r="AO24" i="75"/>
  <c r="AP24" i="75"/>
  <c r="AQ24" i="75"/>
  <c r="AF24" i="75"/>
  <c r="AD24" i="75"/>
  <c r="AA24" i="75"/>
  <c r="X24" i="75"/>
  <c r="U24" i="75"/>
  <c r="R24" i="75"/>
  <c r="O24" i="75"/>
  <c r="L24" i="75"/>
  <c r="I24" i="75"/>
  <c r="F24" i="75"/>
  <c r="AC22" i="75"/>
  <c r="Z22" i="75"/>
  <c r="W22" i="75"/>
  <c r="T22" i="75"/>
  <c r="Q22" i="75"/>
  <c r="N22" i="75"/>
  <c r="K22" i="75"/>
  <c r="H22" i="75"/>
  <c r="E22" i="75"/>
  <c r="E17" i="75"/>
  <c r="AC16" i="75"/>
  <c r="Z16" i="75"/>
  <c r="W16" i="75"/>
  <c r="R16" i="75"/>
  <c r="L16" i="75"/>
  <c r="A16" i="75"/>
  <c r="AC14" i="75"/>
  <c r="Z14" i="75"/>
  <c r="W14" i="75"/>
  <c r="R14" i="75"/>
  <c r="L14" i="75"/>
  <c r="A14" i="75"/>
  <c r="AC12" i="75"/>
  <c r="Z12" i="75"/>
  <c r="W12" i="75"/>
  <c r="R12" i="75"/>
  <c r="L12" i="75"/>
  <c r="A12" i="75"/>
  <c r="AC10" i="75"/>
  <c r="Z10" i="75"/>
  <c r="W10" i="75"/>
  <c r="R10" i="75"/>
  <c r="L10" i="75"/>
  <c r="A10" i="75"/>
  <c r="AC8" i="75"/>
  <c r="Z8" i="75"/>
  <c r="W8" i="75"/>
  <c r="R8" i="75"/>
  <c r="L8" i="75"/>
  <c r="A8" i="75"/>
  <c r="R7" i="75"/>
  <c r="L7" i="75"/>
  <c r="K6" i="75"/>
  <c r="AU147" i="74"/>
  <c r="AT147" i="74"/>
  <c r="E133" i="74"/>
  <c r="E134" i="74"/>
  <c r="E135" i="74"/>
  <c r="E136" i="74"/>
  <c r="G133" i="74"/>
  <c r="G134" i="74"/>
  <c r="G135" i="74"/>
  <c r="G136" i="74"/>
  <c r="J132" i="74"/>
  <c r="J145" i="74"/>
  <c r="J133" i="74"/>
  <c r="J134" i="74"/>
  <c r="J135" i="74"/>
  <c r="J136" i="74"/>
  <c r="H133" i="74"/>
  <c r="H134" i="74"/>
  <c r="H135" i="74"/>
  <c r="H136" i="74"/>
  <c r="J146" i="74"/>
  <c r="J147" i="74"/>
  <c r="B133" i="74"/>
  <c r="B134" i="74"/>
  <c r="B135" i="74"/>
  <c r="B136" i="74"/>
  <c r="D133" i="74"/>
  <c r="D134" i="74"/>
  <c r="D135" i="74"/>
  <c r="D136" i="74"/>
  <c r="H132" i="74"/>
  <c r="H145" i="74"/>
  <c r="H146" i="74"/>
  <c r="H147" i="74"/>
  <c r="V94" i="74"/>
  <c r="B126" i="74"/>
  <c r="B143" i="74"/>
  <c r="C143" i="74"/>
  <c r="D143" i="74"/>
  <c r="G145" i="74"/>
  <c r="G146" i="74"/>
  <c r="G147" i="74"/>
  <c r="L94" i="74"/>
  <c r="B125" i="74"/>
  <c r="B142" i="74"/>
  <c r="C142" i="74"/>
  <c r="D142" i="74"/>
  <c r="E145" i="74"/>
  <c r="E146" i="74"/>
  <c r="E147" i="74"/>
  <c r="AF94" i="74"/>
  <c r="B127" i="74"/>
  <c r="B144" i="74"/>
  <c r="C144" i="74"/>
  <c r="D145" i="74"/>
  <c r="D146" i="74"/>
  <c r="D147" i="74"/>
  <c r="B94" i="74"/>
  <c r="B124" i="74"/>
  <c r="B141" i="74"/>
  <c r="C141" i="74"/>
  <c r="B145" i="74"/>
  <c r="B146" i="74"/>
  <c r="B147" i="74"/>
  <c r="AU146" i="74"/>
  <c r="AT146" i="74"/>
  <c r="AU145" i="74"/>
  <c r="AT145" i="74"/>
  <c r="AU144" i="74"/>
  <c r="AT144" i="74"/>
  <c r="D144" i="74"/>
  <c r="G144" i="74"/>
  <c r="J144" i="74"/>
  <c r="AU143" i="74"/>
  <c r="AT143" i="74"/>
  <c r="G143" i="74"/>
  <c r="J143" i="74"/>
  <c r="AU142" i="74"/>
  <c r="AT142" i="74"/>
  <c r="G142" i="74"/>
  <c r="J142" i="74"/>
  <c r="AU141" i="74"/>
  <c r="AT141" i="74"/>
  <c r="D141" i="74"/>
  <c r="G141" i="74"/>
  <c r="J141" i="74"/>
  <c r="AU140" i="74"/>
  <c r="AT140" i="74"/>
  <c r="K137" i="74"/>
  <c r="AL94" i="74"/>
  <c r="K127" i="74"/>
  <c r="AB94" i="74"/>
  <c r="K126" i="74"/>
  <c r="R94" i="74"/>
  <c r="K125" i="74"/>
  <c r="H94" i="74"/>
  <c r="K124" i="74"/>
  <c r="A118" i="74"/>
  <c r="F117" i="74"/>
  <c r="A113" i="74"/>
  <c r="J112" i="74"/>
  <c r="A109" i="74"/>
  <c r="F107" i="74"/>
  <c r="A107" i="74"/>
  <c r="A104" i="74"/>
  <c r="A89" i="74"/>
  <c r="AE85" i="74"/>
  <c r="AE31" i="74"/>
  <c r="AE32" i="74"/>
  <c r="AE33" i="74"/>
  <c r="AE34" i="74"/>
  <c r="AE35" i="74"/>
  <c r="AE36" i="74"/>
  <c r="AC85" i="74"/>
  <c r="AC31" i="74"/>
  <c r="AC32" i="74"/>
  <c r="AC33" i="74"/>
  <c r="AC34" i="74"/>
  <c r="AC35" i="74"/>
  <c r="AC36" i="74"/>
  <c r="AE86" i="74"/>
  <c r="AE87" i="74"/>
  <c r="AC86" i="74"/>
  <c r="AC87" i="74"/>
  <c r="AB85" i="74"/>
  <c r="AB31" i="74"/>
  <c r="AB32" i="74"/>
  <c r="AB33" i="74"/>
  <c r="AB34" i="74"/>
  <c r="AB35" i="74"/>
  <c r="AB36" i="74"/>
  <c r="Z85" i="74"/>
  <c r="Z31" i="74"/>
  <c r="Z32" i="74"/>
  <c r="Z33" i="74"/>
  <c r="Z34" i="74"/>
  <c r="Z35" i="74"/>
  <c r="Z36" i="74"/>
  <c r="AB86" i="74"/>
  <c r="AB87" i="74"/>
  <c r="Z86" i="74"/>
  <c r="Z87" i="74"/>
  <c r="Y85" i="74"/>
  <c r="Y31" i="74"/>
  <c r="Y32" i="74"/>
  <c r="Y33" i="74"/>
  <c r="Y34" i="74"/>
  <c r="Y35" i="74"/>
  <c r="Y36" i="74"/>
  <c r="W85" i="74"/>
  <c r="W31" i="74"/>
  <c r="W32" i="74"/>
  <c r="W33" i="74"/>
  <c r="W34" i="74"/>
  <c r="W35" i="74"/>
  <c r="W36" i="74"/>
  <c r="Y86" i="74"/>
  <c r="Y87" i="74"/>
  <c r="W86" i="74"/>
  <c r="W87" i="74"/>
  <c r="V85" i="74"/>
  <c r="V31" i="74"/>
  <c r="V32" i="74"/>
  <c r="V33" i="74"/>
  <c r="V34" i="74"/>
  <c r="V35" i="74"/>
  <c r="V36" i="74"/>
  <c r="T85" i="74"/>
  <c r="T31" i="74"/>
  <c r="T32" i="74"/>
  <c r="T33" i="74"/>
  <c r="T34" i="74"/>
  <c r="T35" i="74"/>
  <c r="T36" i="74"/>
  <c r="V86" i="74"/>
  <c r="V87" i="74"/>
  <c r="T86" i="74"/>
  <c r="T87" i="74"/>
  <c r="N73" i="74"/>
  <c r="P73" i="74"/>
  <c r="K73" i="74"/>
  <c r="M73" i="74"/>
  <c r="H64" i="74"/>
  <c r="J64" i="74"/>
  <c r="H31" i="74"/>
  <c r="H32" i="74"/>
  <c r="H33" i="74"/>
  <c r="H34" i="74"/>
  <c r="H35" i="74"/>
  <c r="H65" i="74"/>
  <c r="J65" i="74"/>
  <c r="H66" i="74"/>
  <c r="J66" i="74"/>
  <c r="H67" i="74"/>
  <c r="J31" i="74"/>
  <c r="J32" i="74"/>
  <c r="J33" i="74"/>
  <c r="J34" i="74"/>
  <c r="J35" i="74"/>
  <c r="J67" i="74"/>
  <c r="H68" i="74"/>
  <c r="J68" i="74"/>
  <c r="I71" i="74"/>
  <c r="H73" i="74"/>
  <c r="E73" i="74"/>
  <c r="G73" i="74"/>
  <c r="B64" i="74"/>
  <c r="D64" i="74"/>
  <c r="B31" i="74"/>
  <c r="B32" i="74"/>
  <c r="B33" i="74"/>
  <c r="B34" i="74"/>
  <c r="B35" i="74"/>
  <c r="B65" i="74"/>
  <c r="D65" i="74"/>
  <c r="B66" i="74"/>
  <c r="D31" i="74"/>
  <c r="D32" i="74"/>
  <c r="D33" i="74"/>
  <c r="D34" i="74"/>
  <c r="D35" i="74"/>
  <c r="D66" i="74"/>
  <c r="B67" i="74"/>
  <c r="D67" i="74"/>
  <c r="B68" i="74"/>
  <c r="D68" i="74"/>
  <c r="C71" i="74"/>
  <c r="B73" i="74"/>
  <c r="E10" i="74"/>
  <c r="B80" i="74"/>
  <c r="AW4" i="74"/>
  <c r="C80" i="74"/>
  <c r="B85" i="74"/>
  <c r="B36" i="74"/>
  <c r="E12" i="74"/>
  <c r="B81" i="74"/>
  <c r="AW5" i="74"/>
  <c r="C81" i="74"/>
  <c r="D85" i="74"/>
  <c r="D36" i="74"/>
  <c r="B86" i="74"/>
  <c r="B87" i="74"/>
  <c r="D80" i="74"/>
  <c r="G80" i="74"/>
  <c r="H85" i="74"/>
  <c r="H36" i="74"/>
  <c r="E75" i="74"/>
  <c r="E31" i="74"/>
  <c r="E32" i="74"/>
  <c r="E33" i="74"/>
  <c r="E34" i="74"/>
  <c r="E35" i="74"/>
  <c r="E64" i="74"/>
  <c r="G64" i="74"/>
  <c r="E65" i="74"/>
  <c r="G65" i="74"/>
  <c r="E66" i="74"/>
  <c r="G66" i="74"/>
  <c r="E67" i="74"/>
  <c r="G31" i="74"/>
  <c r="G32" i="74"/>
  <c r="G33" i="74"/>
  <c r="G34" i="74"/>
  <c r="G35" i="74"/>
  <c r="G67" i="74"/>
  <c r="E68" i="74"/>
  <c r="G68" i="74"/>
  <c r="F71" i="74"/>
  <c r="G75" i="74"/>
  <c r="B75" i="74"/>
  <c r="D75" i="74"/>
  <c r="E14" i="74"/>
  <c r="B82" i="74"/>
  <c r="AW6" i="74"/>
  <c r="C82" i="74"/>
  <c r="D82" i="74"/>
  <c r="G85" i="74"/>
  <c r="G36" i="74"/>
  <c r="B72" i="74"/>
  <c r="D72" i="74"/>
  <c r="E8" i="74"/>
  <c r="B79" i="74"/>
  <c r="AW3" i="74"/>
  <c r="C79" i="74"/>
  <c r="D79" i="74"/>
  <c r="E85" i="74"/>
  <c r="E36" i="74"/>
  <c r="G86" i="74"/>
  <c r="G87" i="74"/>
  <c r="G82" i="74"/>
  <c r="J85" i="74"/>
  <c r="J36" i="74"/>
  <c r="H86" i="74"/>
  <c r="H87" i="74"/>
  <c r="J80" i="74"/>
  <c r="M80" i="74"/>
  <c r="P80" i="74"/>
  <c r="S85" i="74"/>
  <c r="S31" i="74"/>
  <c r="S32" i="74"/>
  <c r="S33" i="74"/>
  <c r="S34" i="74"/>
  <c r="S35" i="74"/>
  <c r="S36" i="74"/>
  <c r="N72" i="74"/>
  <c r="P72" i="74"/>
  <c r="K31" i="74"/>
  <c r="K32" i="74"/>
  <c r="K33" i="74"/>
  <c r="K34" i="74"/>
  <c r="K35" i="74"/>
  <c r="K64" i="74"/>
  <c r="M64" i="74"/>
  <c r="K65" i="74"/>
  <c r="M65" i="74"/>
  <c r="K66" i="74"/>
  <c r="M31" i="74"/>
  <c r="M32" i="74"/>
  <c r="M33" i="74"/>
  <c r="M34" i="74"/>
  <c r="M35" i="74"/>
  <c r="M66" i="74"/>
  <c r="K67" i="74"/>
  <c r="M67" i="74"/>
  <c r="K68" i="74"/>
  <c r="M68" i="74"/>
  <c r="L71" i="74"/>
  <c r="K72" i="74"/>
  <c r="H72" i="74"/>
  <c r="J72" i="74"/>
  <c r="E72" i="74"/>
  <c r="E86" i="74"/>
  <c r="E87" i="74"/>
  <c r="G79" i="74"/>
  <c r="J79" i="74"/>
  <c r="K85" i="74"/>
  <c r="K36" i="74"/>
  <c r="H74" i="74"/>
  <c r="J74" i="74"/>
  <c r="E74" i="74"/>
  <c r="G74" i="74"/>
  <c r="B74" i="74"/>
  <c r="D74" i="74"/>
  <c r="D86" i="74"/>
  <c r="D87" i="74"/>
  <c r="D81" i="74"/>
  <c r="G81" i="74"/>
  <c r="J81" i="74"/>
  <c r="M85" i="74"/>
  <c r="M36" i="74"/>
  <c r="K86" i="74"/>
  <c r="K87" i="74"/>
  <c r="M79" i="74"/>
  <c r="P79" i="74"/>
  <c r="Q85" i="74"/>
  <c r="Q31" i="74"/>
  <c r="Q32" i="74"/>
  <c r="Q33" i="74"/>
  <c r="Q34" i="74"/>
  <c r="Q35" i="74"/>
  <c r="Q36" i="74"/>
  <c r="S86" i="74"/>
  <c r="S87" i="74"/>
  <c r="Q86" i="74"/>
  <c r="Q87" i="74"/>
  <c r="K75" i="74"/>
  <c r="M75" i="74"/>
  <c r="H75" i="74"/>
  <c r="J75" i="74"/>
  <c r="J86" i="74"/>
  <c r="J87" i="74"/>
  <c r="J82" i="74"/>
  <c r="M82" i="74"/>
  <c r="P85" i="74"/>
  <c r="P31" i="74"/>
  <c r="P32" i="74"/>
  <c r="P33" i="74"/>
  <c r="P34" i="74"/>
  <c r="P35" i="74"/>
  <c r="P36" i="74"/>
  <c r="K74" i="74"/>
  <c r="M74" i="74"/>
  <c r="M86" i="74"/>
  <c r="M87" i="74"/>
  <c r="M81" i="74"/>
  <c r="N85" i="74"/>
  <c r="N31" i="74"/>
  <c r="N32" i="74"/>
  <c r="N33" i="74"/>
  <c r="N34" i="74"/>
  <c r="N35" i="74"/>
  <c r="N36" i="74"/>
  <c r="P86" i="74"/>
  <c r="P87" i="74"/>
  <c r="N86" i="74"/>
  <c r="N87" i="74"/>
  <c r="AC76" i="74"/>
  <c r="AE76" i="74"/>
  <c r="Z76" i="74"/>
  <c r="AB76" i="74"/>
  <c r="W76" i="74"/>
  <c r="Y76" i="74"/>
  <c r="T76" i="74"/>
  <c r="V76" i="74"/>
  <c r="Q76" i="74"/>
  <c r="S76" i="74"/>
  <c r="N76" i="74"/>
  <c r="P76" i="74"/>
  <c r="K76" i="74"/>
  <c r="M76" i="74"/>
  <c r="H76" i="74"/>
  <c r="J76" i="74"/>
  <c r="E76" i="74"/>
  <c r="G76" i="74"/>
  <c r="B76" i="74"/>
  <c r="D76" i="74"/>
  <c r="E16" i="74"/>
  <c r="B83" i="74"/>
  <c r="C83" i="74"/>
  <c r="D83" i="74"/>
  <c r="G83" i="74"/>
  <c r="J83" i="74"/>
  <c r="M83" i="74"/>
  <c r="P83" i="74"/>
  <c r="S83" i="74"/>
  <c r="V83" i="74"/>
  <c r="Y83" i="74"/>
  <c r="AB83" i="74"/>
  <c r="AE83" i="74"/>
  <c r="AU83" i="74"/>
  <c r="AT83" i="74"/>
  <c r="AC75" i="74"/>
  <c r="AE75" i="74"/>
  <c r="Z75" i="74"/>
  <c r="AB75" i="74"/>
  <c r="W75" i="74"/>
  <c r="Y75" i="74"/>
  <c r="T75" i="74"/>
  <c r="V75" i="74"/>
  <c r="Q75" i="74"/>
  <c r="S75" i="74"/>
  <c r="N75" i="74"/>
  <c r="N64" i="74"/>
  <c r="P64" i="74"/>
  <c r="N65" i="74"/>
  <c r="P65" i="74"/>
  <c r="N66" i="74"/>
  <c r="P66" i="74"/>
  <c r="N67" i="74"/>
  <c r="P67" i="74"/>
  <c r="N68" i="74"/>
  <c r="P68" i="74"/>
  <c r="O71" i="74"/>
  <c r="P75" i="74"/>
  <c r="P82" i="74"/>
  <c r="S82" i="74"/>
  <c r="V82" i="74"/>
  <c r="Y82" i="74"/>
  <c r="AB82" i="74"/>
  <c r="AE82" i="74"/>
  <c r="AU82" i="74"/>
  <c r="AT82" i="74"/>
  <c r="AC74" i="74"/>
  <c r="AE74" i="74"/>
  <c r="Z74" i="74"/>
  <c r="AB74" i="74"/>
  <c r="W74" i="74"/>
  <c r="Y74" i="74"/>
  <c r="T74" i="74"/>
  <c r="V74" i="74"/>
  <c r="Q74" i="74"/>
  <c r="S74" i="74"/>
  <c r="N74" i="74"/>
  <c r="P81" i="74"/>
  <c r="S81" i="74"/>
  <c r="V81" i="74"/>
  <c r="Y81" i="74"/>
  <c r="AB81" i="74"/>
  <c r="AE81" i="74"/>
  <c r="AU81" i="74"/>
  <c r="AT81" i="74"/>
  <c r="AC73" i="74"/>
  <c r="AE73" i="74"/>
  <c r="Z73" i="74"/>
  <c r="AB73" i="74"/>
  <c r="W73" i="74"/>
  <c r="Y73" i="74"/>
  <c r="T73" i="74"/>
  <c r="V73" i="74"/>
  <c r="Q73" i="74"/>
  <c r="Q64" i="74"/>
  <c r="S64" i="74"/>
  <c r="Q65" i="74"/>
  <c r="S65" i="74"/>
  <c r="Q66" i="74"/>
  <c r="S66" i="74"/>
  <c r="Q67" i="74"/>
  <c r="S67" i="74"/>
  <c r="Q68" i="74"/>
  <c r="S68" i="74"/>
  <c r="R71" i="74"/>
  <c r="S73" i="74"/>
  <c r="S80" i="74"/>
  <c r="V80" i="74"/>
  <c r="Y80" i="74"/>
  <c r="AB80" i="74"/>
  <c r="AE80" i="74"/>
  <c r="AU80" i="74"/>
  <c r="AT80" i="74"/>
  <c r="AC72" i="74"/>
  <c r="AE72" i="74"/>
  <c r="Z72" i="74"/>
  <c r="AB72" i="74"/>
  <c r="W72" i="74"/>
  <c r="Y72" i="74"/>
  <c r="T72" i="74"/>
  <c r="V72" i="74"/>
  <c r="Q72" i="74"/>
  <c r="S79" i="74"/>
  <c r="V79" i="74"/>
  <c r="Y79" i="74"/>
  <c r="AB79" i="74"/>
  <c r="AE79" i="74"/>
  <c r="AU79" i="74"/>
  <c r="AT79" i="74"/>
  <c r="AF76" i="74"/>
  <c r="AF75" i="74"/>
  <c r="P74" i="74"/>
  <c r="AF74" i="74"/>
  <c r="D73" i="74"/>
  <c r="J73" i="74"/>
  <c r="AF73" i="74"/>
  <c r="G72" i="74"/>
  <c r="M72" i="74"/>
  <c r="S72" i="74"/>
  <c r="AF72" i="74"/>
  <c r="AC64" i="74"/>
  <c r="AE64" i="74"/>
  <c r="AC65" i="74"/>
  <c r="AE65" i="74"/>
  <c r="AC66" i="74"/>
  <c r="AE66" i="74"/>
  <c r="AC67" i="74"/>
  <c r="AE67" i="74"/>
  <c r="AC68" i="74"/>
  <c r="AE68" i="74"/>
  <c r="AD71" i="74"/>
  <c r="Z64" i="74"/>
  <c r="AB64" i="74"/>
  <c r="Z65" i="74"/>
  <c r="AB65" i="74"/>
  <c r="Z66" i="74"/>
  <c r="AB66" i="74"/>
  <c r="Z67" i="74"/>
  <c r="AB67" i="74"/>
  <c r="Z68" i="74"/>
  <c r="AB68" i="74"/>
  <c r="AA71" i="74"/>
  <c r="W64" i="74"/>
  <c r="Y64" i="74"/>
  <c r="W65" i="74"/>
  <c r="Y65" i="74"/>
  <c r="W66" i="74"/>
  <c r="Y66" i="74"/>
  <c r="W67" i="74"/>
  <c r="Y67" i="74"/>
  <c r="W68" i="74"/>
  <c r="Y68" i="74"/>
  <c r="X71" i="74"/>
  <c r="T64" i="74"/>
  <c r="V64" i="74"/>
  <c r="T65" i="74"/>
  <c r="V65" i="74"/>
  <c r="T66" i="74"/>
  <c r="V66" i="74"/>
  <c r="T67" i="74"/>
  <c r="V67" i="74"/>
  <c r="T68" i="74"/>
  <c r="V68" i="74"/>
  <c r="U71" i="74"/>
  <c r="AF68" i="74"/>
  <c r="AG68" i="74"/>
  <c r="AF67" i="74"/>
  <c r="AG67" i="74"/>
  <c r="AF66" i="74"/>
  <c r="AG66" i="74"/>
  <c r="AF65" i="74"/>
  <c r="AG65" i="74"/>
  <c r="AF64" i="74"/>
  <c r="AG64" i="74"/>
  <c r="B62" i="74"/>
  <c r="D62" i="74"/>
  <c r="E62" i="74"/>
  <c r="G62" i="74"/>
  <c r="H62" i="74"/>
  <c r="J62" i="74"/>
  <c r="K62" i="74"/>
  <c r="M62" i="74"/>
  <c r="N62" i="74"/>
  <c r="P62" i="74"/>
  <c r="Q62" i="74"/>
  <c r="S62" i="74"/>
  <c r="T62" i="74"/>
  <c r="V62" i="74"/>
  <c r="W62" i="74"/>
  <c r="Y62" i="74"/>
  <c r="Z62" i="74"/>
  <c r="AB62" i="74"/>
  <c r="AC62" i="74"/>
  <c r="AE62" i="74"/>
  <c r="AF62" i="74"/>
  <c r="B61" i="74"/>
  <c r="D61" i="74"/>
  <c r="E61" i="74"/>
  <c r="E39" i="74"/>
  <c r="G39" i="74"/>
  <c r="E40" i="74"/>
  <c r="G40" i="74"/>
  <c r="E41" i="74"/>
  <c r="G41" i="74"/>
  <c r="E42" i="74"/>
  <c r="G42" i="74"/>
  <c r="E43" i="74"/>
  <c r="G43" i="74"/>
  <c r="E44" i="74"/>
  <c r="G61" i="74"/>
  <c r="H61" i="74"/>
  <c r="H39" i="74"/>
  <c r="J39" i="74"/>
  <c r="H40" i="74"/>
  <c r="J40" i="74"/>
  <c r="H41" i="74"/>
  <c r="J41" i="74"/>
  <c r="H42" i="74"/>
  <c r="J42" i="74"/>
  <c r="H43" i="74"/>
  <c r="J43" i="74"/>
  <c r="H44" i="74"/>
  <c r="J61" i="74"/>
  <c r="K61" i="74"/>
  <c r="M61" i="74"/>
  <c r="N61" i="74"/>
  <c r="N39" i="74"/>
  <c r="P39" i="74"/>
  <c r="N40" i="74"/>
  <c r="P40" i="74"/>
  <c r="N41" i="74"/>
  <c r="P41" i="74"/>
  <c r="N42" i="74"/>
  <c r="P42" i="74"/>
  <c r="N43" i="74"/>
  <c r="P43" i="74"/>
  <c r="N44" i="74"/>
  <c r="P61" i="74"/>
  <c r="Q61" i="74"/>
  <c r="S61" i="74"/>
  <c r="T61" i="74"/>
  <c r="V61" i="74"/>
  <c r="W61" i="74"/>
  <c r="Y61" i="74"/>
  <c r="Z61" i="74"/>
  <c r="AB61" i="74"/>
  <c r="AC61" i="74"/>
  <c r="AE61" i="74"/>
  <c r="AF61" i="74"/>
  <c r="B60" i="74"/>
  <c r="B39" i="74"/>
  <c r="D39" i="74"/>
  <c r="B40" i="74"/>
  <c r="D40" i="74"/>
  <c r="B41" i="74"/>
  <c r="D41" i="74"/>
  <c r="B42" i="74"/>
  <c r="D42" i="74"/>
  <c r="B43" i="74"/>
  <c r="D43" i="74"/>
  <c r="B44" i="74"/>
  <c r="D60" i="74"/>
  <c r="E60" i="74"/>
  <c r="G60" i="74"/>
  <c r="H60" i="74"/>
  <c r="J60" i="74"/>
  <c r="K60" i="74"/>
  <c r="K39" i="74"/>
  <c r="M39" i="74"/>
  <c r="K40" i="74"/>
  <c r="M40" i="74"/>
  <c r="K41" i="74"/>
  <c r="M41" i="74"/>
  <c r="K42" i="74"/>
  <c r="M42" i="74"/>
  <c r="K43" i="74"/>
  <c r="M43" i="74"/>
  <c r="K44" i="74"/>
  <c r="M60" i="74"/>
  <c r="N60" i="74"/>
  <c r="P60" i="74"/>
  <c r="Q60" i="74"/>
  <c r="S60" i="74"/>
  <c r="T60" i="74"/>
  <c r="V60" i="74"/>
  <c r="W60" i="74"/>
  <c r="Y60" i="74"/>
  <c r="Z60" i="74"/>
  <c r="AB60" i="74"/>
  <c r="AC60" i="74"/>
  <c r="AE60" i="74"/>
  <c r="AF60" i="74"/>
  <c r="B59" i="74"/>
  <c r="D59" i="74"/>
  <c r="E59" i="74"/>
  <c r="G59" i="74"/>
  <c r="H59" i="74"/>
  <c r="J59" i="74"/>
  <c r="K59" i="74"/>
  <c r="M59" i="74"/>
  <c r="N59" i="74"/>
  <c r="P59" i="74"/>
  <c r="Q59" i="74"/>
  <c r="Q39" i="74"/>
  <c r="S39" i="74"/>
  <c r="Q40" i="74"/>
  <c r="S40" i="74"/>
  <c r="Q41" i="74"/>
  <c r="S41" i="74"/>
  <c r="Q42" i="74"/>
  <c r="S42" i="74"/>
  <c r="Q43" i="74"/>
  <c r="S43" i="74"/>
  <c r="Q44" i="74"/>
  <c r="S59" i="74"/>
  <c r="T59" i="74"/>
  <c r="V59" i="74"/>
  <c r="W59" i="74"/>
  <c r="Y59" i="74"/>
  <c r="Z59" i="74"/>
  <c r="AB59" i="74"/>
  <c r="AC59" i="74"/>
  <c r="AE59" i="74"/>
  <c r="AF59" i="74"/>
  <c r="B58" i="74"/>
  <c r="D58" i="74"/>
  <c r="E58" i="74"/>
  <c r="G58" i="74"/>
  <c r="H58" i="74"/>
  <c r="J58" i="74"/>
  <c r="K58" i="74"/>
  <c r="M58" i="74"/>
  <c r="N58" i="74"/>
  <c r="P58" i="74"/>
  <c r="Q58" i="74"/>
  <c r="S58" i="74"/>
  <c r="T58" i="74"/>
  <c r="V58" i="74"/>
  <c r="W58" i="74"/>
  <c r="Y58" i="74"/>
  <c r="Z58" i="74"/>
  <c r="AB58" i="74"/>
  <c r="AC58" i="74"/>
  <c r="AE58" i="74"/>
  <c r="AF58" i="74"/>
  <c r="B56" i="74"/>
  <c r="D56" i="74"/>
  <c r="E56" i="74"/>
  <c r="G56" i="74"/>
  <c r="H56" i="74"/>
  <c r="J56" i="74"/>
  <c r="K56" i="74"/>
  <c r="M56" i="74"/>
  <c r="N56" i="74"/>
  <c r="P56" i="74"/>
  <c r="Q56" i="74"/>
  <c r="S56" i="74"/>
  <c r="T56" i="74"/>
  <c r="V56" i="74"/>
  <c r="W56" i="74"/>
  <c r="Y56" i="74"/>
  <c r="Z56" i="74"/>
  <c r="AB56" i="74"/>
  <c r="AC56" i="74"/>
  <c r="AE56" i="74"/>
  <c r="AF56" i="74"/>
  <c r="B55" i="74"/>
  <c r="D55" i="74"/>
  <c r="E55" i="74"/>
  <c r="E37" i="74"/>
  <c r="G37" i="74"/>
  <c r="F37" i="74"/>
  <c r="G55" i="74"/>
  <c r="H55" i="74"/>
  <c r="H37" i="74"/>
  <c r="J37" i="74"/>
  <c r="I37" i="74"/>
  <c r="J55" i="74"/>
  <c r="K55" i="74"/>
  <c r="M55" i="74"/>
  <c r="N55" i="74"/>
  <c r="N37" i="74"/>
  <c r="P37" i="74"/>
  <c r="O37" i="74"/>
  <c r="P55" i="74"/>
  <c r="Q55" i="74"/>
  <c r="S55" i="74"/>
  <c r="T55" i="74"/>
  <c r="V55" i="74"/>
  <c r="W55" i="74"/>
  <c r="Y55" i="74"/>
  <c r="Z55" i="74"/>
  <c r="AB55" i="74"/>
  <c r="AC55" i="74"/>
  <c r="AE55" i="74"/>
  <c r="AF55" i="74"/>
  <c r="B54" i="74"/>
  <c r="B37" i="74"/>
  <c r="D37" i="74"/>
  <c r="C37" i="74"/>
  <c r="D54" i="74"/>
  <c r="E54" i="74"/>
  <c r="G54" i="74"/>
  <c r="H54" i="74"/>
  <c r="J54" i="74"/>
  <c r="K54" i="74"/>
  <c r="K37" i="74"/>
  <c r="M37" i="74"/>
  <c r="L37" i="74"/>
  <c r="M54" i="74"/>
  <c r="N54" i="74"/>
  <c r="P54" i="74"/>
  <c r="Q54" i="74"/>
  <c r="S54" i="74"/>
  <c r="T54" i="74"/>
  <c r="V54" i="74"/>
  <c r="W54" i="74"/>
  <c r="Y54" i="74"/>
  <c r="Z54" i="74"/>
  <c r="AB54" i="74"/>
  <c r="AC54" i="74"/>
  <c r="AE54" i="74"/>
  <c r="AF54" i="74"/>
  <c r="B53" i="74"/>
  <c r="D53" i="74"/>
  <c r="E53" i="74"/>
  <c r="G53" i="74"/>
  <c r="H53" i="74"/>
  <c r="J53" i="74"/>
  <c r="K53" i="74"/>
  <c r="M53" i="74"/>
  <c r="N53" i="74"/>
  <c r="P53" i="74"/>
  <c r="Q53" i="74"/>
  <c r="Q37" i="74"/>
  <c r="S37" i="74"/>
  <c r="R37" i="74"/>
  <c r="S53" i="74"/>
  <c r="T53" i="74"/>
  <c r="V53" i="74"/>
  <c r="W53" i="74"/>
  <c r="Y53" i="74"/>
  <c r="Z53" i="74"/>
  <c r="AB53" i="74"/>
  <c r="AC53" i="74"/>
  <c r="AE53" i="74"/>
  <c r="AF53" i="74"/>
  <c r="B52" i="74"/>
  <c r="D52" i="74"/>
  <c r="E52" i="74"/>
  <c r="G52" i="74"/>
  <c r="H52" i="74"/>
  <c r="J52" i="74"/>
  <c r="K52" i="74"/>
  <c r="M52" i="74"/>
  <c r="N52" i="74"/>
  <c r="P52" i="74"/>
  <c r="Q52" i="74"/>
  <c r="S52" i="74"/>
  <c r="T52" i="74"/>
  <c r="V52" i="74"/>
  <c r="W52" i="74"/>
  <c r="Y52" i="74"/>
  <c r="Z52" i="74"/>
  <c r="AB52" i="74"/>
  <c r="AC52" i="74"/>
  <c r="AE52" i="74"/>
  <c r="AF52" i="74"/>
  <c r="B50" i="74"/>
  <c r="D50" i="74"/>
  <c r="E50" i="74"/>
  <c r="G50" i="74"/>
  <c r="H50" i="74"/>
  <c r="J50" i="74"/>
  <c r="K50" i="74"/>
  <c r="M50" i="74"/>
  <c r="N50" i="74"/>
  <c r="P50" i="74"/>
  <c r="Q50" i="74"/>
  <c r="S50" i="74"/>
  <c r="T50" i="74"/>
  <c r="V50" i="74"/>
  <c r="W50" i="74"/>
  <c r="Y50" i="74"/>
  <c r="Z50" i="74"/>
  <c r="AB50" i="74"/>
  <c r="AC50" i="74"/>
  <c r="AE50" i="74"/>
  <c r="AF50" i="74"/>
  <c r="AG50" i="74"/>
  <c r="B49" i="74"/>
  <c r="D49" i="74"/>
  <c r="E49" i="74"/>
  <c r="G49" i="74"/>
  <c r="H49" i="74"/>
  <c r="J49" i="74"/>
  <c r="K49" i="74"/>
  <c r="M49" i="74"/>
  <c r="N49" i="74"/>
  <c r="P49" i="74"/>
  <c r="Q49" i="74"/>
  <c r="S49" i="74"/>
  <c r="T49" i="74"/>
  <c r="V49" i="74"/>
  <c r="W49" i="74"/>
  <c r="Y49" i="74"/>
  <c r="Z49" i="74"/>
  <c r="AB49" i="74"/>
  <c r="AC49" i="74"/>
  <c r="AE49" i="74"/>
  <c r="AF49" i="74"/>
  <c r="AG49" i="74"/>
  <c r="B48" i="74"/>
  <c r="D48" i="74"/>
  <c r="E48" i="74"/>
  <c r="G48" i="74"/>
  <c r="H48" i="74"/>
  <c r="J48" i="74"/>
  <c r="K48" i="74"/>
  <c r="M48" i="74"/>
  <c r="N48" i="74"/>
  <c r="P48" i="74"/>
  <c r="Q48" i="74"/>
  <c r="S48" i="74"/>
  <c r="T48" i="74"/>
  <c r="V48" i="74"/>
  <c r="W48" i="74"/>
  <c r="Y48" i="74"/>
  <c r="Z48" i="74"/>
  <c r="AB48" i="74"/>
  <c r="AC48" i="74"/>
  <c r="AE48" i="74"/>
  <c r="AF48" i="74"/>
  <c r="AG48" i="74"/>
  <c r="B47" i="74"/>
  <c r="D47" i="74"/>
  <c r="E47" i="74"/>
  <c r="G47" i="74"/>
  <c r="H47" i="74"/>
  <c r="J47" i="74"/>
  <c r="K47" i="74"/>
  <c r="M47" i="74"/>
  <c r="N47" i="74"/>
  <c r="P47" i="74"/>
  <c r="Q47" i="74"/>
  <c r="S47" i="74"/>
  <c r="T47" i="74"/>
  <c r="V47" i="74"/>
  <c r="W47" i="74"/>
  <c r="Y47" i="74"/>
  <c r="Z47" i="74"/>
  <c r="AB47" i="74"/>
  <c r="AC47" i="74"/>
  <c r="AE47" i="74"/>
  <c r="AF47" i="74"/>
  <c r="AG47" i="74"/>
  <c r="B46" i="74"/>
  <c r="D46" i="74"/>
  <c r="E46" i="74"/>
  <c r="G46" i="74"/>
  <c r="H46" i="74"/>
  <c r="J46" i="74"/>
  <c r="K46" i="74"/>
  <c r="M46" i="74"/>
  <c r="N46" i="74"/>
  <c r="P46" i="74"/>
  <c r="Q46" i="74"/>
  <c r="S46" i="74"/>
  <c r="T46" i="74"/>
  <c r="V46" i="74"/>
  <c r="W46" i="74"/>
  <c r="Y46" i="74"/>
  <c r="Z46" i="74"/>
  <c r="AB46" i="74"/>
  <c r="AC46" i="74"/>
  <c r="AE46" i="74"/>
  <c r="AF46" i="74"/>
  <c r="AG46" i="74"/>
  <c r="AC39" i="74"/>
  <c r="AE39" i="74"/>
  <c r="AC40" i="74"/>
  <c r="AE40" i="74"/>
  <c r="AC41" i="74"/>
  <c r="AE41" i="74"/>
  <c r="AC42" i="74"/>
  <c r="AE42" i="74"/>
  <c r="AC43" i="74"/>
  <c r="AE43" i="74"/>
  <c r="AC44" i="74"/>
  <c r="Z39" i="74"/>
  <c r="AB39" i="74"/>
  <c r="Z40" i="74"/>
  <c r="AB40" i="74"/>
  <c r="Z41" i="74"/>
  <c r="AB41" i="74"/>
  <c r="Z42" i="74"/>
  <c r="AB42" i="74"/>
  <c r="Z43" i="74"/>
  <c r="AB43" i="74"/>
  <c r="Z44" i="74"/>
  <c r="W39" i="74"/>
  <c r="Y39" i="74"/>
  <c r="W40" i="74"/>
  <c r="Y40" i="74"/>
  <c r="W41" i="74"/>
  <c r="Y41" i="74"/>
  <c r="W42" i="74"/>
  <c r="Y42" i="74"/>
  <c r="W43" i="74"/>
  <c r="Y43" i="74"/>
  <c r="W44" i="74"/>
  <c r="T39" i="74"/>
  <c r="V39" i="74"/>
  <c r="T40" i="74"/>
  <c r="V40" i="74"/>
  <c r="T41" i="74"/>
  <c r="V41" i="74"/>
  <c r="T42" i="74"/>
  <c r="V42" i="74"/>
  <c r="T43" i="74"/>
  <c r="V43" i="74"/>
  <c r="T44" i="74"/>
  <c r="AE37" i="74"/>
  <c r="AC37" i="74"/>
  <c r="AD37" i="74"/>
  <c r="AB37" i="74"/>
  <c r="Z37" i="74"/>
  <c r="AA37" i="74"/>
  <c r="Y37" i="74"/>
  <c r="W37" i="74"/>
  <c r="X37" i="74"/>
  <c r="V37" i="74"/>
  <c r="T37" i="74"/>
  <c r="U37" i="74"/>
  <c r="AE30" i="74"/>
  <c r="AC30" i="74"/>
  <c r="AB30" i="74"/>
  <c r="Z30" i="74"/>
  <c r="Y30" i="74"/>
  <c r="W30" i="74"/>
  <c r="V30" i="74"/>
  <c r="T30" i="74"/>
  <c r="S30" i="74"/>
  <c r="Q30" i="74"/>
  <c r="P30" i="74"/>
  <c r="N30" i="74"/>
  <c r="M30" i="74"/>
  <c r="K30" i="74"/>
  <c r="J30" i="74"/>
  <c r="H30" i="74"/>
  <c r="G30" i="74"/>
  <c r="E30" i="74"/>
  <c r="D30" i="74"/>
  <c r="B30" i="74"/>
  <c r="AD29" i="74"/>
  <c r="AA29" i="74"/>
  <c r="X29" i="74"/>
  <c r="U29" i="74"/>
  <c r="R29" i="74"/>
  <c r="O29" i="74"/>
  <c r="L29" i="74"/>
  <c r="I29" i="74"/>
  <c r="F29" i="74"/>
  <c r="A29" i="74"/>
  <c r="AG28" i="74"/>
  <c r="AH28" i="74"/>
  <c r="AI28" i="74"/>
  <c r="AJ28" i="74"/>
  <c r="AK28" i="74"/>
  <c r="AL28" i="74"/>
  <c r="AM28" i="74"/>
  <c r="AN28" i="74"/>
  <c r="AO28" i="74"/>
  <c r="AP28" i="74"/>
  <c r="AQ28" i="74"/>
  <c r="AF28" i="74"/>
  <c r="AD28" i="74"/>
  <c r="AA28" i="74"/>
  <c r="X28" i="74"/>
  <c r="U28" i="74"/>
  <c r="R28" i="74"/>
  <c r="O28" i="74"/>
  <c r="L28" i="74"/>
  <c r="I28" i="74"/>
  <c r="F28" i="74"/>
  <c r="A28" i="74"/>
  <c r="AG27" i="74"/>
  <c r="AH27" i="74"/>
  <c r="AI27" i="74"/>
  <c r="AJ27" i="74"/>
  <c r="AK27" i="74"/>
  <c r="AL27" i="74"/>
  <c r="AM27" i="74"/>
  <c r="AN27" i="74"/>
  <c r="AO27" i="74"/>
  <c r="AP27" i="74"/>
  <c r="AQ27" i="74"/>
  <c r="AF27" i="74"/>
  <c r="AD27" i="74"/>
  <c r="AA27" i="74"/>
  <c r="X27" i="74"/>
  <c r="U27" i="74"/>
  <c r="R27" i="74"/>
  <c r="O27" i="74"/>
  <c r="L27" i="74"/>
  <c r="I27" i="74"/>
  <c r="F27" i="74"/>
  <c r="A27" i="74"/>
  <c r="AG26" i="74"/>
  <c r="AH26" i="74"/>
  <c r="AI26" i="74"/>
  <c r="AJ26" i="74"/>
  <c r="AK26" i="74"/>
  <c r="AL26" i="74"/>
  <c r="AM26" i="74"/>
  <c r="AN26" i="74"/>
  <c r="AO26" i="74"/>
  <c r="AP26" i="74"/>
  <c r="AQ26" i="74"/>
  <c r="AF26" i="74"/>
  <c r="AD26" i="74"/>
  <c r="AA26" i="74"/>
  <c r="X26" i="74"/>
  <c r="U26" i="74"/>
  <c r="R26" i="74"/>
  <c r="O26" i="74"/>
  <c r="L26" i="74"/>
  <c r="I26" i="74"/>
  <c r="F26" i="74"/>
  <c r="A26" i="74"/>
  <c r="AG25" i="74"/>
  <c r="AH25" i="74"/>
  <c r="AI25" i="74"/>
  <c r="AJ25" i="74"/>
  <c r="AK25" i="74"/>
  <c r="AL25" i="74"/>
  <c r="AM25" i="74"/>
  <c r="AN25" i="74"/>
  <c r="AO25" i="74"/>
  <c r="AP25" i="74"/>
  <c r="AQ25" i="74"/>
  <c r="AF25" i="74"/>
  <c r="AD25" i="74"/>
  <c r="AA25" i="74"/>
  <c r="X25" i="74"/>
  <c r="U25" i="74"/>
  <c r="R25" i="74"/>
  <c r="O25" i="74"/>
  <c r="L25" i="74"/>
  <c r="I25" i="74"/>
  <c r="F25" i="74"/>
  <c r="AG24" i="74"/>
  <c r="AH24" i="74"/>
  <c r="AI24" i="74"/>
  <c r="AJ24" i="74"/>
  <c r="AK24" i="74"/>
  <c r="AL24" i="74"/>
  <c r="AM24" i="74"/>
  <c r="AN24" i="74"/>
  <c r="AO24" i="74"/>
  <c r="AP24" i="74"/>
  <c r="AQ24" i="74"/>
  <c r="AF24" i="74"/>
  <c r="AD24" i="74"/>
  <c r="AA24" i="74"/>
  <c r="X24" i="74"/>
  <c r="U24" i="74"/>
  <c r="R24" i="74"/>
  <c r="O24" i="74"/>
  <c r="L24" i="74"/>
  <c r="I24" i="74"/>
  <c r="F24" i="74"/>
  <c r="AC22" i="74"/>
  <c r="Z22" i="74"/>
  <c r="W22" i="74"/>
  <c r="T22" i="74"/>
  <c r="Q22" i="74"/>
  <c r="N22" i="74"/>
  <c r="K22" i="74"/>
  <c r="H22" i="74"/>
  <c r="E22" i="74"/>
  <c r="E17" i="74"/>
  <c r="AC16" i="74"/>
  <c r="Z16" i="74"/>
  <c r="W16" i="74"/>
  <c r="R16" i="74"/>
  <c r="L16" i="74"/>
  <c r="A16" i="74"/>
  <c r="E15" i="74"/>
  <c r="AC14" i="74"/>
  <c r="Z14" i="74"/>
  <c r="W14" i="74"/>
  <c r="R14" i="74"/>
  <c r="L14" i="74"/>
  <c r="A14" i="74"/>
  <c r="E13" i="74"/>
  <c r="AC12" i="74"/>
  <c r="Z12" i="74"/>
  <c r="W12" i="74"/>
  <c r="R12" i="74"/>
  <c r="L12" i="74"/>
  <c r="A12" i="74"/>
  <c r="E11" i="74"/>
  <c r="AC10" i="74"/>
  <c r="Z10" i="74"/>
  <c r="W10" i="74"/>
  <c r="R10" i="74"/>
  <c r="L10" i="74"/>
  <c r="A10" i="74"/>
  <c r="E9" i="74"/>
  <c r="AC8" i="74"/>
  <c r="Z8" i="74"/>
  <c r="W8" i="74"/>
  <c r="R8" i="74"/>
  <c r="L8" i="74"/>
  <c r="A8" i="74"/>
  <c r="R7" i="74"/>
  <c r="L7" i="74"/>
  <c r="AX6" i="74"/>
  <c r="AY6" i="74"/>
  <c r="K6" i="74"/>
  <c r="AX5" i="74"/>
  <c r="AY5" i="74"/>
  <c r="AX4" i="74"/>
  <c r="AY4" i="74"/>
  <c r="AX3" i="74"/>
  <c r="AY3" i="74"/>
  <c r="AU147" i="73"/>
  <c r="AT147" i="73"/>
  <c r="E133" i="73"/>
  <c r="E134" i="73"/>
  <c r="E135" i="73"/>
  <c r="E136" i="73"/>
  <c r="G133" i="73"/>
  <c r="G134" i="73"/>
  <c r="G135" i="73"/>
  <c r="G136" i="73"/>
  <c r="J132" i="73"/>
  <c r="J145" i="73"/>
  <c r="J133" i="73"/>
  <c r="J134" i="73"/>
  <c r="J135" i="73"/>
  <c r="J136" i="73"/>
  <c r="H133" i="73"/>
  <c r="H134" i="73"/>
  <c r="H135" i="73"/>
  <c r="H136" i="73"/>
  <c r="J146" i="73"/>
  <c r="J147" i="73"/>
  <c r="B133" i="73"/>
  <c r="B134" i="73"/>
  <c r="B135" i="73"/>
  <c r="B136" i="73"/>
  <c r="D133" i="73"/>
  <c r="D134" i="73"/>
  <c r="D135" i="73"/>
  <c r="D136" i="73"/>
  <c r="H132" i="73"/>
  <c r="H145" i="73"/>
  <c r="H146" i="73"/>
  <c r="H147" i="73"/>
  <c r="E12" i="73"/>
  <c r="V94" i="73"/>
  <c r="B126" i="73"/>
  <c r="B143" i="73"/>
  <c r="E8" i="73"/>
  <c r="B79" i="73"/>
  <c r="AT79" i="73"/>
  <c r="E10" i="73"/>
  <c r="B80" i="73"/>
  <c r="AT80" i="73"/>
  <c r="B81" i="73"/>
  <c r="AT81" i="73"/>
  <c r="AC74" i="73"/>
  <c r="AE74" i="73"/>
  <c r="Z74" i="73"/>
  <c r="AB74" i="73"/>
  <c r="W74" i="73"/>
  <c r="Y74" i="73"/>
  <c r="T64" i="73"/>
  <c r="V64" i="73"/>
  <c r="T65" i="73"/>
  <c r="V31" i="73"/>
  <c r="V32" i="73"/>
  <c r="V33" i="73"/>
  <c r="V34" i="73"/>
  <c r="V35" i="73"/>
  <c r="V65" i="73"/>
  <c r="T31" i="73"/>
  <c r="T32" i="73"/>
  <c r="T33" i="73"/>
  <c r="T34" i="73"/>
  <c r="T35" i="73"/>
  <c r="T66" i="73"/>
  <c r="V66" i="73"/>
  <c r="T67" i="73"/>
  <c r="V67" i="73"/>
  <c r="T68" i="73"/>
  <c r="V68" i="73"/>
  <c r="U71" i="73"/>
  <c r="T74" i="73"/>
  <c r="Q74" i="73"/>
  <c r="S74" i="73"/>
  <c r="N74" i="73"/>
  <c r="P74" i="73"/>
  <c r="K74" i="73"/>
  <c r="K64" i="73"/>
  <c r="M64" i="73"/>
  <c r="K31" i="73"/>
  <c r="K32" i="73"/>
  <c r="K33" i="73"/>
  <c r="K34" i="73"/>
  <c r="K35" i="73"/>
  <c r="K65" i="73"/>
  <c r="M65" i="73"/>
  <c r="K66" i="73"/>
  <c r="M31" i="73"/>
  <c r="M32" i="73"/>
  <c r="M33" i="73"/>
  <c r="M34" i="73"/>
  <c r="M35" i="73"/>
  <c r="M66" i="73"/>
  <c r="K67" i="73"/>
  <c r="M67" i="73"/>
  <c r="K68" i="73"/>
  <c r="M68" i="73"/>
  <c r="L71" i="73"/>
  <c r="M74" i="73"/>
  <c r="H74" i="73"/>
  <c r="J74" i="73"/>
  <c r="E64" i="73"/>
  <c r="G64" i="73"/>
  <c r="E65" i="73"/>
  <c r="G65" i="73"/>
  <c r="E31" i="73"/>
  <c r="E32" i="73"/>
  <c r="E33" i="73"/>
  <c r="E34" i="73"/>
  <c r="E35" i="73"/>
  <c r="E66" i="73"/>
  <c r="G66" i="73"/>
  <c r="E67" i="73"/>
  <c r="G31" i="73"/>
  <c r="G32" i="73"/>
  <c r="G33" i="73"/>
  <c r="G34" i="73"/>
  <c r="G35" i="73"/>
  <c r="G67" i="73"/>
  <c r="E68" i="73"/>
  <c r="G68" i="73"/>
  <c r="F71" i="73"/>
  <c r="E74" i="73"/>
  <c r="B74" i="73"/>
  <c r="D74" i="73"/>
  <c r="AW5" i="73"/>
  <c r="C81" i="73"/>
  <c r="D81" i="73"/>
  <c r="E85" i="73"/>
  <c r="E36" i="73"/>
  <c r="B75" i="73"/>
  <c r="D75" i="73"/>
  <c r="E14" i="73"/>
  <c r="B82" i="73"/>
  <c r="AW6" i="73"/>
  <c r="C82" i="73"/>
  <c r="D82" i="73"/>
  <c r="G85" i="73"/>
  <c r="G36" i="73"/>
  <c r="E86" i="73"/>
  <c r="E87" i="73"/>
  <c r="G81" i="73"/>
  <c r="J81" i="73"/>
  <c r="M85" i="73"/>
  <c r="M36" i="73"/>
  <c r="H73" i="73"/>
  <c r="J73" i="73"/>
  <c r="E73" i="73"/>
  <c r="G73" i="73"/>
  <c r="B73" i="73"/>
  <c r="B31" i="73"/>
  <c r="B32" i="73"/>
  <c r="B33" i="73"/>
  <c r="B34" i="73"/>
  <c r="B35" i="73"/>
  <c r="B64" i="73"/>
  <c r="D64" i="73"/>
  <c r="B65" i="73"/>
  <c r="D31" i="73"/>
  <c r="D32" i="73"/>
  <c r="D33" i="73"/>
  <c r="D34" i="73"/>
  <c r="D35" i="73"/>
  <c r="D65" i="73"/>
  <c r="B66" i="73"/>
  <c r="D66" i="73"/>
  <c r="B67" i="73"/>
  <c r="D67" i="73"/>
  <c r="B68" i="73"/>
  <c r="D68" i="73"/>
  <c r="C71" i="73"/>
  <c r="D73" i="73"/>
  <c r="AW4" i="73"/>
  <c r="C80" i="73"/>
  <c r="D85" i="73"/>
  <c r="D36" i="73"/>
  <c r="AW3" i="73"/>
  <c r="C79" i="73"/>
  <c r="B85" i="73"/>
  <c r="B36" i="73"/>
  <c r="D86" i="73"/>
  <c r="D87" i="73"/>
  <c r="D80" i="73"/>
  <c r="G80" i="73"/>
  <c r="J80" i="73"/>
  <c r="K85" i="73"/>
  <c r="K36" i="73"/>
  <c r="M86" i="73"/>
  <c r="M87" i="73"/>
  <c r="M81" i="73"/>
  <c r="P81" i="73"/>
  <c r="S81" i="73"/>
  <c r="T85" i="73"/>
  <c r="T36" i="73"/>
  <c r="Q73" i="73"/>
  <c r="S73" i="73"/>
  <c r="N73" i="73"/>
  <c r="P73" i="73"/>
  <c r="K73" i="73"/>
  <c r="K86" i="73"/>
  <c r="K87" i="73"/>
  <c r="M80" i="73"/>
  <c r="P80" i="73"/>
  <c r="S80" i="73"/>
  <c r="V85" i="73"/>
  <c r="V36" i="73"/>
  <c r="T86" i="73"/>
  <c r="T87" i="73"/>
  <c r="V81" i="73"/>
  <c r="Y81" i="73"/>
  <c r="AB81" i="73"/>
  <c r="AE81" i="73"/>
  <c r="AU81" i="73"/>
  <c r="AX5" i="73"/>
  <c r="C143" i="73"/>
  <c r="D143" i="73"/>
  <c r="G145" i="73"/>
  <c r="G146" i="73"/>
  <c r="G147" i="73"/>
  <c r="L94" i="73"/>
  <c r="B125" i="73"/>
  <c r="B142" i="73"/>
  <c r="AT82" i="73"/>
  <c r="AC75" i="73"/>
  <c r="AE75" i="73"/>
  <c r="Z75" i="73"/>
  <c r="AB75" i="73"/>
  <c r="W75" i="73"/>
  <c r="Y75" i="73"/>
  <c r="T75" i="73"/>
  <c r="V75" i="73"/>
  <c r="Q75" i="73"/>
  <c r="Q31" i="73"/>
  <c r="Q32" i="73"/>
  <c r="Q33" i="73"/>
  <c r="Q34" i="73"/>
  <c r="Q35" i="73"/>
  <c r="Q64" i="73"/>
  <c r="S64" i="73"/>
  <c r="Q65" i="73"/>
  <c r="S65" i="73"/>
  <c r="Q66" i="73"/>
  <c r="S66" i="73"/>
  <c r="Q67" i="73"/>
  <c r="S31" i="73"/>
  <c r="S32" i="73"/>
  <c r="S33" i="73"/>
  <c r="S34" i="73"/>
  <c r="S35" i="73"/>
  <c r="S67" i="73"/>
  <c r="Q68" i="73"/>
  <c r="S68" i="73"/>
  <c r="R71" i="73"/>
  <c r="S75" i="73"/>
  <c r="N64" i="73"/>
  <c r="P64" i="73"/>
  <c r="N65" i="73"/>
  <c r="P65" i="73"/>
  <c r="N66" i="73"/>
  <c r="P66" i="73"/>
  <c r="N31" i="73"/>
  <c r="N32" i="73"/>
  <c r="N33" i="73"/>
  <c r="N34" i="73"/>
  <c r="N35" i="73"/>
  <c r="N67" i="73"/>
  <c r="P67" i="73"/>
  <c r="N68" i="73"/>
  <c r="P31" i="73"/>
  <c r="P32" i="73"/>
  <c r="P33" i="73"/>
  <c r="P34" i="73"/>
  <c r="P35" i="73"/>
  <c r="P68" i="73"/>
  <c r="O71" i="73"/>
  <c r="N75" i="73"/>
  <c r="K75" i="73"/>
  <c r="M75" i="73"/>
  <c r="H75" i="73"/>
  <c r="J75" i="73"/>
  <c r="E75" i="73"/>
  <c r="G75" i="73"/>
  <c r="G86" i="73"/>
  <c r="G87" i="73"/>
  <c r="G82" i="73"/>
  <c r="J82" i="73"/>
  <c r="M82" i="73"/>
  <c r="N85" i="73"/>
  <c r="N36" i="73"/>
  <c r="K76" i="73"/>
  <c r="M76" i="73"/>
  <c r="H76" i="73"/>
  <c r="H31" i="73"/>
  <c r="H32" i="73"/>
  <c r="H33" i="73"/>
  <c r="H34" i="73"/>
  <c r="H35" i="73"/>
  <c r="H64" i="73"/>
  <c r="J64" i="73"/>
  <c r="H65" i="73"/>
  <c r="J65" i="73"/>
  <c r="H66" i="73"/>
  <c r="J66" i="73"/>
  <c r="H67" i="73"/>
  <c r="J67" i="73"/>
  <c r="H68" i="73"/>
  <c r="J31" i="73"/>
  <c r="J32" i="73"/>
  <c r="J33" i="73"/>
  <c r="J34" i="73"/>
  <c r="J35" i="73"/>
  <c r="J68" i="73"/>
  <c r="I71" i="73"/>
  <c r="J76" i="73"/>
  <c r="E76" i="73"/>
  <c r="G76" i="73"/>
  <c r="B76" i="73"/>
  <c r="D76" i="73"/>
  <c r="E16" i="73"/>
  <c r="B83" i="73"/>
  <c r="AW7" i="73"/>
  <c r="C83" i="73"/>
  <c r="D83" i="73"/>
  <c r="G83" i="73"/>
  <c r="J85" i="73"/>
  <c r="J36" i="73"/>
  <c r="E72" i="73"/>
  <c r="G72" i="73"/>
  <c r="B72" i="73"/>
  <c r="B86" i="73"/>
  <c r="B87" i="73"/>
  <c r="D79" i="73"/>
  <c r="G79" i="73"/>
  <c r="H85" i="73"/>
  <c r="H36" i="73"/>
  <c r="J86" i="73"/>
  <c r="J87" i="73"/>
  <c r="J83" i="73"/>
  <c r="M83" i="73"/>
  <c r="P85" i="73"/>
  <c r="P36" i="73"/>
  <c r="N86" i="73"/>
  <c r="N87" i="73"/>
  <c r="P82" i="73"/>
  <c r="S85" i="73"/>
  <c r="S36" i="73"/>
  <c r="N72" i="73"/>
  <c r="P72" i="73"/>
  <c r="K72" i="73"/>
  <c r="M72" i="73"/>
  <c r="H72" i="73"/>
  <c r="H86" i="73"/>
  <c r="H87" i="73"/>
  <c r="J79" i="73"/>
  <c r="M79" i="73"/>
  <c r="P79" i="73"/>
  <c r="Q85" i="73"/>
  <c r="Q36" i="73"/>
  <c r="S86" i="73"/>
  <c r="S87" i="73"/>
  <c r="S82" i="73"/>
  <c r="V82" i="73"/>
  <c r="Y82" i="73"/>
  <c r="AB82" i="73"/>
  <c r="AE82" i="73"/>
  <c r="AU82" i="73"/>
  <c r="AX6" i="73"/>
  <c r="C142" i="73"/>
  <c r="D142" i="73"/>
  <c r="E145" i="73"/>
  <c r="E146" i="73"/>
  <c r="E147" i="73"/>
  <c r="AF94" i="73"/>
  <c r="B127" i="73"/>
  <c r="B144" i="73"/>
  <c r="AC73" i="73"/>
  <c r="AE73" i="73"/>
  <c r="Z73" i="73"/>
  <c r="AB73" i="73"/>
  <c r="W73" i="73"/>
  <c r="Y73" i="73"/>
  <c r="T73" i="73"/>
  <c r="V73" i="73"/>
  <c r="V86" i="73"/>
  <c r="V87" i="73"/>
  <c r="V80" i="73"/>
  <c r="Y80" i="73"/>
  <c r="AB80" i="73"/>
  <c r="AE80" i="73"/>
  <c r="AU80" i="73"/>
  <c r="AX4" i="73"/>
  <c r="C144" i="73"/>
  <c r="D145" i="73"/>
  <c r="D146" i="73"/>
  <c r="D147" i="73"/>
  <c r="B94" i="73"/>
  <c r="B124" i="73"/>
  <c r="B141" i="73"/>
  <c r="AC72" i="73"/>
  <c r="AE72" i="73"/>
  <c r="Z72" i="73"/>
  <c r="AB72" i="73"/>
  <c r="W72" i="73"/>
  <c r="Y72" i="73"/>
  <c r="T72" i="73"/>
  <c r="V72" i="73"/>
  <c r="Q72" i="73"/>
  <c r="Q86" i="73"/>
  <c r="Q87" i="73"/>
  <c r="S79" i="73"/>
  <c r="V79" i="73"/>
  <c r="Y79" i="73"/>
  <c r="AB79" i="73"/>
  <c r="AE79" i="73"/>
  <c r="AU79" i="73"/>
  <c r="AX3" i="73"/>
  <c r="C141" i="73"/>
  <c r="B145" i="73"/>
  <c r="B146" i="73"/>
  <c r="B147" i="73"/>
  <c r="AU146" i="73"/>
  <c r="AT146" i="73"/>
  <c r="AU145" i="73"/>
  <c r="AT145" i="73"/>
  <c r="AU144" i="73"/>
  <c r="AT144" i="73"/>
  <c r="D144" i="73"/>
  <c r="G144" i="73"/>
  <c r="J144" i="73"/>
  <c r="AU143" i="73"/>
  <c r="AT143" i="73"/>
  <c r="G143" i="73"/>
  <c r="J143" i="73"/>
  <c r="AU142" i="73"/>
  <c r="AT142" i="73"/>
  <c r="G142" i="73"/>
  <c r="J142" i="73"/>
  <c r="AU141" i="73"/>
  <c r="AT141" i="73"/>
  <c r="D141" i="73"/>
  <c r="G141" i="73"/>
  <c r="J141" i="73"/>
  <c r="AU140" i="73"/>
  <c r="AT140" i="73"/>
  <c r="K137" i="73"/>
  <c r="E11" i="73"/>
  <c r="AL94" i="73"/>
  <c r="K127" i="73"/>
  <c r="E13" i="73"/>
  <c r="AB94" i="73"/>
  <c r="K126" i="73"/>
  <c r="E15" i="73"/>
  <c r="R94" i="73"/>
  <c r="K125" i="73"/>
  <c r="E9" i="73"/>
  <c r="H94" i="73"/>
  <c r="K124" i="73"/>
  <c r="A118" i="73"/>
  <c r="F117" i="73"/>
  <c r="A113" i="73"/>
  <c r="J112" i="73"/>
  <c r="A109" i="73"/>
  <c r="F107" i="73"/>
  <c r="A107" i="73"/>
  <c r="A104" i="73"/>
  <c r="A89" i="73"/>
  <c r="AE85" i="73"/>
  <c r="AE31" i="73"/>
  <c r="AE32" i="73"/>
  <c r="AE33" i="73"/>
  <c r="AE34" i="73"/>
  <c r="AE35" i="73"/>
  <c r="AE36" i="73"/>
  <c r="AC85" i="73"/>
  <c r="AC31" i="73"/>
  <c r="AC32" i="73"/>
  <c r="AC33" i="73"/>
  <c r="AC34" i="73"/>
  <c r="AC35" i="73"/>
  <c r="AC36" i="73"/>
  <c r="AE86" i="73"/>
  <c r="AE87" i="73"/>
  <c r="AC86" i="73"/>
  <c r="AC87" i="73"/>
  <c r="AB85" i="73"/>
  <c r="AB31" i="73"/>
  <c r="AB32" i="73"/>
  <c r="AB33" i="73"/>
  <c r="AB34" i="73"/>
  <c r="AB35" i="73"/>
  <c r="AB36" i="73"/>
  <c r="Z85" i="73"/>
  <c r="Z31" i="73"/>
  <c r="Z32" i="73"/>
  <c r="Z33" i="73"/>
  <c r="Z34" i="73"/>
  <c r="Z35" i="73"/>
  <c r="Z36" i="73"/>
  <c r="AB86" i="73"/>
  <c r="AB87" i="73"/>
  <c r="Z86" i="73"/>
  <c r="Z87" i="73"/>
  <c r="Y85" i="73"/>
  <c r="Y31" i="73"/>
  <c r="Y32" i="73"/>
  <c r="Y33" i="73"/>
  <c r="Y34" i="73"/>
  <c r="Y35" i="73"/>
  <c r="Y36" i="73"/>
  <c r="W85" i="73"/>
  <c r="W31" i="73"/>
  <c r="W32" i="73"/>
  <c r="W33" i="73"/>
  <c r="W34" i="73"/>
  <c r="W35" i="73"/>
  <c r="W36" i="73"/>
  <c r="Y86" i="73"/>
  <c r="Y87" i="73"/>
  <c r="W86" i="73"/>
  <c r="W87" i="73"/>
  <c r="P86" i="73"/>
  <c r="P87" i="73"/>
  <c r="AC76" i="73"/>
  <c r="AE76" i="73"/>
  <c r="Z76" i="73"/>
  <c r="AB76" i="73"/>
  <c r="W76" i="73"/>
  <c r="Y76" i="73"/>
  <c r="T76" i="73"/>
  <c r="V76" i="73"/>
  <c r="Q76" i="73"/>
  <c r="S76" i="73"/>
  <c r="N76" i="73"/>
  <c r="P76" i="73"/>
  <c r="P83" i="73"/>
  <c r="S83" i="73"/>
  <c r="V83" i="73"/>
  <c r="Y83" i="73"/>
  <c r="AB83" i="73"/>
  <c r="AE83" i="73"/>
  <c r="AU83" i="73"/>
  <c r="AT83" i="73"/>
  <c r="AF76" i="73"/>
  <c r="P75" i="73"/>
  <c r="AF75" i="73"/>
  <c r="G74" i="73"/>
  <c r="V74" i="73"/>
  <c r="AF74" i="73"/>
  <c r="M73" i="73"/>
  <c r="AF73" i="73"/>
  <c r="D72" i="73"/>
  <c r="J72" i="73"/>
  <c r="S72" i="73"/>
  <c r="AF72" i="73"/>
  <c r="AC64" i="73"/>
  <c r="AE64" i="73"/>
  <c r="AC65" i="73"/>
  <c r="AE65" i="73"/>
  <c r="AC66" i="73"/>
  <c r="AE66" i="73"/>
  <c r="AC67" i="73"/>
  <c r="AE67" i="73"/>
  <c r="AC68" i="73"/>
  <c r="AE68" i="73"/>
  <c r="AD71" i="73"/>
  <c r="Z64" i="73"/>
  <c r="AB64" i="73"/>
  <c r="Z65" i="73"/>
  <c r="AB65" i="73"/>
  <c r="Z66" i="73"/>
  <c r="AB66" i="73"/>
  <c r="Z67" i="73"/>
  <c r="AB67" i="73"/>
  <c r="Z68" i="73"/>
  <c r="AB68" i="73"/>
  <c r="AA71" i="73"/>
  <c r="W64" i="73"/>
  <c r="Y64" i="73"/>
  <c r="W65" i="73"/>
  <c r="Y65" i="73"/>
  <c r="W66" i="73"/>
  <c r="Y66" i="73"/>
  <c r="W67" i="73"/>
  <c r="Y67" i="73"/>
  <c r="W68" i="73"/>
  <c r="Y68" i="73"/>
  <c r="X71" i="73"/>
  <c r="AF68" i="73"/>
  <c r="AG68" i="73"/>
  <c r="AF67" i="73"/>
  <c r="AG67" i="73"/>
  <c r="AF66" i="73"/>
  <c r="AG66" i="73"/>
  <c r="AF65" i="73"/>
  <c r="AG65" i="73"/>
  <c r="AF64" i="73"/>
  <c r="AG64" i="73"/>
  <c r="B62" i="73"/>
  <c r="D62" i="73"/>
  <c r="E62" i="73"/>
  <c r="G62" i="73"/>
  <c r="H62" i="73"/>
  <c r="H39" i="73"/>
  <c r="J39" i="73"/>
  <c r="H40" i="73"/>
  <c r="J40" i="73"/>
  <c r="H41" i="73"/>
  <c r="J41" i="73"/>
  <c r="H42" i="73"/>
  <c r="J42" i="73"/>
  <c r="H43" i="73"/>
  <c r="J43" i="73"/>
  <c r="H44" i="73"/>
  <c r="J62" i="73"/>
  <c r="K62" i="73"/>
  <c r="M62" i="73"/>
  <c r="N62" i="73"/>
  <c r="N39" i="73"/>
  <c r="P39" i="73"/>
  <c r="N40" i="73"/>
  <c r="P40" i="73"/>
  <c r="N41" i="73"/>
  <c r="P41" i="73"/>
  <c r="N42" i="73"/>
  <c r="P42" i="73"/>
  <c r="N43" i="73"/>
  <c r="P43" i="73"/>
  <c r="N44" i="73"/>
  <c r="P62" i="73"/>
  <c r="Q62" i="73"/>
  <c r="S62" i="73"/>
  <c r="T62" i="73"/>
  <c r="V62" i="73"/>
  <c r="W62" i="73"/>
  <c r="Y62" i="73"/>
  <c r="Z62" i="73"/>
  <c r="AB62" i="73"/>
  <c r="AC62" i="73"/>
  <c r="AE62" i="73"/>
  <c r="AF62" i="73"/>
  <c r="B61" i="73"/>
  <c r="D61" i="73"/>
  <c r="E61" i="73"/>
  <c r="E39" i="73"/>
  <c r="G39" i="73"/>
  <c r="E40" i="73"/>
  <c r="G40" i="73"/>
  <c r="E41" i="73"/>
  <c r="G41" i="73"/>
  <c r="E42" i="73"/>
  <c r="G42" i="73"/>
  <c r="E43" i="73"/>
  <c r="G43" i="73"/>
  <c r="E44" i="73"/>
  <c r="G61" i="73"/>
  <c r="H61" i="73"/>
  <c r="J61" i="73"/>
  <c r="K61" i="73"/>
  <c r="M61" i="73"/>
  <c r="N61" i="73"/>
  <c r="P61" i="73"/>
  <c r="Q61" i="73"/>
  <c r="Q39" i="73"/>
  <c r="S39" i="73"/>
  <c r="Q40" i="73"/>
  <c r="S40" i="73"/>
  <c r="Q41" i="73"/>
  <c r="S41" i="73"/>
  <c r="Q42" i="73"/>
  <c r="S42" i="73"/>
  <c r="Q43" i="73"/>
  <c r="S43" i="73"/>
  <c r="Q44" i="73"/>
  <c r="S61" i="73"/>
  <c r="T61" i="73"/>
  <c r="V61" i="73"/>
  <c r="W61" i="73"/>
  <c r="Y61" i="73"/>
  <c r="Z61" i="73"/>
  <c r="AB61" i="73"/>
  <c r="AC61" i="73"/>
  <c r="AE61" i="73"/>
  <c r="AF61" i="73"/>
  <c r="B60" i="73"/>
  <c r="D60" i="73"/>
  <c r="E60" i="73"/>
  <c r="G60" i="73"/>
  <c r="H60" i="73"/>
  <c r="J60" i="73"/>
  <c r="K60" i="73"/>
  <c r="K39" i="73"/>
  <c r="M39" i="73"/>
  <c r="K40" i="73"/>
  <c r="M40" i="73"/>
  <c r="K41" i="73"/>
  <c r="M41" i="73"/>
  <c r="K42" i="73"/>
  <c r="M42" i="73"/>
  <c r="K43" i="73"/>
  <c r="M43" i="73"/>
  <c r="K44" i="73"/>
  <c r="M60" i="73"/>
  <c r="N60" i="73"/>
  <c r="P60" i="73"/>
  <c r="Q60" i="73"/>
  <c r="S60" i="73"/>
  <c r="T39" i="73"/>
  <c r="V39" i="73"/>
  <c r="T40" i="73"/>
  <c r="V40" i="73"/>
  <c r="T41" i="73"/>
  <c r="V41" i="73"/>
  <c r="T42" i="73"/>
  <c r="V42" i="73"/>
  <c r="T43" i="73"/>
  <c r="V43" i="73"/>
  <c r="T44" i="73"/>
  <c r="T60" i="73"/>
  <c r="V60" i="73"/>
  <c r="W60" i="73"/>
  <c r="Y60" i="73"/>
  <c r="Z60" i="73"/>
  <c r="AB60" i="73"/>
  <c r="AC60" i="73"/>
  <c r="AE60" i="73"/>
  <c r="AF60" i="73"/>
  <c r="B59" i="73"/>
  <c r="B39" i="73"/>
  <c r="D39" i="73"/>
  <c r="B40" i="73"/>
  <c r="D40" i="73"/>
  <c r="B41" i="73"/>
  <c r="D41" i="73"/>
  <c r="B42" i="73"/>
  <c r="D42" i="73"/>
  <c r="B43" i="73"/>
  <c r="D43" i="73"/>
  <c r="B44" i="73"/>
  <c r="D59" i="73"/>
  <c r="E59" i="73"/>
  <c r="G59" i="73"/>
  <c r="H59" i="73"/>
  <c r="J59" i="73"/>
  <c r="K59" i="73"/>
  <c r="M59" i="73"/>
  <c r="N59" i="73"/>
  <c r="P59" i="73"/>
  <c r="Q59" i="73"/>
  <c r="S59" i="73"/>
  <c r="T59" i="73"/>
  <c r="V59" i="73"/>
  <c r="W59" i="73"/>
  <c r="Y59" i="73"/>
  <c r="Z59" i="73"/>
  <c r="AB59" i="73"/>
  <c r="AC59" i="73"/>
  <c r="AE59" i="73"/>
  <c r="AF59" i="73"/>
  <c r="B58" i="73"/>
  <c r="D58" i="73"/>
  <c r="E58" i="73"/>
  <c r="G58" i="73"/>
  <c r="H58" i="73"/>
  <c r="J58" i="73"/>
  <c r="K58" i="73"/>
  <c r="M58" i="73"/>
  <c r="N58" i="73"/>
  <c r="P58" i="73"/>
  <c r="Q58" i="73"/>
  <c r="S58" i="73"/>
  <c r="T58" i="73"/>
  <c r="V58" i="73"/>
  <c r="W58" i="73"/>
  <c r="Y58" i="73"/>
  <c r="Z58" i="73"/>
  <c r="AB58" i="73"/>
  <c r="AC58" i="73"/>
  <c r="AE58" i="73"/>
  <c r="AF58" i="73"/>
  <c r="B56" i="73"/>
  <c r="D56" i="73"/>
  <c r="E56" i="73"/>
  <c r="G56" i="73"/>
  <c r="H56" i="73"/>
  <c r="H37" i="73"/>
  <c r="J37" i="73"/>
  <c r="I37" i="73"/>
  <c r="J56" i="73"/>
  <c r="K56" i="73"/>
  <c r="M56" i="73"/>
  <c r="N56" i="73"/>
  <c r="N37" i="73"/>
  <c r="P37" i="73"/>
  <c r="O37" i="73"/>
  <c r="P56" i="73"/>
  <c r="Q56" i="73"/>
  <c r="S56" i="73"/>
  <c r="T56" i="73"/>
  <c r="V56" i="73"/>
  <c r="W56" i="73"/>
  <c r="Y56" i="73"/>
  <c r="Z56" i="73"/>
  <c r="AB56" i="73"/>
  <c r="AC56" i="73"/>
  <c r="AE56" i="73"/>
  <c r="AF56" i="73"/>
  <c r="B55" i="73"/>
  <c r="D55" i="73"/>
  <c r="E55" i="73"/>
  <c r="E37" i="73"/>
  <c r="G37" i="73"/>
  <c r="F37" i="73"/>
  <c r="G55" i="73"/>
  <c r="H55" i="73"/>
  <c r="J55" i="73"/>
  <c r="K55" i="73"/>
  <c r="M55" i="73"/>
  <c r="N55" i="73"/>
  <c r="P55" i="73"/>
  <c r="Q55" i="73"/>
  <c r="Q37" i="73"/>
  <c r="S37" i="73"/>
  <c r="R37" i="73"/>
  <c r="S55" i="73"/>
  <c r="T55" i="73"/>
  <c r="V55" i="73"/>
  <c r="W55" i="73"/>
  <c r="Y55" i="73"/>
  <c r="Z55" i="73"/>
  <c r="AB55" i="73"/>
  <c r="AC55" i="73"/>
  <c r="AE55" i="73"/>
  <c r="AF55" i="73"/>
  <c r="B54" i="73"/>
  <c r="D54" i="73"/>
  <c r="E54" i="73"/>
  <c r="G54" i="73"/>
  <c r="H54" i="73"/>
  <c r="J54" i="73"/>
  <c r="K54" i="73"/>
  <c r="K37" i="73"/>
  <c r="M37" i="73"/>
  <c r="L37" i="73"/>
  <c r="M54" i="73"/>
  <c r="N54" i="73"/>
  <c r="P54" i="73"/>
  <c r="Q54" i="73"/>
  <c r="S54" i="73"/>
  <c r="T37" i="73"/>
  <c r="V37" i="73"/>
  <c r="U37" i="73"/>
  <c r="T54" i="73"/>
  <c r="V54" i="73"/>
  <c r="W54" i="73"/>
  <c r="Y54" i="73"/>
  <c r="Z54" i="73"/>
  <c r="AB54" i="73"/>
  <c r="AC54" i="73"/>
  <c r="AE54" i="73"/>
  <c r="AF54" i="73"/>
  <c r="B53" i="73"/>
  <c r="B37" i="73"/>
  <c r="D37" i="73"/>
  <c r="C37" i="73"/>
  <c r="D53" i="73"/>
  <c r="E53" i="73"/>
  <c r="G53" i="73"/>
  <c r="H53" i="73"/>
  <c r="J53" i="73"/>
  <c r="K53" i="73"/>
  <c r="M53" i="73"/>
  <c r="N53" i="73"/>
  <c r="P53" i="73"/>
  <c r="Q53" i="73"/>
  <c r="S53" i="73"/>
  <c r="T53" i="73"/>
  <c r="V53" i="73"/>
  <c r="W53" i="73"/>
  <c r="Y53" i="73"/>
  <c r="Z53" i="73"/>
  <c r="AB53" i="73"/>
  <c r="AC53" i="73"/>
  <c r="AE53" i="73"/>
  <c r="AF53" i="73"/>
  <c r="B52" i="73"/>
  <c r="D52" i="73"/>
  <c r="E52" i="73"/>
  <c r="G52" i="73"/>
  <c r="H52" i="73"/>
  <c r="J52" i="73"/>
  <c r="K52" i="73"/>
  <c r="M52" i="73"/>
  <c r="N52" i="73"/>
  <c r="P52" i="73"/>
  <c r="Q52" i="73"/>
  <c r="S52" i="73"/>
  <c r="T52" i="73"/>
  <c r="V52" i="73"/>
  <c r="W52" i="73"/>
  <c r="Y52" i="73"/>
  <c r="Z52" i="73"/>
  <c r="AB52" i="73"/>
  <c r="AC52" i="73"/>
  <c r="AE52" i="73"/>
  <c r="AF52" i="73"/>
  <c r="B50" i="73"/>
  <c r="D50" i="73"/>
  <c r="E50" i="73"/>
  <c r="G50" i="73"/>
  <c r="H50" i="73"/>
  <c r="J50" i="73"/>
  <c r="K50" i="73"/>
  <c r="M50" i="73"/>
  <c r="N50" i="73"/>
  <c r="P50" i="73"/>
  <c r="Q50" i="73"/>
  <c r="S50" i="73"/>
  <c r="T50" i="73"/>
  <c r="V50" i="73"/>
  <c r="W50" i="73"/>
  <c r="Y50" i="73"/>
  <c r="Z50" i="73"/>
  <c r="AB50" i="73"/>
  <c r="AC50" i="73"/>
  <c r="AE50" i="73"/>
  <c r="AF50" i="73"/>
  <c r="AG50" i="73"/>
  <c r="B49" i="73"/>
  <c r="D49" i="73"/>
  <c r="E49" i="73"/>
  <c r="G49" i="73"/>
  <c r="H49" i="73"/>
  <c r="J49" i="73"/>
  <c r="K49" i="73"/>
  <c r="M49" i="73"/>
  <c r="N49" i="73"/>
  <c r="P49" i="73"/>
  <c r="Q49" i="73"/>
  <c r="S49" i="73"/>
  <c r="T49" i="73"/>
  <c r="V49" i="73"/>
  <c r="W49" i="73"/>
  <c r="Y49" i="73"/>
  <c r="Z49" i="73"/>
  <c r="AB49" i="73"/>
  <c r="AC49" i="73"/>
  <c r="AE49" i="73"/>
  <c r="AF49" i="73"/>
  <c r="AG49" i="73"/>
  <c r="B48" i="73"/>
  <c r="D48" i="73"/>
  <c r="E48" i="73"/>
  <c r="G48" i="73"/>
  <c r="H48" i="73"/>
  <c r="J48" i="73"/>
  <c r="K48" i="73"/>
  <c r="M48" i="73"/>
  <c r="N48" i="73"/>
  <c r="P48" i="73"/>
  <c r="Q48" i="73"/>
  <c r="S48" i="73"/>
  <c r="T48" i="73"/>
  <c r="V48" i="73"/>
  <c r="W48" i="73"/>
  <c r="Y48" i="73"/>
  <c r="Z48" i="73"/>
  <c r="AB48" i="73"/>
  <c r="AC48" i="73"/>
  <c r="AE48" i="73"/>
  <c r="AF48" i="73"/>
  <c r="AG48" i="73"/>
  <c r="B47" i="73"/>
  <c r="D47" i="73"/>
  <c r="E47" i="73"/>
  <c r="G47" i="73"/>
  <c r="H47" i="73"/>
  <c r="J47" i="73"/>
  <c r="K47" i="73"/>
  <c r="M47" i="73"/>
  <c r="N47" i="73"/>
  <c r="P47" i="73"/>
  <c r="Q47" i="73"/>
  <c r="S47" i="73"/>
  <c r="T47" i="73"/>
  <c r="V47" i="73"/>
  <c r="W47" i="73"/>
  <c r="Y47" i="73"/>
  <c r="Z47" i="73"/>
  <c r="AB47" i="73"/>
  <c r="AC47" i="73"/>
  <c r="AE47" i="73"/>
  <c r="AF47" i="73"/>
  <c r="AG47" i="73"/>
  <c r="B46" i="73"/>
  <c r="D46" i="73"/>
  <c r="E46" i="73"/>
  <c r="G46" i="73"/>
  <c r="H46" i="73"/>
  <c r="J46" i="73"/>
  <c r="K46" i="73"/>
  <c r="M46" i="73"/>
  <c r="N46" i="73"/>
  <c r="P46" i="73"/>
  <c r="Q46" i="73"/>
  <c r="S46" i="73"/>
  <c r="T46" i="73"/>
  <c r="V46" i="73"/>
  <c r="W46" i="73"/>
  <c r="Y46" i="73"/>
  <c r="Z46" i="73"/>
  <c r="AB46" i="73"/>
  <c r="AC46" i="73"/>
  <c r="AE46" i="73"/>
  <c r="AF46" i="73"/>
  <c r="AG46" i="73"/>
  <c r="AC39" i="73"/>
  <c r="AE39" i="73"/>
  <c r="AC40" i="73"/>
  <c r="AE40" i="73"/>
  <c r="AC41" i="73"/>
  <c r="AE41" i="73"/>
  <c r="AC42" i="73"/>
  <c r="AE42" i="73"/>
  <c r="AC43" i="73"/>
  <c r="AE43" i="73"/>
  <c r="AC44" i="73"/>
  <c r="Z39" i="73"/>
  <c r="AB39" i="73"/>
  <c r="Z40" i="73"/>
  <c r="AB40" i="73"/>
  <c r="Z41" i="73"/>
  <c r="AB41" i="73"/>
  <c r="Z42" i="73"/>
  <c r="AB42" i="73"/>
  <c r="Z43" i="73"/>
  <c r="AB43" i="73"/>
  <c r="Z44" i="73"/>
  <c r="W39" i="73"/>
  <c r="Y39" i="73"/>
  <c r="W40" i="73"/>
  <c r="Y40" i="73"/>
  <c r="W41" i="73"/>
  <c r="Y41" i="73"/>
  <c r="W42" i="73"/>
  <c r="Y42" i="73"/>
  <c r="W43" i="73"/>
  <c r="Y43" i="73"/>
  <c r="W44" i="73"/>
  <c r="AE37" i="73"/>
  <c r="AC37" i="73"/>
  <c r="AD37" i="73"/>
  <c r="AB37" i="73"/>
  <c r="Z37" i="73"/>
  <c r="AA37" i="73"/>
  <c r="Y37" i="73"/>
  <c r="W37" i="73"/>
  <c r="X37" i="73"/>
  <c r="AE30" i="73"/>
  <c r="AC30" i="73"/>
  <c r="AB30" i="73"/>
  <c r="Z30" i="73"/>
  <c r="Y30" i="73"/>
  <c r="W30" i="73"/>
  <c r="V30" i="73"/>
  <c r="T30" i="73"/>
  <c r="S30" i="73"/>
  <c r="Q30" i="73"/>
  <c r="P30" i="73"/>
  <c r="N30" i="73"/>
  <c r="M30" i="73"/>
  <c r="K30" i="73"/>
  <c r="J30" i="73"/>
  <c r="H30" i="73"/>
  <c r="G30" i="73"/>
  <c r="E30" i="73"/>
  <c r="D30" i="73"/>
  <c r="B30" i="73"/>
  <c r="AD29" i="73"/>
  <c r="AA29" i="73"/>
  <c r="X29" i="73"/>
  <c r="U29" i="73"/>
  <c r="R29" i="73"/>
  <c r="O29" i="73"/>
  <c r="L29" i="73"/>
  <c r="I29" i="73"/>
  <c r="F29" i="73"/>
  <c r="A29" i="73"/>
  <c r="AG28" i="73"/>
  <c r="AH28" i="73"/>
  <c r="AI28" i="73"/>
  <c r="AJ28" i="73"/>
  <c r="AK28" i="73"/>
  <c r="AL28" i="73"/>
  <c r="AM28" i="73"/>
  <c r="AN28" i="73"/>
  <c r="AO28" i="73"/>
  <c r="AP28" i="73"/>
  <c r="AQ28" i="73"/>
  <c r="AF28" i="73"/>
  <c r="AD28" i="73"/>
  <c r="AA28" i="73"/>
  <c r="X28" i="73"/>
  <c r="U28" i="73"/>
  <c r="R28" i="73"/>
  <c r="O28" i="73"/>
  <c r="L28" i="73"/>
  <c r="I28" i="73"/>
  <c r="F28" i="73"/>
  <c r="A28" i="73"/>
  <c r="AG27" i="73"/>
  <c r="AH27" i="73"/>
  <c r="AI27" i="73"/>
  <c r="AJ27" i="73"/>
  <c r="AK27" i="73"/>
  <c r="AL27" i="73"/>
  <c r="AM27" i="73"/>
  <c r="AN27" i="73"/>
  <c r="AO27" i="73"/>
  <c r="AP27" i="73"/>
  <c r="AQ27" i="73"/>
  <c r="AF27" i="73"/>
  <c r="AD27" i="73"/>
  <c r="AA27" i="73"/>
  <c r="X27" i="73"/>
  <c r="U27" i="73"/>
  <c r="R27" i="73"/>
  <c r="O27" i="73"/>
  <c r="L27" i="73"/>
  <c r="I27" i="73"/>
  <c r="F27" i="73"/>
  <c r="A27" i="73"/>
  <c r="AG26" i="73"/>
  <c r="AH26" i="73"/>
  <c r="AI26" i="73"/>
  <c r="AJ26" i="73"/>
  <c r="AK26" i="73"/>
  <c r="AL26" i="73"/>
  <c r="AM26" i="73"/>
  <c r="AN26" i="73"/>
  <c r="AO26" i="73"/>
  <c r="AP26" i="73"/>
  <c r="AQ26" i="73"/>
  <c r="AF26" i="73"/>
  <c r="AD26" i="73"/>
  <c r="AA26" i="73"/>
  <c r="X26" i="73"/>
  <c r="U26" i="73"/>
  <c r="R26" i="73"/>
  <c r="O26" i="73"/>
  <c r="L26" i="73"/>
  <c r="I26" i="73"/>
  <c r="F26" i="73"/>
  <c r="A26" i="73"/>
  <c r="AG25" i="73"/>
  <c r="AH25" i="73"/>
  <c r="AI25" i="73"/>
  <c r="AJ25" i="73"/>
  <c r="AK25" i="73"/>
  <c r="AL25" i="73"/>
  <c r="AM25" i="73"/>
  <c r="AN25" i="73"/>
  <c r="AO25" i="73"/>
  <c r="AP25" i="73"/>
  <c r="AQ25" i="73"/>
  <c r="AF25" i="73"/>
  <c r="AD25" i="73"/>
  <c r="AA25" i="73"/>
  <c r="X25" i="73"/>
  <c r="U25" i="73"/>
  <c r="R25" i="73"/>
  <c r="O25" i="73"/>
  <c r="L25" i="73"/>
  <c r="I25" i="73"/>
  <c r="F25" i="73"/>
  <c r="AG24" i="73"/>
  <c r="AH24" i="73"/>
  <c r="AI24" i="73"/>
  <c r="AJ24" i="73"/>
  <c r="AK24" i="73"/>
  <c r="AL24" i="73"/>
  <c r="AM24" i="73"/>
  <c r="AN24" i="73"/>
  <c r="AO24" i="73"/>
  <c r="AP24" i="73"/>
  <c r="AQ24" i="73"/>
  <c r="AF24" i="73"/>
  <c r="AD24" i="73"/>
  <c r="AA24" i="73"/>
  <c r="X24" i="73"/>
  <c r="U24" i="73"/>
  <c r="R24" i="73"/>
  <c r="O24" i="73"/>
  <c r="L24" i="73"/>
  <c r="I24" i="73"/>
  <c r="F24" i="73"/>
  <c r="AC22" i="73"/>
  <c r="Z22" i="73"/>
  <c r="W22" i="73"/>
  <c r="T22" i="73"/>
  <c r="Q22" i="73"/>
  <c r="N22" i="73"/>
  <c r="K22" i="73"/>
  <c r="H22" i="73"/>
  <c r="E22" i="73"/>
  <c r="E17" i="73"/>
  <c r="AC16" i="73"/>
  <c r="Z16" i="73"/>
  <c r="W16" i="73"/>
  <c r="R16" i="73"/>
  <c r="L16" i="73"/>
  <c r="A16" i="73"/>
  <c r="AC14" i="73"/>
  <c r="Z14" i="73"/>
  <c r="W14" i="73"/>
  <c r="R14" i="73"/>
  <c r="L14" i="73"/>
  <c r="A14" i="73"/>
  <c r="AC12" i="73"/>
  <c r="Z12" i="73"/>
  <c r="W12" i="73"/>
  <c r="R12" i="73"/>
  <c r="L12" i="73"/>
  <c r="A12" i="73"/>
  <c r="AC10" i="73"/>
  <c r="Z10" i="73"/>
  <c r="W10" i="73"/>
  <c r="R10" i="73"/>
  <c r="L10" i="73"/>
  <c r="A10" i="73"/>
  <c r="AC8" i="73"/>
  <c r="Z8" i="73"/>
  <c r="W8" i="73"/>
  <c r="R8" i="73"/>
  <c r="L8" i="73"/>
  <c r="A8" i="73"/>
  <c r="AX7" i="73"/>
  <c r="AY7" i="73"/>
  <c r="R7" i="73"/>
  <c r="L7" i="73"/>
  <c r="AY6" i="73"/>
  <c r="K6" i="73"/>
  <c r="AY5" i="73"/>
  <c r="AY4" i="73"/>
  <c r="AY3" i="73"/>
  <c r="C167" i="47"/>
  <c r="D167" i="47"/>
  <c r="G170" i="47"/>
  <c r="AW4" i="47"/>
  <c r="C164" i="47"/>
  <c r="D164" i="47"/>
  <c r="E170" i="47"/>
  <c r="G171" i="47"/>
  <c r="G172" i="47"/>
  <c r="G167" i="47"/>
  <c r="J167" i="47"/>
  <c r="M170" i="47"/>
  <c r="AW7" i="47"/>
  <c r="C165" i="47"/>
  <c r="B170" i="47"/>
  <c r="C168" i="47"/>
  <c r="D170" i="47"/>
  <c r="B171" i="47"/>
  <c r="B172" i="47"/>
  <c r="D165" i="47"/>
  <c r="G165" i="47"/>
  <c r="J165" i="47"/>
  <c r="K170" i="47"/>
  <c r="M171" i="47"/>
  <c r="M172" i="47"/>
  <c r="M167" i="47"/>
  <c r="P167" i="47"/>
  <c r="Q170" i="47"/>
  <c r="D171" i="47"/>
  <c r="D172" i="47"/>
  <c r="D168" i="47"/>
  <c r="G168" i="47"/>
  <c r="J170" i="47"/>
  <c r="AW10" i="47"/>
  <c r="C166" i="47"/>
  <c r="D166" i="47"/>
  <c r="G166" i="47"/>
  <c r="H170" i="47"/>
  <c r="J171" i="47"/>
  <c r="J172" i="47"/>
  <c r="J168" i="47"/>
  <c r="M168" i="47"/>
  <c r="P168" i="47"/>
  <c r="S170" i="47"/>
  <c r="Q171" i="47"/>
  <c r="Q172" i="47"/>
  <c r="S167" i="47"/>
  <c r="V167" i="47"/>
  <c r="Y167" i="47"/>
  <c r="AB170" i="47"/>
  <c r="H171" i="47"/>
  <c r="H172" i="47"/>
  <c r="J166" i="47"/>
  <c r="M166" i="47"/>
  <c r="P170" i="47"/>
  <c r="E171" i="47"/>
  <c r="E172" i="47"/>
  <c r="G164" i="47"/>
  <c r="J164" i="47"/>
  <c r="M164" i="47"/>
  <c r="N170" i="47"/>
  <c r="P171" i="47"/>
  <c r="P172" i="47"/>
  <c r="P166" i="47"/>
  <c r="S166" i="47"/>
  <c r="V170" i="47"/>
  <c r="K171" i="47"/>
  <c r="K172" i="47"/>
  <c r="M165" i="47"/>
  <c r="P165" i="47"/>
  <c r="S165" i="47"/>
  <c r="T170" i="47"/>
  <c r="V171" i="47"/>
  <c r="V172" i="47"/>
  <c r="V166" i="47"/>
  <c r="Y166" i="47"/>
  <c r="Z170" i="47"/>
  <c r="AB171" i="47"/>
  <c r="AB172" i="47"/>
  <c r="AB167" i="47"/>
  <c r="AE167" i="47"/>
  <c r="AU167" i="47"/>
  <c r="AX13" i="47"/>
  <c r="C319" i="47"/>
  <c r="D319" i="47"/>
  <c r="E322" i="47"/>
  <c r="AW12" i="47"/>
  <c r="C252" i="47"/>
  <c r="D252" i="47"/>
  <c r="G255" i="47"/>
  <c r="AW5" i="47"/>
  <c r="C249" i="47"/>
  <c r="D249" i="47"/>
  <c r="E255" i="47"/>
  <c r="G256" i="47"/>
  <c r="G257" i="47"/>
  <c r="G252" i="47"/>
  <c r="J252" i="47"/>
  <c r="M255" i="47"/>
  <c r="AW6" i="47"/>
  <c r="C250" i="47"/>
  <c r="B255" i="47"/>
  <c r="AW17" i="47"/>
  <c r="C253" i="47"/>
  <c r="D255" i="47"/>
  <c r="B256" i="47"/>
  <c r="B257" i="47"/>
  <c r="D250" i="47"/>
  <c r="G250" i="47"/>
  <c r="J250" i="47"/>
  <c r="K255" i="47"/>
  <c r="M256" i="47"/>
  <c r="M257" i="47"/>
  <c r="M252" i="47"/>
  <c r="P252" i="47"/>
  <c r="Q255" i="47"/>
  <c r="D256" i="47"/>
  <c r="D257" i="47"/>
  <c r="D253" i="47"/>
  <c r="G253" i="47"/>
  <c r="J255" i="47"/>
  <c r="AW11" i="47"/>
  <c r="C251" i="47"/>
  <c r="D251" i="47"/>
  <c r="G251" i="47"/>
  <c r="H255" i="47"/>
  <c r="J256" i="47"/>
  <c r="J257" i="47"/>
  <c r="J253" i="47"/>
  <c r="M253" i="47"/>
  <c r="P253" i="47"/>
  <c r="S255" i="47"/>
  <c r="Q256" i="47"/>
  <c r="Q257" i="47"/>
  <c r="S252" i="47"/>
  <c r="V252" i="47"/>
  <c r="Y252" i="47"/>
  <c r="AB255" i="47"/>
  <c r="H256" i="47"/>
  <c r="H257" i="47"/>
  <c r="J251" i="47"/>
  <c r="M251" i="47"/>
  <c r="P255" i="47"/>
  <c r="E256" i="47"/>
  <c r="E257" i="47"/>
  <c r="G249" i="47"/>
  <c r="J249" i="47"/>
  <c r="M249" i="47"/>
  <c r="N255" i="47"/>
  <c r="P256" i="47"/>
  <c r="P257" i="47"/>
  <c r="P251" i="47"/>
  <c r="S251" i="47"/>
  <c r="V255" i="47"/>
  <c r="K256" i="47"/>
  <c r="K257" i="47"/>
  <c r="M250" i="47"/>
  <c r="P250" i="47"/>
  <c r="S250" i="47"/>
  <c r="T255" i="47"/>
  <c r="V256" i="47"/>
  <c r="V257" i="47"/>
  <c r="V251" i="47"/>
  <c r="Y251" i="47"/>
  <c r="Z255" i="47"/>
  <c r="AB256" i="47"/>
  <c r="AB257" i="47"/>
  <c r="AB252" i="47"/>
  <c r="AE252" i="47"/>
  <c r="AU252" i="47"/>
  <c r="AX12" i="47"/>
  <c r="C320" i="47"/>
  <c r="D320" i="47"/>
  <c r="G322" i="47"/>
  <c r="E323" i="47"/>
  <c r="E324" i="47"/>
  <c r="G319" i="47"/>
  <c r="J322" i="47"/>
  <c r="AW3" i="47"/>
  <c r="C79" i="47"/>
  <c r="D79" i="47"/>
  <c r="E85" i="47"/>
  <c r="C82" i="47"/>
  <c r="D82" i="47"/>
  <c r="G85" i="47"/>
  <c r="E86" i="47"/>
  <c r="E87" i="47"/>
  <c r="G79" i="47"/>
  <c r="J79" i="47"/>
  <c r="M79" i="47"/>
  <c r="N85" i="47"/>
  <c r="AW9" i="47"/>
  <c r="C81" i="47"/>
  <c r="D81" i="47"/>
  <c r="G81" i="47"/>
  <c r="H85" i="47"/>
  <c r="C83" i="47"/>
  <c r="D85" i="47"/>
  <c r="AW8" i="47"/>
  <c r="C80" i="47"/>
  <c r="B85" i="47"/>
  <c r="D86" i="47"/>
  <c r="D87" i="47"/>
  <c r="D83" i="47"/>
  <c r="G83" i="47"/>
  <c r="J85" i="47"/>
  <c r="H86" i="47"/>
  <c r="H87" i="47"/>
  <c r="J81" i="47"/>
  <c r="M81" i="47"/>
  <c r="P85" i="47"/>
  <c r="N86" i="47"/>
  <c r="N87" i="47"/>
  <c r="P79" i="47"/>
  <c r="S79" i="47"/>
  <c r="V79" i="47"/>
  <c r="W85" i="47"/>
  <c r="J86" i="47"/>
  <c r="J87" i="47"/>
  <c r="J83" i="47"/>
  <c r="M83" i="47"/>
  <c r="P83" i="47"/>
  <c r="S85" i="47"/>
  <c r="G86" i="47"/>
  <c r="G87" i="47"/>
  <c r="G82" i="47"/>
  <c r="J82" i="47"/>
  <c r="M85" i="47"/>
  <c r="B86" i="47"/>
  <c r="B87" i="47"/>
  <c r="D80" i="47"/>
  <c r="G80" i="47"/>
  <c r="J80" i="47"/>
  <c r="K85" i="47"/>
  <c r="M86" i="47"/>
  <c r="M87" i="47"/>
  <c r="M82" i="47"/>
  <c r="P82" i="47"/>
  <c r="Q85" i="47"/>
  <c r="S86" i="47"/>
  <c r="S87" i="47"/>
  <c r="S83" i="47"/>
  <c r="V83" i="47"/>
  <c r="Y85" i="47"/>
  <c r="W86" i="47"/>
  <c r="W87" i="47"/>
  <c r="Y79" i="47"/>
  <c r="AB79" i="47"/>
  <c r="AC85" i="47"/>
  <c r="K86" i="47"/>
  <c r="K87" i="47"/>
  <c r="M80" i="47"/>
  <c r="P80" i="47"/>
  <c r="S80" i="47"/>
  <c r="T85" i="47"/>
  <c r="P86" i="47"/>
  <c r="P87" i="47"/>
  <c r="P81" i="47"/>
  <c r="S81" i="47"/>
  <c r="V85" i="47"/>
  <c r="T86" i="47"/>
  <c r="T87" i="47"/>
  <c r="V80" i="47"/>
  <c r="Y80" i="47"/>
  <c r="AB80" i="47"/>
  <c r="AE85" i="47"/>
  <c r="AC86" i="47"/>
  <c r="AC87" i="47"/>
  <c r="AE79" i="47"/>
  <c r="AU79" i="47"/>
  <c r="AX3" i="47"/>
  <c r="C318" i="47"/>
  <c r="B322" i="47"/>
  <c r="Q86" i="47"/>
  <c r="Q87" i="47"/>
  <c r="S82" i="47"/>
  <c r="V82" i="47"/>
  <c r="Y82" i="47"/>
  <c r="AB85" i="47"/>
  <c r="V86" i="47"/>
  <c r="V87" i="47"/>
  <c r="V81" i="47"/>
  <c r="Y81" i="47"/>
  <c r="Z85" i="47"/>
  <c r="AB86" i="47"/>
  <c r="AB87" i="47"/>
  <c r="AB82" i="47"/>
  <c r="AE82" i="47"/>
  <c r="AU82" i="47"/>
  <c r="AX14" i="47"/>
  <c r="C321" i="47"/>
  <c r="D322" i="47"/>
  <c r="B323" i="47"/>
  <c r="B324" i="47"/>
  <c r="D318" i="47"/>
  <c r="G318" i="47"/>
  <c r="H322" i="47"/>
  <c r="J323" i="47"/>
  <c r="J324" i="47"/>
  <c r="J319" i="47"/>
  <c r="AU318" i="47"/>
  <c r="AY13" i="47"/>
  <c r="AZ13" i="47"/>
  <c r="D323" i="47"/>
  <c r="D324" i="47"/>
  <c r="D321" i="47"/>
  <c r="G321" i="47"/>
  <c r="J321" i="47"/>
  <c r="AU320" i="47"/>
  <c r="AY14" i="47"/>
  <c r="AZ14" i="47"/>
  <c r="Y86" i="47"/>
  <c r="Y87" i="47"/>
  <c r="Y83" i="47"/>
  <c r="AB83" i="47"/>
  <c r="AE83" i="47"/>
  <c r="AU83" i="47"/>
  <c r="AX15" i="47"/>
  <c r="AY15" i="47"/>
  <c r="AZ15" i="47"/>
  <c r="S171" i="47"/>
  <c r="S172" i="47"/>
  <c r="S168" i="47"/>
  <c r="V168" i="47"/>
  <c r="Y170" i="47"/>
  <c r="N171" i="47"/>
  <c r="N172" i="47"/>
  <c r="P164" i="47"/>
  <c r="S164" i="47"/>
  <c r="V164" i="47"/>
  <c r="W170" i="47"/>
  <c r="Y171" i="47"/>
  <c r="Y172" i="47"/>
  <c r="Y168" i="47"/>
  <c r="AB168" i="47"/>
  <c r="AE168" i="47"/>
  <c r="AU168" i="47"/>
  <c r="AX16" i="47"/>
  <c r="C368" i="47"/>
  <c r="D368" i="47"/>
  <c r="G370" i="47"/>
  <c r="AE86" i="47"/>
  <c r="AE87" i="47"/>
  <c r="AE80" i="47"/>
  <c r="AU80" i="47"/>
  <c r="AX8" i="47"/>
  <c r="C367" i="47"/>
  <c r="D367" i="47"/>
  <c r="E370" i="47"/>
  <c r="G371" i="47"/>
  <c r="G372" i="47"/>
  <c r="G368" i="47"/>
  <c r="J368" i="47"/>
  <c r="AU367" i="47"/>
  <c r="AY16" i="47"/>
  <c r="AZ16" i="47"/>
  <c r="AZ22" i="47"/>
  <c r="C81" i="65"/>
  <c r="D81" i="65"/>
  <c r="G81" i="65"/>
  <c r="H85" i="65"/>
  <c r="AW15" i="65"/>
  <c r="C83" i="65"/>
  <c r="D85" i="65"/>
  <c r="AW8" i="65"/>
  <c r="C80" i="65"/>
  <c r="B85" i="65"/>
  <c r="D86" i="65"/>
  <c r="D87" i="65"/>
  <c r="D83" i="65"/>
  <c r="G83" i="65"/>
  <c r="J85" i="65"/>
  <c r="H86" i="65"/>
  <c r="H87" i="65"/>
  <c r="J81" i="65"/>
  <c r="M81" i="65"/>
  <c r="P85" i="65"/>
  <c r="AW3" i="65"/>
  <c r="C79" i="65"/>
  <c r="D79" i="65"/>
  <c r="E85" i="65"/>
  <c r="AW14" i="65"/>
  <c r="C82" i="65"/>
  <c r="D82" i="65"/>
  <c r="G85" i="65"/>
  <c r="E86" i="65"/>
  <c r="E87" i="65"/>
  <c r="G79" i="65"/>
  <c r="J79" i="65"/>
  <c r="M79" i="65"/>
  <c r="N85" i="65"/>
  <c r="P86" i="65"/>
  <c r="P87" i="65"/>
  <c r="P81" i="65"/>
  <c r="S81" i="65"/>
  <c r="V85" i="65"/>
  <c r="B86" i="65"/>
  <c r="B87" i="65"/>
  <c r="D80" i="65"/>
  <c r="G80" i="65"/>
  <c r="J80" i="65"/>
  <c r="K85" i="65"/>
  <c r="G86" i="65"/>
  <c r="G87" i="65"/>
  <c r="G82" i="65"/>
  <c r="J82" i="65"/>
  <c r="M85" i="65"/>
  <c r="K86" i="65"/>
  <c r="K87" i="65"/>
  <c r="M80" i="65"/>
  <c r="P80" i="65"/>
  <c r="S80" i="65"/>
  <c r="T85" i="65"/>
  <c r="V86" i="65"/>
  <c r="V87" i="65"/>
  <c r="V81" i="65"/>
  <c r="Y81" i="65"/>
  <c r="Z85" i="65"/>
  <c r="M86" i="65"/>
  <c r="M87" i="65"/>
  <c r="M82" i="65"/>
  <c r="P82" i="65"/>
  <c r="Q85" i="65"/>
  <c r="J86" i="65"/>
  <c r="J87" i="65"/>
  <c r="J83" i="65"/>
  <c r="M83" i="65"/>
  <c r="P83" i="65"/>
  <c r="S85" i="65"/>
  <c r="Q86" i="65"/>
  <c r="Q87" i="65"/>
  <c r="S82" i="65"/>
  <c r="V82" i="65"/>
  <c r="Y82" i="65"/>
  <c r="AB85" i="65"/>
  <c r="Z86" i="65"/>
  <c r="Z87" i="65"/>
  <c r="AB81" i="65"/>
  <c r="AE81" i="65"/>
  <c r="AU81" i="65"/>
  <c r="AX9" i="65"/>
  <c r="C318" i="65"/>
  <c r="B322" i="65"/>
  <c r="AW6" i="65"/>
  <c r="C250" i="65"/>
  <c r="B255" i="65"/>
  <c r="AW17" i="65"/>
  <c r="C253" i="65"/>
  <c r="D255" i="65"/>
  <c r="B256" i="65"/>
  <c r="B257" i="65"/>
  <c r="D250" i="65"/>
  <c r="G250" i="65"/>
  <c r="J250" i="65"/>
  <c r="K255" i="65"/>
  <c r="C252" i="65"/>
  <c r="D252" i="65"/>
  <c r="G255" i="65"/>
  <c r="AW5" i="65"/>
  <c r="C249" i="65"/>
  <c r="D249" i="65"/>
  <c r="E255" i="65"/>
  <c r="G256" i="65"/>
  <c r="G257" i="65"/>
  <c r="G252" i="65"/>
  <c r="J252" i="65"/>
  <c r="M255" i="65"/>
  <c r="K256" i="65"/>
  <c r="K257" i="65"/>
  <c r="M250" i="65"/>
  <c r="P250" i="65"/>
  <c r="S250" i="65"/>
  <c r="T255" i="65"/>
  <c r="C251" i="65"/>
  <c r="D251" i="65"/>
  <c r="G251" i="65"/>
  <c r="H255" i="65"/>
  <c r="D256" i="65"/>
  <c r="D257" i="65"/>
  <c r="D253" i="65"/>
  <c r="G253" i="65"/>
  <c r="J255" i="65"/>
  <c r="H256" i="65"/>
  <c r="H257" i="65"/>
  <c r="J251" i="65"/>
  <c r="M251" i="65"/>
  <c r="P255" i="65"/>
  <c r="E256" i="65"/>
  <c r="E257" i="65"/>
  <c r="G249" i="65"/>
  <c r="J249" i="65"/>
  <c r="M249" i="65"/>
  <c r="N255" i="65"/>
  <c r="P256" i="65"/>
  <c r="P257" i="65"/>
  <c r="P251" i="65"/>
  <c r="S251" i="65"/>
  <c r="V255" i="65"/>
  <c r="T256" i="65"/>
  <c r="T257" i="65"/>
  <c r="V250" i="65"/>
  <c r="Y250" i="65"/>
  <c r="AB250" i="65"/>
  <c r="AE255" i="65"/>
  <c r="N256" i="65"/>
  <c r="N257" i="65"/>
  <c r="P249" i="65"/>
  <c r="S249" i="65"/>
  <c r="V249" i="65"/>
  <c r="W255" i="65"/>
  <c r="J256" i="65"/>
  <c r="J257" i="65"/>
  <c r="J253" i="65"/>
  <c r="M253" i="65"/>
  <c r="P253" i="65"/>
  <c r="S255" i="65"/>
  <c r="M256" i="65"/>
  <c r="M257" i="65"/>
  <c r="M252" i="65"/>
  <c r="P252" i="65"/>
  <c r="Q255" i="65"/>
  <c r="S256" i="65"/>
  <c r="S257" i="65"/>
  <c r="S253" i="65"/>
  <c r="V253" i="65"/>
  <c r="Y255" i="65"/>
  <c r="W256" i="65"/>
  <c r="W257" i="65"/>
  <c r="Y249" i="65"/>
  <c r="AB249" i="65"/>
  <c r="AC255" i="65"/>
  <c r="AE256" i="65"/>
  <c r="AE257" i="65"/>
  <c r="AE250" i="65"/>
  <c r="AU250" i="65"/>
  <c r="AX6" i="65"/>
  <c r="C321" i="65"/>
  <c r="D322" i="65"/>
  <c r="B323" i="65"/>
  <c r="B324" i="65"/>
  <c r="D318" i="65"/>
  <c r="G318" i="65"/>
  <c r="H322" i="65"/>
  <c r="C166" i="65"/>
  <c r="D166" i="65"/>
  <c r="G166" i="65"/>
  <c r="H170" i="65"/>
  <c r="AW16" i="65"/>
  <c r="C168" i="65"/>
  <c r="D170" i="65"/>
  <c r="AW7" i="65"/>
  <c r="C165" i="65"/>
  <c r="B170" i="65"/>
  <c r="D171" i="65"/>
  <c r="D172" i="65"/>
  <c r="D168" i="65"/>
  <c r="G168" i="65"/>
  <c r="J170" i="65"/>
  <c r="H171" i="65"/>
  <c r="H172" i="65"/>
  <c r="J166" i="65"/>
  <c r="M166" i="65"/>
  <c r="P170" i="65"/>
  <c r="AW4" i="65"/>
  <c r="C164" i="65"/>
  <c r="D164" i="65"/>
  <c r="E170" i="65"/>
  <c r="C167" i="65"/>
  <c r="D167" i="65"/>
  <c r="G170" i="65"/>
  <c r="E171" i="65"/>
  <c r="E172" i="65"/>
  <c r="G164" i="65"/>
  <c r="J164" i="65"/>
  <c r="M164" i="65"/>
  <c r="N170" i="65"/>
  <c r="P171" i="65"/>
  <c r="P172" i="65"/>
  <c r="P166" i="65"/>
  <c r="S166" i="65"/>
  <c r="V170" i="65"/>
  <c r="B171" i="65"/>
  <c r="B172" i="65"/>
  <c r="D165" i="65"/>
  <c r="G165" i="65"/>
  <c r="J165" i="65"/>
  <c r="K170" i="65"/>
  <c r="G171" i="65"/>
  <c r="G172" i="65"/>
  <c r="G167" i="65"/>
  <c r="J167" i="65"/>
  <c r="M170" i="65"/>
  <c r="K171" i="65"/>
  <c r="K172" i="65"/>
  <c r="M165" i="65"/>
  <c r="P165" i="65"/>
  <c r="S165" i="65"/>
  <c r="T170" i="65"/>
  <c r="V171" i="65"/>
  <c r="V172" i="65"/>
  <c r="V166" i="65"/>
  <c r="Y166" i="65"/>
  <c r="Z170" i="65"/>
  <c r="M171" i="65"/>
  <c r="M172" i="65"/>
  <c r="M167" i="65"/>
  <c r="P167" i="65"/>
  <c r="Q170" i="65"/>
  <c r="J171" i="65"/>
  <c r="J172" i="65"/>
  <c r="J168" i="65"/>
  <c r="M168" i="65"/>
  <c r="P168" i="65"/>
  <c r="S170" i="65"/>
  <c r="Q171" i="65"/>
  <c r="Q172" i="65"/>
  <c r="S167" i="65"/>
  <c r="V167" i="65"/>
  <c r="Y167" i="65"/>
  <c r="AB170" i="65"/>
  <c r="Z171" i="65"/>
  <c r="Z172" i="65"/>
  <c r="AB166" i="65"/>
  <c r="AE166" i="65"/>
  <c r="AU166" i="65"/>
  <c r="AX10" i="65"/>
  <c r="C319" i="65"/>
  <c r="D319" i="65"/>
  <c r="E322" i="65"/>
  <c r="AC256" i="65"/>
  <c r="AC257" i="65"/>
  <c r="AE249" i="65"/>
  <c r="AU249" i="65"/>
  <c r="AX5" i="65"/>
  <c r="C320" i="65"/>
  <c r="D320" i="65"/>
  <c r="G322" i="65"/>
  <c r="E323" i="65"/>
  <c r="E324" i="65"/>
  <c r="G319" i="65"/>
  <c r="J322" i="65"/>
  <c r="H323" i="65"/>
  <c r="H324" i="65"/>
  <c r="J318" i="65"/>
  <c r="AU317" i="65"/>
  <c r="AY9" i="65"/>
  <c r="AZ9" i="65"/>
  <c r="J323" i="65"/>
  <c r="J324" i="65"/>
  <c r="J319" i="65"/>
  <c r="AU318" i="65"/>
  <c r="AY10" i="65"/>
  <c r="AZ10" i="65"/>
  <c r="Q256" i="65"/>
  <c r="Q257" i="65"/>
  <c r="S252" i="65"/>
  <c r="V252" i="65"/>
  <c r="Y252" i="65"/>
  <c r="AB255" i="65"/>
  <c r="V256" i="65"/>
  <c r="V257" i="65"/>
  <c r="V251" i="65"/>
  <c r="Y251" i="65"/>
  <c r="Z255" i="65"/>
  <c r="AB256" i="65"/>
  <c r="AB257" i="65"/>
  <c r="AB252" i="65"/>
  <c r="AE252" i="65"/>
  <c r="AU252" i="65"/>
  <c r="AX12" i="65"/>
  <c r="X320" i="65"/>
  <c r="Y320" i="65"/>
  <c r="AB322" i="65"/>
  <c r="AB171" i="65"/>
  <c r="AB172" i="65"/>
  <c r="AB167" i="65"/>
  <c r="AE167" i="65"/>
  <c r="AU167" i="65"/>
  <c r="AX13" i="65"/>
  <c r="X319" i="65"/>
  <c r="Y319" i="65"/>
  <c r="Z322" i="65"/>
  <c r="AB323" i="65"/>
  <c r="AB324" i="65"/>
  <c r="AB320" i="65"/>
  <c r="AE320" i="65"/>
  <c r="AU323" i="65"/>
  <c r="AY12" i="65"/>
  <c r="AZ12" i="65"/>
  <c r="Z323" i="65"/>
  <c r="Z324" i="65"/>
  <c r="AB319" i="65"/>
  <c r="AE322" i="65"/>
  <c r="N86" i="65"/>
  <c r="N87" i="65"/>
  <c r="P79" i="65"/>
  <c r="S79" i="65"/>
  <c r="V79" i="65"/>
  <c r="W85" i="65"/>
  <c r="S86" i="65"/>
  <c r="S87" i="65"/>
  <c r="S83" i="65"/>
  <c r="V83" i="65"/>
  <c r="Y85" i="65"/>
  <c r="W86" i="65"/>
  <c r="W87" i="65"/>
  <c r="Y79" i="65"/>
  <c r="AB79" i="65"/>
  <c r="AC85" i="65"/>
  <c r="T86" i="65"/>
  <c r="T87" i="65"/>
  <c r="V80" i="65"/>
  <c r="Y80" i="65"/>
  <c r="AB80" i="65"/>
  <c r="AE85" i="65"/>
  <c r="AC86" i="65"/>
  <c r="AC87" i="65"/>
  <c r="AE79" i="65"/>
  <c r="AU79" i="65"/>
  <c r="AX3" i="65"/>
  <c r="X318" i="65"/>
  <c r="W322" i="65"/>
  <c r="T171" i="65"/>
  <c r="T172" i="65"/>
  <c r="V165" i="65"/>
  <c r="Y165" i="65"/>
  <c r="AB165" i="65"/>
  <c r="AE170" i="65"/>
  <c r="N171" i="65"/>
  <c r="N172" i="65"/>
  <c r="P164" i="65"/>
  <c r="S164" i="65"/>
  <c r="V164" i="65"/>
  <c r="W170" i="65"/>
  <c r="S171" i="65"/>
  <c r="S172" i="65"/>
  <c r="S168" i="65"/>
  <c r="V168" i="65"/>
  <c r="Y170" i="65"/>
  <c r="W171" i="65"/>
  <c r="W172" i="65"/>
  <c r="Y164" i="65"/>
  <c r="AB164" i="65"/>
  <c r="AC170" i="65"/>
  <c r="AE171" i="65"/>
  <c r="AE172" i="65"/>
  <c r="AE165" i="65"/>
  <c r="AU165" i="65"/>
  <c r="AX7" i="65"/>
  <c r="X321" i="65"/>
  <c r="Y322" i="65"/>
  <c r="W323" i="65"/>
  <c r="W324" i="65"/>
  <c r="Y318" i="65"/>
  <c r="AB318" i="65"/>
  <c r="AC322" i="65"/>
  <c r="AE323" i="65"/>
  <c r="AE324" i="65"/>
  <c r="AE319" i="65"/>
  <c r="AU322" i="65"/>
  <c r="AY13" i="65"/>
  <c r="AZ13" i="65"/>
  <c r="AZ21" i="65"/>
  <c r="C165" i="64"/>
  <c r="B170" i="64"/>
  <c r="C168" i="64"/>
  <c r="D170" i="64"/>
  <c r="B171" i="64"/>
  <c r="B172" i="64"/>
  <c r="D165" i="64"/>
  <c r="G165" i="64"/>
  <c r="J165" i="64"/>
  <c r="K170" i="64"/>
  <c r="AW13" i="64"/>
  <c r="C167" i="64"/>
  <c r="D167" i="64"/>
  <c r="G170" i="64"/>
  <c r="AW4" i="64"/>
  <c r="C164" i="64"/>
  <c r="D164" i="64"/>
  <c r="E170" i="64"/>
  <c r="G171" i="64"/>
  <c r="G172" i="64"/>
  <c r="G167" i="64"/>
  <c r="J167" i="64"/>
  <c r="M170" i="64"/>
  <c r="K171" i="64"/>
  <c r="K172" i="64"/>
  <c r="M165" i="64"/>
  <c r="P165" i="64"/>
  <c r="S165" i="64"/>
  <c r="T170" i="64"/>
  <c r="AW10" i="64"/>
  <c r="C166" i="64"/>
  <c r="D166" i="64"/>
  <c r="G166" i="64"/>
  <c r="H170" i="64"/>
  <c r="D171" i="64"/>
  <c r="D172" i="64"/>
  <c r="D168" i="64"/>
  <c r="G168" i="64"/>
  <c r="J170" i="64"/>
  <c r="H171" i="64"/>
  <c r="H172" i="64"/>
  <c r="J166" i="64"/>
  <c r="M166" i="64"/>
  <c r="P170" i="64"/>
  <c r="E171" i="64"/>
  <c r="E172" i="64"/>
  <c r="G164" i="64"/>
  <c r="J164" i="64"/>
  <c r="M164" i="64"/>
  <c r="N170" i="64"/>
  <c r="P171" i="64"/>
  <c r="P172" i="64"/>
  <c r="P166" i="64"/>
  <c r="S166" i="64"/>
  <c r="V170" i="64"/>
  <c r="T171" i="64"/>
  <c r="T172" i="64"/>
  <c r="V165" i="64"/>
  <c r="W158" i="64"/>
  <c r="Y158" i="64"/>
  <c r="Y165" i="64"/>
  <c r="AB165" i="64"/>
  <c r="AE170" i="64"/>
  <c r="N171" i="64"/>
  <c r="N172" i="64"/>
  <c r="P164" i="64"/>
  <c r="S164" i="64"/>
  <c r="V164" i="64"/>
  <c r="W170" i="64"/>
  <c r="J171" i="64"/>
  <c r="J172" i="64"/>
  <c r="J168" i="64"/>
  <c r="M168" i="64"/>
  <c r="P168" i="64"/>
  <c r="S170" i="64"/>
  <c r="M171" i="64"/>
  <c r="M172" i="64"/>
  <c r="M167" i="64"/>
  <c r="P167" i="64"/>
  <c r="Q170" i="64"/>
  <c r="S171" i="64"/>
  <c r="S172" i="64"/>
  <c r="S168" i="64"/>
  <c r="V168" i="64"/>
  <c r="Y170" i="64"/>
  <c r="W118" i="64"/>
  <c r="W121" i="64"/>
  <c r="Y118" i="64"/>
  <c r="Y121" i="64"/>
  <c r="W171" i="64"/>
  <c r="W172" i="64"/>
  <c r="W149" i="64"/>
  <c r="Y149" i="64"/>
  <c r="W150" i="64"/>
  <c r="Y150" i="64"/>
  <c r="W151" i="64"/>
  <c r="Y151" i="64"/>
  <c r="W152" i="64"/>
  <c r="Y152" i="64"/>
  <c r="W153" i="64"/>
  <c r="Y153" i="64"/>
  <c r="X156" i="64"/>
  <c r="W157" i="64"/>
  <c r="Y164" i="64"/>
  <c r="AB164" i="64"/>
  <c r="AC170" i="64"/>
  <c r="AE171" i="64"/>
  <c r="AE172" i="64"/>
  <c r="AE165" i="64"/>
  <c r="AU165" i="64"/>
  <c r="AX7" i="64"/>
  <c r="B265" i="64"/>
  <c r="B302" i="64"/>
  <c r="B319" i="64"/>
  <c r="C319" i="64"/>
  <c r="D319" i="64"/>
  <c r="E322" i="64"/>
  <c r="AW5" i="64"/>
  <c r="C249" i="64"/>
  <c r="D249" i="64"/>
  <c r="E255" i="64"/>
  <c r="AW12" i="64"/>
  <c r="C252" i="64"/>
  <c r="D252" i="64"/>
  <c r="G255" i="64"/>
  <c r="E256" i="64"/>
  <c r="E257" i="64"/>
  <c r="G249" i="64"/>
  <c r="J249" i="64"/>
  <c r="M249" i="64"/>
  <c r="N255" i="64"/>
  <c r="AW11" i="64"/>
  <c r="C251" i="64"/>
  <c r="D251" i="64"/>
  <c r="G251" i="64"/>
  <c r="H255" i="64"/>
  <c r="C253" i="64"/>
  <c r="D255" i="64"/>
  <c r="AW6" i="64"/>
  <c r="C250" i="64"/>
  <c r="B255" i="64"/>
  <c r="D256" i="64"/>
  <c r="D257" i="64"/>
  <c r="D253" i="64"/>
  <c r="G253" i="64"/>
  <c r="J255" i="64"/>
  <c r="H256" i="64"/>
  <c r="H257" i="64"/>
  <c r="J251" i="64"/>
  <c r="M251" i="64"/>
  <c r="P255" i="64"/>
  <c r="N256" i="64"/>
  <c r="N257" i="64"/>
  <c r="P249" i="64"/>
  <c r="S249" i="64"/>
  <c r="V249" i="64"/>
  <c r="W255" i="64"/>
  <c r="J256" i="64"/>
  <c r="J257" i="64"/>
  <c r="J253" i="64"/>
  <c r="M253" i="64"/>
  <c r="P253" i="64"/>
  <c r="S255" i="64"/>
  <c r="G256" i="64"/>
  <c r="G257" i="64"/>
  <c r="G252" i="64"/>
  <c r="J252" i="64"/>
  <c r="M255" i="64"/>
  <c r="B256" i="64"/>
  <c r="B257" i="64"/>
  <c r="D250" i="64"/>
  <c r="G250" i="64"/>
  <c r="J250" i="64"/>
  <c r="K255" i="64"/>
  <c r="M256" i="64"/>
  <c r="M257" i="64"/>
  <c r="M252" i="64"/>
  <c r="P252" i="64"/>
  <c r="Q255" i="64"/>
  <c r="S256" i="64"/>
  <c r="S257" i="64"/>
  <c r="S253" i="64"/>
  <c r="V253" i="64"/>
  <c r="Y255" i="64"/>
  <c r="W256" i="64"/>
  <c r="W257" i="64"/>
  <c r="Y249" i="64"/>
  <c r="AB249" i="64"/>
  <c r="AC255" i="64"/>
  <c r="K256" i="64"/>
  <c r="K257" i="64"/>
  <c r="M250" i="64"/>
  <c r="P250" i="64"/>
  <c r="S250" i="64"/>
  <c r="T255" i="64"/>
  <c r="P256" i="64"/>
  <c r="P257" i="64"/>
  <c r="P251" i="64"/>
  <c r="S251" i="64"/>
  <c r="V255" i="64"/>
  <c r="T256" i="64"/>
  <c r="T257" i="64"/>
  <c r="V250" i="64"/>
  <c r="Y250" i="64"/>
  <c r="AB250" i="64"/>
  <c r="AE255" i="64"/>
  <c r="AC256" i="64"/>
  <c r="AC257" i="64"/>
  <c r="AE249" i="64"/>
  <c r="AU249" i="64"/>
  <c r="AX5" i="64"/>
  <c r="C320" i="64"/>
  <c r="D320" i="64"/>
  <c r="G322" i="64"/>
  <c r="E323" i="64"/>
  <c r="E324" i="64"/>
  <c r="G319" i="64"/>
  <c r="J322" i="64"/>
  <c r="Q256" i="64"/>
  <c r="Q257" i="64"/>
  <c r="S252" i="64"/>
  <c r="V252" i="64"/>
  <c r="Y252" i="64"/>
  <c r="AB255" i="64"/>
  <c r="V256" i="64"/>
  <c r="V257" i="64"/>
  <c r="V251" i="64"/>
  <c r="Y251" i="64"/>
  <c r="Z255" i="64"/>
  <c r="AB256" i="64"/>
  <c r="AB257" i="64"/>
  <c r="AB252" i="64"/>
  <c r="AE252" i="64"/>
  <c r="AU252" i="64"/>
  <c r="AX12" i="64"/>
  <c r="W144" i="64"/>
  <c r="Y144" i="64"/>
  <c r="AF144" i="64"/>
  <c r="AN110" i="64"/>
  <c r="AQ110" i="64"/>
  <c r="Z95" i="64"/>
  <c r="J265" i="64"/>
  <c r="W126" i="64"/>
  <c r="Y126" i="64"/>
  <c r="W129" i="64"/>
  <c r="W143" i="64"/>
  <c r="Y143" i="64"/>
  <c r="AF143" i="64"/>
  <c r="W115" i="64"/>
  <c r="AN109" i="64"/>
  <c r="AQ109" i="64"/>
  <c r="Z93" i="64"/>
  <c r="U265" i="64"/>
  <c r="W264" i="64"/>
  <c r="W265" i="64"/>
  <c r="W266" i="64"/>
  <c r="M269" i="64"/>
  <c r="B304" i="64"/>
  <c r="B321" i="64"/>
  <c r="C321" i="64"/>
  <c r="D322" i="64"/>
  <c r="C81" i="64"/>
  <c r="D81" i="64"/>
  <c r="G81" i="64"/>
  <c r="H85" i="64"/>
  <c r="AW15" i="64"/>
  <c r="C83" i="64"/>
  <c r="D85" i="64"/>
  <c r="C80" i="64"/>
  <c r="B85" i="64"/>
  <c r="D86" i="64"/>
  <c r="D87" i="64"/>
  <c r="D83" i="64"/>
  <c r="G83" i="64"/>
  <c r="J85" i="64"/>
  <c r="H86" i="64"/>
  <c r="H87" i="64"/>
  <c r="J81" i="64"/>
  <c r="M81" i="64"/>
  <c r="P85" i="64"/>
  <c r="AW3" i="64"/>
  <c r="C79" i="64"/>
  <c r="D79" i="64"/>
  <c r="E85" i="64"/>
  <c r="AW14" i="64"/>
  <c r="C82" i="64"/>
  <c r="D82" i="64"/>
  <c r="G85" i="64"/>
  <c r="E86" i="64"/>
  <c r="E87" i="64"/>
  <c r="G79" i="64"/>
  <c r="J79" i="64"/>
  <c r="M79" i="64"/>
  <c r="N85" i="64"/>
  <c r="P86" i="64"/>
  <c r="P87" i="64"/>
  <c r="P81" i="64"/>
  <c r="S81" i="64"/>
  <c r="V85" i="64"/>
  <c r="B86" i="64"/>
  <c r="B87" i="64"/>
  <c r="D80" i="64"/>
  <c r="G80" i="64"/>
  <c r="J80" i="64"/>
  <c r="K85" i="64"/>
  <c r="G86" i="64"/>
  <c r="G87" i="64"/>
  <c r="G82" i="64"/>
  <c r="J82" i="64"/>
  <c r="M85" i="64"/>
  <c r="K86" i="64"/>
  <c r="K87" i="64"/>
  <c r="M80" i="64"/>
  <c r="P80" i="64"/>
  <c r="S80" i="64"/>
  <c r="T85" i="64"/>
  <c r="V86" i="64"/>
  <c r="V87" i="64"/>
  <c r="V81" i="64"/>
  <c r="Y81" i="64"/>
  <c r="Z85" i="64"/>
  <c r="M86" i="64"/>
  <c r="M87" i="64"/>
  <c r="M82" i="64"/>
  <c r="P82" i="64"/>
  <c r="Q85" i="64"/>
  <c r="J86" i="64"/>
  <c r="J87" i="64"/>
  <c r="J83" i="64"/>
  <c r="M83" i="64"/>
  <c r="P83" i="64"/>
  <c r="S85" i="64"/>
  <c r="Q86" i="64"/>
  <c r="Q87" i="64"/>
  <c r="S82" i="64"/>
  <c r="V82" i="64"/>
  <c r="Y82" i="64"/>
  <c r="AB85" i="64"/>
  <c r="Z86" i="64"/>
  <c r="Z87" i="64"/>
  <c r="AB81" i="64"/>
  <c r="AE81" i="64"/>
  <c r="AU81" i="64"/>
  <c r="AX9" i="64"/>
  <c r="C318" i="64"/>
  <c r="B322" i="64"/>
  <c r="D323" i="64"/>
  <c r="D324" i="64"/>
  <c r="D321" i="64"/>
  <c r="G321" i="64"/>
  <c r="H322" i="64"/>
  <c r="J323" i="64"/>
  <c r="J324" i="64"/>
  <c r="J319" i="64"/>
  <c r="AU318" i="64"/>
  <c r="AT318" i="64"/>
  <c r="AY7" i="64"/>
  <c r="AZ7" i="64"/>
  <c r="T86" i="64"/>
  <c r="T87" i="64"/>
  <c r="V80" i="64"/>
  <c r="Y80" i="64"/>
  <c r="AB80" i="64"/>
  <c r="AE85" i="64"/>
  <c r="N86" i="64"/>
  <c r="N87" i="64"/>
  <c r="P79" i="64"/>
  <c r="S79" i="64"/>
  <c r="V79" i="64"/>
  <c r="W85" i="64"/>
  <c r="S86" i="64"/>
  <c r="S87" i="64"/>
  <c r="S83" i="64"/>
  <c r="V83" i="64"/>
  <c r="Y85" i="64"/>
  <c r="W86" i="64"/>
  <c r="W87" i="64"/>
  <c r="Y79" i="64"/>
  <c r="AB79" i="64"/>
  <c r="AC85" i="64"/>
  <c r="AE86" i="64"/>
  <c r="AE87" i="64"/>
  <c r="AE80" i="64"/>
  <c r="AU80" i="64"/>
  <c r="AX8" i="64"/>
  <c r="AT320" i="64"/>
  <c r="M265" i="64"/>
  <c r="M270" i="64"/>
  <c r="X301" i="64"/>
  <c r="W318" i="64"/>
  <c r="AT321" i="64"/>
  <c r="M271" i="64"/>
  <c r="X302" i="64"/>
  <c r="W319" i="64"/>
  <c r="AT322" i="64"/>
  <c r="W146" i="64"/>
  <c r="Y146" i="64"/>
  <c r="AF146" i="64"/>
  <c r="AN112" i="64"/>
  <c r="AQ112" i="64"/>
  <c r="Z99" i="64"/>
  <c r="AF265" i="64"/>
  <c r="AG264" i="64"/>
  <c r="AG265" i="64"/>
  <c r="X265" i="64"/>
  <c r="X269" i="64"/>
  <c r="X303" i="64"/>
  <c r="W320" i="64"/>
  <c r="AT323" i="64"/>
  <c r="B323" i="64"/>
  <c r="B324" i="64"/>
  <c r="D318" i="64"/>
  <c r="G318" i="64"/>
  <c r="J318" i="64"/>
  <c r="AU317" i="64"/>
  <c r="G323" i="64"/>
  <c r="G324" i="64"/>
  <c r="G320" i="64"/>
  <c r="J320" i="64"/>
  <c r="AU319" i="64"/>
  <c r="H323" i="64"/>
  <c r="H324" i="64"/>
  <c r="J321" i="64"/>
  <c r="AU320" i="64"/>
  <c r="AC171" i="64"/>
  <c r="AC172" i="64"/>
  <c r="AE164" i="64"/>
  <c r="AU164" i="64"/>
  <c r="AX4" i="64"/>
  <c r="X318" i="64"/>
  <c r="W322" i="64"/>
  <c r="AG266" i="64"/>
  <c r="X270" i="64"/>
  <c r="X304" i="64"/>
  <c r="W321" i="64"/>
  <c r="Z256" i="64"/>
  <c r="Z257" i="64"/>
  <c r="AB251" i="64"/>
  <c r="AE251" i="64"/>
  <c r="AU251" i="64"/>
  <c r="AX11" i="64"/>
  <c r="X321" i="64"/>
  <c r="Y322" i="64"/>
  <c r="W323" i="64"/>
  <c r="W324" i="64"/>
  <c r="Y318" i="64"/>
  <c r="AB318" i="64"/>
  <c r="AC322" i="64"/>
  <c r="AC86" i="64"/>
  <c r="AC87" i="64"/>
  <c r="AE79" i="64"/>
  <c r="AU79" i="64"/>
  <c r="AX3" i="64"/>
  <c r="X319" i="64"/>
  <c r="Y319" i="64"/>
  <c r="Z322" i="64"/>
  <c r="W160" i="64"/>
  <c r="Y160" i="64"/>
  <c r="Q171" i="64"/>
  <c r="Q172" i="64"/>
  <c r="S167" i="64"/>
  <c r="V167" i="64"/>
  <c r="Y167" i="64"/>
  <c r="AB170" i="64"/>
  <c r="W159" i="64"/>
  <c r="Y159" i="64"/>
  <c r="V171" i="64"/>
  <c r="V172" i="64"/>
  <c r="V166" i="64"/>
  <c r="Y166" i="64"/>
  <c r="Z170" i="64"/>
  <c r="AB171" i="64"/>
  <c r="AB172" i="64"/>
  <c r="AB167" i="64"/>
  <c r="AE167" i="64"/>
  <c r="AU167" i="64"/>
  <c r="AX13" i="64"/>
  <c r="X320" i="64"/>
  <c r="Y320" i="64"/>
  <c r="AB322" i="64"/>
  <c r="Z323" i="64"/>
  <c r="Z324" i="64"/>
  <c r="AB319" i="64"/>
  <c r="AE322" i="64"/>
  <c r="AC323" i="64"/>
  <c r="AC324" i="64"/>
  <c r="AE318" i="64"/>
  <c r="AU321" i="64"/>
  <c r="AE323" i="64"/>
  <c r="AE324" i="64"/>
  <c r="AE319" i="64"/>
  <c r="AU322" i="64"/>
  <c r="AB323" i="64"/>
  <c r="AB324" i="64"/>
  <c r="AB320" i="64"/>
  <c r="AE320" i="64"/>
  <c r="AU323" i="64"/>
  <c r="AT324" i="64"/>
  <c r="Y323" i="64"/>
  <c r="Y324" i="64"/>
  <c r="Y321" i="64"/>
  <c r="AB321" i="64"/>
  <c r="AE321" i="64"/>
  <c r="AU324" i="64"/>
  <c r="X271" i="64"/>
  <c r="B349" i="64"/>
  <c r="B366" i="64"/>
  <c r="AT365" i="64"/>
  <c r="AB86" i="64"/>
  <c r="AB87" i="64"/>
  <c r="AB82" i="64"/>
  <c r="AE82" i="64"/>
  <c r="AU82" i="64"/>
  <c r="AX14" i="64"/>
  <c r="C366" i="64"/>
  <c r="B370" i="64"/>
  <c r="AE256" i="64"/>
  <c r="AE257" i="64"/>
  <c r="AE250" i="64"/>
  <c r="AU250" i="64"/>
  <c r="AX6" i="64"/>
  <c r="C369" i="64"/>
  <c r="D370" i="64"/>
  <c r="B371" i="64"/>
  <c r="B372" i="64"/>
  <c r="D366" i="64"/>
  <c r="G366" i="64"/>
  <c r="H370" i="64"/>
  <c r="Y86" i="64"/>
  <c r="Y87" i="64"/>
  <c r="Y83" i="64"/>
  <c r="AB83" i="64"/>
  <c r="AE83" i="64"/>
  <c r="AU83" i="64"/>
  <c r="AX15" i="64"/>
  <c r="C367" i="64"/>
  <c r="D367" i="64"/>
  <c r="E370" i="64"/>
  <c r="Z171" i="64"/>
  <c r="Z172" i="64"/>
  <c r="AB166" i="64"/>
  <c r="AE166" i="64"/>
  <c r="AU166" i="64"/>
  <c r="AX10" i="64"/>
  <c r="AH265" i="64"/>
  <c r="B351" i="64"/>
  <c r="B368" i="64"/>
  <c r="C368" i="64"/>
  <c r="D368" i="64"/>
  <c r="G370" i="64"/>
  <c r="E371" i="64"/>
  <c r="E372" i="64"/>
  <c r="G367" i="64"/>
  <c r="J370" i="64"/>
  <c r="H371" i="64"/>
  <c r="H372" i="64"/>
  <c r="J366" i="64"/>
  <c r="AU365" i="64"/>
  <c r="J371" i="64"/>
  <c r="J372" i="64"/>
  <c r="J367" i="64"/>
  <c r="AU366" i="64"/>
  <c r="G371" i="64"/>
  <c r="G372" i="64"/>
  <c r="G368" i="64"/>
  <c r="J368" i="64"/>
  <c r="AU367" i="64"/>
  <c r="D371" i="64"/>
  <c r="D372" i="64"/>
  <c r="D369" i="64"/>
  <c r="G369" i="64"/>
  <c r="J369" i="64"/>
  <c r="AU368" i="64"/>
  <c r="AT367" i="64"/>
  <c r="AY8" i="64"/>
  <c r="AZ8" i="64"/>
  <c r="AY9" i="64"/>
  <c r="AZ9" i="64"/>
  <c r="AZ22" i="64"/>
  <c r="C250" i="71"/>
  <c r="B255" i="71"/>
  <c r="AW11" i="71"/>
  <c r="C251" i="71"/>
  <c r="D255" i="71"/>
  <c r="B256" i="71"/>
  <c r="B257" i="71"/>
  <c r="D250" i="71"/>
  <c r="G250" i="71"/>
  <c r="H255" i="71"/>
  <c r="AW12" i="71"/>
  <c r="C252" i="71"/>
  <c r="D252" i="71"/>
  <c r="G255" i="71"/>
  <c r="AW5" i="71"/>
  <c r="C249" i="71"/>
  <c r="D249" i="71"/>
  <c r="E255" i="71"/>
  <c r="G256" i="71"/>
  <c r="G257" i="71"/>
  <c r="G252" i="71"/>
  <c r="J255" i="71"/>
  <c r="H256" i="71"/>
  <c r="H257" i="71"/>
  <c r="J250" i="71"/>
  <c r="M250" i="71"/>
  <c r="P250" i="71"/>
  <c r="S255" i="71"/>
  <c r="E256" i="71"/>
  <c r="E257" i="71"/>
  <c r="G249" i="71"/>
  <c r="J249" i="71"/>
  <c r="K255" i="71"/>
  <c r="D256" i="71"/>
  <c r="D257" i="71"/>
  <c r="D251" i="71"/>
  <c r="G251" i="71"/>
  <c r="J251" i="71"/>
  <c r="M255" i="71"/>
  <c r="K256" i="71"/>
  <c r="K257" i="71"/>
  <c r="M249" i="71"/>
  <c r="P249" i="71"/>
  <c r="Q255" i="71"/>
  <c r="S256" i="71"/>
  <c r="S257" i="71"/>
  <c r="S250" i="71"/>
  <c r="V250" i="71"/>
  <c r="Y250" i="71"/>
  <c r="AB250" i="71"/>
  <c r="AE250" i="71"/>
  <c r="AU250" i="71"/>
  <c r="AX6" i="71"/>
  <c r="X318" i="71"/>
  <c r="W322" i="71"/>
  <c r="C166" i="71"/>
  <c r="D166" i="71"/>
  <c r="G166" i="71"/>
  <c r="H170" i="71"/>
  <c r="AW16" i="71"/>
  <c r="C168" i="71"/>
  <c r="D170" i="71"/>
  <c r="C165" i="71"/>
  <c r="B170" i="71"/>
  <c r="D171" i="71"/>
  <c r="D172" i="71"/>
  <c r="D168" i="71"/>
  <c r="G168" i="71"/>
  <c r="J170" i="71"/>
  <c r="H171" i="71"/>
  <c r="H172" i="71"/>
  <c r="J166" i="71"/>
  <c r="M166" i="71"/>
  <c r="P170" i="71"/>
  <c r="AW4" i="71"/>
  <c r="C164" i="71"/>
  <c r="D164" i="71"/>
  <c r="E170" i="71"/>
  <c r="AW13" i="71"/>
  <c r="C167" i="71"/>
  <c r="D167" i="71"/>
  <c r="G170" i="71"/>
  <c r="E171" i="71"/>
  <c r="E172" i="71"/>
  <c r="G164" i="71"/>
  <c r="J164" i="71"/>
  <c r="M164" i="71"/>
  <c r="N170" i="71"/>
  <c r="P171" i="71"/>
  <c r="P172" i="71"/>
  <c r="P166" i="71"/>
  <c r="S166" i="71"/>
  <c r="V170" i="71"/>
  <c r="B171" i="71"/>
  <c r="B172" i="71"/>
  <c r="D165" i="71"/>
  <c r="G165" i="71"/>
  <c r="J165" i="71"/>
  <c r="K170" i="71"/>
  <c r="G171" i="71"/>
  <c r="G172" i="71"/>
  <c r="G167" i="71"/>
  <c r="J167" i="71"/>
  <c r="M170" i="71"/>
  <c r="K171" i="71"/>
  <c r="K172" i="71"/>
  <c r="M165" i="71"/>
  <c r="P165" i="71"/>
  <c r="S165" i="71"/>
  <c r="T170" i="71"/>
  <c r="V171" i="71"/>
  <c r="V172" i="71"/>
  <c r="V166" i="71"/>
  <c r="Y166" i="71"/>
  <c r="Z170" i="71"/>
  <c r="M171" i="71"/>
  <c r="M172" i="71"/>
  <c r="M167" i="71"/>
  <c r="P167" i="71"/>
  <c r="Q170" i="71"/>
  <c r="J171" i="71"/>
  <c r="J172" i="71"/>
  <c r="J168" i="71"/>
  <c r="M168" i="71"/>
  <c r="P168" i="71"/>
  <c r="S170" i="71"/>
  <c r="Q171" i="71"/>
  <c r="Q172" i="71"/>
  <c r="S167" i="71"/>
  <c r="V167" i="71"/>
  <c r="Y167" i="71"/>
  <c r="AB170" i="71"/>
  <c r="Z171" i="71"/>
  <c r="Z172" i="71"/>
  <c r="AB166" i="71"/>
  <c r="AE166" i="71"/>
  <c r="AU166" i="71"/>
  <c r="AX10" i="71"/>
  <c r="X321" i="71"/>
  <c r="Y322" i="71"/>
  <c r="W323" i="71"/>
  <c r="W324" i="71"/>
  <c r="Y318" i="71"/>
  <c r="AB318" i="71"/>
  <c r="AC322" i="71"/>
  <c r="AW3" i="71"/>
  <c r="C79" i="71"/>
  <c r="D79" i="71"/>
  <c r="E85" i="71"/>
  <c r="AW14" i="71"/>
  <c r="C82" i="71"/>
  <c r="D82" i="71"/>
  <c r="G85" i="71"/>
  <c r="E86" i="71"/>
  <c r="E87" i="71"/>
  <c r="G79" i="71"/>
  <c r="J79" i="71"/>
  <c r="M79" i="71"/>
  <c r="N85" i="71"/>
  <c r="AW9" i="71"/>
  <c r="C81" i="71"/>
  <c r="D81" i="71"/>
  <c r="G81" i="71"/>
  <c r="H85" i="71"/>
  <c r="AW15" i="71"/>
  <c r="C83" i="71"/>
  <c r="D85" i="71"/>
  <c r="C80" i="71"/>
  <c r="B85" i="71"/>
  <c r="D86" i="71"/>
  <c r="D87" i="71"/>
  <c r="D83" i="71"/>
  <c r="G83" i="71"/>
  <c r="J85" i="71"/>
  <c r="H86" i="71"/>
  <c r="H87" i="71"/>
  <c r="J81" i="71"/>
  <c r="M81" i="71"/>
  <c r="P85" i="71"/>
  <c r="N86" i="71"/>
  <c r="N87" i="71"/>
  <c r="P79" i="71"/>
  <c r="S79" i="71"/>
  <c r="V79" i="71"/>
  <c r="W85" i="71"/>
  <c r="J86" i="71"/>
  <c r="J87" i="71"/>
  <c r="J83" i="71"/>
  <c r="M83" i="71"/>
  <c r="P83" i="71"/>
  <c r="S85" i="71"/>
  <c r="G86" i="71"/>
  <c r="G87" i="71"/>
  <c r="G82" i="71"/>
  <c r="J82" i="71"/>
  <c r="M85" i="71"/>
  <c r="B86" i="71"/>
  <c r="B87" i="71"/>
  <c r="D80" i="71"/>
  <c r="G80" i="71"/>
  <c r="J80" i="71"/>
  <c r="K85" i="71"/>
  <c r="M86" i="71"/>
  <c r="M87" i="71"/>
  <c r="M82" i="71"/>
  <c r="P82" i="71"/>
  <c r="Q85" i="71"/>
  <c r="S86" i="71"/>
  <c r="S87" i="71"/>
  <c r="S83" i="71"/>
  <c r="V83" i="71"/>
  <c r="Y85" i="71"/>
  <c r="W86" i="71"/>
  <c r="W87" i="71"/>
  <c r="Y79" i="71"/>
  <c r="AB79" i="71"/>
  <c r="AC85" i="71"/>
  <c r="K86" i="71"/>
  <c r="K87" i="71"/>
  <c r="M80" i="71"/>
  <c r="P80" i="71"/>
  <c r="S80" i="71"/>
  <c r="T85" i="71"/>
  <c r="P86" i="71"/>
  <c r="P87" i="71"/>
  <c r="P81" i="71"/>
  <c r="S81" i="71"/>
  <c r="V85" i="71"/>
  <c r="T86" i="71"/>
  <c r="T87" i="71"/>
  <c r="V80" i="71"/>
  <c r="Y80" i="71"/>
  <c r="AB80" i="71"/>
  <c r="AE85" i="71"/>
  <c r="AC86" i="71"/>
  <c r="AC87" i="71"/>
  <c r="AE79" i="71"/>
  <c r="AU79" i="71"/>
  <c r="AX3" i="71"/>
  <c r="X320" i="71"/>
  <c r="Y320" i="71"/>
  <c r="AB322" i="71"/>
  <c r="V86" i="71"/>
  <c r="V87" i="71"/>
  <c r="V81" i="71"/>
  <c r="Y81" i="71"/>
  <c r="Z85" i="71"/>
  <c r="Q86" i="71"/>
  <c r="Q87" i="71"/>
  <c r="S82" i="71"/>
  <c r="V82" i="71"/>
  <c r="Y82" i="71"/>
  <c r="AB85" i="71"/>
  <c r="Z86" i="71"/>
  <c r="Z87" i="71"/>
  <c r="AB81" i="71"/>
  <c r="AE81" i="71"/>
  <c r="AU81" i="71"/>
  <c r="AX9" i="71"/>
  <c r="X319" i="71"/>
  <c r="Y319" i="71"/>
  <c r="Z322" i="71"/>
  <c r="AB323" i="71"/>
  <c r="AB324" i="71"/>
  <c r="AB320" i="71"/>
  <c r="AE322" i="71"/>
  <c r="AC323" i="71"/>
  <c r="AC324" i="71"/>
  <c r="AE318" i="71"/>
  <c r="AU321" i="71"/>
  <c r="AY6" i="71"/>
  <c r="AZ6" i="71"/>
  <c r="T171" i="71"/>
  <c r="T172" i="71"/>
  <c r="V165" i="71"/>
  <c r="Y165" i="71"/>
  <c r="AB165" i="71"/>
  <c r="AE170" i="71"/>
  <c r="N171" i="71"/>
  <c r="N172" i="71"/>
  <c r="P164" i="71"/>
  <c r="S164" i="71"/>
  <c r="V164" i="71"/>
  <c r="W170" i="71"/>
  <c r="S171" i="71"/>
  <c r="S172" i="71"/>
  <c r="S168" i="71"/>
  <c r="V168" i="71"/>
  <c r="Y170" i="71"/>
  <c r="W171" i="71"/>
  <c r="W172" i="71"/>
  <c r="Y164" i="71"/>
  <c r="AB164" i="71"/>
  <c r="AC170" i="71"/>
  <c r="AE171" i="71"/>
  <c r="AE172" i="71"/>
  <c r="AE165" i="71"/>
  <c r="AU165" i="71"/>
  <c r="AX7" i="71"/>
  <c r="C319" i="71"/>
  <c r="D319" i="71"/>
  <c r="E322" i="71"/>
  <c r="Q256" i="71"/>
  <c r="Q257" i="71"/>
  <c r="S249" i="71"/>
  <c r="V249" i="71"/>
  <c r="Y249" i="71"/>
  <c r="AB249" i="71"/>
  <c r="AE249" i="71"/>
  <c r="AU249" i="71"/>
  <c r="AX5" i="71"/>
  <c r="C320" i="71"/>
  <c r="D320" i="71"/>
  <c r="G322" i="71"/>
  <c r="E323" i="71"/>
  <c r="E324" i="71"/>
  <c r="G319" i="71"/>
  <c r="J319" i="71"/>
  <c r="AU318" i="71"/>
  <c r="AY7" i="71"/>
  <c r="AZ7" i="71"/>
  <c r="AE86" i="71"/>
  <c r="AE87" i="71"/>
  <c r="AE80" i="71"/>
  <c r="AU80" i="71"/>
  <c r="AX8" i="71"/>
  <c r="C318" i="71"/>
  <c r="B322" i="71"/>
  <c r="AC171" i="71"/>
  <c r="AC172" i="71"/>
  <c r="AE164" i="71"/>
  <c r="AU164" i="71"/>
  <c r="AX4" i="71"/>
  <c r="C321" i="71"/>
  <c r="D322" i="71"/>
  <c r="B323" i="71"/>
  <c r="B324" i="71"/>
  <c r="D318" i="71"/>
  <c r="G318" i="71"/>
  <c r="H322" i="71"/>
  <c r="G323" i="71"/>
  <c r="G324" i="71"/>
  <c r="G320" i="71"/>
  <c r="J322" i="71"/>
  <c r="H323" i="71"/>
  <c r="H324" i="71"/>
  <c r="J318" i="71"/>
  <c r="AU317" i="71"/>
  <c r="AY8" i="71"/>
  <c r="AZ8" i="71"/>
  <c r="Y323" i="71"/>
  <c r="Y324" i="71"/>
  <c r="Y321" i="71"/>
  <c r="AB321" i="71"/>
  <c r="AE321" i="71"/>
  <c r="AU324" i="71"/>
  <c r="AY10" i="71"/>
  <c r="AZ10" i="71"/>
  <c r="AZ21" i="71"/>
  <c r="C167" i="70"/>
  <c r="D167" i="70"/>
  <c r="G170" i="70"/>
  <c r="AW4" i="70"/>
  <c r="C164" i="70"/>
  <c r="D164" i="70"/>
  <c r="E170" i="70"/>
  <c r="G171" i="70"/>
  <c r="G172" i="70"/>
  <c r="G167" i="70"/>
  <c r="J167" i="70"/>
  <c r="M170" i="70"/>
  <c r="AW7" i="70"/>
  <c r="C165" i="70"/>
  <c r="B170" i="70"/>
  <c r="AW16" i="70"/>
  <c r="C168" i="70"/>
  <c r="D170" i="70"/>
  <c r="B171" i="70"/>
  <c r="B172" i="70"/>
  <c r="D165" i="70"/>
  <c r="G165" i="70"/>
  <c r="J165" i="70"/>
  <c r="K170" i="70"/>
  <c r="M171" i="70"/>
  <c r="M172" i="70"/>
  <c r="M167" i="70"/>
  <c r="P167" i="70"/>
  <c r="Q170" i="70"/>
  <c r="D171" i="70"/>
  <c r="D172" i="70"/>
  <c r="D168" i="70"/>
  <c r="G168" i="70"/>
  <c r="J170" i="70"/>
  <c r="AW10" i="70"/>
  <c r="C166" i="70"/>
  <c r="D166" i="70"/>
  <c r="G166" i="70"/>
  <c r="H170" i="70"/>
  <c r="J171" i="70"/>
  <c r="J172" i="70"/>
  <c r="J168" i="70"/>
  <c r="M168" i="70"/>
  <c r="P168" i="70"/>
  <c r="S170" i="70"/>
  <c r="Q171" i="70"/>
  <c r="Q172" i="70"/>
  <c r="S167" i="70"/>
  <c r="V167" i="70"/>
  <c r="Y167" i="70"/>
  <c r="AB170" i="70"/>
  <c r="H171" i="70"/>
  <c r="H172" i="70"/>
  <c r="J166" i="70"/>
  <c r="M166" i="70"/>
  <c r="P170" i="70"/>
  <c r="E171" i="70"/>
  <c r="E172" i="70"/>
  <c r="G164" i="70"/>
  <c r="J164" i="70"/>
  <c r="M164" i="70"/>
  <c r="N170" i="70"/>
  <c r="P171" i="70"/>
  <c r="P172" i="70"/>
  <c r="P166" i="70"/>
  <c r="S166" i="70"/>
  <c r="V170" i="70"/>
  <c r="K171" i="70"/>
  <c r="K172" i="70"/>
  <c r="M165" i="70"/>
  <c r="P165" i="70"/>
  <c r="S165" i="70"/>
  <c r="T170" i="70"/>
  <c r="V171" i="70"/>
  <c r="V172" i="70"/>
  <c r="V166" i="70"/>
  <c r="Y166" i="70"/>
  <c r="Z170" i="70"/>
  <c r="AB171" i="70"/>
  <c r="AB172" i="70"/>
  <c r="AB167" i="70"/>
  <c r="AE167" i="70"/>
  <c r="AU167" i="70"/>
  <c r="AX13" i="70"/>
  <c r="C319" i="70"/>
  <c r="D319" i="70"/>
  <c r="E322" i="70"/>
  <c r="AW6" i="70"/>
  <c r="C250" i="70"/>
  <c r="B255" i="70"/>
  <c r="AW17" i="70"/>
  <c r="C253" i="70"/>
  <c r="D255" i="70"/>
  <c r="B256" i="70"/>
  <c r="B257" i="70"/>
  <c r="D250" i="70"/>
  <c r="G250" i="70"/>
  <c r="J250" i="70"/>
  <c r="K255" i="70"/>
  <c r="AW12" i="70"/>
  <c r="C252" i="70"/>
  <c r="D252" i="70"/>
  <c r="G255" i="70"/>
  <c r="AW5" i="70"/>
  <c r="C249" i="70"/>
  <c r="D249" i="70"/>
  <c r="E255" i="70"/>
  <c r="G256" i="70"/>
  <c r="G257" i="70"/>
  <c r="G252" i="70"/>
  <c r="J252" i="70"/>
  <c r="M255" i="70"/>
  <c r="K256" i="70"/>
  <c r="K257" i="70"/>
  <c r="M250" i="70"/>
  <c r="P250" i="70"/>
  <c r="S250" i="70"/>
  <c r="T255" i="70"/>
  <c r="AW11" i="70"/>
  <c r="C251" i="70"/>
  <c r="D251" i="70"/>
  <c r="G251" i="70"/>
  <c r="H255" i="70"/>
  <c r="D256" i="70"/>
  <c r="D257" i="70"/>
  <c r="D253" i="70"/>
  <c r="G253" i="70"/>
  <c r="J255" i="70"/>
  <c r="H256" i="70"/>
  <c r="H257" i="70"/>
  <c r="J251" i="70"/>
  <c r="M251" i="70"/>
  <c r="P255" i="70"/>
  <c r="E256" i="70"/>
  <c r="E257" i="70"/>
  <c r="G249" i="70"/>
  <c r="J249" i="70"/>
  <c r="M249" i="70"/>
  <c r="N255" i="70"/>
  <c r="P256" i="70"/>
  <c r="P257" i="70"/>
  <c r="P251" i="70"/>
  <c r="S251" i="70"/>
  <c r="V255" i="70"/>
  <c r="T256" i="70"/>
  <c r="T257" i="70"/>
  <c r="V250" i="70"/>
  <c r="Y250" i="70"/>
  <c r="AB250" i="70"/>
  <c r="AE255" i="70"/>
  <c r="N256" i="70"/>
  <c r="N257" i="70"/>
  <c r="P249" i="70"/>
  <c r="S249" i="70"/>
  <c r="V249" i="70"/>
  <c r="W255" i="70"/>
  <c r="J256" i="70"/>
  <c r="J257" i="70"/>
  <c r="J253" i="70"/>
  <c r="M253" i="70"/>
  <c r="P253" i="70"/>
  <c r="S255" i="70"/>
  <c r="M256" i="70"/>
  <c r="M257" i="70"/>
  <c r="M252" i="70"/>
  <c r="P252" i="70"/>
  <c r="Q255" i="70"/>
  <c r="S256" i="70"/>
  <c r="S257" i="70"/>
  <c r="S253" i="70"/>
  <c r="V253" i="70"/>
  <c r="Y255" i="70"/>
  <c r="W256" i="70"/>
  <c r="W257" i="70"/>
  <c r="Y249" i="70"/>
  <c r="AB249" i="70"/>
  <c r="AC255" i="70"/>
  <c r="AE256" i="70"/>
  <c r="AE257" i="70"/>
  <c r="AE250" i="70"/>
  <c r="AU250" i="70"/>
  <c r="AX6" i="70"/>
  <c r="C320" i="70"/>
  <c r="D320" i="70"/>
  <c r="G322" i="70"/>
  <c r="E323" i="70"/>
  <c r="E324" i="70"/>
  <c r="G319" i="70"/>
  <c r="J322" i="70"/>
  <c r="AW3" i="70"/>
  <c r="C79" i="70"/>
  <c r="D79" i="70"/>
  <c r="E85" i="70"/>
  <c r="AW14" i="70"/>
  <c r="C82" i="70"/>
  <c r="D82" i="70"/>
  <c r="G85" i="70"/>
  <c r="E86" i="70"/>
  <c r="E87" i="70"/>
  <c r="G79" i="70"/>
  <c r="J79" i="70"/>
  <c r="M79" i="70"/>
  <c r="N85" i="70"/>
  <c r="AW9" i="70"/>
  <c r="C81" i="70"/>
  <c r="D81" i="70"/>
  <c r="G81" i="70"/>
  <c r="H85" i="70"/>
  <c r="C83" i="70"/>
  <c r="D85" i="70"/>
  <c r="AW8" i="70"/>
  <c r="C80" i="70"/>
  <c r="B85" i="70"/>
  <c r="D86" i="70"/>
  <c r="D87" i="70"/>
  <c r="D83" i="70"/>
  <c r="G83" i="70"/>
  <c r="J85" i="70"/>
  <c r="H86" i="70"/>
  <c r="H87" i="70"/>
  <c r="J81" i="70"/>
  <c r="M81" i="70"/>
  <c r="P85" i="70"/>
  <c r="N86" i="70"/>
  <c r="N87" i="70"/>
  <c r="P79" i="70"/>
  <c r="S79" i="70"/>
  <c r="V79" i="70"/>
  <c r="W85" i="70"/>
  <c r="J86" i="70"/>
  <c r="J87" i="70"/>
  <c r="J83" i="70"/>
  <c r="M83" i="70"/>
  <c r="P83" i="70"/>
  <c r="S85" i="70"/>
  <c r="G86" i="70"/>
  <c r="G87" i="70"/>
  <c r="G82" i="70"/>
  <c r="J82" i="70"/>
  <c r="M85" i="70"/>
  <c r="B86" i="70"/>
  <c r="B87" i="70"/>
  <c r="D80" i="70"/>
  <c r="G80" i="70"/>
  <c r="J80" i="70"/>
  <c r="K85" i="70"/>
  <c r="M86" i="70"/>
  <c r="M87" i="70"/>
  <c r="M82" i="70"/>
  <c r="P82" i="70"/>
  <c r="Q85" i="70"/>
  <c r="S86" i="70"/>
  <c r="S87" i="70"/>
  <c r="S83" i="70"/>
  <c r="V83" i="70"/>
  <c r="Y85" i="70"/>
  <c r="W86" i="70"/>
  <c r="W87" i="70"/>
  <c r="Y79" i="70"/>
  <c r="AB79" i="70"/>
  <c r="AC85" i="70"/>
  <c r="K86" i="70"/>
  <c r="K87" i="70"/>
  <c r="M80" i="70"/>
  <c r="P80" i="70"/>
  <c r="S80" i="70"/>
  <c r="T85" i="70"/>
  <c r="P86" i="70"/>
  <c r="P87" i="70"/>
  <c r="P81" i="70"/>
  <c r="S81" i="70"/>
  <c r="V85" i="70"/>
  <c r="T86" i="70"/>
  <c r="T87" i="70"/>
  <c r="V80" i="70"/>
  <c r="Y80" i="70"/>
  <c r="AB80" i="70"/>
  <c r="AE85" i="70"/>
  <c r="AC86" i="70"/>
  <c r="AC87" i="70"/>
  <c r="AE79" i="70"/>
  <c r="AU79" i="70"/>
  <c r="AX3" i="70"/>
  <c r="C321" i="70"/>
  <c r="D322" i="70"/>
  <c r="Y86" i="70"/>
  <c r="Y87" i="70"/>
  <c r="Y83" i="70"/>
  <c r="AB83" i="70"/>
  <c r="AE83" i="70"/>
  <c r="AU83" i="70"/>
  <c r="AX15" i="70"/>
  <c r="C318" i="70"/>
  <c r="B322" i="70"/>
  <c r="D323" i="70"/>
  <c r="D324" i="70"/>
  <c r="D321" i="70"/>
  <c r="G321" i="70"/>
  <c r="H322" i="70"/>
  <c r="J323" i="70"/>
  <c r="J324" i="70"/>
  <c r="J319" i="70"/>
  <c r="AU318" i="70"/>
  <c r="AY13" i="70"/>
  <c r="AZ13" i="70"/>
  <c r="B323" i="70"/>
  <c r="B324" i="70"/>
  <c r="D318" i="70"/>
  <c r="G318" i="70"/>
  <c r="J318" i="70"/>
  <c r="AU317" i="70"/>
  <c r="AY15" i="70"/>
  <c r="AZ15" i="70"/>
  <c r="AZ21" i="70"/>
  <c r="F437" i="72"/>
  <c r="E437" i="72"/>
  <c r="E436" i="72"/>
  <c r="C437" i="72"/>
  <c r="D437" i="72"/>
  <c r="F436" i="72"/>
  <c r="C436" i="72"/>
  <c r="D436" i="72"/>
  <c r="K437" i="72"/>
  <c r="K436" i="72"/>
  <c r="C252" i="67"/>
  <c r="D252" i="67"/>
  <c r="G255" i="67"/>
  <c r="AW5" i="67"/>
  <c r="C249" i="67"/>
  <c r="D249" i="67"/>
  <c r="E255" i="67"/>
  <c r="G256" i="67"/>
  <c r="G257" i="67"/>
  <c r="G252" i="67"/>
  <c r="J252" i="67"/>
  <c r="M255" i="67"/>
  <c r="AW8" i="67"/>
  <c r="C250" i="67"/>
  <c r="B255" i="67"/>
  <c r="AW21" i="67"/>
  <c r="C253" i="67"/>
  <c r="D255" i="67"/>
  <c r="B256" i="67"/>
  <c r="B257" i="67"/>
  <c r="D250" i="67"/>
  <c r="G250" i="67"/>
  <c r="J250" i="67"/>
  <c r="K255" i="67"/>
  <c r="M256" i="67"/>
  <c r="M257" i="67"/>
  <c r="M252" i="67"/>
  <c r="P252" i="67"/>
  <c r="Q255" i="67"/>
  <c r="D256" i="67"/>
  <c r="D257" i="67"/>
  <c r="D253" i="67"/>
  <c r="G253" i="67"/>
  <c r="J255" i="67"/>
  <c r="AW13" i="67"/>
  <c r="C251" i="67"/>
  <c r="D251" i="67"/>
  <c r="G251" i="67"/>
  <c r="H255" i="67"/>
  <c r="J256" i="67"/>
  <c r="J257" i="67"/>
  <c r="J253" i="67"/>
  <c r="M253" i="67"/>
  <c r="P253" i="67"/>
  <c r="S255" i="67"/>
  <c r="Q256" i="67"/>
  <c r="Q257" i="67"/>
  <c r="S252" i="67"/>
  <c r="V252" i="67"/>
  <c r="Y252" i="67"/>
  <c r="AB255" i="67"/>
  <c r="H256" i="67"/>
  <c r="H257" i="67"/>
  <c r="J251" i="67"/>
  <c r="M251" i="67"/>
  <c r="P255" i="67"/>
  <c r="E256" i="67"/>
  <c r="E257" i="67"/>
  <c r="G249" i="67"/>
  <c r="J249" i="67"/>
  <c r="M249" i="67"/>
  <c r="N255" i="67"/>
  <c r="P256" i="67"/>
  <c r="P257" i="67"/>
  <c r="P251" i="67"/>
  <c r="S251" i="67"/>
  <c r="V255" i="67"/>
  <c r="K256" i="67"/>
  <c r="K257" i="67"/>
  <c r="M250" i="67"/>
  <c r="P250" i="67"/>
  <c r="S250" i="67"/>
  <c r="T255" i="67"/>
  <c r="V256" i="67"/>
  <c r="V257" i="67"/>
  <c r="V251" i="67"/>
  <c r="Y251" i="67"/>
  <c r="Z255" i="67"/>
  <c r="AB256" i="67"/>
  <c r="AB257" i="67"/>
  <c r="AB252" i="67"/>
  <c r="AE252" i="67"/>
  <c r="AU252" i="67"/>
  <c r="AX16" i="67"/>
  <c r="C401" i="67"/>
  <c r="D401" i="67"/>
  <c r="G403" i="67"/>
  <c r="AW20" i="67"/>
  <c r="C168" i="67"/>
  <c r="D170" i="67"/>
  <c r="AW9" i="67"/>
  <c r="C165" i="67"/>
  <c r="B170" i="67"/>
  <c r="D171" i="67"/>
  <c r="D172" i="67"/>
  <c r="D168" i="67"/>
  <c r="G168" i="67"/>
  <c r="J170" i="67"/>
  <c r="AW12" i="67"/>
  <c r="C166" i="67"/>
  <c r="D166" i="67"/>
  <c r="G166" i="67"/>
  <c r="H170" i="67"/>
  <c r="J171" i="67"/>
  <c r="J172" i="67"/>
  <c r="J168" i="67"/>
  <c r="M168" i="67"/>
  <c r="P168" i="67"/>
  <c r="S170" i="67"/>
  <c r="AW17" i="67"/>
  <c r="C167" i="67"/>
  <c r="D167" i="67"/>
  <c r="G170" i="67"/>
  <c r="AW4" i="67"/>
  <c r="C164" i="67"/>
  <c r="D164" i="67"/>
  <c r="E170" i="67"/>
  <c r="G171" i="67"/>
  <c r="G172" i="67"/>
  <c r="G167" i="67"/>
  <c r="J167" i="67"/>
  <c r="M170" i="67"/>
  <c r="B171" i="67"/>
  <c r="B172" i="67"/>
  <c r="D165" i="67"/>
  <c r="G165" i="67"/>
  <c r="J165" i="67"/>
  <c r="K170" i="67"/>
  <c r="M171" i="67"/>
  <c r="M172" i="67"/>
  <c r="M167" i="67"/>
  <c r="P167" i="67"/>
  <c r="Q170" i="67"/>
  <c r="S171" i="67"/>
  <c r="S172" i="67"/>
  <c r="S168" i="67"/>
  <c r="V168" i="67"/>
  <c r="Y170" i="67"/>
  <c r="E171" i="67"/>
  <c r="E172" i="67"/>
  <c r="G164" i="67"/>
  <c r="J164" i="67"/>
  <c r="M164" i="67"/>
  <c r="N170" i="67"/>
  <c r="H171" i="67"/>
  <c r="H172" i="67"/>
  <c r="J166" i="67"/>
  <c r="M166" i="67"/>
  <c r="P170" i="67"/>
  <c r="N171" i="67"/>
  <c r="N172" i="67"/>
  <c r="P164" i="67"/>
  <c r="S164" i="67"/>
  <c r="V164" i="67"/>
  <c r="W170" i="67"/>
  <c r="Y171" i="67"/>
  <c r="Y172" i="67"/>
  <c r="Y168" i="67"/>
  <c r="AB168" i="67"/>
  <c r="AE168" i="67"/>
  <c r="AU168" i="67"/>
  <c r="AX20" i="67"/>
  <c r="C400" i="67"/>
  <c r="D400" i="67"/>
  <c r="E403" i="67"/>
  <c r="G404" i="67"/>
  <c r="G405" i="67"/>
  <c r="G401" i="67"/>
  <c r="J401" i="67"/>
  <c r="AU400" i="67"/>
  <c r="AY16" i="67"/>
  <c r="AZ16" i="67"/>
  <c r="C82" i="67"/>
  <c r="D82" i="67"/>
  <c r="G85" i="67"/>
  <c r="AW3" i="67"/>
  <c r="C79" i="67"/>
  <c r="D79" i="67"/>
  <c r="E85" i="67"/>
  <c r="G86" i="67"/>
  <c r="G87" i="67"/>
  <c r="G82" i="67"/>
  <c r="J82" i="67"/>
  <c r="M85" i="67"/>
  <c r="AW10" i="67"/>
  <c r="C80" i="67"/>
  <c r="B85" i="67"/>
  <c r="C83" i="67"/>
  <c r="D85" i="67"/>
  <c r="B86" i="67"/>
  <c r="B87" i="67"/>
  <c r="D80" i="67"/>
  <c r="G80" i="67"/>
  <c r="J80" i="67"/>
  <c r="K85" i="67"/>
  <c r="M86" i="67"/>
  <c r="M87" i="67"/>
  <c r="M82" i="67"/>
  <c r="P82" i="67"/>
  <c r="Q85" i="67"/>
  <c r="D86" i="67"/>
  <c r="D87" i="67"/>
  <c r="D83" i="67"/>
  <c r="G83" i="67"/>
  <c r="J85" i="67"/>
  <c r="AW11" i="67"/>
  <c r="C81" i="67"/>
  <c r="D81" i="67"/>
  <c r="G81" i="67"/>
  <c r="H85" i="67"/>
  <c r="J86" i="67"/>
  <c r="J87" i="67"/>
  <c r="J83" i="67"/>
  <c r="M83" i="67"/>
  <c r="P83" i="67"/>
  <c r="S85" i="67"/>
  <c r="Q86" i="67"/>
  <c r="Q87" i="67"/>
  <c r="S82" i="67"/>
  <c r="V82" i="67"/>
  <c r="Y82" i="67"/>
  <c r="AB85" i="67"/>
  <c r="H86" i="67"/>
  <c r="H87" i="67"/>
  <c r="J81" i="67"/>
  <c r="M81" i="67"/>
  <c r="P85" i="67"/>
  <c r="E86" i="67"/>
  <c r="E87" i="67"/>
  <c r="G79" i="67"/>
  <c r="J79" i="67"/>
  <c r="M79" i="67"/>
  <c r="N85" i="67"/>
  <c r="P86" i="67"/>
  <c r="P87" i="67"/>
  <c r="P81" i="67"/>
  <c r="S81" i="67"/>
  <c r="V85" i="67"/>
  <c r="K86" i="67"/>
  <c r="K87" i="67"/>
  <c r="M80" i="67"/>
  <c r="P80" i="67"/>
  <c r="S80" i="67"/>
  <c r="T85" i="67"/>
  <c r="V86" i="67"/>
  <c r="V87" i="67"/>
  <c r="V81" i="67"/>
  <c r="Y81" i="67"/>
  <c r="Z85" i="67"/>
  <c r="AB86" i="67"/>
  <c r="AB87" i="67"/>
  <c r="AB82" i="67"/>
  <c r="AE82" i="67"/>
  <c r="AU82" i="67"/>
  <c r="AX18" i="67"/>
  <c r="C399" i="67"/>
  <c r="B403" i="67"/>
  <c r="AW7" i="67"/>
  <c r="C335" i="67"/>
  <c r="B340" i="67"/>
  <c r="AW22" i="67"/>
  <c r="C338" i="67"/>
  <c r="D340" i="67"/>
  <c r="B341" i="67"/>
  <c r="B342" i="67"/>
  <c r="D335" i="67"/>
  <c r="G335" i="67"/>
  <c r="J335" i="67"/>
  <c r="K340" i="67"/>
  <c r="AW15" i="67"/>
  <c r="C337" i="67"/>
  <c r="D337" i="67"/>
  <c r="G340" i="67"/>
  <c r="AW6" i="67"/>
  <c r="C334" i="67"/>
  <c r="D334" i="67"/>
  <c r="E340" i="67"/>
  <c r="G341" i="67"/>
  <c r="G342" i="67"/>
  <c r="G337" i="67"/>
  <c r="J337" i="67"/>
  <c r="M340" i="67"/>
  <c r="K341" i="67"/>
  <c r="K342" i="67"/>
  <c r="M335" i="67"/>
  <c r="P335" i="67"/>
  <c r="S335" i="67"/>
  <c r="T340" i="67"/>
  <c r="AW14" i="67"/>
  <c r="C336" i="67"/>
  <c r="D336" i="67"/>
  <c r="G336" i="67"/>
  <c r="H340" i="67"/>
  <c r="D341" i="67"/>
  <c r="D342" i="67"/>
  <c r="D338" i="67"/>
  <c r="G338" i="67"/>
  <c r="J340" i="67"/>
  <c r="H341" i="67"/>
  <c r="H342" i="67"/>
  <c r="J336" i="67"/>
  <c r="M336" i="67"/>
  <c r="P340" i="67"/>
  <c r="E341" i="67"/>
  <c r="E342" i="67"/>
  <c r="G334" i="67"/>
  <c r="J334" i="67"/>
  <c r="M334" i="67"/>
  <c r="N340" i="67"/>
  <c r="P341" i="67"/>
  <c r="P342" i="67"/>
  <c r="P336" i="67"/>
  <c r="S336" i="67"/>
  <c r="V340" i="67"/>
  <c r="T341" i="67"/>
  <c r="T342" i="67"/>
  <c r="V335" i="67"/>
  <c r="Y335" i="67"/>
  <c r="AB335" i="67"/>
  <c r="AE340" i="67"/>
  <c r="N341" i="67"/>
  <c r="N342" i="67"/>
  <c r="P334" i="67"/>
  <c r="S334" i="67"/>
  <c r="V334" i="67"/>
  <c r="W340" i="67"/>
  <c r="J341" i="67"/>
  <c r="J342" i="67"/>
  <c r="J338" i="67"/>
  <c r="M338" i="67"/>
  <c r="P338" i="67"/>
  <c r="S340" i="67"/>
  <c r="M341" i="67"/>
  <c r="M342" i="67"/>
  <c r="M337" i="67"/>
  <c r="P337" i="67"/>
  <c r="Q340" i="67"/>
  <c r="S341" i="67"/>
  <c r="S342" i="67"/>
  <c r="S338" i="67"/>
  <c r="V338" i="67"/>
  <c r="Y340" i="67"/>
  <c r="W341" i="67"/>
  <c r="W342" i="67"/>
  <c r="Y334" i="67"/>
  <c r="AB334" i="67"/>
  <c r="AC340" i="67"/>
  <c r="AE341" i="67"/>
  <c r="AE342" i="67"/>
  <c r="AE335" i="67"/>
  <c r="AU335" i="67"/>
  <c r="AX7" i="67"/>
  <c r="C402" i="67"/>
  <c r="D403" i="67"/>
  <c r="B404" i="67"/>
  <c r="B405" i="67"/>
  <c r="D399" i="67"/>
  <c r="G399" i="67"/>
  <c r="H403" i="67"/>
  <c r="E404" i="67"/>
  <c r="E405" i="67"/>
  <c r="G400" i="67"/>
  <c r="J403" i="67"/>
  <c r="H404" i="67"/>
  <c r="H405" i="67"/>
  <c r="J399" i="67"/>
  <c r="AU398" i="67"/>
  <c r="AY18" i="67"/>
  <c r="AZ18" i="67"/>
  <c r="S86" i="67"/>
  <c r="S87" i="67"/>
  <c r="S83" i="67"/>
  <c r="V83" i="67"/>
  <c r="Y85" i="67"/>
  <c r="N86" i="67"/>
  <c r="N87" i="67"/>
  <c r="P79" i="67"/>
  <c r="S79" i="67"/>
  <c r="V79" i="67"/>
  <c r="W85" i="67"/>
  <c r="Y86" i="67"/>
  <c r="Y87" i="67"/>
  <c r="Y83" i="67"/>
  <c r="AB83" i="67"/>
  <c r="AE83" i="67"/>
  <c r="AU83" i="67"/>
  <c r="AX19" i="67"/>
  <c r="X399" i="67"/>
  <c r="W403" i="67"/>
  <c r="AC341" i="67"/>
  <c r="AC342" i="67"/>
  <c r="AE334" i="67"/>
  <c r="AU334" i="67"/>
  <c r="AX6" i="67"/>
  <c r="X402" i="67"/>
  <c r="Y403" i="67"/>
  <c r="W404" i="67"/>
  <c r="W405" i="67"/>
  <c r="Y399" i="67"/>
  <c r="AB399" i="67"/>
  <c r="AE399" i="67"/>
  <c r="AU402" i="67"/>
  <c r="AY19" i="67"/>
  <c r="AZ19" i="67"/>
  <c r="AZ26" i="67"/>
  <c r="C167" i="66"/>
  <c r="D167" i="66"/>
  <c r="G170" i="66"/>
  <c r="AW4" i="66"/>
  <c r="C164" i="66"/>
  <c r="D164" i="66"/>
  <c r="E170" i="66"/>
  <c r="G171" i="66"/>
  <c r="G172" i="66"/>
  <c r="G167" i="66"/>
  <c r="J167" i="66"/>
  <c r="M170" i="66"/>
  <c r="AW7" i="66"/>
  <c r="C165" i="66"/>
  <c r="B170" i="66"/>
  <c r="AW16" i="66"/>
  <c r="C168" i="66"/>
  <c r="D170" i="66"/>
  <c r="B171" i="66"/>
  <c r="B172" i="66"/>
  <c r="D165" i="66"/>
  <c r="G165" i="66"/>
  <c r="J165" i="66"/>
  <c r="K170" i="66"/>
  <c r="M171" i="66"/>
  <c r="M172" i="66"/>
  <c r="M167" i="66"/>
  <c r="P167" i="66"/>
  <c r="Q170" i="66"/>
  <c r="D171" i="66"/>
  <c r="D172" i="66"/>
  <c r="D168" i="66"/>
  <c r="G168" i="66"/>
  <c r="J170" i="66"/>
  <c r="AW10" i="66"/>
  <c r="C166" i="66"/>
  <c r="D166" i="66"/>
  <c r="G166" i="66"/>
  <c r="H170" i="66"/>
  <c r="J171" i="66"/>
  <c r="J172" i="66"/>
  <c r="J168" i="66"/>
  <c r="M168" i="66"/>
  <c r="P168" i="66"/>
  <c r="S170" i="66"/>
  <c r="Q171" i="66"/>
  <c r="Q172" i="66"/>
  <c r="S167" i="66"/>
  <c r="V167" i="66"/>
  <c r="Y167" i="66"/>
  <c r="AB170" i="66"/>
  <c r="H171" i="66"/>
  <c r="H172" i="66"/>
  <c r="J166" i="66"/>
  <c r="M166" i="66"/>
  <c r="P170" i="66"/>
  <c r="E171" i="66"/>
  <c r="E172" i="66"/>
  <c r="G164" i="66"/>
  <c r="J164" i="66"/>
  <c r="M164" i="66"/>
  <c r="N170" i="66"/>
  <c r="P171" i="66"/>
  <c r="P172" i="66"/>
  <c r="P166" i="66"/>
  <c r="S166" i="66"/>
  <c r="V170" i="66"/>
  <c r="K171" i="66"/>
  <c r="K172" i="66"/>
  <c r="M165" i="66"/>
  <c r="P165" i="66"/>
  <c r="S165" i="66"/>
  <c r="T170" i="66"/>
  <c r="V171" i="66"/>
  <c r="V172" i="66"/>
  <c r="V166" i="66"/>
  <c r="Y166" i="66"/>
  <c r="Z170" i="66"/>
  <c r="AB171" i="66"/>
  <c r="AB172" i="66"/>
  <c r="AB167" i="66"/>
  <c r="AE167" i="66"/>
  <c r="AU167" i="66"/>
  <c r="AX13" i="66"/>
  <c r="C368" i="66"/>
  <c r="D368" i="66"/>
  <c r="G370" i="66"/>
  <c r="AW15" i="66"/>
  <c r="C83" i="66"/>
  <c r="D85" i="66"/>
  <c r="AW8" i="66"/>
  <c r="C80" i="66"/>
  <c r="B85" i="66"/>
  <c r="D86" i="66"/>
  <c r="D87" i="66"/>
  <c r="D83" i="66"/>
  <c r="G83" i="66"/>
  <c r="J85" i="66"/>
  <c r="AW9" i="66"/>
  <c r="C81" i="66"/>
  <c r="D81" i="66"/>
  <c r="G81" i="66"/>
  <c r="H85" i="66"/>
  <c r="J86" i="66"/>
  <c r="J87" i="66"/>
  <c r="J83" i="66"/>
  <c r="M83" i="66"/>
  <c r="P83" i="66"/>
  <c r="S85" i="66"/>
  <c r="AW14" i="66"/>
  <c r="C82" i="66"/>
  <c r="D82" i="66"/>
  <c r="G85" i="66"/>
  <c r="AW3" i="66"/>
  <c r="C79" i="66"/>
  <c r="D79" i="66"/>
  <c r="E85" i="66"/>
  <c r="G86" i="66"/>
  <c r="G87" i="66"/>
  <c r="G82" i="66"/>
  <c r="J82" i="66"/>
  <c r="M85" i="66"/>
  <c r="B86" i="66"/>
  <c r="B87" i="66"/>
  <c r="D80" i="66"/>
  <c r="G80" i="66"/>
  <c r="J80" i="66"/>
  <c r="K85" i="66"/>
  <c r="M86" i="66"/>
  <c r="M87" i="66"/>
  <c r="M82" i="66"/>
  <c r="P82" i="66"/>
  <c r="Q85" i="66"/>
  <c r="S86" i="66"/>
  <c r="S87" i="66"/>
  <c r="S83" i="66"/>
  <c r="V83" i="66"/>
  <c r="Y85" i="66"/>
  <c r="E86" i="66"/>
  <c r="E87" i="66"/>
  <c r="G79" i="66"/>
  <c r="J79" i="66"/>
  <c r="M79" i="66"/>
  <c r="N85" i="66"/>
  <c r="H86" i="66"/>
  <c r="H87" i="66"/>
  <c r="J81" i="66"/>
  <c r="M81" i="66"/>
  <c r="P85" i="66"/>
  <c r="N86" i="66"/>
  <c r="N87" i="66"/>
  <c r="P79" i="66"/>
  <c r="S79" i="66"/>
  <c r="V79" i="66"/>
  <c r="W85" i="66"/>
  <c r="Y86" i="66"/>
  <c r="Y87" i="66"/>
  <c r="Y83" i="66"/>
  <c r="AB83" i="66"/>
  <c r="AE83" i="66"/>
  <c r="AU83" i="66"/>
  <c r="AX15" i="66"/>
  <c r="C367" i="66"/>
  <c r="D367" i="66"/>
  <c r="E370" i="66"/>
  <c r="G371" i="66"/>
  <c r="G372" i="66"/>
  <c r="G368" i="66"/>
  <c r="J368" i="66"/>
  <c r="AU367" i="66"/>
  <c r="AY13" i="66"/>
  <c r="AZ13" i="66"/>
  <c r="AZ21" i="66"/>
  <c r="AW12" i="66"/>
  <c r="AW11" i="66"/>
  <c r="AW6" i="66"/>
  <c r="AW5" i="66"/>
  <c r="AW12" i="68"/>
  <c r="AW11" i="68"/>
  <c r="AW10" i="68"/>
  <c r="AW9" i="68"/>
  <c r="AW8" i="68"/>
  <c r="AW7" i="68"/>
  <c r="AW6" i="68"/>
  <c r="AW5" i="68"/>
  <c r="AW4" i="68"/>
  <c r="AW3" i="68"/>
  <c r="AW12" i="69"/>
  <c r="AW11" i="69"/>
  <c r="AW10" i="69"/>
  <c r="AW9" i="69"/>
  <c r="AW8" i="69"/>
  <c r="AW7" i="69"/>
  <c r="AW6" i="69"/>
  <c r="AW5" i="69"/>
  <c r="AW4" i="69"/>
  <c r="AW3" i="69"/>
  <c r="K433" i="72"/>
  <c r="F433" i="72"/>
  <c r="E433" i="72"/>
  <c r="E432" i="72"/>
  <c r="C433" i="72"/>
  <c r="D433" i="72"/>
  <c r="K432" i="72"/>
  <c r="F432" i="72"/>
  <c r="E431" i="72"/>
  <c r="C432" i="72"/>
  <c r="D432" i="72"/>
  <c r="R431" i="72"/>
  <c r="K431" i="72"/>
  <c r="F431" i="72"/>
  <c r="E430" i="72"/>
  <c r="C431" i="72"/>
  <c r="D431" i="72"/>
  <c r="R430" i="72"/>
  <c r="K430" i="72"/>
  <c r="F430" i="72"/>
  <c r="E429" i="72"/>
  <c r="C429" i="72"/>
  <c r="D429" i="72"/>
  <c r="D430" i="72"/>
  <c r="C430" i="72"/>
  <c r="R429" i="72"/>
  <c r="K429" i="72"/>
  <c r="F429" i="72"/>
  <c r="R428" i="72"/>
  <c r="R427" i="72"/>
  <c r="K427" i="72"/>
  <c r="F427" i="72"/>
  <c r="E427" i="72"/>
  <c r="E421" i="72"/>
  <c r="E420" i="72"/>
  <c r="E419" i="72"/>
  <c r="E418" i="72"/>
  <c r="E417" i="72"/>
  <c r="E416" i="72"/>
  <c r="E415" i="72"/>
  <c r="E414" i="72"/>
  <c r="E413" i="72"/>
  <c r="E412" i="72"/>
  <c r="E411" i="72"/>
  <c r="E410" i="72"/>
  <c r="E409" i="72"/>
  <c r="E408" i="72"/>
  <c r="E407" i="72"/>
  <c r="E406" i="72"/>
  <c r="E405" i="72"/>
  <c r="E404" i="72"/>
  <c r="E403" i="72"/>
  <c r="E402" i="72"/>
  <c r="E401" i="72"/>
  <c r="E400" i="72"/>
  <c r="E399" i="72"/>
  <c r="E398" i="72"/>
  <c r="E397" i="72"/>
  <c r="E396" i="72"/>
  <c r="E395" i="72"/>
  <c r="E394" i="72"/>
  <c r="E393" i="72"/>
  <c r="E392" i="72"/>
  <c r="E391" i="72"/>
  <c r="C392" i="72"/>
  <c r="C393" i="72"/>
  <c r="C394" i="72"/>
  <c r="C395" i="72"/>
  <c r="C396" i="72"/>
  <c r="C397" i="72"/>
  <c r="C398" i="72"/>
  <c r="C399" i="72"/>
  <c r="C400" i="72"/>
  <c r="C401" i="72"/>
  <c r="C402" i="72"/>
  <c r="C403" i="72"/>
  <c r="C404" i="72"/>
  <c r="C405" i="72"/>
  <c r="C406" i="72"/>
  <c r="C407" i="72"/>
  <c r="C408" i="72"/>
  <c r="C409" i="72"/>
  <c r="C410" i="72"/>
  <c r="C411" i="72"/>
  <c r="C412" i="72"/>
  <c r="C413" i="72"/>
  <c r="C414" i="72"/>
  <c r="C415" i="72"/>
  <c r="C416" i="72"/>
  <c r="C417" i="72"/>
  <c r="C418" i="72"/>
  <c r="C419" i="72"/>
  <c r="C420" i="72"/>
  <c r="C421" i="72"/>
  <c r="D421" i="72"/>
  <c r="D422" i="72"/>
  <c r="D423" i="72"/>
  <c r="D424" i="72"/>
  <c r="D425" i="72"/>
  <c r="D426" i="72"/>
  <c r="D427" i="72"/>
  <c r="E426" i="72"/>
  <c r="E425" i="72"/>
  <c r="E424" i="72"/>
  <c r="E423" i="72"/>
  <c r="E422" i="72"/>
  <c r="C422" i="72"/>
  <c r="C423" i="72"/>
  <c r="C424" i="72"/>
  <c r="C425" i="72"/>
  <c r="C426" i="72"/>
  <c r="C427" i="72"/>
  <c r="R426" i="72"/>
  <c r="K426" i="72"/>
  <c r="F426" i="72"/>
  <c r="R425" i="72"/>
  <c r="K425" i="72"/>
  <c r="F425" i="72"/>
  <c r="R424" i="72"/>
  <c r="K424" i="72"/>
  <c r="F424" i="72"/>
  <c r="R423" i="72"/>
  <c r="K423" i="72"/>
  <c r="F423" i="72"/>
  <c r="R422" i="72"/>
  <c r="K422" i="72"/>
  <c r="F422" i="72"/>
  <c r="R421" i="72"/>
  <c r="K421" i="72"/>
  <c r="F421" i="72"/>
  <c r="R420" i="72"/>
  <c r="K420" i="72"/>
  <c r="F420" i="72"/>
  <c r="D420" i="72"/>
  <c r="R419" i="72"/>
  <c r="K419" i="72"/>
  <c r="F419" i="72"/>
  <c r="D419" i="72"/>
  <c r="R418" i="72"/>
  <c r="K418" i="72"/>
  <c r="F418" i="72"/>
  <c r="D417" i="72"/>
  <c r="D418" i="72"/>
  <c r="R417" i="72"/>
  <c r="K417" i="72"/>
  <c r="F417" i="72"/>
  <c r="R416" i="72"/>
  <c r="K416" i="72"/>
  <c r="F416" i="72"/>
  <c r="D392" i="72"/>
  <c r="D393" i="72"/>
  <c r="D394" i="72"/>
  <c r="D395" i="72"/>
  <c r="D396" i="72"/>
  <c r="D397" i="72"/>
  <c r="D398" i="72"/>
  <c r="D399" i="72"/>
  <c r="D400" i="72"/>
  <c r="D401" i="72"/>
  <c r="D402" i="72"/>
  <c r="D403" i="72"/>
  <c r="D404" i="72"/>
  <c r="D405" i="72"/>
  <c r="D406" i="72"/>
  <c r="D407" i="72"/>
  <c r="D408" i="72"/>
  <c r="D409" i="72"/>
  <c r="D410" i="72"/>
  <c r="D411" i="72"/>
  <c r="D412" i="72"/>
  <c r="D413" i="72"/>
  <c r="D414" i="72"/>
  <c r="D415" i="72"/>
  <c r="D416" i="72"/>
  <c r="R415" i="72"/>
  <c r="K415" i="72"/>
  <c r="F415" i="72"/>
  <c r="R414" i="72"/>
  <c r="K414" i="72"/>
  <c r="F414" i="72"/>
  <c r="R413" i="72"/>
  <c r="K413" i="72"/>
  <c r="F413" i="72"/>
  <c r="R412" i="72"/>
  <c r="K412" i="72"/>
  <c r="F412" i="72"/>
  <c r="R411" i="72"/>
  <c r="K411" i="72"/>
  <c r="F411" i="72"/>
  <c r="R410" i="72"/>
  <c r="K410" i="72"/>
  <c r="F410" i="72"/>
  <c r="R409" i="72"/>
  <c r="K409" i="72"/>
  <c r="F409" i="72"/>
  <c r="R408" i="72"/>
  <c r="K408" i="72"/>
  <c r="F408" i="72"/>
  <c r="R407" i="72"/>
  <c r="K407" i="72"/>
  <c r="F407" i="72"/>
  <c r="R406" i="72"/>
  <c r="K406" i="72"/>
  <c r="F406" i="72"/>
  <c r="R405" i="72"/>
  <c r="K405" i="72"/>
  <c r="F405" i="72"/>
  <c r="R404" i="72"/>
  <c r="K404" i="72"/>
  <c r="F404" i="72"/>
  <c r="R403" i="72"/>
  <c r="K403" i="72"/>
  <c r="F403" i="72"/>
  <c r="R402" i="72"/>
  <c r="K402" i="72"/>
  <c r="F402" i="72"/>
  <c r="R401" i="72"/>
  <c r="K401" i="72"/>
  <c r="F401" i="72"/>
  <c r="R400" i="72"/>
  <c r="K400" i="72"/>
  <c r="F400" i="72"/>
  <c r="R399" i="72"/>
  <c r="K399" i="72"/>
  <c r="F399" i="72"/>
  <c r="R398" i="72"/>
  <c r="K398" i="72"/>
  <c r="F398" i="72"/>
  <c r="R397" i="72"/>
  <c r="K397" i="72"/>
  <c r="F397" i="72"/>
  <c r="R396" i="72"/>
  <c r="K396" i="72"/>
  <c r="F396" i="72"/>
  <c r="R395" i="72"/>
  <c r="K395" i="72"/>
  <c r="F395" i="72"/>
  <c r="R394" i="72"/>
  <c r="K394" i="72"/>
  <c r="F394" i="72"/>
  <c r="R393" i="72"/>
  <c r="K393" i="72"/>
  <c r="F393" i="72"/>
  <c r="R392" i="72"/>
  <c r="K392" i="72"/>
  <c r="F392" i="72"/>
  <c r="R391" i="72"/>
  <c r="K391" i="72"/>
  <c r="F391" i="72"/>
  <c r="E379" i="72"/>
  <c r="E378" i="72"/>
  <c r="E377" i="72"/>
  <c r="E376" i="72"/>
  <c r="E375" i="72"/>
  <c r="E374" i="72"/>
  <c r="E373" i="72"/>
  <c r="E372" i="72"/>
  <c r="E371" i="72"/>
  <c r="E370" i="72"/>
  <c r="E369" i="72"/>
  <c r="E368" i="72"/>
  <c r="E367" i="72"/>
  <c r="E366" i="72"/>
  <c r="E365" i="72"/>
  <c r="E364" i="72"/>
  <c r="E363" i="72"/>
  <c r="E362" i="72"/>
  <c r="E361" i="72"/>
  <c r="E360" i="72"/>
  <c r="E359" i="72"/>
  <c r="E358" i="72"/>
  <c r="E357" i="72"/>
  <c r="E356" i="72"/>
  <c r="E355" i="72"/>
  <c r="E354" i="72"/>
  <c r="E353" i="72"/>
  <c r="E352" i="72"/>
  <c r="E351" i="72"/>
  <c r="E350" i="72"/>
  <c r="E349" i="72"/>
  <c r="E348" i="72"/>
  <c r="E347" i="72"/>
  <c r="E346" i="72"/>
  <c r="E345" i="72"/>
  <c r="E344" i="72"/>
  <c r="E343" i="72"/>
  <c r="E342" i="72"/>
  <c r="C343" i="72"/>
  <c r="C344" i="72"/>
  <c r="C345" i="72"/>
  <c r="C346" i="72"/>
  <c r="C347" i="72"/>
  <c r="C348" i="72"/>
  <c r="C349" i="72"/>
  <c r="C350" i="72"/>
  <c r="C351" i="72"/>
  <c r="C352" i="72"/>
  <c r="C353" i="72"/>
  <c r="C354" i="72"/>
  <c r="C355" i="72"/>
  <c r="C356" i="72"/>
  <c r="C357" i="72"/>
  <c r="C358" i="72"/>
  <c r="C359" i="72"/>
  <c r="C360" i="72"/>
  <c r="C361" i="72"/>
  <c r="C362" i="72"/>
  <c r="C363" i="72"/>
  <c r="C364" i="72"/>
  <c r="C365" i="72"/>
  <c r="C366" i="72"/>
  <c r="C367" i="72"/>
  <c r="C368" i="72"/>
  <c r="C369" i="72"/>
  <c r="C370" i="72"/>
  <c r="C371" i="72"/>
  <c r="C372" i="72"/>
  <c r="C373" i="72"/>
  <c r="C374" i="72"/>
  <c r="C375" i="72"/>
  <c r="C376" i="72"/>
  <c r="C377" i="72"/>
  <c r="C378" i="72"/>
  <c r="C379" i="72"/>
  <c r="D379" i="72"/>
  <c r="D380" i="72"/>
  <c r="D381" i="72"/>
  <c r="D382" i="72"/>
  <c r="D383" i="72"/>
  <c r="D384" i="72"/>
  <c r="D385" i="72"/>
  <c r="D386" i="72"/>
  <c r="D387" i="72"/>
  <c r="D388" i="72"/>
  <c r="D389" i="72"/>
  <c r="D390" i="72"/>
  <c r="D391" i="72"/>
  <c r="E390" i="72"/>
  <c r="E389" i="72"/>
  <c r="E388" i="72"/>
  <c r="E387" i="72"/>
  <c r="E386" i="72"/>
  <c r="E385" i="72"/>
  <c r="E384" i="72"/>
  <c r="E383" i="72"/>
  <c r="E382" i="72"/>
  <c r="E381" i="72"/>
  <c r="E380" i="72"/>
  <c r="C380" i="72"/>
  <c r="C381" i="72"/>
  <c r="C382" i="72"/>
  <c r="C383" i="72"/>
  <c r="C384" i="72"/>
  <c r="C385" i="72"/>
  <c r="C386" i="72"/>
  <c r="C387" i="72"/>
  <c r="C388" i="72"/>
  <c r="C389" i="72"/>
  <c r="C390" i="72"/>
  <c r="C391" i="72"/>
  <c r="R390" i="72"/>
  <c r="K390" i="72"/>
  <c r="F390" i="72"/>
  <c r="R389" i="72"/>
  <c r="K389" i="72"/>
  <c r="F389" i="72"/>
  <c r="R388" i="72"/>
  <c r="K388" i="72"/>
  <c r="F388" i="72"/>
  <c r="R387" i="72"/>
  <c r="K387" i="72"/>
  <c r="F387" i="72"/>
  <c r="R386" i="72"/>
  <c r="K386" i="72"/>
  <c r="F386" i="72"/>
  <c r="R385" i="72"/>
  <c r="K385" i="72"/>
  <c r="F385" i="72"/>
  <c r="R384" i="72"/>
  <c r="K384" i="72"/>
  <c r="F384" i="72"/>
  <c r="R383" i="72"/>
  <c r="K383" i="72"/>
  <c r="F383" i="72"/>
  <c r="R382" i="72"/>
  <c r="K382" i="72"/>
  <c r="F382" i="72"/>
  <c r="R381" i="72"/>
  <c r="K381" i="72"/>
  <c r="F381" i="72"/>
  <c r="R380" i="72"/>
  <c r="K380" i="72"/>
  <c r="F380" i="72"/>
  <c r="R379" i="72"/>
  <c r="K379" i="72"/>
  <c r="F379" i="72"/>
  <c r="R378" i="72"/>
  <c r="K378" i="72"/>
  <c r="F378" i="72"/>
  <c r="D378" i="72"/>
  <c r="R377" i="72"/>
  <c r="K377" i="72"/>
  <c r="F377" i="72"/>
  <c r="D377" i="72"/>
  <c r="R376" i="72"/>
  <c r="K376" i="72"/>
  <c r="F376" i="72"/>
  <c r="D376" i="72"/>
  <c r="R375" i="72"/>
  <c r="K375" i="72"/>
  <c r="F375" i="72"/>
  <c r="D370" i="72"/>
  <c r="D371" i="72"/>
  <c r="D372" i="72"/>
  <c r="D373" i="72"/>
  <c r="D374" i="72"/>
  <c r="D375" i="72"/>
  <c r="R374" i="72"/>
  <c r="K374" i="72"/>
  <c r="F374" i="72"/>
  <c r="R373" i="72"/>
  <c r="K373" i="72"/>
  <c r="F373" i="72"/>
  <c r="R372" i="72"/>
  <c r="K372" i="72"/>
  <c r="F372" i="72"/>
  <c r="R371" i="72"/>
  <c r="K371" i="72"/>
  <c r="F371" i="72"/>
  <c r="R370" i="72"/>
  <c r="K370" i="72"/>
  <c r="F370" i="72"/>
  <c r="R369" i="72"/>
  <c r="K369" i="72"/>
  <c r="F369" i="72"/>
  <c r="D369" i="72"/>
  <c r="R368" i="72"/>
  <c r="K368" i="72"/>
  <c r="F368" i="72"/>
  <c r="D368" i="72"/>
  <c r="R367" i="72"/>
  <c r="K367" i="72"/>
  <c r="F367" i="72"/>
  <c r="D343" i="72"/>
  <c r="D344" i="72"/>
  <c r="D345" i="72"/>
  <c r="D346" i="72"/>
  <c r="D347" i="72"/>
  <c r="D348" i="72"/>
  <c r="D349" i="72"/>
  <c r="D350" i="72"/>
  <c r="D351" i="72"/>
  <c r="D352" i="72"/>
  <c r="D353" i="72"/>
  <c r="D354" i="72"/>
  <c r="D355" i="72"/>
  <c r="D356" i="72"/>
  <c r="D357" i="72"/>
  <c r="D358" i="72"/>
  <c r="D359" i="72"/>
  <c r="D360" i="72"/>
  <c r="D361" i="72"/>
  <c r="D362" i="72"/>
  <c r="D363" i="72"/>
  <c r="D364" i="72"/>
  <c r="D365" i="72"/>
  <c r="D366" i="72"/>
  <c r="D367" i="72"/>
  <c r="R366" i="72"/>
  <c r="K366" i="72"/>
  <c r="F366" i="72"/>
  <c r="R365" i="72"/>
  <c r="K365" i="72"/>
  <c r="F365" i="72"/>
  <c r="R364" i="72"/>
  <c r="K364" i="72"/>
  <c r="F364" i="72"/>
  <c r="R363" i="72"/>
  <c r="K363" i="72"/>
  <c r="F363" i="72"/>
  <c r="R362" i="72"/>
  <c r="K362" i="72"/>
  <c r="F362" i="72"/>
  <c r="R361" i="72"/>
  <c r="K361" i="72"/>
  <c r="F361" i="72"/>
  <c r="R360" i="72"/>
  <c r="K360" i="72"/>
  <c r="F360" i="72"/>
  <c r="R359" i="72"/>
  <c r="K359" i="72"/>
  <c r="F359" i="72"/>
  <c r="R358" i="72"/>
  <c r="K358" i="72"/>
  <c r="F358" i="72"/>
  <c r="R357" i="72"/>
  <c r="K357" i="72"/>
  <c r="F357" i="72"/>
  <c r="R356" i="72"/>
  <c r="K356" i="72"/>
  <c r="F356" i="72"/>
  <c r="R355" i="72"/>
  <c r="K355" i="72"/>
  <c r="F355" i="72"/>
  <c r="R354" i="72"/>
  <c r="K354" i="72"/>
  <c r="F354" i="72"/>
  <c r="R353" i="72"/>
  <c r="K353" i="72"/>
  <c r="F353" i="72"/>
  <c r="R352" i="72"/>
  <c r="K352" i="72"/>
  <c r="F352" i="72"/>
  <c r="R351" i="72"/>
  <c r="K351" i="72"/>
  <c r="F351" i="72"/>
  <c r="R350" i="72"/>
  <c r="K350" i="72"/>
  <c r="F350" i="72"/>
  <c r="R349" i="72"/>
  <c r="K349" i="72"/>
  <c r="F349" i="72"/>
  <c r="R348" i="72"/>
  <c r="K348" i="72"/>
  <c r="F348" i="72"/>
  <c r="R347" i="72"/>
  <c r="K347" i="72"/>
  <c r="F347" i="72"/>
  <c r="R346" i="72"/>
  <c r="K346" i="72"/>
  <c r="F346" i="72"/>
  <c r="R345" i="72"/>
  <c r="K345" i="72"/>
  <c r="F345" i="72"/>
  <c r="R344" i="72"/>
  <c r="K344" i="72"/>
  <c r="F344" i="72"/>
  <c r="R343" i="72"/>
  <c r="K343" i="72"/>
  <c r="F343" i="72"/>
  <c r="R342" i="72"/>
  <c r="K342" i="72"/>
  <c r="F342" i="72"/>
  <c r="E322" i="72"/>
  <c r="E321" i="72"/>
  <c r="E320" i="72"/>
  <c r="E319" i="72"/>
  <c r="E318" i="72"/>
  <c r="E317" i="72"/>
  <c r="E316" i="72"/>
  <c r="E315" i="72"/>
  <c r="E314" i="72"/>
  <c r="E313" i="72"/>
  <c r="E312" i="72"/>
  <c r="E311" i="72"/>
  <c r="E310" i="72"/>
  <c r="E309" i="72"/>
  <c r="E308" i="72"/>
  <c r="E307" i="72"/>
  <c r="E306" i="72"/>
  <c r="E305" i="72"/>
  <c r="E304" i="72"/>
  <c r="E303" i="72"/>
  <c r="E302" i="72"/>
  <c r="E301" i="72"/>
  <c r="E300" i="72"/>
  <c r="E299" i="72"/>
  <c r="E298" i="72"/>
  <c r="E297" i="72"/>
  <c r="E296" i="72"/>
  <c r="E295" i="72"/>
  <c r="E294" i="72"/>
  <c r="E293" i="72"/>
  <c r="E292" i="72"/>
  <c r="E291" i="72"/>
  <c r="E290" i="72"/>
  <c r="E289" i="72"/>
  <c r="E288" i="72"/>
  <c r="E287" i="72"/>
  <c r="E286" i="72"/>
  <c r="E285" i="72"/>
  <c r="E284" i="72"/>
  <c r="E283" i="72"/>
  <c r="C284" i="72"/>
  <c r="C285" i="72"/>
  <c r="C286" i="72"/>
  <c r="C287" i="72"/>
  <c r="C288" i="72"/>
  <c r="C289" i="72"/>
  <c r="C290" i="72"/>
  <c r="C291" i="72"/>
  <c r="C292" i="72"/>
  <c r="C293" i="72"/>
  <c r="C294" i="72"/>
  <c r="C295" i="72"/>
  <c r="C296" i="72"/>
  <c r="C297" i="72"/>
  <c r="C298" i="72"/>
  <c r="C299" i="72"/>
  <c r="C300" i="72"/>
  <c r="C301" i="72"/>
  <c r="C302" i="72"/>
  <c r="C303" i="72"/>
  <c r="C304" i="72"/>
  <c r="C305" i="72"/>
  <c r="C306" i="72"/>
  <c r="C307" i="72"/>
  <c r="C308" i="72"/>
  <c r="C309" i="72"/>
  <c r="C310" i="72"/>
  <c r="C311" i="72"/>
  <c r="C312" i="72"/>
  <c r="C313" i="72"/>
  <c r="C314" i="72"/>
  <c r="C315" i="72"/>
  <c r="C316" i="72"/>
  <c r="C317" i="72"/>
  <c r="C318" i="72"/>
  <c r="C319" i="72"/>
  <c r="C320" i="72"/>
  <c r="C321" i="72"/>
  <c r="C322" i="72"/>
  <c r="D322" i="72"/>
  <c r="D323" i="72"/>
  <c r="D324" i="72"/>
  <c r="D325" i="72"/>
  <c r="D326" i="72"/>
  <c r="D327" i="72"/>
  <c r="D328" i="72"/>
  <c r="D329" i="72"/>
  <c r="D330" i="72"/>
  <c r="D331" i="72"/>
  <c r="D332" i="72"/>
  <c r="D333" i="72"/>
  <c r="D334" i="72"/>
  <c r="D335" i="72"/>
  <c r="D336" i="72"/>
  <c r="D337" i="72"/>
  <c r="D338" i="72"/>
  <c r="D339" i="72"/>
  <c r="D340" i="72"/>
  <c r="D341" i="72"/>
  <c r="D342" i="72"/>
  <c r="E341" i="72"/>
  <c r="E340" i="72"/>
  <c r="E339" i="72"/>
  <c r="E338" i="72"/>
  <c r="E337" i="72"/>
  <c r="E336" i="72"/>
  <c r="E335" i="72"/>
  <c r="E334" i="72"/>
  <c r="E333" i="72"/>
  <c r="E332" i="72"/>
  <c r="E331" i="72"/>
  <c r="E330" i="72"/>
  <c r="E329" i="72"/>
  <c r="E328" i="72"/>
  <c r="E327" i="72"/>
  <c r="E326" i="72"/>
  <c r="E325" i="72"/>
  <c r="E324" i="72"/>
  <c r="E323" i="72"/>
  <c r="C323" i="72"/>
  <c r="C324" i="72"/>
  <c r="C325" i="72"/>
  <c r="C326" i="72"/>
  <c r="C327" i="72"/>
  <c r="C328" i="72"/>
  <c r="C329" i="72"/>
  <c r="C330" i="72"/>
  <c r="C331" i="72"/>
  <c r="C332" i="72"/>
  <c r="C333" i="72"/>
  <c r="C334" i="72"/>
  <c r="C335" i="72"/>
  <c r="C336" i="72"/>
  <c r="C337" i="72"/>
  <c r="C338" i="72"/>
  <c r="C339" i="72"/>
  <c r="C340" i="72"/>
  <c r="C341" i="72"/>
  <c r="C342" i="72"/>
  <c r="R341" i="72"/>
  <c r="K341" i="72"/>
  <c r="F341" i="72"/>
  <c r="R340" i="72"/>
  <c r="K340" i="72"/>
  <c r="F340" i="72"/>
  <c r="R339" i="72"/>
  <c r="K339" i="72"/>
  <c r="F339" i="72"/>
  <c r="R338" i="72"/>
  <c r="K338" i="72"/>
  <c r="F338" i="72"/>
  <c r="R337" i="72"/>
  <c r="K337" i="72"/>
  <c r="F337" i="72"/>
  <c r="R336" i="72"/>
  <c r="K336" i="72"/>
  <c r="F336" i="72"/>
  <c r="R335" i="72"/>
  <c r="K335" i="72"/>
  <c r="F335" i="72"/>
  <c r="R334" i="72"/>
  <c r="K334" i="72"/>
  <c r="F334" i="72"/>
  <c r="R333" i="72"/>
  <c r="K333" i="72"/>
  <c r="F333" i="72"/>
  <c r="R332" i="72"/>
  <c r="K332" i="72"/>
  <c r="F332" i="72"/>
  <c r="R331" i="72"/>
  <c r="K331" i="72"/>
  <c r="F331" i="72"/>
  <c r="R330" i="72"/>
  <c r="K330" i="72"/>
  <c r="F330" i="72"/>
  <c r="R329" i="72"/>
  <c r="K329" i="72"/>
  <c r="F329" i="72"/>
  <c r="R328" i="72"/>
  <c r="K328" i="72"/>
  <c r="F328" i="72"/>
  <c r="R327" i="72"/>
  <c r="K327" i="72"/>
  <c r="F327" i="72"/>
  <c r="R326" i="72"/>
  <c r="K326" i="72"/>
  <c r="F326" i="72"/>
  <c r="R325" i="72"/>
  <c r="K325" i="72"/>
  <c r="F325" i="72"/>
  <c r="R324" i="72"/>
  <c r="K324" i="72"/>
  <c r="F324" i="72"/>
  <c r="R323" i="72"/>
  <c r="K323" i="72"/>
  <c r="F323" i="72"/>
  <c r="R322" i="72"/>
  <c r="K322" i="72"/>
  <c r="F322" i="72"/>
  <c r="R321" i="72"/>
  <c r="K321" i="72"/>
  <c r="F321" i="72"/>
  <c r="D321" i="72"/>
  <c r="R320" i="72"/>
  <c r="K320" i="72"/>
  <c r="F320" i="72"/>
  <c r="D320" i="72"/>
  <c r="R319" i="72"/>
  <c r="K319" i="72"/>
  <c r="F319" i="72"/>
  <c r="D319" i="72"/>
  <c r="R318" i="72"/>
  <c r="K318" i="72"/>
  <c r="F318" i="72"/>
  <c r="D318" i="72"/>
  <c r="R317" i="72"/>
  <c r="K317" i="72"/>
  <c r="F317" i="72"/>
  <c r="D317" i="72"/>
  <c r="R316" i="72"/>
  <c r="K316" i="72"/>
  <c r="F316" i="72"/>
  <c r="D284" i="72"/>
  <c r="D285" i="72"/>
  <c r="D286" i="72"/>
  <c r="D287" i="72"/>
  <c r="D288" i="72"/>
  <c r="D289" i="72"/>
  <c r="D290" i="72"/>
  <c r="D291" i="72"/>
  <c r="D292" i="72"/>
  <c r="D293" i="72"/>
  <c r="D294" i="72"/>
  <c r="D295" i="72"/>
  <c r="D296" i="72"/>
  <c r="D297" i="72"/>
  <c r="D298" i="72"/>
  <c r="D299" i="72"/>
  <c r="D300" i="72"/>
  <c r="D301" i="72"/>
  <c r="D302" i="72"/>
  <c r="D303" i="72"/>
  <c r="D304" i="72"/>
  <c r="D305" i="72"/>
  <c r="D306" i="72"/>
  <c r="D307" i="72"/>
  <c r="D308" i="72"/>
  <c r="D309" i="72"/>
  <c r="D310" i="72"/>
  <c r="D311" i="72"/>
  <c r="D312" i="72"/>
  <c r="D313" i="72"/>
  <c r="D314" i="72"/>
  <c r="D315" i="72"/>
  <c r="D316" i="72"/>
  <c r="R315" i="72"/>
  <c r="K315" i="72"/>
  <c r="F315" i="72"/>
  <c r="R314" i="72"/>
  <c r="K314" i="72"/>
  <c r="F314" i="72"/>
  <c r="R313" i="72"/>
  <c r="K313" i="72"/>
  <c r="F313" i="72"/>
  <c r="R312" i="72"/>
  <c r="K312" i="72"/>
  <c r="F312" i="72"/>
  <c r="R311" i="72"/>
  <c r="K311" i="72"/>
  <c r="F311" i="72"/>
  <c r="R310" i="72"/>
  <c r="K310" i="72"/>
  <c r="F310" i="72"/>
  <c r="R309" i="72"/>
  <c r="K309" i="72"/>
  <c r="F309" i="72"/>
  <c r="R308" i="72"/>
  <c r="K308" i="72"/>
  <c r="F308" i="72"/>
  <c r="R307" i="72"/>
  <c r="K307" i="72"/>
  <c r="F307" i="72"/>
  <c r="R306" i="72"/>
  <c r="K306" i="72"/>
  <c r="F306" i="72"/>
  <c r="R305" i="72"/>
  <c r="K305" i="72"/>
  <c r="F305" i="72"/>
  <c r="R304" i="72"/>
  <c r="K304" i="72"/>
  <c r="F304" i="72"/>
  <c r="R303" i="72"/>
  <c r="K303" i="72"/>
  <c r="F303" i="72"/>
  <c r="R302" i="72"/>
  <c r="K302" i="72"/>
  <c r="F302" i="72"/>
  <c r="R301" i="72"/>
  <c r="K301" i="72"/>
  <c r="F301" i="72"/>
  <c r="R300" i="72"/>
  <c r="K300" i="72"/>
  <c r="F300" i="72"/>
  <c r="R299" i="72"/>
  <c r="K299" i="72"/>
  <c r="F299" i="72"/>
  <c r="R298" i="72"/>
  <c r="K298" i="72"/>
  <c r="F298" i="72"/>
  <c r="R297" i="72"/>
  <c r="K297" i="72"/>
  <c r="F297" i="72"/>
  <c r="R296" i="72"/>
  <c r="K296" i="72"/>
  <c r="F296" i="72"/>
  <c r="R295" i="72"/>
  <c r="K295" i="72"/>
  <c r="F295" i="72"/>
  <c r="R294" i="72"/>
  <c r="K294" i="72"/>
  <c r="F294" i="72"/>
  <c r="R293" i="72"/>
  <c r="K293" i="72"/>
  <c r="F293" i="72"/>
  <c r="R292" i="72"/>
  <c r="K292" i="72"/>
  <c r="F292" i="72"/>
  <c r="R291" i="72"/>
  <c r="K291" i="72"/>
  <c r="F291" i="72"/>
  <c r="R290" i="72"/>
  <c r="K290" i="72"/>
  <c r="F290" i="72"/>
  <c r="R289" i="72"/>
  <c r="K289" i="72"/>
  <c r="F289" i="72"/>
  <c r="R288" i="72"/>
  <c r="K288" i="72"/>
  <c r="F288" i="72"/>
  <c r="R287" i="72"/>
  <c r="K287" i="72"/>
  <c r="F287" i="72"/>
  <c r="R286" i="72"/>
  <c r="K286" i="72"/>
  <c r="F286" i="72"/>
  <c r="R285" i="72"/>
  <c r="K285" i="72"/>
  <c r="F285" i="72"/>
  <c r="R284" i="72"/>
  <c r="K284" i="72"/>
  <c r="F284" i="72"/>
  <c r="R283" i="72"/>
  <c r="K283" i="72"/>
  <c r="F283" i="72"/>
  <c r="E264" i="72"/>
  <c r="E263" i="72"/>
  <c r="E262" i="72"/>
  <c r="E261" i="72"/>
  <c r="E260" i="72"/>
  <c r="E259" i="72"/>
  <c r="E258" i="72"/>
  <c r="E257" i="72"/>
  <c r="E256" i="72"/>
  <c r="E255" i="72"/>
  <c r="E254" i="72"/>
  <c r="E253" i="72"/>
  <c r="E252" i="72"/>
  <c r="E251" i="72"/>
  <c r="E250" i="72"/>
  <c r="E249" i="72"/>
  <c r="E248" i="72"/>
  <c r="E247" i="72"/>
  <c r="E246" i="72"/>
  <c r="E245" i="72"/>
  <c r="E244" i="72"/>
  <c r="E243" i="72"/>
  <c r="E242" i="72"/>
  <c r="E241" i="72"/>
  <c r="E240" i="72"/>
  <c r="E239" i="72"/>
  <c r="E238" i="72"/>
  <c r="E237" i="72"/>
  <c r="E236" i="72"/>
  <c r="E235" i="72"/>
  <c r="E234" i="72"/>
  <c r="E233" i="72"/>
  <c r="E232" i="72"/>
  <c r="E231" i="72"/>
  <c r="E230" i="72"/>
  <c r="E229" i="72"/>
  <c r="E228" i="72"/>
  <c r="E227" i="72"/>
  <c r="E226" i="72"/>
  <c r="E225" i="72"/>
  <c r="E224" i="72"/>
  <c r="E223" i="72"/>
  <c r="E222" i="72"/>
  <c r="E221" i="72"/>
  <c r="E220" i="72"/>
  <c r="E219" i="72"/>
  <c r="E218" i="72"/>
  <c r="E217" i="72"/>
  <c r="E216" i="72"/>
  <c r="E215" i="72"/>
  <c r="E214" i="72"/>
  <c r="E213" i="72"/>
  <c r="C214" i="72"/>
  <c r="C215" i="72"/>
  <c r="C216" i="72"/>
  <c r="C217" i="72"/>
  <c r="C218" i="72"/>
  <c r="C219" i="72"/>
  <c r="C220" i="72"/>
  <c r="C221" i="72"/>
  <c r="C222" i="72"/>
  <c r="C223" i="72"/>
  <c r="C224" i="72"/>
  <c r="C225" i="72"/>
  <c r="C226" i="72"/>
  <c r="C227" i="72"/>
  <c r="C228" i="72"/>
  <c r="C229" i="72"/>
  <c r="C230" i="72"/>
  <c r="C231" i="72"/>
  <c r="C232" i="72"/>
  <c r="C233" i="72"/>
  <c r="C234" i="72"/>
  <c r="C235" i="72"/>
  <c r="C236" i="72"/>
  <c r="C237" i="72"/>
  <c r="C238" i="72"/>
  <c r="C239" i="72"/>
  <c r="C240" i="72"/>
  <c r="C241" i="72"/>
  <c r="C242" i="72"/>
  <c r="C243" i="72"/>
  <c r="C244" i="72"/>
  <c r="C245" i="72"/>
  <c r="C246" i="72"/>
  <c r="C247" i="72"/>
  <c r="C248" i="72"/>
  <c r="C249" i="72"/>
  <c r="C250" i="72"/>
  <c r="C251" i="72"/>
  <c r="C252" i="72"/>
  <c r="C253" i="72"/>
  <c r="C254" i="72"/>
  <c r="C255" i="72"/>
  <c r="C256" i="72"/>
  <c r="C257" i="72"/>
  <c r="C258" i="72"/>
  <c r="C259" i="72"/>
  <c r="C260" i="72"/>
  <c r="C261" i="72"/>
  <c r="C262" i="72"/>
  <c r="C263" i="72"/>
  <c r="C264" i="72"/>
  <c r="D264" i="72"/>
  <c r="D265" i="72"/>
  <c r="D266" i="72"/>
  <c r="D267" i="72"/>
  <c r="D268" i="72"/>
  <c r="D269" i="72"/>
  <c r="D270" i="72"/>
  <c r="D271" i="72"/>
  <c r="D272" i="72"/>
  <c r="D273" i="72"/>
  <c r="D274" i="72"/>
  <c r="D275" i="72"/>
  <c r="D276" i="72"/>
  <c r="D277" i="72"/>
  <c r="D278" i="72"/>
  <c r="D279" i="72"/>
  <c r="D280" i="72"/>
  <c r="D281" i="72"/>
  <c r="D282" i="72"/>
  <c r="D283" i="72"/>
  <c r="E282" i="72"/>
  <c r="E281" i="72"/>
  <c r="E280" i="72"/>
  <c r="E279" i="72"/>
  <c r="E278" i="72"/>
  <c r="E277" i="72"/>
  <c r="E276" i="72"/>
  <c r="E275" i="72"/>
  <c r="E274" i="72"/>
  <c r="E273" i="72"/>
  <c r="E272" i="72"/>
  <c r="E271" i="72"/>
  <c r="E270" i="72"/>
  <c r="E269" i="72"/>
  <c r="E268" i="72"/>
  <c r="E267" i="72"/>
  <c r="E266" i="72"/>
  <c r="E265" i="72"/>
  <c r="C265" i="72"/>
  <c r="C266" i="72"/>
  <c r="C267" i="72"/>
  <c r="C268" i="72"/>
  <c r="C269" i="72"/>
  <c r="C270" i="72"/>
  <c r="C271" i="72"/>
  <c r="C272" i="72"/>
  <c r="C273" i="72"/>
  <c r="C274" i="72"/>
  <c r="C275" i="72"/>
  <c r="C276" i="72"/>
  <c r="C277" i="72"/>
  <c r="C278" i="72"/>
  <c r="C279" i="72"/>
  <c r="C280" i="72"/>
  <c r="C281" i="72"/>
  <c r="C282" i="72"/>
  <c r="C283" i="72"/>
  <c r="R282" i="72"/>
  <c r="K282" i="72"/>
  <c r="F282" i="72"/>
  <c r="R281" i="72"/>
  <c r="K281" i="72"/>
  <c r="F281" i="72"/>
  <c r="R280" i="72"/>
  <c r="K280" i="72"/>
  <c r="F280" i="72"/>
  <c r="R279" i="72"/>
  <c r="K279" i="72"/>
  <c r="F279" i="72"/>
  <c r="R278" i="72"/>
  <c r="K278" i="72"/>
  <c r="F278" i="72"/>
  <c r="R277" i="72"/>
  <c r="K277" i="72"/>
  <c r="F277" i="72"/>
  <c r="R276" i="72"/>
  <c r="K276" i="72"/>
  <c r="F276" i="72"/>
  <c r="R275" i="72"/>
  <c r="K275" i="72"/>
  <c r="F275" i="72"/>
  <c r="R274" i="72"/>
  <c r="K274" i="72"/>
  <c r="F274" i="72"/>
  <c r="R273" i="72"/>
  <c r="K273" i="72"/>
  <c r="F273" i="72"/>
  <c r="R272" i="72"/>
  <c r="K272" i="72"/>
  <c r="F272" i="72"/>
  <c r="R271" i="72"/>
  <c r="K271" i="72"/>
  <c r="F271" i="72"/>
  <c r="R270" i="72"/>
  <c r="K270" i="72"/>
  <c r="F270" i="72"/>
  <c r="R269" i="72"/>
  <c r="K269" i="72"/>
  <c r="F269" i="72"/>
  <c r="R268" i="72"/>
  <c r="K268" i="72"/>
  <c r="F268" i="72"/>
  <c r="R267" i="72"/>
  <c r="K267" i="72"/>
  <c r="F267" i="72"/>
  <c r="R266" i="72"/>
  <c r="K266" i="72"/>
  <c r="F266" i="72"/>
  <c r="R265" i="72"/>
  <c r="K265" i="72"/>
  <c r="F265" i="72"/>
  <c r="R264" i="72"/>
  <c r="K264" i="72"/>
  <c r="F264" i="72"/>
  <c r="R263" i="72"/>
  <c r="K263" i="72"/>
  <c r="F263" i="72"/>
  <c r="D262" i="72"/>
  <c r="D263" i="72"/>
  <c r="R262" i="72"/>
  <c r="K262" i="72"/>
  <c r="F262" i="72"/>
  <c r="R261" i="72"/>
  <c r="K261" i="72"/>
  <c r="F261" i="72"/>
  <c r="D261" i="72"/>
  <c r="R260" i="72"/>
  <c r="K260" i="72"/>
  <c r="F260" i="72"/>
  <c r="D259" i="72"/>
  <c r="D260" i="72"/>
  <c r="R259" i="72"/>
  <c r="K259" i="72"/>
  <c r="F259" i="72"/>
  <c r="R258" i="72"/>
  <c r="K258" i="72"/>
  <c r="F258" i="72"/>
  <c r="D258" i="72"/>
  <c r="R257" i="72"/>
  <c r="K257" i="72"/>
  <c r="F257" i="72"/>
  <c r="D216" i="72"/>
  <c r="D217" i="72"/>
  <c r="D218" i="72"/>
  <c r="D219" i="72"/>
  <c r="D220" i="72"/>
  <c r="D221" i="72"/>
  <c r="D222" i="72"/>
  <c r="D223" i="72"/>
  <c r="D224" i="72"/>
  <c r="D225" i="72"/>
  <c r="D226" i="72"/>
  <c r="D227" i="72"/>
  <c r="D228" i="72"/>
  <c r="D229" i="72"/>
  <c r="D230" i="72"/>
  <c r="D231" i="72"/>
  <c r="D232" i="72"/>
  <c r="D233" i="72"/>
  <c r="D234" i="72"/>
  <c r="D235" i="72"/>
  <c r="D236" i="72"/>
  <c r="D237" i="72"/>
  <c r="D238" i="72"/>
  <c r="D239" i="72"/>
  <c r="D240" i="72"/>
  <c r="D241" i="72"/>
  <c r="D242" i="72"/>
  <c r="D243" i="72"/>
  <c r="D244" i="72"/>
  <c r="D245" i="72"/>
  <c r="D246" i="72"/>
  <c r="D247" i="72"/>
  <c r="D248" i="72"/>
  <c r="D249" i="72"/>
  <c r="D250" i="72"/>
  <c r="D251" i="72"/>
  <c r="D252" i="72"/>
  <c r="D253" i="72"/>
  <c r="D254" i="72"/>
  <c r="D255" i="72"/>
  <c r="D256" i="72"/>
  <c r="D257" i="72"/>
  <c r="R256" i="72"/>
  <c r="K256" i="72"/>
  <c r="F256" i="72"/>
  <c r="R255" i="72"/>
  <c r="K255" i="72"/>
  <c r="F255" i="72"/>
  <c r="R254" i="72"/>
  <c r="K254" i="72"/>
  <c r="F254" i="72"/>
  <c r="R253" i="72"/>
  <c r="K253" i="72"/>
  <c r="F253" i="72"/>
  <c r="R252" i="72"/>
  <c r="K252" i="72"/>
  <c r="F252" i="72"/>
  <c r="R251" i="72"/>
  <c r="K251" i="72"/>
  <c r="F251" i="72"/>
  <c r="R250" i="72"/>
  <c r="K250" i="72"/>
  <c r="F250" i="72"/>
  <c r="R249" i="72"/>
  <c r="K249" i="72"/>
  <c r="F249" i="72"/>
  <c r="R248" i="72"/>
  <c r="K248" i="72"/>
  <c r="F248" i="72"/>
  <c r="R247" i="72"/>
  <c r="K247" i="72"/>
  <c r="F247" i="72"/>
  <c r="R246" i="72"/>
  <c r="K246" i="72"/>
  <c r="F246" i="72"/>
  <c r="R245" i="72"/>
  <c r="K245" i="72"/>
  <c r="F245" i="72"/>
  <c r="R244" i="72"/>
  <c r="K244" i="72"/>
  <c r="F244" i="72"/>
  <c r="R243" i="72"/>
  <c r="K243" i="72"/>
  <c r="F243" i="72"/>
  <c r="R242" i="72"/>
  <c r="K242" i="72"/>
  <c r="F242" i="72"/>
  <c r="R241" i="72"/>
  <c r="K241" i="72"/>
  <c r="F241" i="72"/>
  <c r="R240" i="72"/>
  <c r="K240" i="72"/>
  <c r="F240" i="72"/>
  <c r="R239" i="72"/>
  <c r="K239" i="72"/>
  <c r="F239" i="72"/>
  <c r="R238" i="72"/>
  <c r="K238" i="72"/>
  <c r="F238" i="72"/>
  <c r="R237" i="72"/>
  <c r="K237" i="72"/>
  <c r="F237" i="72"/>
  <c r="R236" i="72"/>
  <c r="K236" i="72"/>
  <c r="F236" i="72"/>
  <c r="R235" i="72"/>
  <c r="K235" i="72"/>
  <c r="F235" i="72"/>
  <c r="R234" i="72"/>
  <c r="K234" i="72"/>
  <c r="F234" i="72"/>
  <c r="R233" i="72"/>
  <c r="K233" i="72"/>
  <c r="F233" i="72"/>
  <c r="R232" i="72"/>
  <c r="K232" i="72"/>
  <c r="F232" i="72"/>
  <c r="R231" i="72"/>
  <c r="K231" i="72"/>
  <c r="F231" i="72"/>
  <c r="R230" i="72"/>
  <c r="K230" i="72"/>
  <c r="F230" i="72"/>
  <c r="R229" i="72"/>
  <c r="K229" i="72"/>
  <c r="F229" i="72"/>
  <c r="R228" i="72"/>
  <c r="K228" i="72"/>
  <c r="F228" i="72"/>
  <c r="R227" i="72"/>
  <c r="K227" i="72"/>
  <c r="F227" i="72"/>
  <c r="R226" i="72"/>
  <c r="K226" i="72"/>
  <c r="F226" i="72"/>
  <c r="R225" i="72"/>
  <c r="K225" i="72"/>
  <c r="F225" i="72"/>
  <c r="R224" i="72"/>
  <c r="K224" i="72"/>
  <c r="F224" i="72"/>
  <c r="R223" i="72"/>
  <c r="K223" i="72"/>
  <c r="F223" i="72"/>
  <c r="R222" i="72"/>
  <c r="K222" i="72"/>
  <c r="F222" i="72"/>
  <c r="R221" i="72"/>
  <c r="K221" i="72"/>
  <c r="F221" i="72"/>
  <c r="R220" i="72"/>
  <c r="K220" i="72"/>
  <c r="F220" i="72"/>
  <c r="R219" i="72"/>
  <c r="K219" i="72"/>
  <c r="F219" i="72"/>
  <c r="R218" i="72"/>
  <c r="K218" i="72"/>
  <c r="F218" i="72"/>
  <c r="R217" i="72"/>
  <c r="K217" i="72"/>
  <c r="F217" i="72"/>
  <c r="R216" i="72"/>
  <c r="K216" i="72"/>
  <c r="F216" i="72"/>
  <c r="R215" i="72"/>
  <c r="K215" i="72"/>
  <c r="F215" i="72"/>
  <c r="D215" i="72"/>
  <c r="R214" i="72"/>
  <c r="K214" i="72"/>
  <c r="F214" i="72"/>
  <c r="D214" i="72"/>
  <c r="R213" i="72"/>
  <c r="K213" i="72"/>
  <c r="F213" i="72"/>
  <c r="E176" i="72"/>
  <c r="E175" i="72"/>
  <c r="E174" i="72"/>
  <c r="E173" i="72"/>
  <c r="E172" i="72"/>
  <c r="E171" i="72"/>
  <c r="E170" i="72"/>
  <c r="E169" i="72"/>
  <c r="E168" i="72"/>
  <c r="E167" i="72"/>
  <c r="E166" i="72"/>
  <c r="E165" i="72"/>
  <c r="E164" i="72"/>
  <c r="E163" i="72"/>
  <c r="E162" i="72"/>
  <c r="E161" i="72"/>
  <c r="E160" i="72"/>
  <c r="E159" i="72"/>
  <c r="E158" i="72"/>
  <c r="E157" i="72"/>
  <c r="E156" i="72"/>
  <c r="E155" i="72"/>
  <c r="E154" i="72"/>
  <c r="E153" i="72"/>
  <c r="E152" i="72"/>
  <c r="E151" i="72"/>
  <c r="E150" i="72"/>
  <c r="E149" i="72"/>
  <c r="E148" i="72"/>
  <c r="E147" i="72"/>
  <c r="E146" i="72"/>
  <c r="E145" i="72"/>
  <c r="E144" i="72"/>
  <c r="E143" i="72"/>
  <c r="E142" i="72"/>
  <c r="E141" i="72"/>
  <c r="E140" i="72"/>
  <c r="E139" i="72"/>
  <c r="E138" i="72"/>
  <c r="E137" i="72"/>
  <c r="E136" i="72"/>
  <c r="E135" i="72"/>
  <c r="E134" i="72"/>
  <c r="E133" i="72"/>
  <c r="E132" i="72"/>
  <c r="E131" i="72"/>
  <c r="C132" i="72"/>
  <c r="C133" i="72"/>
  <c r="C134" i="72"/>
  <c r="C135" i="72"/>
  <c r="C136" i="72"/>
  <c r="C137" i="72"/>
  <c r="C138" i="72"/>
  <c r="C139" i="72"/>
  <c r="C140" i="72"/>
  <c r="C141" i="72"/>
  <c r="C142" i="72"/>
  <c r="C143" i="72"/>
  <c r="C144" i="72"/>
  <c r="C145" i="72"/>
  <c r="C146" i="72"/>
  <c r="C147" i="72"/>
  <c r="C148" i="72"/>
  <c r="C149" i="72"/>
  <c r="C150" i="72"/>
  <c r="C151" i="72"/>
  <c r="C152" i="72"/>
  <c r="C153" i="72"/>
  <c r="C154" i="72"/>
  <c r="C155" i="72"/>
  <c r="C156" i="72"/>
  <c r="C157" i="72"/>
  <c r="C158" i="72"/>
  <c r="C159" i="72"/>
  <c r="C160" i="72"/>
  <c r="C161" i="72"/>
  <c r="C162" i="72"/>
  <c r="C163" i="72"/>
  <c r="C164" i="72"/>
  <c r="C165" i="72"/>
  <c r="C166" i="72"/>
  <c r="C167" i="72"/>
  <c r="C168" i="72"/>
  <c r="C169" i="72"/>
  <c r="C170" i="72"/>
  <c r="C171" i="72"/>
  <c r="C172" i="72"/>
  <c r="C173" i="72"/>
  <c r="C174" i="72"/>
  <c r="C175" i="72"/>
  <c r="C176" i="72"/>
  <c r="D176" i="72"/>
  <c r="D177" i="72"/>
  <c r="D178" i="72"/>
  <c r="D179" i="72"/>
  <c r="D180" i="72"/>
  <c r="D181" i="72"/>
  <c r="D182" i="72"/>
  <c r="D183" i="72"/>
  <c r="D184" i="72"/>
  <c r="D185" i="72"/>
  <c r="D186" i="72"/>
  <c r="D187" i="72"/>
  <c r="D188" i="72"/>
  <c r="D189" i="72"/>
  <c r="D190" i="72"/>
  <c r="D191" i="72"/>
  <c r="D192" i="72"/>
  <c r="D193" i="72"/>
  <c r="D194" i="72"/>
  <c r="D195" i="72"/>
  <c r="D196" i="72"/>
  <c r="D197" i="72"/>
  <c r="D198" i="72"/>
  <c r="D199" i="72"/>
  <c r="D200" i="72"/>
  <c r="D201" i="72"/>
  <c r="D202" i="72"/>
  <c r="D203" i="72"/>
  <c r="D204" i="72"/>
  <c r="D205" i="72"/>
  <c r="D206" i="72"/>
  <c r="D207" i="72"/>
  <c r="D208" i="72"/>
  <c r="D209" i="72"/>
  <c r="D210" i="72"/>
  <c r="D211" i="72"/>
  <c r="D212" i="72"/>
  <c r="D213" i="72"/>
  <c r="E212" i="72"/>
  <c r="E211" i="72"/>
  <c r="E210" i="72"/>
  <c r="E209" i="72"/>
  <c r="E208" i="72"/>
  <c r="E207" i="72"/>
  <c r="E206" i="72"/>
  <c r="E205" i="72"/>
  <c r="E204" i="72"/>
  <c r="E203" i="72"/>
  <c r="E202" i="72"/>
  <c r="E201" i="72"/>
  <c r="E200" i="72"/>
  <c r="E199" i="72"/>
  <c r="E198" i="72"/>
  <c r="E197" i="72"/>
  <c r="E196" i="72"/>
  <c r="E195" i="72"/>
  <c r="E194" i="72"/>
  <c r="E193" i="72"/>
  <c r="E192" i="72"/>
  <c r="E191" i="72"/>
  <c r="E190" i="72"/>
  <c r="E189" i="72"/>
  <c r="E188" i="72"/>
  <c r="E187" i="72"/>
  <c r="E186" i="72"/>
  <c r="E185" i="72"/>
  <c r="E184" i="72"/>
  <c r="E183" i="72"/>
  <c r="E182" i="72"/>
  <c r="E181" i="72"/>
  <c r="E180" i="72"/>
  <c r="E179" i="72"/>
  <c r="E178" i="72"/>
  <c r="E177" i="72"/>
  <c r="C177" i="72"/>
  <c r="C178" i="72"/>
  <c r="C179" i="72"/>
  <c r="C180" i="72"/>
  <c r="C181" i="72"/>
  <c r="C182" i="72"/>
  <c r="C183" i="72"/>
  <c r="C184" i="72"/>
  <c r="C185" i="72"/>
  <c r="C186" i="72"/>
  <c r="C187" i="72"/>
  <c r="C188" i="72"/>
  <c r="C189" i="72"/>
  <c r="C190" i="72"/>
  <c r="C191" i="72"/>
  <c r="C192" i="72"/>
  <c r="C193" i="72"/>
  <c r="C194" i="72"/>
  <c r="C195" i="72"/>
  <c r="C196" i="72"/>
  <c r="C197" i="72"/>
  <c r="C198" i="72"/>
  <c r="C199" i="72"/>
  <c r="C200" i="72"/>
  <c r="C201" i="72"/>
  <c r="C202" i="72"/>
  <c r="C203" i="72"/>
  <c r="C204" i="72"/>
  <c r="C205" i="72"/>
  <c r="C206" i="72"/>
  <c r="C207" i="72"/>
  <c r="C208" i="72"/>
  <c r="C209" i="72"/>
  <c r="C210" i="72"/>
  <c r="C211" i="72"/>
  <c r="C212" i="72"/>
  <c r="C213" i="72"/>
  <c r="R212" i="72"/>
  <c r="K212" i="72"/>
  <c r="F212" i="72"/>
  <c r="R211" i="72"/>
  <c r="K211" i="72"/>
  <c r="F211" i="72"/>
  <c r="R210" i="72"/>
  <c r="K210" i="72"/>
  <c r="F210" i="72"/>
  <c r="R209" i="72"/>
  <c r="K209" i="72"/>
  <c r="F209" i="72"/>
  <c r="R208" i="72"/>
  <c r="K208" i="72"/>
  <c r="F208" i="72"/>
  <c r="R207" i="72"/>
  <c r="K207" i="72"/>
  <c r="F207" i="72"/>
  <c r="R206" i="72"/>
  <c r="K206" i="72"/>
  <c r="F206" i="72"/>
  <c r="R205" i="72"/>
  <c r="K205" i="72"/>
  <c r="F205" i="72"/>
  <c r="R204" i="72"/>
  <c r="K204" i="72"/>
  <c r="F204" i="72"/>
  <c r="R203" i="72"/>
  <c r="K203" i="72"/>
  <c r="F203" i="72"/>
  <c r="R202" i="72"/>
  <c r="K202" i="72"/>
  <c r="F202" i="72"/>
  <c r="R201" i="72"/>
  <c r="K201" i="72"/>
  <c r="F201" i="72"/>
  <c r="R200" i="72"/>
  <c r="K200" i="72"/>
  <c r="F200" i="72"/>
  <c r="R199" i="72"/>
  <c r="K199" i="72"/>
  <c r="F199" i="72"/>
  <c r="R198" i="72"/>
  <c r="K198" i="72"/>
  <c r="F198" i="72"/>
  <c r="R197" i="72"/>
  <c r="K197" i="72"/>
  <c r="F197" i="72"/>
  <c r="R196" i="72"/>
  <c r="K196" i="72"/>
  <c r="F196" i="72"/>
  <c r="R195" i="72"/>
  <c r="K195" i="72"/>
  <c r="F195" i="72"/>
  <c r="R194" i="72"/>
  <c r="K194" i="72"/>
  <c r="F194" i="72"/>
  <c r="R193" i="72"/>
  <c r="K193" i="72"/>
  <c r="F193" i="72"/>
  <c r="R192" i="72"/>
  <c r="K192" i="72"/>
  <c r="F192" i="72"/>
  <c r="R191" i="72"/>
  <c r="K191" i="72"/>
  <c r="F191" i="72"/>
  <c r="R190" i="72"/>
  <c r="K190" i="72"/>
  <c r="F190" i="72"/>
  <c r="R189" i="72"/>
  <c r="K189" i="72"/>
  <c r="F189" i="72"/>
  <c r="R188" i="72"/>
  <c r="K188" i="72"/>
  <c r="F188" i="72"/>
  <c r="R187" i="72"/>
  <c r="K187" i="72"/>
  <c r="F187" i="72"/>
  <c r="R186" i="72"/>
  <c r="K186" i="72"/>
  <c r="F186" i="72"/>
  <c r="R185" i="72"/>
  <c r="K185" i="72"/>
  <c r="F185" i="72"/>
  <c r="R184" i="72"/>
  <c r="K184" i="72"/>
  <c r="F184" i="72"/>
  <c r="R183" i="72"/>
  <c r="K183" i="72"/>
  <c r="F183" i="72"/>
  <c r="R182" i="72"/>
  <c r="K182" i="72"/>
  <c r="F182" i="72"/>
  <c r="R181" i="72"/>
  <c r="K181" i="72"/>
  <c r="F181" i="72"/>
  <c r="R180" i="72"/>
  <c r="K180" i="72"/>
  <c r="F180" i="72"/>
  <c r="R179" i="72"/>
  <c r="K179" i="72"/>
  <c r="F179" i="72"/>
  <c r="R178" i="72"/>
  <c r="K178" i="72"/>
  <c r="F178" i="72"/>
  <c r="R177" i="72"/>
  <c r="K177" i="72"/>
  <c r="F177" i="72"/>
  <c r="R176" i="72"/>
  <c r="K176" i="72"/>
  <c r="F176" i="72"/>
  <c r="R175" i="72"/>
  <c r="K175" i="72"/>
  <c r="F175" i="72"/>
  <c r="D174" i="72"/>
  <c r="D175" i="72"/>
  <c r="R174" i="72"/>
  <c r="K174" i="72"/>
  <c r="F174" i="72"/>
  <c r="R173" i="72"/>
  <c r="K173" i="72"/>
  <c r="F173" i="72"/>
  <c r="D173" i="72"/>
  <c r="R172" i="72"/>
  <c r="K172" i="72"/>
  <c r="F172" i="72"/>
  <c r="D172" i="72"/>
  <c r="R171" i="72"/>
  <c r="K171" i="72"/>
  <c r="F171" i="72"/>
  <c r="D170" i="72"/>
  <c r="D171" i="72"/>
  <c r="R170" i="72"/>
  <c r="K170" i="72"/>
  <c r="F170" i="72"/>
  <c r="R169" i="72"/>
  <c r="K169" i="72"/>
  <c r="F169" i="72"/>
  <c r="D169" i="72"/>
  <c r="R168" i="72"/>
  <c r="K168" i="72"/>
  <c r="F168" i="72"/>
  <c r="D168" i="72"/>
  <c r="R167" i="72"/>
  <c r="K167" i="72"/>
  <c r="F167" i="72"/>
  <c r="D167" i="72"/>
  <c r="R166" i="72"/>
  <c r="K166" i="72"/>
  <c r="F166" i="72"/>
  <c r="D132" i="72"/>
  <c r="D133" i="72"/>
  <c r="D134" i="72"/>
  <c r="D135" i="72"/>
  <c r="D136" i="72"/>
  <c r="D137" i="72"/>
  <c r="D138" i="72"/>
  <c r="D139" i="72"/>
  <c r="D140" i="72"/>
  <c r="D141" i="72"/>
  <c r="D142" i="72"/>
  <c r="D143" i="72"/>
  <c r="D144" i="72"/>
  <c r="D145" i="72"/>
  <c r="D146" i="72"/>
  <c r="D147" i="72"/>
  <c r="D148" i="72"/>
  <c r="D149" i="72"/>
  <c r="D150" i="72"/>
  <c r="D151" i="72"/>
  <c r="D152" i="72"/>
  <c r="D153" i="72"/>
  <c r="D154" i="72"/>
  <c r="D155" i="72"/>
  <c r="D156" i="72"/>
  <c r="D157" i="72"/>
  <c r="D158" i="72"/>
  <c r="D159" i="72"/>
  <c r="D160" i="72"/>
  <c r="D161" i="72"/>
  <c r="D162" i="72"/>
  <c r="D163" i="72"/>
  <c r="D164" i="72"/>
  <c r="D165" i="72"/>
  <c r="D166" i="72"/>
  <c r="R165" i="72"/>
  <c r="K165" i="72"/>
  <c r="F165" i="72"/>
  <c r="R164" i="72"/>
  <c r="K164" i="72"/>
  <c r="F164" i="72"/>
  <c r="R163" i="72"/>
  <c r="K163" i="72"/>
  <c r="F163" i="72"/>
  <c r="R162" i="72"/>
  <c r="K162" i="72"/>
  <c r="F162" i="72"/>
  <c r="R161" i="72"/>
  <c r="K161" i="72"/>
  <c r="F161" i="72"/>
  <c r="R160" i="72"/>
  <c r="K160" i="72"/>
  <c r="F160" i="72"/>
  <c r="R159" i="72"/>
  <c r="K159" i="72"/>
  <c r="F159" i="72"/>
  <c r="R158" i="72"/>
  <c r="K158" i="72"/>
  <c r="F158" i="72"/>
  <c r="R157" i="72"/>
  <c r="K157" i="72"/>
  <c r="F157" i="72"/>
  <c r="R156" i="72"/>
  <c r="K156" i="72"/>
  <c r="F156" i="72"/>
  <c r="R155" i="72"/>
  <c r="K155" i="72"/>
  <c r="F155" i="72"/>
  <c r="R154" i="72"/>
  <c r="K154" i="72"/>
  <c r="F154" i="72"/>
  <c r="R153" i="72"/>
  <c r="K153" i="72"/>
  <c r="F153" i="72"/>
  <c r="R152" i="72"/>
  <c r="K152" i="72"/>
  <c r="F152" i="72"/>
  <c r="R151" i="72"/>
  <c r="K151" i="72"/>
  <c r="F151" i="72"/>
  <c r="R150" i="72"/>
  <c r="K150" i="72"/>
  <c r="F150" i="72"/>
  <c r="R149" i="72"/>
  <c r="K149" i="72"/>
  <c r="F149" i="72"/>
  <c r="R148" i="72"/>
  <c r="K148" i="72"/>
  <c r="F148" i="72"/>
  <c r="R147" i="72"/>
  <c r="K147" i="72"/>
  <c r="F147" i="72"/>
  <c r="R146" i="72"/>
  <c r="K146" i="72"/>
  <c r="F146" i="72"/>
  <c r="R145" i="72"/>
  <c r="K145" i="72"/>
  <c r="F145" i="72"/>
  <c r="R144" i="72"/>
  <c r="K144" i="72"/>
  <c r="F144" i="72"/>
  <c r="R143" i="72"/>
  <c r="K143" i="72"/>
  <c r="F143" i="72"/>
  <c r="R142" i="72"/>
  <c r="K142" i="72"/>
  <c r="F142" i="72"/>
  <c r="R141" i="72"/>
  <c r="K141" i="72"/>
  <c r="F141" i="72"/>
  <c r="R140" i="72"/>
  <c r="K140" i="72"/>
  <c r="F140" i="72"/>
  <c r="R139" i="72"/>
  <c r="K139" i="72"/>
  <c r="F139" i="72"/>
  <c r="R138" i="72"/>
  <c r="K138" i="72"/>
  <c r="F138" i="72"/>
  <c r="R137" i="72"/>
  <c r="K137" i="72"/>
  <c r="F137" i="72"/>
  <c r="R136" i="72"/>
  <c r="K136" i="72"/>
  <c r="F136" i="72"/>
  <c r="R135" i="72"/>
  <c r="K135" i="72"/>
  <c r="F135" i="72"/>
  <c r="R134" i="72"/>
  <c r="K134" i="72"/>
  <c r="F134" i="72"/>
  <c r="R133" i="72"/>
  <c r="K133" i="72"/>
  <c r="F133" i="72"/>
  <c r="R132" i="72"/>
  <c r="K132" i="72"/>
  <c r="F132" i="72"/>
  <c r="R131" i="72"/>
  <c r="K131" i="72"/>
  <c r="F131" i="72"/>
  <c r="E95" i="72"/>
  <c r="E94" i="72"/>
  <c r="E93" i="72"/>
  <c r="E92" i="72"/>
  <c r="E91" i="72"/>
  <c r="E90" i="72"/>
  <c r="E89" i="72"/>
  <c r="E88" i="72"/>
  <c r="E87" i="72"/>
  <c r="E86" i="72"/>
  <c r="E85" i="72"/>
  <c r="E84" i="72"/>
  <c r="E83" i="72"/>
  <c r="E82" i="72"/>
  <c r="E81" i="72"/>
  <c r="E80" i="72"/>
  <c r="E79" i="72"/>
  <c r="E78" i="72"/>
  <c r="E77" i="72"/>
  <c r="E76" i="72"/>
  <c r="E75" i="72"/>
  <c r="E74" i="72"/>
  <c r="E73" i="72"/>
  <c r="E72" i="72"/>
  <c r="E71" i="72"/>
  <c r="E70" i="72"/>
  <c r="E69" i="72"/>
  <c r="E68" i="72"/>
  <c r="E67" i="72"/>
  <c r="E66" i="72"/>
  <c r="E65" i="72"/>
  <c r="E64" i="72"/>
  <c r="E63" i="72"/>
  <c r="E62" i="72"/>
  <c r="C63" i="72"/>
  <c r="C64" i="72"/>
  <c r="C65" i="72"/>
  <c r="C66" i="72"/>
  <c r="C67" i="72"/>
  <c r="C68" i="72"/>
  <c r="C69" i="72"/>
  <c r="C70" i="72"/>
  <c r="C71" i="72"/>
  <c r="C72" i="72"/>
  <c r="C73" i="72"/>
  <c r="C74" i="72"/>
  <c r="C75" i="72"/>
  <c r="C76" i="72"/>
  <c r="C77" i="72"/>
  <c r="C78" i="72"/>
  <c r="C79" i="72"/>
  <c r="C80" i="72"/>
  <c r="C81" i="72"/>
  <c r="C82" i="72"/>
  <c r="C83" i="72"/>
  <c r="C84" i="72"/>
  <c r="C85" i="72"/>
  <c r="C86" i="72"/>
  <c r="C87" i="72"/>
  <c r="C88" i="72"/>
  <c r="C89" i="72"/>
  <c r="C90" i="72"/>
  <c r="C91" i="72"/>
  <c r="C92" i="72"/>
  <c r="C93" i="72"/>
  <c r="C94" i="72"/>
  <c r="C95" i="72"/>
  <c r="D95" i="72"/>
  <c r="D96" i="72"/>
  <c r="D97" i="72"/>
  <c r="D98" i="72"/>
  <c r="D99" i="72"/>
  <c r="D100" i="72"/>
  <c r="D101" i="72"/>
  <c r="D102" i="72"/>
  <c r="D103" i="72"/>
  <c r="D104" i="72"/>
  <c r="D105" i="72"/>
  <c r="D106" i="72"/>
  <c r="D107" i="72"/>
  <c r="D108" i="72"/>
  <c r="D109" i="72"/>
  <c r="D110" i="72"/>
  <c r="D111" i="72"/>
  <c r="D112" i="72"/>
  <c r="D113" i="72"/>
  <c r="D114" i="72"/>
  <c r="D115" i="72"/>
  <c r="D116" i="72"/>
  <c r="D117" i="72"/>
  <c r="D118" i="72"/>
  <c r="D119" i="72"/>
  <c r="D120" i="72"/>
  <c r="D121" i="72"/>
  <c r="D122" i="72"/>
  <c r="D123" i="72"/>
  <c r="D124" i="72"/>
  <c r="D125" i="72"/>
  <c r="D126" i="72"/>
  <c r="D127" i="72"/>
  <c r="D128" i="72"/>
  <c r="D129" i="72"/>
  <c r="D130" i="72"/>
  <c r="D131" i="72"/>
  <c r="E130" i="72"/>
  <c r="E129" i="72"/>
  <c r="E128" i="72"/>
  <c r="E127" i="72"/>
  <c r="E126" i="72"/>
  <c r="E125" i="72"/>
  <c r="E124" i="72"/>
  <c r="E123" i="72"/>
  <c r="E122" i="72"/>
  <c r="E121" i="72"/>
  <c r="E120" i="72"/>
  <c r="E119" i="72"/>
  <c r="E118" i="72"/>
  <c r="E117" i="72"/>
  <c r="E116" i="72"/>
  <c r="E115" i="72"/>
  <c r="E114" i="72"/>
  <c r="E113" i="72"/>
  <c r="E112" i="72"/>
  <c r="E111" i="72"/>
  <c r="E110" i="72"/>
  <c r="E109" i="72"/>
  <c r="E108" i="72"/>
  <c r="E107" i="72"/>
  <c r="E106" i="72"/>
  <c r="E105" i="72"/>
  <c r="E104" i="72"/>
  <c r="E103" i="72"/>
  <c r="E102" i="72"/>
  <c r="E101" i="72"/>
  <c r="E100" i="72"/>
  <c r="E99" i="72"/>
  <c r="E98" i="72"/>
  <c r="E97" i="72"/>
  <c r="E96" i="72"/>
  <c r="C96" i="72"/>
  <c r="C97" i="72"/>
  <c r="C98" i="72"/>
  <c r="C99" i="72"/>
  <c r="C100" i="72"/>
  <c r="C101" i="72"/>
  <c r="C102" i="72"/>
  <c r="C103" i="72"/>
  <c r="C104" i="72"/>
  <c r="C105" i="72"/>
  <c r="C106" i="72"/>
  <c r="C107" i="72"/>
  <c r="C108" i="72"/>
  <c r="C109" i="72"/>
  <c r="C110" i="72"/>
  <c r="C111" i="72"/>
  <c r="C112" i="72"/>
  <c r="C113" i="72"/>
  <c r="C114" i="72"/>
  <c r="C115" i="72"/>
  <c r="C116" i="72"/>
  <c r="C117" i="72"/>
  <c r="C118" i="72"/>
  <c r="C119" i="72"/>
  <c r="C120" i="72"/>
  <c r="C121" i="72"/>
  <c r="C122" i="72"/>
  <c r="C123" i="72"/>
  <c r="C124" i="72"/>
  <c r="C125" i="72"/>
  <c r="C126" i="72"/>
  <c r="C127" i="72"/>
  <c r="C128" i="72"/>
  <c r="C129" i="72"/>
  <c r="C130" i="72"/>
  <c r="C131" i="72"/>
  <c r="R130" i="72"/>
  <c r="K130" i="72"/>
  <c r="F130" i="72"/>
  <c r="R129" i="72"/>
  <c r="K129" i="72"/>
  <c r="F129" i="72"/>
  <c r="R128" i="72"/>
  <c r="K128" i="72"/>
  <c r="F128" i="72"/>
  <c r="R127" i="72"/>
  <c r="K127" i="72"/>
  <c r="F127" i="72"/>
  <c r="R126" i="72"/>
  <c r="K126" i="72"/>
  <c r="F126" i="72"/>
  <c r="R125" i="72"/>
  <c r="K125" i="72"/>
  <c r="F125" i="72"/>
  <c r="R124" i="72"/>
  <c r="K124" i="72"/>
  <c r="F124" i="72"/>
  <c r="R123" i="72"/>
  <c r="K123" i="72"/>
  <c r="F123" i="72"/>
  <c r="R122" i="72"/>
  <c r="K122" i="72"/>
  <c r="F122" i="72"/>
  <c r="R121" i="72"/>
  <c r="K121" i="72"/>
  <c r="F121" i="72"/>
  <c r="R120" i="72"/>
  <c r="K120" i="72"/>
  <c r="F120" i="72"/>
  <c r="R119" i="72"/>
  <c r="K119" i="72"/>
  <c r="F119" i="72"/>
  <c r="R118" i="72"/>
  <c r="K118" i="72"/>
  <c r="F118" i="72"/>
  <c r="R117" i="72"/>
  <c r="K117" i="72"/>
  <c r="F117" i="72"/>
  <c r="R116" i="72"/>
  <c r="K116" i="72"/>
  <c r="F116" i="72"/>
  <c r="R115" i="72"/>
  <c r="K115" i="72"/>
  <c r="F115" i="72"/>
  <c r="R114" i="72"/>
  <c r="K114" i="72"/>
  <c r="F114" i="72"/>
  <c r="R113" i="72"/>
  <c r="K113" i="72"/>
  <c r="F113" i="72"/>
  <c r="R112" i="72"/>
  <c r="K112" i="72"/>
  <c r="F112" i="72"/>
  <c r="R111" i="72"/>
  <c r="K111" i="72"/>
  <c r="F111" i="72"/>
  <c r="R110" i="72"/>
  <c r="K110" i="72"/>
  <c r="F110" i="72"/>
  <c r="R109" i="72"/>
  <c r="K109" i="72"/>
  <c r="F109" i="72"/>
  <c r="R108" i="72"/>
  <c r="K108" i="72"/>
  <c r="F108" i="72"/>
  <c r="R107" i="72"/>
  <c r="K107" i="72"/>
  <c r="F107" i="72"/>
  <c r="R106" i="72"/>
  <c r="K106" i="72"/>
  <c r="F106" i="72"/>
  <c r="R105" i="72"/>
  <c r="K105" i="72"/>
  <c r="F105" i="72"/>
  <c r="R104" i="72"/>
  <c r="K104" i="72"/>
  <c r="F104" i="72"/>
  <c r="R103" i="72"/>
  <c r="K103" i="72"/>
  <c r="F103" i="72"/>
  <c r="R102" i="72"/>
  <c r="K102" i="72"/>
  <c r="F102" i="72"/>
  <c r="R101" i="72"/>
  <c r="K101" i="72"/>
  <c r="F101" i="72"/>
  <c r="R100" i="72"/>
  <c r="K100" i="72"/>
  <c r="F100" i="72"/>
  <c r="R99" i="72"/>
  <c r="K99" i="72"/>
  <c r="F99" i="72"/>
  <c r="R98" i="72"/>
  <c r="K98" i="72"/>
  <c r="F98" i="72"/>
  <c r="R97" i="72"/>
  <c r="K97" i="72"/>
  <c r="F97" i="72"/>
  <c r="R96" i="72"/>
  <c r="K96" i="72"/>
  <c r="F96" i="72"/>
  <c r="R95" i="72"/>
  <c r="K95" i="72"/>
  <c r="F95" i="72"/>
  <c r="R94" i="72"/>
  <c r="K94" i="72"/>
  <c r="F94" i="72"/>
  <c r="D93" i="72"/>
  <c r="D94" i="72"/>
  <c r="R93" i="72"/>
  <c r="K93" i="72"/>
  <c r="F93" i="72"/>
  <c r="R92" i="72"/>
  <c r="K92" i="72"/>
  <c r="F92" i="72"/>
  <c r="D91" i="72"/>
  <c r="D92" i="72"/>
  <c r="R91" i="72"/>
  <c r="K91" i="72"/>
  <c r="F91" i="72"/>
  <c r="R90" i="72"/>
  <c r="K90" i="72"/>
  <c r="F90" i="72"/>
  <c r="D90" i="72"/>
  <c r="R89" i="72"/>
  <c r="K89" i="72"/>
  <c r="F89" i="72"/>
  <c r="D88" i="72"/>
  <c r="D89" i="72"/>
  <c r="R88" i="72"/>
  <c r="K88" i="72"/>
  <c r="F88" i="72"/>
  <c r="R87" i="72"/>
  <c r="K87" i="72"/>
  <c r="F87" i="72"/>
  <c r="D87" i="72"/>
  <c r="R86" i="72"/>
  <c r="K86" i="72"/>
  <c r="F86" i="72"/>
  <c r="D86" i="72"/>
  <c r="R85" i="72"/>
  <c r="K85" i="72"/>
  <c r="F85" i="72"/>
  <c r="D64" i="72"/>
  <c r="D65" i="72"/>
  <c r="D66" i="72"/>
  <c r="D67" i="72"/>
  <c r="D68" i="72"/>
  <c r="D69" i="72"/>
  <c r="D70" i="72"/>
  <c r="D71" i="72"/>
  <c r="D72" i="72"/>
  <c r="D73" i="72"/>
  <c r="D74" i="72"/>
  <c r="D75" i="72"/>
  <c r="D76" i="72"/>
  <c r="D77" i="72"/>
  <c r="D78" i="72"/>
  <c r="D79" i="72"/>
  <c r="D80" i="72"/>
  <c r="D81" i="72"/>
  <c r="D82" i="72"/>
  <c r="D83" i="72"/>
  <c r="D84" i="72"/>
  <c r="D85" i="72"/>
  <c r="R84" i="72"/>
  <c r="K84" i="72"/>
  <c r="F84" i="72"/>
  <c r="R83" i="72"/>
  <c r="K83" i="72"/>
  <c r="F83" i="72"/>
  <c r="R82" i="72"/>
  <c r="K82" i="72"/>
  <c r="F82" i="72"/>
  <c r="R81" i="72"/>
  <c r="K81" i="72"/>
  <c r="F81" i="72"/>
  <c r="R80" i="72"/>
  <c r="K80" i="72"/>
  <c r="F80" i="72"/>
  <c r="R79" i="72"/>
  <c r="K79" i="72"/>
  <c r="F79" i="72"/>
  <c r="R78" i="72"/>
  <c r="K78" i="72"/>
  <c r="F78" i="72"/>
  <c r="R77" i="72"/>
  <c r="K77" i="72"/>
  <c r="F77" i="72"/>
  <c r="R76" i="72"/>
  <c r="K76" i="72"/>
  <c r="F76" i="72"/>
  <c r="R75" i="72"/>
  <c r="K75" i="72"/>
  <c r="F75" i="72"/>
  <c r="R74" i="72"/>
  <c r="K74" i="72"/>
  <c r="F74" i="72"/>
  <c r="R73" i="72"/>
  <c r="K73" i="72"/>
  <c r="F73" i="72"/>
  <c r="R72" i="72"/>
  <c r="K72" i="72"/>
  <c r="F72" i="72"/>
  <c r="R71" i="72"/>
  <c r="K71" i="72"/>
  <c r="F71" i="72"/>
  <c r="R70" i="72"/>
  <c r="K70" i="72"/>
  <c r="F70" i="72"/>
  <c r="R69" i="72"/>
  <c r="K69" i="72"/>
  <c r="F69" i="72"/>
  <c r="R68" i="72"/>
  <c r="K68" i="72"/>
  <c r="F68" i="72"/>
  <c r="R67" i="72"/>
  <c r="K67" i="72"/>
  <c r="F67" i="72"/>
  <c r="R66" i="72"/>
  <c r="K66" i="72"/>
  <c r="F66" i="72"/>
  <c r="R65" i="72"/>
  <c r="K65" i="72"/>
  <c r="F65" i="72"/>
  <c r="R64" i="72"/>
  <c r="K64" i="72"/>
  <c r="F64" i="72"/>
  <c r="R63" i="72"/>
  <c r="K63" i="72"/>
  <c r="F63" i="72"/>
  <c r="D63" i="72"/>
  <c r="R62" i="72"/>
  <c r="K62" i="72"/>
  <c r="F62" i="72"/>
  <c r="E49" i="72"/>
  <c r="E48" i="72"/>
  <c r="E47" i="72"/>
  <c r="E46" i="72"/>
  <c r="E45" i="72"/>
  <c r="E44" i="72"/>
  <c r="E43" i="72"/>
  <c r="E42" i="72"/>
  <c r="E41" i="72"/>
  <c r="E40" i="72"/>
  <c r="E39" i="72"/>
  <c r="E38" i="72"/>
  <c r="E37" i="72"/>
  <c r="E36" i="72"/>
  <c r="E35" i="72"/>
  <c r="E34" i="72"/>
  <c r="E33" i="72"/>
  <c r="E32" i="72"/>
  <c r="E31" i="72"/>
  <c r="E30" i="72"/>
  <c r="E29" i="72"/>
  <c r="E28" i="72"/>
  <c r="E27" i="72"/>
  <c r="E26" i="72"/>
  <c r="E25" i="72"/>
  <c r="E24" i="72"/>
  <c r="E23" i="72"/>
  <c r="E22" i="72"/>
  <c r="E21" i="72"/>
  <c r="E20" i="72"/>
  <c r="E19" i="72"/>
  <c r="E18" i="72"/>
  <c r="E17" i="72"/>
  <c r="E16" i="72"/>
  <c r="E15" i="72"/>
  <c r="E14" i="72"/>
  <c r="E13" i="72"/>
  <c r="E12" i="72"/>
  <c r="E11" i="72"/>
  <c r="E10" i="72"/>
  <c r="E9" i="72"/>
  <c r="C10" i="72"/>
  <c r="C11" i="72"/>
  <c r="C12" i="72"/>
  <c r="C13" i="72"/>
  <c r="C14" i="72"/>
  <c r="C15" i="72"/>
  <c r="C16" i="72"/>
  <c r="C17" i="72"/>
  <c r="C18" i="72"/>
  <c r="C19" i="72"/>
  <c r="C20" i="72"/>
  <c r="C21" i="72"/>
  <c r="C22" i="72"/>
  <c r="C23" i="72"/>
  <c r="C24" i="72"/>
  <c r="C25" i="72"/>
  <c r="C26" i="72"/>
  <c r="C27" i="72"/>
  <c r="C28" i="72"/>
  <c r="C29" i="72"/>
  <c r="C30" i="72"/>
  <c r="C31" i="72"/>
  <c r="C32" i="72"/>
  <c r="C33" i="72"/>
  <c r="C34" i="72"/>
  <c r="C35" i="72"/>
  <c r="C36" i="72"/>
  <c r="C37" i="72"/>
  <c r="C38" i="72"/>
  <c r="C39" i="72"/>
  <c r="C40" i="72"/>
  <c r="C41" i="72"/>
  <c r="C42" i="72"/>
  <c r="C43" i="72"/>
  <c r="C44" i="72"/>
  <c r="C45" i="72"/>
  <c r="C46" i="72"/>
  <c r="C47" i="72"/>
  <c r="C48" i="72"/>
  <c r="C49" i="72"/>
  <c r="D49" i="72"/>
  <c r="D50" i="72"/>
  <c r="D51" i="72"/>
  <c r="D52" i="72"/>
  <c r="D53" i="72"/>
  <c r="D54" i="72"/>
  <c r="D55" i="72"/>
  <c r="D56" i="72"/>
  <c r="D57" i="72"/>
  <c r="D58" i="72"/>
  <c r="D59" i="72"/>
  <c r="D60" i="72"/>
  <c r="D61" i="72"/>
  <c r="D62" i="72"/>
  <c r="E61" i="72"/>
  <c r="E60" i="72"/>
  <c r="E59" i="72"/>
  <c r="E58" i="72"/>
  <c r="E57" i="72"/>
  <c r="E56" i="72"/>
  <c r="E55" i="72"/>
  <c r="E54" i="72"/>
  <c r="E53" i="72"/>
  <c r="E52" i="72"/>
  <c r="E51" i="72"/>
  <c r="E50" i="72"/>
  <c r="C50" i="72"/>
  <c r="C51" i="72"/>
  <c r="C52" i="72"/>
  <c r="C53" i="72"/>
  <c r="C54" i="72"/>
  <c r="C55" i="72"/>
  <c r="C56" i="72"/>
  <c r="C57" i="72"/>
  <c r="C58" i="72"/>
  <c r="C59" i="72"/>
  <c r="C60" i="72"/>
  <c r="C61" i="72"/>
  <c r="C62" i="72"/>
  <c r="R61" i="72"/>
  <c r="K61" i="72"/>
  <c r="F61" i="72"/>
  <c r="R60" i="72"/>
  <c r="K60" i="72"/>
  <c r="F60" i="72"/>
  <c r="R59" i="72"/>
  <c r="K59" i="72"/>
  <c r="F59" i="72"/>
  <c r="R58" i="72"/>
  <c r="K58" i="72"/>
  <c r="F58" i="72"/>
  <c r="R57" i="72"/>
  <c r="K57" i="72"/>
  <c r="F57" i="72"/>
  <c r="R56" i="72"/>
  <c r="K56" i="72"/>
  <c r="F56" i="72"/>
  <c r="R55" i="72"/>
  <c r="K55" i="72"/>
  <c r="F55" i="72"/>
  <c r="R54" i="72"/>
  <c r="K54" i="72"/>
  <c r="F54" i="72"/>
  <c r="R53" i="72"/>
  <c r="K53" i="72"/>
  <c r="F53" i="72"/>
  <c r="R52" i="72"/>
  <c r="K52" i="72"/>
  <c r="F52" i="72"/>
  <c r="R51" i="72"/>
  <c r="K51" i="72"/>
  <c r="F51" i="72"/>
  <c r="R50" i="72"/>
  <c r="K50" i="72"/>
  <c r="F50" i="72"/>
  <c r="R49" i="72"/>
  <c r="K49" i="72"/>
  <c r="F49" i="72"/>
  <c r="R48" i="72"/>
  <c r="K48" i="72"/>
  <c r="F48" i="72"/>
  <c r="D48" i="72"/>
  <c r="R47" i="72"/>
  <c r="K47" i="72"/>
  <c r="F47" i="72"/>
  <c r="D18" i="72"/>
  <c r="D19" i="72"/>
  <c r="D20" i="72"/>
  <c r="D21" i="72"/>
  <c r="D22" i="72"/>
  <c r="D23" i="72"/>
  <c r="D24" i="72"/>
  <c r="D25" i="72"/>
  <c r="D26" i="72"/>
  <c r="D27" i="72"/>
  <c r="D28" i="72"/>
  <c r="D29" i="72"/>
  <c r="D30" i="72"/>
  <c r="D31" i="72"/>
  <c r="D32" i="72"/>
  <c r="D33" i="72"/>
  <c r="D34" i="72"/>
  <c r="D35" i="72"/>
  <c r="D36" i="72"/>
  <c r="D37" i="72"/>
  <c r="D38" i="72"/>
  <c r="D39" i="72"/>
  <c r="D40" i="72"/>
  <c r="D41" i="72"/>
  <c r="D42" i="72"/>
  <c r="D43" i="72"/>
  <c r="D44" i="72"/>
  <c r="D45" i="72"/>
  <c r="D46" i="72"/>
  <c r="D47" i="72"/>
  <c r="R46" i="72"/>
  <c r="K46" i="72"/>
  <c r="F46" i="72"/>
  <c r="R45" i="72"/>
  <c r="K45" i="72"/>
  <c r="F45" i="72"/>
  <c r="R44" i="72"/>
  <c r="K44" i="72"/>
  <c r="F44" i="72"/>
  <c r="R43" i="72"/>
  <c r="K43" i="72"/>
  <c r="F43" i="72"/>
  <c r="R42" i="72"/>
  <c r="K42" i="72"/>
  <c r="F42" i="72"/>
  <c r="R41" i="72"/>
  <c r="K41" i="72"/>
  <c r="F41" i="72"/>
  <c r="R40" i="72"/>
  <c r="K40" i="72"/>
  <c r="F40" i="72"/>
  <c r="R39" i="72"/>
  <c r="K39" i="72"/>
  <c r="F39" i="72"/>
  <c r="R38" i="72"/>
  <c r="K38" i="72"/>
  <c r="F38" i="72"/>
  <c r="R37" i="72"/>
  <c r="K37" i="72"/>
  <c r="F37" i="72"/>
  <c r="R36" i="72"/>
  <c r="K36" i="72"/>
  <c r="F36" i="72"/>
  <c r="R35" i="72"/>
  <c r="K35" i="72"/>
  <c r="F35" i="72"/>
  <c r="R34" i="72"/>
  <c r="K34" i="72"/>
  <c r="F34" i="72"/>
  <c r="R33" i="72"/>
  <c r="K33" i="72"/>
  <c r="F33" i="72"/>
  <c r="R32" i="72"/>
  <c r="K32" i="72"/>
  <c r="F32" i="72"/>
  <c r="R31" i="72"/>
  <c r="K31" i="72"/>
  <c r="F31" i="72"/>
  <c r="R30" i="72"/>
  <c r="K30" i="72"/>
  <c r="F30" i="72"/>
  <c r="R29" i="72"/>
  <c r="K29" i="72"/>
  <c r="F29" i="72"/>
  <c r="R28" i="72"/>
  <c r="K28" i="72"/>
  <c r="F28" i="72"/>
  <c r="R27" i="72"/>
  <c r="K27" i="72"/>
  <c r="F27" i="72"/>
  <c r="R26" i="72"/>
  <c r="K26" i="72"/>
  <c r="F26" i="72"/>
  <c r="R25" i="72"/>
  <c r="K25" i="72"/>
  <c r="F25" i="72"/>
  <c r="R24" i="72"/>
  <c r="K24" i="72"/>
  <c r="F24" i="72"/>
  <c r="R23" i="72"/>
  <c r="K23" i="72"/>
  <c r="F23" i="72"/>
  <c r="R22" i="72"/>
  <c r="K22" i="72"/>
  <c r="F22" i="72"/>
  <c r="R21" i="72"/>
  <c r="K21" i="72"/>
  <c r="F21" i="72"/>
  <c r="R20" i="72"/>
  <c r="K20" i="72"/>
  <c r="F20" i="72"/>
  <c r="R19" i="72"/>
  <c r="K19" i="72"/>
  <c r="F19" i="72"/>
  <c r="R18" i="72"/>
  <c r="K18" i="72"/>
  <c r="F18" i="72"/>
  <c r="R17" i="72"/>
  <c r="K17" i="72"/>
  <c r="F17" i="72"/>
  <c r="D17" i="72"/>
  <c r="R16" i="72"/>
  <c r="K16" i="72"/>
  <c r="F16" i="72"/>
  <c r="D12" i="72"/>
  <c r="D13" i="72"/>
  <c r="D14" i="72"/>
  <c r="D15" i="72"/>
  <c r="D16" i="72"/>
  <c r="R15" i="72"/>
  <c r="K15" i="72"/>
  <c r="F15" i="72"/>
  <c r="R14" i="72"/>
  <c r="K14" i="72"/>
  <c r="F14" i="72"/>
  <c r="R13" i="72"/>
  <c r="K13" i="72"/>
  <c r="F13" i="72"/>
  <c r="R12" i="72"/>
  <c r="K12" i="72"/>
  <c r="F12" i="72"/>
  <c r="R11" i="72"/>
  <c r="K11" i="72"/>
  <c r="F11" i="72"/>
  <c r="D11" i="72"/>
  <c r="R10" i="72"/>
  <c r="K10" i="72"/>
  <c r="F10" i="72"/>
  <c r="D10" i="72"/>
  <c r="R9" i="72"/>
  <c r="K9" i="72"/>
  <c r="F9" i="72"/>
  <c r="E6" i="72"/>
  <c r="E5" i="72"/>
  <c r="E4" i="72"/>
  <c r="E3" i="72"/>
  <c r="E2" i="72"/>
  <c r="C2" i="72"/>
  <c r="C3" i="72"/>
  <c r="C4" i="72"/>
  <c r="C5" i="72"/>
  <c r="C6" i="72"/>
  <c r="D6" i="72"/>
  <c r="D7" i="72"/>
  <c r="D8" i="72"/>
  <c r="D9" i="72"/>
  <c r="E8" i="72"/>
  <c r="E7" i="72"/>
  <c r="C7" i="72"/>
  <c r="C8" i="72"/>
  <c r="C9" i="72"/>
  <c r="R8" i="72"/>
  <c r="K8" i="72"/>
  <c r="F8" i="72"/>
  <c r="R7" i="72"/>
  <c r="K7" i="72"/>
  <c r="F7" i="72"/>
  <c r="R6" i="72"/>
  <c r="K6" i="72"/>
  <c r="F6" i="72"/>
  <c r="R5" i="72"/>
  <c r="K5" i="72"/>
  <c r="F5" i="72"/>
  <c r="D5" i="72"/>
  <c r="R4" i="72"/>
  <c r="K4" i="72"/>
  <c r="F4" i="72"/>
  <c r="D4" i="72"/>
  <c r="R3" i="72"/>
  <c r="K3" i="72"/>
  <c r="F3" i="72"/>
  <c r="D2" i="72"/>
  <c r="D3" i="72"/>
  <c r="R2" i="72"/>
  <c r="K2" i="72"/>
  <c r="F2" i="72"/>
  <c r="AU372" i="71"/>
  <c r="AT372" i="71"/>
  <c r="E358" i="71"/>
  <c r="E359" i="71"/>
  <c r="E360" i="71"/>
  <c r="E361" i="71"/>
  <c r="G358" i="71"/>
  <c r="G359" i="71"/>
  <c r="G360" i="71"/>
  <c r="G361" i="71"/>
  <c r="J357" i="71"/>
  <c r="E101" i="71"/>
  <c r="AH265" i="71"/>
  <c r="B351" i="71"/>
  <c r="B368" i="71"/>
  <c r="E8" i="71"/>
  <c r="B79" i="71"/>
  <c r="AT79" i="71"/>
  <c r="E10" i="71"/>
  <c r="B80" i="71"/>
  <c r="AT80" i="71"/>
  <c r="E12" i="71"/>
  <c r="B81" i="71"/>
  <c r="AT81" i="71"/>
  <c r="E14" i="71"/>
  <c r="B82" i="71"/>
  <c r="AT82" i="71"/>
  <c r="AC31" i="71"/>
  <c r="AC32" i="71"/>
  <c r="AC33" i="71"/>
  <c r="AC34" i="71"/>
  <c r="AC35" i="71"/>
  <c r="AC64" i="71"/>
  <c r="AE64" i="71"/>
  <c r="AC65" i="71"/>
  <c r="AE31" i="71"/>
  <c r="AE32" i="71"/>
  <c r="AE33" i="71"/>
  <c r="AE34" i="71"/>
  <c r="AE35" i="71"/>
  <c r="AE65" i="71"/>
  <c r="AC66" i="71"/>
  <c r="AE66" i="71"/>
  <c r="AC67" i="71"/>
  <c r="AE67" i="71"/>
  <c r="AC68" i="71"/>
  <c r="AE68" i="71"/>
  <c r="AD71" i="71"/>
  <c r="AC72" i="71"/>
  <c r="Z72" i="71"/>
  <c r="AB72" i="71"/>
  <c r="W31" i="71"/>
  <c r="W32" i="71"/>
  <c r="W33" i="71"/>
  <c r="W34" i="71"/>
  <c r="W35" i="71"/>
  <c r="W64" i="71"/>
  <c r="Y64" i="71"/>
  <c r="W65" i="71"/>
  <c r="Y65" i="71"/>
  <c r="W66" i="71"/>
  <c r="Y66" i="71"/>
  <c r="W67" i="71"/>
  <c r="Y67" i="71"/>
  <c r="W68" i="71"/>
  <c r="Y31" i="71"/>
  <c r="Y32" i="71"/>
  <c r="Y33" i="71"/>
  <c r="Y34" i="71"/>
  <c r="Y35" i="71"/>
  <c r="Y68" i="71"/>
  <c r="X71" i="71"/>
  <c r="W72" i="71"/>
  <c r="T72" i="71"/>
  <c r="V72" i="71"/>
  <c r="Q72" i="71"/>
  <c r="S72" i="71"/>
  <c r="N31" i="71"/>
  <c r="N32" i="71"/>
  <c r="N33" i="71"/>
  <c r="N34" i="71"/>
  <c r="N35" i="71"/>
  <c r="N64" i="71"/>
  <c r="P64" i="71"/>
  <c r="N65" i="71"/>
  <c r="P65" i="71"/>
  <c r="N66" i="71"/>
  <c r="P31" i="71"/>
  <c r="P32" i="71"/>
  <c r="P33" i="71"/>
  <c r="P34" i="71"/>
  <c r="P35" i="71"/>
  <c r="P66" i="71"/>
  <c r="N67" i="71"/>
  <c r="P67" i="71"/>
  <c r="N68" i="71"/>
  <c r="P68" i="71"/>
  <c r="O71" i="71"/>
  <c r="N72" i="71"/>
  <c r="K72" i="71"/>
  <c r="M72" i="71"/>
  <c r="H72" i="71"/>
  <c r="J72" i="71"/>
  <c r="E31" i="71"/>
  <c r="E32" i="71"/>
  <c r="E33" i="71"/>
  <c r="E34" i="71"/>
  <c r="E35" i="71"/>
  <c r="E64" i="71"/>
  <c r="G64" i="71"/>
  <c r="E65" i="71"/>
  <c r="G65" i="71"/>
  <c r="E66" i="71"/>
  <c r="G66" i="71"/>
  <c r="E67" i="71"/>
  <c r="G31" i="71"/>
  <c r="G32" i="71"/>
  <c r="G33" i="71"/>
  <c r="G34" i="71"/>
  <c r="G35" i="71"/>
  <c r="G67" i="71"/>
  <c r="E68" i="71"/>
  <c r="G68" i="71"/>
  <c r="F71" i="71"/>
  <c r="E72" i="71"/>
  <c r="B72" i="71"/>
  <c r="D72" i="71"/>
  <c r="E36" i="71"/>
  <c r="B75" i="71"/>
  <c r="D75" i="71"/>
  <c r="G36" i="71"/>
  <c r="N36" i="71"/>
  <c r="K74" i="71"/>
  <c r="M74" i="71"/>
  <c r="H64" i="71"/>
  <c r="J64" i="71"/>
  <c r="H65" i="71"/>
  <c r="J65" i="71"/>
  <c r="H31" i="71"/>
  <c r="H32" i="71"/>
  <c r="H33" i="71"/>
  <c r="H34" i="71"/>
  <c r="H35" i="71"/>
  <c r="H66" i="71"/>
  <c r="J66" i="71"/>
  <c r="H67" i="71"/>
  <c r="J67" i="71"/>
  <c r="H68" i="71"/>
  <c r="J31" i="71"/>
  <c r="J32" i="71"/>
  <c r="J33" i="71"/>
  <c r="J34" i="71"/>
  <c r="J35" i="71"/>
  <c r="J68" i="71"/>
  <c r="I71" i="71"/>
  <c r="H74" i="71"/>
  <c r="E74" i="71"/>
  <c r="G74" i="71"/>
  <c r="B74" i="71"/>
  <c r="D74" i="71"/>
  <c r="H36" i="71"/>
  <c r="E76" i="71"/>
  <c r="G76" i="71"/>
  <c r="B76" i="71"/>
  <c r="B64" i="71"/>
  <c r="D64" i="71"/>
  <c r="B31" i="71"/>
  <c r="B32" i="71"/>
  <c r="B33" i="71"/>
  <c r="B34" i="71"/>
  <c r="B35" i="71"/>
  <c r="B65" i="71"/>
  <c r="D65" i="71"/>
  <c r="B66" i="71"/>
  <c r="D66" i="71"/>
  <c r="B67" i="71"/>
  <c r="D67" i="71"/>
  <c r="B68" i="71"/>
  <c r="D31" i="71"/>
  <c r="D32" i="71"/>
  <c r="D33" i="71"/>
  <c r="D34" i="71"/>
  <c r="D35" i="71"/>
  <c r="D68" i="71"/>
  <c r="C71" i="71"/>
  <c r="D76" i="71"/>
  <c r="E16" i="71"/>
  <c r="B83" i="71"/>
  <c r="D36" i="71"/>
  <c r="B36" i="71"/>
  <c r="J36" i="71"/>
  <c r="P36" i="71"/>
  <c r="W36" i="71"/>
  <c r="T76" i="71"/>
  <c r="V76" i="71"/>
  <c r="Q76" i="71"/>
  <c r="Q64" i="71"/>
  <c r="S64" i="71"/>
  <c r="Q65" i="71"/>
  <c r="S65" i="71"/>
  <c r="Q66" i="71"/>
  <c r="S66" i="71"/>
  <c r="Q31" i="71"/>
  <c r="Q32" i="71"/>
  <c r="Q33" i="71"/>
  <c r="Q34" i="71"/>
  <c r="Q35" i="71"/>
  <c r="Q67" i="71"/>
  <c r="S67" i="71"/>
  <c r="Q68" i="71"/>
  <c r="S31" i="71"/>
  <c r="S32" i="71"/>
  <c r="S33" i="71"/>
  <c r="S34" i="71"/>
  <c r="S35" i="71"/>
  <c r="S68" i="71"/>
  <c r="R71" i="71"/>
  <c r="S76" i="71"/>
  <c r="N76" i="71"/>
  <c r="P76" i="71"/>
  <c r="K76" i="71"/>
  <c r="M76" i="71"/>
  <c r="H76" i="71"/>
  <c r="J76" i="71"/>
  <c r="S36" i="71"/>
  <c r="N75" i="71"/>
  <c r="P75" i="71"/>
  <c r="K75" i="71"/>
  <c r="K64" i="71"/>
  <c r="M64" i="71"/>
  <c r="K31" i="71"/>
  <c r="K32" i="71"/>
  <c r="K33" i="71"/>
  <c r="K34" i="71"/>
  <c r="K35" i="71"/>
  <c r="K65" i="71"/>
  <c r="M65" i="71"/>
  <c r="K66" i="71"/>
  <c r="M66" i="71"/>
  <c r="K67" i="71"/>
  <c r="M31" i="71"/>
  <c r="M32" i="71"/>
  <c r="M33" i="71"/>
  <c r="M34" i="71"/>
  <c r="M35" i="71"/>
  <c r="M67" i="71"/>
  <c r="K68" i="71"/>
  <c r="M68" i="71"/>
  <c r="L71" i="71"/>
  <c r="M75" i="71"/>
  <c r="H75" i="71"/>
  <c r="J75" i="71"/>
  <c r="E75" i="71"/>
  <c r="G75" i="71"/>
  <c r="M36" i="71"/>
  <c r="H73" i="71"/>
  <c r="J73" i="71"/>
  <c r="E73" i="71"/>
  <c r="G73" i="71"/>
  <c r="B73" i="71"/>
  <c r="K36" i="71"/>
  <c r="Q36" i="71"/>
  <c r="Y36" i="71"/>
  <c r="AC36" i="71"/>
  <c r="Z73" i="71"/>
  <c r="AB73" i="71"/>
  <c r="W73" i="71"/>
  <c r="Y73" i="71"/>
  <c r="T64" i="71"/>
  <c r="V64" i="71"/>
  <c r="T31" i="71"/>
  <c r="T32" i="71"/>
  <c r="T33" i="71"/>
  <c r="T34" i="71"/>
  <c r="T35" i="71"/>
  <c r="T65" i="71"/>
  <c r="V65" i="71"/>
  <c r="T66" i="71"/>
  <c r="V31" i="71"/>
  <c r="V32" i="71"/>
  <c r="V33" i="71"/>
  <c r="V34" i="71"/>
  <c r="V35" i="71"/>
  <c r="V66" i="71"/>
  <c r="T67" i="71"/>
  <c r="V67" i="71"/>
  <c r="T68" i="71"/>
  <c r="V68" i="71"/>
  <c r="U71" i="71"/>
  <c r="T73" i="71"/>
  <c r="Q73" i="71"/>
  <c r="S73" i="71"/>
  <c r="N73" i="71"/>
  <c r="P73" i="71"/>
  <c r="K73" i="71"/>
  <c r="T36" i="71"/>
  <c r="Q74" i="71"/>
  <c r="S74" i="71"/>
  <c r="N74" i="71"/>
  <c r="P74" i="71"/>
  <c r="V36" i="71"/>
  <c r="AE36" i="71"/>
  <c r="AC73" i="71"/>
  <c r="AE73" i="71"/>
  <c r="AC74" i="71"/>
  <c r="AE74" i="71"/>
  <c r="Z64" i="71"/>
  <c r="AB64" i="71"/>
  <c r="Z65" i="71"/>
  <c r="AB65" i="71"/>
  <c r="Z31" i="71"/>
  <c r="Z32" i="71"/>
  <c r="Z33" i="71"/>
  <c r="Z34" i="71"/>
  <c r="Z35" i="71"/>
  <c r="Z66" i="71"/>
  <c r="AB66" i="71"/>
  <c r="Z67" i="71"/>
  <c r="AB31" i="71"/>
  <c r="AB32" i="71"/>
  <c r="AB33" i="71"/>
  <c r="AB34" i="71"/>
  <c r="AB35" i="71"/>
  <c r="AB67" i="71"/>
  <c r="Z68" i="71"/>
  <c r="AB68" i="71"/>
  <c r="AA71" i="71"/>
  <c r="Z74" i="71"/>
  <c r="W74" i="71"/>
  <c r="Y74" i="71"/>
  <c r="T74" i="71"/>
  <c r="V74" i="71"/>
  <c r="Z36" i="71"/>
  <c r="W75" i="71"/>
  <c r="Y75" i="71"/>
  <c r="T75" i="71"/>
  <c r="V75" i="71"/>
  <c r="Q75" i="71"/>
  <c r="AB36" i="71"/>
  <c r="AC75" i="71"/>
  <c r="AE75" i="71"/>
  <c r="Z75" i="71"/>
  <c r="AB75" i="71"/>
  <c r="AB86" i="71"/>
  <c r="AB87" i="71"/>
  <c r="AB82" i="71"/>
  <c r="AE82" i="71"/>
  <c r="AU82" i="71"/>
  <c r="AT83" i="71"/>
  <c r="AC76" i="71"/>
  <c r="AE76" i="71"/>
  <c r="Z76" i="71"/>
  <c r="AB76" i="71"/>
  <c r="W76" i="71"/>
  <c r="Y76" i="71"/>
  <c r="Y86" i="71"/>
  <c r="Y87" i="71"/>
  <c r="Y83" i="71"/>
  <c r="AB83" i="71"/>
  <c r="AE83" i="71"/>
  <c r="AU83" i="71"/>
  <c r="E93" i="71"/>
  <c r="B164" i="71"/>
  <c r="AT164" i="71"/>
  <c r="AC116" i="71"/>
  <c r="AC117" i="71"/>
  <c r="AC118" i="71"/>
  <c r="AC119" i="71"/>
  <c r="AC120" i="71"/>
  <c r="AC149" i="71"/>
  <c r="AE149" i="71"/>
  <c r="AC150" i="71"/>
  <c r="AE116" i="71"/>
  <c r="AE117" i="71"/>
  <c r="AE118" i="71"/>
  <c r="AE119" i="71"/>
  <c r="AE120" i="71"/>
  <c r="AE150" i="71"/>
  <c r="AC151" i="71"/>
  <c r="AE151" i="71"/>
  <c r="AC152" i="71"/>
  <c r="AE152" i="71"/>
  <c r="AC153" i="71"/>
  <c r="AE153" i="71"/>
  <c r="AD156" i="71"/>
  <c r="AC157" i="71"/>
  <c r="Z157" i="71"/>
  <c r="AB157" i="71"/>
  <c r="W116" i="71"/>
  <c r="W117" i="71"/>
  <c r="W118" i="71"/>
  <c r="W119" i="71"/>
  <c r="W120" i="71"/>
  <c r="W149" i="71"/>
  <c r="Y149" i="71"/>
  <c r="W150" i="71"/>
  <c r="Y150" i="71"/>
  <c r="W151" i="71"/>
  <c r="Y151" i="71"/>
  <c r="W152" i="71"/>
  <c r="Y152" i="71"/>
  <c r="W153" i="71"/>
  <c r="Y116" i="71"/>
  <c r="Y117" i="71"/>
  <c r="Y118" i="71"/>
  <c r="Y119" i="71"/>
  <c r="Y120" i="71"/>
  <c r="Y153" i="71"/>
  <c r="X156" i="71"/>
  <c r="W157" i="71"/>
  <c r="T157" i="71"/>
  <c r="V157" i="71"/>
  <c r="Q157" i="71"/>
  <c r="S157" i="71"/>
  <c r="N116" i="71"/>
  <c r="N117" i="71"/>
  <c r="N118" i="71"/>
  <c r="N119" i="71"/>
  <c r="N120" i="71"/>
  <c r="N149" i="71"/>
  <c r="P149" i="71"/>
  <c r="N150" i="71"/>
  <c r="P150" i="71"/>
  <c r="N151" i="71"/>
  <c r="P116" i="71"/>
  <c r="P117" i="71"/>
  <c r="P118" i="71"/>
  <c r="P119" i="71"/>
  <c r="P120" i="71"/>
  <c r="P151" i="71"/>
  <c r="N152" i="71"/>
  <c r="P152" i="71"/>
  <c r="N153" i="71"/>
  <c r="P153" i="71"/>
  <c r="O156" i="71"/>
  <c r="N157" i="71"/>
  <c r="K157" i="71"/>
  <c r="M157" i="71"/>
  <c r="H157" i="71"/>
  <c r="J157" i="71"/>
  <c r="E116" i="71"/>
  <c r="E117" i="71"/>
  <c r="E118" i="71"/>
  <c r="E119" i="71"/>
  <c r="E120" i="71"/>
  <c r="E149" i="71"/>
  <c r="G149" i="71"/>
  <c r="E150" i="71"/>
  <c r="G150" i="71"/>
  <c r="E151" i="71"/>
  <c r="G151" i="71"/>
  <c r="E152" i="71"/>
  <c r="G116" i="71"/>
  <c r="G117" i="71"/>
  <c r="G118" i="71"/>
  <c r="G119" i="71"/>
  <c r="G120" i="71"/>
  <c r="G152" i="71"/>
  <c r="E153" i="71"/>
  <c r="G153" i="71"/>
  <c r="F156" i="71"/>
  <c r="E157" i="71"/>
  <c r="B157" i="71"/>
  <c r="D157" i="71"/>
  <c r="E121" i="71"/>
  <c r="B160" i="71"/>
  <c r="D160" i="71"/>
  <c r="E99" i="71"/>
  <c r="B167" i="71"/>
  <c r="G121" i="71"/>
  <c r="N121" i="71"/>
  <c r="K159" i="71"/>
  <c r="M159" i="71"/>
  <c r="H149" i="71"/>
  <c r="J149" i="71"/>
  <c r="H150" i="71"/>
  <c r="J150" i="71"/>
  <c r="H116" i="71"/>
  <c r="H117" i="71"/>
  <c r="H118" i="71"/>
  <c r="H119" i="71"/>
  <c r="H120" i="71"/>
  <c r="H151" i="71"/>
  <c r="J151" i="71"/>
  <c r="H152" i="71"/>
  <c r="J152" i="71"/>
  <c r="H153" i="71"/>
  <c r="J116" i="71"/>
  <c r="J117" i="71"/>
  <c r="J118" i="71"/>
  <c r="J119" i="71"/>
  <c r="J120" i="71"/>
  <c r="J153" i="71"/>
  <c r="I156" i="71"/>
  <c r="H159" i="71"/>
  <c r="E159" i="71"/>
  <c r="G159" i="71"/>
  <c r="B159" i="71"/>
  <c r="D159" i="71"/>
  <c r="E97" i="71"/>
  <c r="B166" i="71"/>
  <c r="H121" i="71"/>
  <c r="E161" i="71"/>
  <c r="G161" i="71"/>
  <c r="B161" i="71"/>
  <c r="B149" i="71"/>
  <c r="D149" i="71"/>
  <c r="B116" i="71"/>
  <c r="B117" i="71"/>
  <c r="B118" i="71"/>
  <c r="B119" i="71"/>
  <c r="B120" i="71"/>
  <c r="B150" i="71"/>
  <c r="D150" i="71"/>
  <c r="B151" i="71"/>
  <c r="D151" i="71"/>
  <c r="B152" i="71"/>
  <c r="D152" i="71"/>
  <c r="B153" i="71"/>
  <c r="D116" i="71"/>
  <c r="D117" i="71"/>
  <c r="D118" i="71"/>
  <c r="D119" i="71"/>
  <c r="D120" i="71"/>
  <c r="D153" i="71"/>
  <c r="C156" i="71"/>
  <c r="D161" i="71"/>
  <c r="B168" i="71"/>
  <c r="D121" i="71"/>
  <c r="E95" i="71"/>
  <c r="B165" i="71"/>
  <c r="B121" i="71"/>
  <c r="J121" i="71"/>
  <c r="P121" i="71"/>
  <c r="W121" i="71"/>
  <c r="T161" i="71"/>
  <c r="V161" i="71"/>
  <c r="Q161" i="71"/>
  <c r="Q149" i="71"/>
  <c r="S149" i="71"/>
  <c r="Q150" i="71"/>
  <c r="S150" i="71"/>
  <c r="Q151" i="71"/>
  <c r="S151" i="71"/>
  <c r="Q116" i="71"/>
  <c r="Q117" i="71"/>
  <c r="Q118" i="71"/>
  <c r="Q119" i="71"/>
  <c r="Q120" i="71"/>
  <c r="Q152" i="71"/>
  <c r="S152" i="71"/>
  <c r="Q153" i="71"/>
  <c r="S116" i="71"/>
  <c r="S117" i="71"/>
  <c r="S118" i="71"/>
  <c r="S119" i="71"/>
  <c r="S120" i="71"/>
  <c r="S153" i="71"/>
  <c r="R156" i="71"/>
  <c r="S161" i="71"/>
  <c r="N161" i="71"/>
  <c r="P161" i="71"/>
  <c r="K161" i="71"/>
  <c r="M161" i="71"/>
  <c r="H161" i="71"/>
  <c r="J161" i="71"/>
  <c r="S121" i="71"/>
  <c r="N160" i="71"/>
  <c r="P160" i="71"/>
  <c r="K160" i="71"/>
  <c r="K149" i="71"/>
  <c r="M149" i="71"/>
  <c r="K116" i="71"/>
  <c r="K117" i="71"/>
  <c r="K118" i="71"/>
  <c r="K119" i="71"/>
  <c r="K120" i="71"/>
  <c r="K150" i="71"/>
  <c r="M150" i="71"/>
  <c r="K151" i="71"/>
  <c r="M151" i="71"/>
  <c r="K152" i="71"/>
  <c r="M116" i="71"/>
  <c r="M117" i="71"/>
  <c r="M118" i="71"/>
  <c r="M119" i="71"/>
  <c r="M120" i="71"/>
  <c r="M152" i="71"/>
  <c r="K153" i="71"/>
  <c r="M153" i="71"/>
  <c r="L156" i="71"/>
  <c r="M160" i="71"/>
  <c r="H160" i="71"/>
  <c r="J160" i="71"/>
  <c r="E160" i="71"/>
  <c r="G160" i="71"/>
  <c r="M121" i="71"/>
  <c r="H158" i="71"/>
  <c r="J158" i="71"/>
  <c r="E158" i="71"/>
  <c r="G158" i="71"/>
  <c r="B158" i="71"/>
  <c r="K121" i="71"/>
  <c r="Q121" i="71"/>
  <c r="Y121" i="71"/>
  <c r="AC121" i="71"/>
  <c r="Z158" i="71"/>
  <c r="AB158" i="71"/>
  <c r="W158" i="71"/>
  <c r="Y158" i="71"/>
  <c r="T149" i="71"/>
  <c r="V149" i="71"/>
  <c r="T116" i="71"/>
  <c r="T117" i="71"/>
  <c r="T118" i="71"/>
  <c r="T119" i="71"/>
  <c r="T120" i="71"/>
  <c r="T150" i="71"/>
  <c r="V150" i="71"/>
  <c r="T151" i="71"/>
  <c r="V116" i="71"/>
  <c r="V117" i="71"/>
  <c r="V118" i="71"/>
  <c r="V119" i="71"/>
  <c r="V120" i="71"/>
  <c r="V151" i="71"/>
  <c r="T152" i="71"/>
  <c r="V152" i="71"/>
  <c r="T153" i="71"/>
  <c r="V153" i="71"/>
  <c r="U156" i="71"/>
  <c r="T158" i="71"/>
  <c r="Q158" i="71"/>
  <c r="S158" i="71"/>
  <c r="N158" i="71"/>
  <c r="P158" i="71"/>
  <c r="K158" i="71"/>
  <c r="T121" i="71"/>
  <c r="Q159" i="71"/>
  <c r="S159" i="71"/>
  <c r="N159" i="71"/>
  <c r="P159" i="71"/>
  <c r="V121" i="71"/>
  <c r="AE121" i="71"/>
  <c r="AT165" i="71"/>
  <c r="AC158" i="71"/>
  <c r="AE158" i="71"/>
  <c r="AT166" i="71"/>
  <c r="AC159" i="71"/>
  <c r="AE159" i="71"/>
  <c r="Z149" i="71"/>
  <c r="AB149" i="71"/>
  <c r="Z150" i="71"/>
  <c r="AB150" i="71"/>
  <c r="Z116" i="71"/>
  <c r="Z117" i="71"/>
  <c r="Z118" i="71"/>
  <c r="Z119" i="71"/>
  <c r="Z120" i="71"/>
  <c r="Z151" i="71"/>
  <c r="AB151" i="71"/>
  <c r="Z152" i="71"/>
  <c r="AB116" i="71"/>
  <c r="AB117" i="71"/>
  <c r="AB118" i="71"/>
  <c r="AB119" i="71"/>
  <c r="AB120" i="71"/>
  <c r="AB152" i="71"/>
  <c r="Z153" i="71"/>
  <c r="AB153" i="71"/>
  <c r="AA156" i="71"/>
  <c r="Z159" i="71"/>
  <c r="W159" i="71"/>
  <c r="Y159" i="71"/>
  <c r="T159" i="71"/>
  <c r="V159" i="71"/>
  <c r="Z121" i="71"/>
  <c r="W160" i="71"/>
  <c r="Y160" i="71"/>
  <c r="T160" i="71"/>
  <c r="V160" i="71"/>
  <c r="Q160" i="71"/>
  <c r="AB121" i="71"/>
  <c r="AT167" i="71"/>
  <c r="AC160" i="71"/>
  <c r="AE160" i="71"/>
  <c r="Z160" i="71"/>
  <c r="AB160" i="71"/>
  <c r="AB171" i="71"/>
  <c r="AB172" i="71"/>
  <c r="AB167" i="71"/>
  <c r="AE167" i="71"/>
  <c r="AU167" i="71"/>
  <c r="AT168" i="71"/>
  <c r="AC161" i="71"/>
  <c r="AE161" i="71"/>
  <c r="Z161" i="71"/>
  <c r="AB161" i="71"/>
  <c r="W161" i="71"/>
  <c r="Y161" i="71"/>
  <c r="Y171" i="71"/>
  <c r="Y172" i="71"/>
  <c r="Y168" i="71"/>
  <c r="AB168" i="71"/>
  <c r="AE168" i="71"/>
  <c r="AU168" i="71"/>
  <c r="E178" i="71"/>
  <c r="B249" i="71"/>
  <c r="AT249" i="71"/>
  <c r="AC242" i="71"/>
  <c r="AE242" i="71"/>
  <c r="Z242" i="71"/>
  <c r="AB242" i="71"/>
  <c r="W242" i="71"/>
  <c r="Y242" i="71"/>
  <c r="T242" i="71"/>
  <c r="V242" i="71"/>
  <c r="Q201" i="71"/>
  <c r="Q202" i="71"/>
  <c r="Q203" i="71"/>
  <c r="Q204" i="71"/>
  <c r="Q205" i="71"/>
  <c r="Q234" i="71"/>
  <c r="S234" i="71"/>
  <c r="Q235" i="71"/>
  <c r="S201" i="71"/>
  <c r="S202" i="71"/>
  <c r="S203" i="71"/>
  <c r="S204" i="71"/>
  <c r="S205" i="71"/>
  <c r="S235" i="71"/>
  <c r="Q236" i="71"/>
  <c r="S236" i="71"/>
  <c r="Q237" i="71"/>
  <c r="S237" i="71"/>
  <c r="Q238" i="71"/>
  <c r="S238" i="71"/>
  <c r="R241" i="71"/>
  <c r="Q242" i="71"/>
  <c r="N242" i="71"/>
  <c r="P242" i="71"/>
  <c r="K201" i="71"/>
  <c r="K202" i="71"/>
  <c r="K203" i="71"/>
  <c r="K204" i="71"/>
  <c r="K205" i="71"/>
  <c r="K234" i="71"/>
  <c r="M234" i="71"/>
  <c r="K235" i="71"/>
  <c r="M235" i="71"/>
  <c r="K236" i="71"/>
  <c r="M201" i="71"/>
  <c r="M202" i="71"/>
  <c r="M203" i="71"/>
  <c r="M204" i="71"/>
  <c r="M205" i="71"/>
  <c r="M236" i="71"/>
  <c r="K237" i="71"/>
  <c r="M237" i="71"/>
  <c r="K238" i="71"/>
  <c r="M238" i="71"/>
  <c r="L241" i="71"/>
  <c r="K242" i="71"/>
  <c r="H242" i="71"/>
  <c r="J242" i="71"/>
  <c r="E201" i="71"/>
  <c r="E202" i="71"/>
  <c r="E203" i="71"/>
  <c r="E204" i="71"/>
  <c r="E205" i="71"/>
  <c r="E234" i="71"/>
  <c r="G234" i="71"/>
  <c r="E235" i="71"/>
  <c r="G235" i="71"/>
  <c r="E236" i="71"/>
  <c r="G236" i="71"/>
  <c r="E237" i="71"/>
  <c r="G201" i="71"/>
  <c r="G202" i="71"/>
  <c r="G203" i="71"/>
  <c r="G204" i="71"/>
  <c r="G205" i="71"/>
  <c r="G237" i="71"/>
  <c r="E238" i="71"/>
  <c r="G238" i="71"/>
  <c r="F241" i="71"/>
  <c r="E242" i="71"/>
  <c r="B242" i="71"/>
  <c r="D242" i="71"/>
  <c r="E206" i="71"/>
  <c r="B245" i="71"/>
  <c r="D245" i="71"/>
  <c r="E184" i="71"/>
  <c r="B252" i="71"/>
  <c r="G206" i="71"/>
  <c r="K206" i="71"/>
  <c r="H244" i="71"/>
  <c r="J244" i="71"/>
  <c r="E244" i="71"/>
  <c r="G244" i="71"/>
  <c r="B244" i="71"/>
  <c r="B234" i="71"/>
  <c r="D234" i="71"/>
  <c r="B201" i="71"/>
  <c r="B202" i="71"/>
  <c r="B203" i="71"/>
  <c r="B204" i="71"/>
  <c r="B205" i="71"/>
  <c r="B235" i="71"/>
  <c r="D235" i="71"/>
  <c r="B236" i="71"/>
  <c r="D201" i="71"/>
  <c r="D202" i="71"/>
  <c r="D203" i="71"/>
  <c r="D204" i="71"/>
  <c r="D205" i="71"/>
  <c r="D236" i="71"/>
  <c r="B237" i="71"/>
  <c r="D237" i="71"/>
  <c r="B238" i="71"/>
  <c r="D238" i="71"/>
  <c r="C241" i="71"/>
  <c r="D244" i="71"/>
  <c r="E182" i="71"/>
  <c r="B251" i="71"/>
  <c r="D206" i="71"/>
  <c r="E180" i="71"/>
  <c r="B250" i="71"/>
  <c r="B206" i="71"/>
  <c r="M206" i="71"/>
  <c r="Q206" i="71"/>
  <c r="N243" i="71"/>
  <c r="P243" i="71"/>
  <c r="K243" i="71"/>
  <c r="M243" i="71"/>
  <c r="H234" i="71"/>
  <c r="J234" i="71"/>
  <c r="H201" i="71"/>
  <c r="H202" i="71"/>
  <c r="H203" i="71"/>
  <c r="H204" i="71"/>
  <c r="H205" i="71"/>
  <c r="H235" i="71"/>
  <c r="J235" i="71"/>
  <c r="H236" i="71"/>
  <c r="J236" i="71"/>
  <c r="H237" i="71"/>
  <c r="J201" i="71"/>
  <c r="J202" i="71"/>
  <c r="J203" i="71"/>
  <c r="J204" i="71"/>
  <c r="J205" i="71"/>
  <c r="J237" i="71"/>
  <c r="H238" i="71"/>
  <c r="J238" i="71"/>
  <c r="I241" i="71"/>
  <c r="H243" i="71"/>
  <c r="E243" i="71"/>
  <c r="G243" i="71"/>
  <c r="B243" i="71"/>
  <c r="H206" i="71"/>
  <c r="E245" i="71"/>
  <c r="G245" i="71"/>
  <c r="J206" i="71"/>
  <c r="S206" i="71"/>
  <c r="AT250" i="71"/>
  <c r="AC243" i="71"/>
  <c r="AE243" i="71"/>
  <c r="Z243" i="71"/>
  <c r="AB243" i="71"/>
  <c r="W243" i="71"/>
  <c r="Y243" i="71"/>
  <c r="T243" i="71"/>
  <c r="V243" i="71"/>
  <c r="Q243" i="71"/>
  <c r="S243" i="71"/>
  <c r="AT251" i="71"/>
  <c r="AC244" i="71"/>
  <c r="AE244" i="71"/>
  <c r="Z244" i="71"/>
  <c r="AB244" i="71"/>
  <c r="W244" i="71"/>
  <c r="Y244" i="71"/>
  <c r="T244" i="71"/>
  <c r="V244" i="71"/>
  <c r="Q244" i="71"/>
  <c r="S244" i="71"/>
  <c r="N234" i="71"/>
  <c r="P234" i="71"/>
  <c r="N235" i="71"/>
  <c r="P235" i="71"/>
  <c r="N201" i="71"/>
  <c r="N202" i="71"/>
  <c r="N203" i="71"/>
  <c r="N204" i="71"/>
  <c r="N205" i="71"/>
  <c r="N236" i="71"/>
  <c r="P236" i="71"/>
  <c r="N237" i="71"/>
  <c r="P201" i="71"/>
  <c r="P202" i="71"/>
  <c r="P203" i="71"/>
  <c r="P204" i="71"/>
  <c r="P205" i="71"/>
  <c r="P237" i="71"/>
  <c r="N238" i="71"/>
  <c r="P238" i="71"/>
  <c r="O241" i="71"/>
  <c r="N244" i="71"/>
  <c r="K244" i="71"/>
  <c r="M244" i="71"/>
  <c r="M256" i="71"/>
  <c r="M257" i="71"/>
  <c r="M251" i="71"/>
  <c r="N255" i="71"/>
  <c r="N206" i="71"/>
  <c r="K245" i="71"/>
  <c r="M245" i="71"/>
  <c r="H245" i="71"/>
  <c r="J245" i="71"/>
  <c r="J256" i="71"/>
  <c r="J257" i="71"/>
  <c r="J252" i="71"/>
  <c r="M252" i="71"/>
  <c r="P255" i="71"/>
  <c r="P206" i="71"/>
  <c r="N256" i="71"/>
  <c r="N257" i="71"/>
  <c r="P251" i="71"/>
  <c r="S251" i="71"/>
  <c r="V251" i="71"/>
  <c r="Y251" i="71"/>
  <c r="AB251" i="71"/>
  <c r="AE251" i="71"/>
  <c r="AU251" i="71"/>
  <c r="AT252" i="71"/>
  <c r="AC245" i="71"/>
  <c r="AE245" i="71"/>
  <c r="Z245" i="71"/>
  <c r="AB245" i="71"/>
  <c r="W245" i="71"/>
  <c r="Y245" i="71"/>
  <c r="T245" i="71"/>
  <c r="V245" i="71"/>
  <c r="Q245" i="71"/>
  <c r="S245" i="71"/>
  <c r="N245" i="71"/>
  <c r="P245" i="71"/>
  <c r="P256" i="71"/>
  <c r="P257" i="71"/>
  <c r="P252" i="71"/>
  <c r="S252" i="71"/>
  <c r="V252" i="71"/>
  <c r="Y252" i="71"/>
  <c r="AB252" i="71"/>
  <c r="AE252" i="71"/>
  <c r="AU252" i="71"/>
  <c r="E186" i="71"/>
  <c r="B253" i="71"/>
  <c r="AT253" i="71"/>
  <c r="AC246" i="71"/>
  <c r="AE246" i="71"/>
  <c r="Z246" i="71"/>
  <c r="AB246" i="71"/>
  <c r="W246" i="71"/>
  <c r="Y246" i="71"/>
  <c r="T246" i="71"/>
  <c r="V246" i="71"/>
  <c r="Q246" i="71"/>
  <c r="S246" i="71"/>
  <c r="N246" i="71"/>
  <c r="P246" i="71"/>
  <c r="K246" i="71"/>
  <c r="M246" i="71"/>
  <c r="H246" i="71"/>
  <c r="J246" i="71"/>
  <c r="E246" i="71"/>
  <c r="G246" i="71"/>
  <c r="B246" i="71"/>
  <c r="D246" i="71"/>
  <c r="C253" i="71"/>
  <c r="D253" i="71"/>
  <c r="G253" i="71"/>
  <c r="J253" i="71"/>
  <c r="M253" i="71"/>
  <c r="P253" i="71"/>
  <c r="S253" i="71"/>
  <c r="V253" i="71"/>
  <c r="Y253" i="71"/>
  <c r="AB253" i="71"/>
  <c r="AE253" i="71"/>
  <c r="AU253" i="71"/>
  <c r="AX16" i="71"/>
  <c r="C368" i="71"/>
  <c r="D368" i="71"/>
  <c r="G370" i="71"/>
  <c r="AH264" i="71"/>
  <c r="B350" i="71"/>
  <c r="B367" i="71"/>
  <c r="AX14" i="71"/>
  <c r="C367" i="71"/>
  <c r="D367" i="71"/>
  <c r="E370" i="71"/>
  <c r="G371" i="71"/>
  <c r="G372" i="71"/>
  <c r="G368" i="71"/>
  <c r="J370" i="71"/>
  <c r="J358" i="71"/>
  <c r="J359" i="71"/>
  <c r="J360" i="71"/>
  <c r="J361" i="71"/>
  <c r="B358" i="71"/>
  <c r="B359" i="71"/>
  <c r="B360" i="71"/>
  <c r="B361" i="71"/>
  <c r="D358" i="71"/>
  <c r="D359" i="71"/>
  <c r="D360" i="71"/>
  <c r="D361" i="71"/>
  <c r="H357" i="71"/>
  <c r="B39" i="71"/>
  <c r="D39" i="71"/>
  <c r="B40" i="71"/>
  <c r="D40" i="71"/>
  <c r="B41" i="71"/>
  <c r="D41" i="71"/>
  <c r="B42" i="71"/>
  <c r="D42" i="71"/>
  <c r="B43" i="71"/>
  <c r="D43" i="71"/>
  <c r="B44" i="71"/>
  <c r="B59" i="71"/>
  <c r="D59" i="71"/>
  <c r="E59" i="71"/>
  <c r="G59" i="71"/>
  <c r="H59" i="71"/>
  <c r="J59" i="71"/>
  <c r="K39" i="71"/>
  <c r="M39" i="71"/>
  <c r="K40" i="71"/>
  <c r="M40" i="71"/>
  <c r="K41" i="71"/>
  <c r="M41" i="71"/>
  <c r="K42" i="71"/>
  <c r="M42" i="71"/>
  <c r="K43" i="71"/>
  <c r="M43" i="71"/>
  <c r="K44" i="71"/>
  <c r="K59" i="71"/>
  <c r="M59" i="71"/>
  <c r="N59" i="71"/>
  <c r="P59" i="71"/>
  <c r="Q59" i="71"/>
  <c r="S59" i="71"/>
  <c r="T39" i="71"/>
  <c r="V39" i="71"/>
  <c r="T40" i="71"/>
  <c r="V40" i="71"/>
  <c r="T41" i="71"/>
  <c r="V41" i="71"/>
  <c r="T42" i="71"/>
  <c r="V42" i="71"/>
  <c r="T43" i="71"/>
  <c r="V43" i="71"/>
  <c r="T44" i="71"/>
  <c r="T59" i="71"/>
  <c r="V59" i="71"/>
  <c r="W59" i="71"/>
  <c r="Y59" i="71"/>
  <c r="Z59" i="71"/>
  <c r="AB59" i="71"/>
  <c r="AC59" i="71"/>
  <c r="AC39" i="71"/>
  <c r="AE39" i="71"/>
  <c r="AC40" i="71"/>
  <c r="AE40" i="71"/>
  <c r="AC41" i="71"/>
  <c r="AE41" i="71"/>
  <c r="AC42" i="71"/>
  <c r="AE42" i="71"/>
  <c r="AC43" i="71"/>
  <c r="AE43" i="71"/>
  <c r="AC44" i="71"/>
  <c r="AE59" i="71"/>
  <c r="AF59" i="71"/>
  <c r="B30" i="71"/>
  <c r="D30" i="71"/>
  <c r="AG25" i="71"/>
  <c r="AH25" i="71"/>
  <c r="AI25" i="71"/>
  <c r="K30" i="71"/>
  <c r="M30" i="71"/>
  <c r="AJ25" i="71"/>
  <c r="AK25" i="71"/>
  <c r="AL25" i="71"/>
  <c r="T30" i="71"/>
  <c r="V30" i="71"/>
  <c r="AM25" i="71"/>
  <c r="AN25" i="71"/>
  <c r="AO25" i="71"/>
  <c r="AE30" i="71"/>
  <c r="AC30" i="71"/>
  <c r="AP25" i="71"/>
  <c r="AQ25" i="71"/>
  <c r="Z10" i="71"/>
  <c r="J264" i="71"/>
  <c r="B124" i="71"/>
  <c r="D124" i="71"/>
  <c r="B125" i="71"/>
  <c r="D125" i="71"/>
  <c r="B126" i="71"/>
  <c r="D126" i="71"/>
  <c r="B127" i="71"/>
  <c r="D127" i="71"/>
  <c r="B128" i="71"/>
  <c r="D128" i="71"/>
  <c r="B129" i="71"/>
  <c r="B144" i="71"/>
  <c r="D144" i="71"/>
  <c r="E144" i="71"/>
  <c r="G144" i="71"/>
  <c r="H144" i="71"/>
  <c r="J144" i="71"/>
  <c r="K124" i="71"/>
  <c r="M124" i="71"/>
  <c r="K125" i="71"/>
  <c r="M125" i="71"/>
  <c r="K126" i="71"/>
  <c r="M126" i="71"/>
  <c r="K127" i="71"/>
  <c r="M127" i="71"/>
  <c r="K128" i="71"/>
  <c r="M128" i="71"/>
  <c r="K129" i="71"/>
  <c r="K144" i="71"/>
  <c r="M144" i="71"/>
  <c r="N144" i="71"/>
  <c r="P144" i="71"/>
  <c r="Q144" i="71"/>
  <c r="S144" i="71"/>
  <c r="T124" i="71"/>
  <c r="V124" i="71"/>
  <c r="T125" i="71"/>
  <c r="V125" i="71"/>
  <c r="T126" i="71"/>
  <c r="V126" i="71"/>
  <c r="T127" i="71"/>
  <c r="V127" i="71"/>
  <c r="T128" i="71"/>
  <c r="V128" i="71"/>
  <c r="T129" i="71"/>
  <c r="T144" i="71"/>
  <c r="V144" i="71"/>
  <c r="W144" i="71"/>
  <c r="Y144" i="71"/>
  <c r="Z144" i="71"/>
  <c r="AB144" i="71"/>
  <c r="AC144" i="71"/>
  <c r="AC124" i="71"/>
  <c r="AE124" i="71"/>
  <c r="AC125" i="71"/>
  <c r="AE125" i="71"/>
  <c r="AC126" i="71"/>
  <c r="AE126" i="71"/>
  <c r="AC127" i="71"/>
  <c r="AE127" i="71"/>
  <c r="AC128" i="71"/>
  <c r="AE128" i="71"/>
  <c r="AC129" i="71"/>
  <c r="AE144" i="71"/>
  <c r="AF144" i="71"/>
  <c r="B115" i="71"/>
  <c r="D115" i="71"/>
  <c r="AG110" i="71"/>
  <c r="AH110" i="71"/>
  <c r="AI110" i="71"/>
  <c r="K115" i="71"/>
  <c r="M115" i="71"/>
  <c r="AJ110" i="71"/>
  <c r="AK110" i="71"/>
  <c r="AL110" i="71"/>
  <c r="T115" i="71"/>
  <c r="V115" i="71"/>
  <c r="AM110" i="71"/>
  <c r="AN110" i="71"/>
  <c r="AO110" i="71"/>
  <c r="AE115" i="71"/>
  <c r="AC115" i="71"/>
  <c r="AP110" i="71"/>
  <c r="AQ110" i="71"/>
  <c r="Z95" i="71"/>
  <c r="J265" i="71"/>
  <c r="B228" i="71"/>
  <c r="D228" i="71"/>
  <c r="E209" i="71"/>
  <c r="G209" i="71"/>
  <c r="E210" i="71"/>
  <c r="G210" i="71"/>
  <c r="E211" i="71"/>
  <c r="G211" i="71"/>
  <c r="E212" i="71"/>
  <c r="G212" i="71"/>
  <c r="E213" i="71"/>
  <c r="G213" i="71"/>
  <c r="E214" i="71"/>
  <c r="E228" i="71"/>
  <c r="G228" i="71"/>
  <c r="H228" i="71"/>
  <c r="J228" i="71"/>
  <c r="K209" i="71"/>
  <c r="M209" i="71"/>
  <c r="K210" i="71"/>
  <c r="M210" i="71"/>
  <c r="K211" i="71"/>
  <c r="M211" i="71"/>
  <c r="K212" i="71"/>
  <c r="M212" i="71"/>
  <c r="K213" i="71"/>
  <c r="M213" i="71"/>
  <c r="K214" i="71"/>
  <c r="K228" i="71"/>
  <c r="M228" i="71"/>
  <c r="N228" i="71"/>
  <c r="P228" i="71"/>
  <c r="Q209" i="71"/>
  <c r="S209" i="71"/>
  <c r="Q210" i="71"/>
  <c r="S210" i="71"/>
  <c r="Q211" i="71"/>
  <c r="S211" i="71"/>
  <c r="Q212" i="71"/>
  <c r="S212" i="71"/>
  <c r="Q213" i="71"/>
  <c r="S213" i="71"/>
  <c r="Q214" i="71"/>
  <c r="Q228" i="71"/>
  <c r="S228" i="71"/>
  <c r="T228" i="71"/>
  <c r="V228" i="71"/>
  <c r="W228" i="71"/>
  <c r="Y228" i="71"/>
  <c r="Z228" i="71"/>
  <c r="AB228" i="71"/>
  <c r="AC228" i="71"/>
  <c r="AE228" i="71"/>
  <c r="AF228" i="71"/>
  <c r="AG194" i="71"/>
  <c r="E200" i="71"/>
  <c r="G200" i="71"/>
  <c r="AH194" i="71"/>
  <c r="AI194" i="71"/>
  <c r="K200" i="71"/>
  <c r="M200" i="71"/>
  <c r="AJ194" i="71"/>
  <c r="AK194" i="71"/>
  <c r="Q200" i="71"/>
  <c r="S200" i="71"/>
  <c r="AL194" i="71"/>
  <c r="AM194" i="71"/>
  <c r="AN194" i="71"/>
  <c r="AO194" i="71"/>
  <c r="AP194" i="71"/>
  <c r="AQ194" i="71"/>
  <c r="Z178" i="71"/>
  <c r="J266" i="71"/>
  <c r="B58" i="71"/>
  <c r="D58" i="71"/>
  <c r="E39" i="71"/>
  <c r="G39" i="71"/>
  <c r="E40" i="71"/>
  <c r="G40" i="71"/>
  <c r="E41" i="71"/>
  <c r="G41" i="71"/>
  <c r="E42" i="71"/>
  <c r="G42" i="71"/>
  <c r="E43" i="71"/>
  <c r="G43" i="71"/>
  <c r="E44" i="71"/>
  <c r="E58" i="71"/>
  <c r="G58" i="71"/>
  <c r="H58" i="71"/>
  <c r="J58" i="71"/>
  <c r="K58" i="71"/>
  <c r="M58" i="71"/>
  <c r="N39" i="71"/>
  <c r="P39" i="71"/>
  <c r="N40" i="71"/>
  <c r="P40" i="71"/>
  <c r="N41" i="71"/>
  <c r="P41" i="71"/>
  <c r="N42" i="71"/>
  <c r="P42" i="71"/>
  <c r="N43" i="71"/>
  <c r="P43" i="71"/>
  <c r="N44" i="71"/>
  <c r="N58" i="71"/>
  <c r="P58" i="71"/>
  <c r="Q58" i="71"/>
  <c r="S58" i="71"/>
  <c r="T58" i="71"/>
  <c r="V58" i="71"/>
  <c r="W39" i="71"/>
  <c r="Y39" i="71"/>
  <c r="W40" i="71"/>
  <c r="Y40" i="71"/>
  <c r="W41" i="71"/>
  <c r="Y41" i="71"/>
  <c r="W42" i="71"/>
  <c r="Y42" i="71"/>
  <c r="W43" i="71"/>
  <c r="Y43" i="71"/>
  <c r="W44" i="71"/>
  <c r="W58" i="71"/>
  <c r="Y58" i="71"/>
  <c r="Z58" i="71"/>
  <c r="AB58" i="71"/>
  <c r="AC58" i="71"/>
  <c r="AE58" i="71"/>
  <c r="AF58" i="71"/>
  <c r="AG24" i="71"/>
  <c r="E30" i="71"/>
  <c r="G30" i="71"/>
  <c r="AH24" i="71"/>
  <c r="AI24" i="71"/>
  <c r="AJ24" i="71"/>
  <c r="N30" i="71"/>
  <c r="P30" i="71"/>
  <c r="AK24" i="71"/>
  <c r="AL24" i="71"/>
  <c r="AM24" i="71"/>
  <c r="W30" i="71"/>
  <c r="Y30" i="71"/>
  <c r="AN24" i="71"/>
  <c r="AO24" i="71"/>
  <c r="AP24" i="71"/>
  <c r="AQ24" i="71"/>
  <c r="Z8" i="71"/>
  <c r="AF264" i="71"/>
  <c r="B145" i="71"/>
  <c r="D145" i="71"/>
  <c r="E145" i="71"/>
  <c r="G145" i="71"/>
  <c r="H124" i="71"/>
  <c r="J124" i="71"/>
  <c r="H125" i="71"/>
  <c r="J125" i="71"/>
  <c r="H126" i="71"/>
  <c r="J126" i="71"/>
  <c r="H127" i="71"/>
  <c r="J127" i="71"/>
  <c r="H128" i="71"/>
  <c r="J128" i="71"/>
  <c r="H129" i="71"/>
  <c r="H145" i="71"/>
  <c r="J145" i="71"/>
  <c r="K145" i="71"/>
  <c r="M145" i="71"/>
  <c r="N145" i="71"/>
  <c r="N124" i="71"/>
  <c r="P124" i="71"/>
  <c r="N125" i="71"/>
  <c r="P125" i="71"/>
  <c r="N126" i="71"/>
  <c r="P126" i="71"/>
  <c r="N127" i="71"/>
  <c r="P127" i="71"/>
  <c r="N128" i="71"/>
  <c r="P128" i="71"/>
  <c r="N129" i="71"/>
  <c r="P145" i="71"/>
  <c r="Q145" i="71"/>
  <c r="S145" i="71"/>
  <c r="T145" i="71"/>
  <c r="V145" i="71"/>
  <c r="W145" i="71"/>
  <c r="Y145" i="71"/>
  <c r="Z124" i="71"/>
  <c r="AB124" i="71"/>
  <c r="Z125" i="71"/>
  <c r="AB125" i="71"/>
  <c r="Z126" i="71"/>
  <c r="AB126" i="71"/>
  <c r="Z127" i="71"/>
  <c r="AB127" i="71"/>
  <c r="Z128" i="71"/>
  <c r="AB128" i="71"/>
  <c r="Z129" i="71"/>
  <c r="Z145" i="71"/>
  <c r="AB145" i="71"/>
  <c r="AC145" i="71"/>
  <c r="AE145" i="71"/>
  <c r="AF145" i="71"/>
  <c r="AG111" i="71"/>
  <c r="AH111" i="71"/>
  <c r="H115" i="71"/>
  <c r="J115" i="71"/>
  <c r="AI111" i="71"/>
  <c r="AJ111" i="71"/>
  <c r="P115" i="71"/>
  <c r="N115" i="71"/>
  <c r="AK111" i="71"/>
  <c r="AL111" i="71"/>
  <c r="AM111" i="71"/>
  <c r="AN111" i="71"/>
  <c r="Z115" i="71"/>
  <c r="AB115" i="71"/>
  <c r="AO111" i="71"/>
  <c r="AP111" i="71"/>
  <c r="AQ111" i="71"/>
  <c r="Z97" i="71"/>
  <c r="AF265" i="71"/>
  <c r="B230" i="71"/>
  <c r="B209" i="71"/>
  <c r="D209" i="71"/>
  <c r="B210" i="71"/>
  <c r="D210" i="71"/>
  <c r="B211" i="71"/>
  <c r="D211" i="71"/>
  <c r="B212" i="71"/>
  <c r="D212" i="71"/>
  <c r="B213" i="71"/>
  <c r="D213" i="71"/>
  <c r="B214" i="71"/>
  <c r="D230" i="71"/>
  <c r="E230" i="71"/>
  <c r="G230" i="71"/>
  <c r="H230" i="71"/>
  <c r="J230" i="71"/>
  <c r="K230" i="71"/>
  <c r="M230" i="71"/>
  <c r="N209" i="71"/>
  <c r="P209" i="71"/>
  <c r="N210" i="71"/>
  <c r="P210" i="71"/>
  <c r="N211" i="71"/>
  <c r="P211" i="71"/>
  <c r="N212" i="71"/>
  <c r="P212" i="71"/>
  <c r="N213" i="71"/>
  <c r="P213" i="71"/>
  <c r="N214" i="71"/>
  <c r="N230" i="71"/>
  <c r="P230" i="71"/>
  <c r="Q230" i="71"/>
  <c r="S230" i="71"/>
  <c r="T230" i="71"/>
  <c r="V230" i="71"/>
  <c r="W230" i="71"/>
  <c r="Y230" i="71"/>
  <c r="Z230" i="71"/>
  <c r="AB230" i="71"/>
  <c r="AC230" i="71"/>
  <c r="AE230" i="71"/>
  <c r="AF230" i="71"/>
  <c r="D200" i="71"/>
  <c r="B200" i="71"/>
  <c r="AG196" i="71"/>
  <c r="AH196" i="71"/>
  <c r="AI196" i="71"/>
  <c r="AJ196" i="71"/>
  <c r="N200" i="71"/>
  <c r="P200" i="71"/>
  <c r="AK196" i="71"/>
  <c r="AL196" i="71"/>
  <c r="AM196" i="71"/>
  <c r="AN196" i="71"/>
  <c r="AO196" i="71"/>
  <c r="AP196" i="71"/>
  <c r="AQ196" i="71"/>
  <c r="Z182" i="71"/>
  <c r="AF266" i="71"/>
  <c r="AG264" i="71"/>
  <c r="AG265" i="71"/>
  <c r="AG266" i="71"/>
  <c r="X266" i="71"/>
  <c r="X271" i="71"/>
  <c r="B349" i="71"/>
  <c r="B366" i="71"/>
  <c r="AX11" i="71"/>
  <c r="C366" i="71"/>
  <c r="B370" i="71"/>
  <c r="AH266" i="71"/>
  <c r="B352" i="71"/>
  <c r="B369" i="71"/>
  <c r="AX12" i="71"/>
  <c r="C369" i="71"/>
  <c r="D370" i="71"/>
  <c r="B371" i="71"/>
  <c r="B372" i="71"/>
  <c r="D366" i="71"/>
  <c r="G366" i="71"/>
  <c r="H370" i="71"/>
  <c r="H358" i="71"/>
  <c r="H359" i="71"/>
  <c r="H360" i="71"/>
  <c r="H361" i="71"/>
  <c r="J371" i="71"/>
  <c r="J372" i="71"/>
  <c r="H371" i="71"/>
  <c r="H372" i="71"/>
  <c r="E371" i="71"/>
  <c r="E372" i="71"/>
  <c r="D371" i="71"/>
  <c r="D372" i="71"/>
  <c r="AU371" i="71"/>
  <c r="AT371" i="71"/>
  <c r="AU370" i="71"/>
  <c r="AT370" i="71"/>
  <c r="AU369" i="71"/>
  <c r="AT369" i="71"/>
  <c r="D369" i="71"/>
  <c r="G369" i="71"/>
  <c r="J369" i="71"/>
  <c r="AU368" i="71"/>
  <c r="AT368" i="71"/>
  <c r="J368" i="71"/>
  <c r="AU367" i="71"/>
  <c r="AT367" i="71"/>
  <c r="G367" i="71"/>
  <c r="J367" i="71"/>
  <c r="AU366" i="71"/>
  <c r="AT366" i="71"/>
  <c r="J366" i="71"/>
  <c r="AU365" i="71"/>
  <c r="AT365" i="71"/>
  <c r="K362" i="71"/>
  <c r="E185" i="71"/>
  <c r="AK266" i="71"/>
  <c r="K352" i="71"/>
  <c r="E102" i="71"/>
  <c r="AK265" i="71"/>
  <c r="K351" i="71"/>
  <c r="E15" i="71"/>
  <c r="AK264" i="71"/>
  <c r="K350" i="71"/>
  <c r="E183" i="71"/>
  <c r="AC266" i="71"/>
  <c r="AF271" i="71"/>
  <c r="K349" i="71"/>
  <c r="A343" i="71"/>
  <c r="F342" i="71"/>
  <c r="A338" i="71"/>
  <c r="J337" i="71"/>
  <c r="A334" i="71"/>
  <c r="F332" i="71"/>
  <c r="A332" i="71"/>
  <c r="A329" i="71"/>
  <c r="W310" i="71"/>
  <c r="W311" i="71"/>
  <c r="W312" i="71"/>
  <c r="W313" i="71"/>
  <c r="Y310" i="71"/>
  <c r="Y311" i="71"/>
  <c r="Y312" i="71"/>
  <c r="Y313" i="71"/>
  <c r="AC309" i="71"/>
  <c r="Z310" i="71"/>
  <c r="Z311" i="71"/>
  <c r="Z312" i="71"/>
  <c r="Z313" i="71"/>
  <c r="AB310" i="71"/>
  <c r="AB311" i="71"/>
  <c r="AB312" i="71"/>
  <c r="AB313" i="71"/>
  <c r="AE309" i="71"/>
  <c r="X265" i="71"/>
  <c r="X270" i="71"/>
  <c r="X304" i="71"/>
  <c r="W321" i="71"/>
  <c r="B60" i="71"/>
  <c r="D60" i="71"/>
  <c r="E60" i="71"/>
  <c r="G60" i="71"/>
  <c r="H39" i="71"/>
  <c r="J39" i="71"/>
  <c r="H40" i="71"/>
  <c r="J40" i="71"/>
  <c r="H41" i="71"/>
  <c r="J41" i="71"/>
  <c r="H42" i="71"/>
  <c r="J42" i="71"/>
  <c r="H43" i="71"/>
  <c r="J43" i="71"/>
  <c r="H44" i="71"/>
  <c r="H60" i="71"/>
  <c r="J60" i="71"/>
  <c r="K60" i="71"/>
  <c r="M60" i="71"/>
  <c r="N60" i="71"/>
  <c r="P60" i="71"/>
  <c r="Q60" i="71"/>
  <c r="S60" i="71"/>
  <c r="T60" i="71"/>
  <c r="V60" i="71"/>
  <c r="W60" i="71"/>
  <c r="Y60" i="71"/>
  <c r="Z39" i="71"/>
  <c r="AB39" i="71"/>
  <c r="Z40" i="71"/>
  <c r="AB40" i="71"/>
  <c r="Z41" i="71"/>
  <c r="AB41" i="71"/>
  <c r="Z42" i="71"/>
  <c r="AB42" i="71"/>
  <c r="Z43" i="71"/>
  <c r="AB43" i="71"/>
  <c r="Z44" i="71"/>
  <c r="Z60" i="71"/>
  <c r="AB60" i="71"/>
  <c r="AC60" i="71"/>
  <c r="AE60" i="71"/>
  <c r="AF60" i="71"/>
  <c r="AG26" i="71"/>
  <c r="AH26" i="71"/>
  <c r="H30" i="71"/>
  <c r="J30" i="71"/>
  <c r="AI26" i="71"/>
  <c r="AJ26" i="71"/>
  <c r="AK26" i="71"/>
  <c r="AL26" i="71"/>
  <c r="AM26" i="71"/>
  <c r="AN26" i="71"/>
  <c r="Z30" i="71"/>
  <c r="AB30" i="71"/>
  <c r="AO26" i="71"/>
  <c r="AP26" i="71"/>
  <c r="AQ26" i="71"/>
  <c r="Z12" i="71"/>
  <c r="U264" i="71"/>
  <c r="B143" i="71"/>
  <c r="D143" i="71"/>
  <c r="E124" i="71"/>
  <c r="G124" i="71"/>
  <c r="E125" i="71"/>
  <c r="G125" i="71"/>
  <c r="E126" i="71"/>
  <c r="G126" i="71"/>
  <c r="E127" i="71"/>
  <c r="G127" i="71"/>
  <c r="E128" i="71"/>
  <c r="G128" i="71"/>
  <c r="E129" i="71"/>
  <c r="E143" i="71"/>
  <c r="G143" i="71"/>
  <c r="H143" i="71"/>
  <c r="J143" i="71"/>
  <c r="K143" i="71"/>
  <c r="M143" i="71"/>
  <c r="N143" i="71"/>
  <c r="P143" i="71"/>
  <c r="Q143" i="71"/>
  <c r="S143" i="71"/>
  <c r="T143" i="71"/>
  <c r="V143" i="71"/>
  <c r="W124" i="71"/>
  <c r="Y124" i="71"/>
  <c r="W125" i="71"/>
  <c r="Y125" i="71"/>
  <c r="W126" i="71"/>
  <c r="Y126" i="71"/>
  <c r="W127" i="71"/>
  <c r="Y127" i="71"/>
  <c r="W128" i="71"/>
  <c r="Y128" i="71"/>
  <c r="W129" i="71"/>
  <c r="W143" i="71"/>
  <c r="Y143" i="71"/>
  <c r="Z143" i="71"/>
  <c r="AB143" i="71"/>
  <c r="AC143" i="71"/>
  <c r="AE143" i="71"/>
  <c r="AF143" i="71"/>
  <c r="AG109" i="71"/>
  <c r="E115" i="71"/>
  <c r="G115" i="71"/>
  <c r="AH109" i="71"/>
  <c r="AI109" i="71"/>
  <c r="AJ109" i="71"/>
  <c r="AK109" i="71"/>
  <c r="AL109" i="71"/>
  <c r="AM109" i="71"/>
  <c r="W115" i="71"/>
  <c r="Y115" i="71"/>
  <c r="AN109" i="71"/>
  <c r="AO109" i="71"/>
  <c r="AP109" i="71"/>
  <c r="AQ109" i="71"/>
  <c r="Z93" i="71"/>
  <c r="U265" i="71"/>
  <c r="B229" i="71"/>
  <c r="D229" i="71"/>
  <c r="E229" i="71"/>
  <c r="G229" i="71"/>
  <c r="H209" i="71"/>
  <c r="J209" i="71"/>
  <c r="H210" i="71"/>
  <c r="J210" i="71"/>
  <c r="H211" i="71"/>
  <c r="J211" i="71"/>
  <c r="H212" i="71"/>
  <c r="J212" i="71"/>
  <c r="H213" i="71"/>
  <c r="J213" i="71"/>
  <c r="H214" i="71"/>
  <c r="H229" i="71"/>
  <c r="J229" i="71"/>
  <c r="K229" i="71"/>
  <c r="M229" i="71"/>
  <c r="N229" i="71"/>
  <c r="P229" i="71"/>
  <c r="Q229" i="71"/>
  <c r="S229" i="71"/>
  <c r="T229" i="71"/>
  <c r="V229" i="71"/>
  <c r="W229" i="71"/>
  <c r="Y229" i="71"/>
  <c r="Z229" i="71"/>
  <c r="AB229" i="71"/>
  <c r="AC229" i="71"/>
  <c r="AE229" i="71"/>
  <c r="AF229" i="71"/>
  <c r="AG195" i="71"/>
  <c r="AH195" i="71"/>
  <c r="H200" i="71"/>
  <c r="J200" i="71"/>
  <c r="AI195" i="71"/>
  <c r="AJ195" i="71"/>
  <c r="AK195" i="71"/>
  <c r="AL195" i="71"/>
  <c r="AM195" i="71"/>
  <c r="AN195" i="71"/>
  <c r="AO195" i="71"/>
  <c r="AP195" i="71"/>
  <c r="AQ195" i="71"/>
  <c r="Z180" i="71"/>
  <c r="U266" i="71"/>
  <c r="W264" i="71"/>
  <c r="W265" i="71"/>
  <c r="W266" i="71"/>
  <c r="M266" i="71"/>
  <c r="M270" i="71"/>
  <c r="X301" i="71"/>
  <c r="W318" i="71"/>
  <c r="AT324" i="71"/>
  <c r="X264" i="71"/>
  <c r="X269" i="71"/>
  <c r="X303" i="71"/>
  <c r="W320" i="71"/>
  <c r="M264" i="71"/>
  <c r="M271" i="71"/>
  <c r="X302" i="71"/>
  <c r="W319" i="71"/>
  <c r="AE310" i="71"/>
  <c r="AE311" i="71"/>
  <c r="AE312" i="71"/>
  <c r="AE313" i="71"/>
  <c r="AC310" i="71"/>
  <c r="AC311" i="71"/>
  <c r="AC312" i="71"/>
  <c r="AC313" i="71"/>
  <c r="AE323" i="71"/>
  <c r="AE324" i="71"/>
  <c r="Z323" i="71"/>
  <c r="Z324" i="71"/>
  <c r="E310" i="71"/>
  <c r="E311" i="71"/>
  <c r="E312" i="71"/>
  <c r="E313" i="71"/>
  <c r="G310" i="71"/>
  <c r="G311" i="71"/>
  <c r="G312" i="71"/>
  <c r="G313" i="71"/>
  <c r="J309" i="71"/>
  <c r="B266" i="71"/>
  <c r="B303" i="71"/>
  <c r="B320" i="71"/>
  <c r="B265" i="71"/>
  <c r="B302" i="71"/>
  <c r="B319" i="71"/>
  <c r="J310" i="71"/>
  <c r="J311" i="71"/>
  <c r="J312" i="71"/>
  <c r="J313" i="71"/>
  <c r="B310" i="71"/>
  <c r="B311" i="71"/>
  <c r="B312" i="71"/>
  <c r="B313" i="71"/>
  <c r="D310" i="71"/>
  <c r="D311" i="71"/>
  <c r="D312" i="71"/>
  <c r="D313" i="71"/>
  <c r="H309" i="71"/>
  <c r="B264" i="71"/>
  <c r="B301" i="71"/>
  <c r="B318" i="71"/>
  <c r="M265" i="71"/>
  <c r="M269" i="71"/>
  <c r="B304" i="71"/>
  <c r="B321" i="71"/>
  <c r="H310" i="71"/>
  <c r="H311" i="71"/>
  <c r="H312" i="71"/>
  <c r="H313" i="71"/>
  <c r="J323" i="71"/>
  <c r="J324" i="71"/>
  <c r="D323" i="71"/>
  <c r="D324" i="71"/>
  <c r="AE320" i="71"/>
  <c r="AU323" i="71"/>
  <c r="AT323" i="71"/>
  <c r="AB319" i="71"/>
  <c r="AE319" i="71"/>
  <c r="AU322" i="71"/>
  <c r="AT322" i="71"/>
  <c r="AT321" i="71"/>
  <c r="D321" i="71"/>
  <c r="G321" i="71"/>
  <c r="J321" i="71"/>
  <c r="AU320" i="71"/>
  <c r="AT320" i="71"/>
  <c r="J320" i="71"/>
  <c r="AU319" i="71"/>
  <c r="AT319" i="71"/>
  <c r="AT318" i="71"/>
  <c r="AT317" i="71"/>
  <c r="AF314" i="71"/>
  <c r="K314" i="71"/>
  <c r="E98" i="71"/>
  <c r="AC265" i="71"/>
  <c r="AF270" i="71"/>
  <c r="AG304" i="71"/>
  <c r="E94" i="71"/>
  <c r="R265" i="71"/>
  <c r="T269" i="71"/>
  <c r="K304" i="71"/>
  <c r="E9" i="71"/>
  <c r="AC264" i="71"/>
  <c r="AF269" i="71"/>
  <c r="AG303" i="71"/>
  <c r="E179" i="71"/>
  <c r="F266" i="71"/>
  <c r="K303" i="71"/>
  <c r="E13" i="71"/>
  <c r="R264" i="71"/>
  <c r="T271" i="71"/>
  <c r="AG302" i="71"/>
  <c r="E96" i="71"/>
  <c r="F265" i="71"/>
  <c r="K302" i="71"/>
  <c r="E181" i="71"/>
  <c r="R266" i="71"/>
  <c r="T270" i="71"/>
  <c r="AG301" i="71"/>
  <c r="E11" i="71"/>
  <c r="F264" i="71"/>
  <c r="K301" i="71"/>
  <c r="V295" i="71"/>
  <c r="A295" i="71"/>
  <c r="AC294" i="71"/>
  <c r="F294" i="71"/>
  <c r="V290" i="71"/>
  <c r="A290" i="71"/>
  <c r="AG289" i="71"/>
  <c r="J289" i="71"/>
  <c r="V286" i="71"/>
  <c r="A286" i="71"/>
  <c r="AC284" i="71"/>
  <c r="U284" i="71"/>
  <c r="F284" i="71"/>
  <c r="A284" i="71"/>
  <c r="V281" i="71"/>
  <c r="A281" i="71"/>
  <c r="B61" i="71"/>
  <c r="D61" i="71"/>
  <c r="E61" i="71"/>
  <c r="G61" i="71"/>
  <c r="H61" i="71"/>
  <c r="J61" i="71"/>
  <c r="K61" i="71"/>
  <c r="M61" i="71"/>
  <c r="N61" i="71"/>
  <c r="P61" i="71"/>
  <c r="Q39" i="71"/>
  <c r="S39" i="71"/>
  <c r="Q40" i="71"/>
  <c r="S40" i="71"/>
  <c r="Q41" i="71"/>
  <c r="S41" i="71"/>
  <c r="Q42" i="71"/>
  <c r="S42" i="71"/>
  <c r="Q43" i="71"/>
  <c r="S43" i="71"/>
  <c r="Q44" i="71"/>
  <c r="Q61" i="71"/>
  <c r="S61" i="71"/>
  <c r="T61" i="71"/>
  <c r="V61" i="71"/>
  <c r="W61" i="71"/>
  <c r="Y61" i="71"/>
  <c r="Z61" i="71"/>
  <c r="AB61" i="71"/>
  <c r="AC61" i="71"/>
  <c r="AE61" i="71"/>
  <c r="AF61" i="71"/>
  <c r="AG27" i="71"/>
  <c r="AH27" i="71"/>
  <c r="AI27" i="71"/>
  <c r="AJ27" i="71"/>
  <c r="AK27" i="71"/>
  <c r="Q30" i="71"/>
  <c r="S30" i="71"/>
  <c r="AL27" i="71"/>
  <c r="AM27" i="71"/>
  <c r="AN27" i="71"/>
  <c r="AO27" i="71"/>
  <c r="AP27" i="71"/>
  <c r="AQ27" i="71"/>
  <c r="Z14" i="71"/>
  <c r="AN264" i="71"/>
  <c r="B147" i="71"/>
  <c r="D147" i="71"/>
  <c r="E147" i="71"/>
  <c r="G147" i="71"/>
  <c r="H147" i="71"/>
  <c r="J147" i="71"/>
  <c r="K147" i="71"/>
  <c r="M147" i="71"/>
  <c r="N147" i="71"/>
  <c r="P147" i="71"/>
  <c r="Q147" i="71"/>
  <c r="Q124" i="71"/>
  <c r="S124" i="71"/>
  <c r="Q125" i="71"/>
  <c r="S125" i="71"/>
  <c r="Q126" i="71"/>
  <c r="S126" i="71"/>
  <c r="Q127" i="71"/>
  <c r="S127" i="71"/>
  <c r="Q128" i="71"/>
  <c r="S128" i="71"/>
  <c r="Q129" i="71"/>
  <c r="S147" i="71"/>
  <c r="T147" i="71"/>
  <c r="V147" i="71"/>
  <c r="W147" i="71"/>
  <c r="Y147" i="71"/>
  <c r="Z147" i="71"/>
  <c r="AB147" i="71"/>
  <c r="AC147" i="71"/>
  <c r="AE147" i="71"/>
  <c r="AF147" i="71"/>
  <c r="AG113" i="71"/>
  <c r="AH113" i="71"/>
  <c r="AI113" i="71"/>
  <c r="AJ113" i="71"/>
  <c r="AK113" i="71"/>
  <c r="S115" i="71"/>
  <c r="Q115" i="71"/>
  <c r="AL113" i="71"/>
  <c r="AM113" i="71"/>
  <c r="AN113" i="71"/>
  <c r="AO113" i="71"/>
  <c r="AP113" i="71"/>
  <c r="AQ113" i="71"/>
  <c r="Z101" i="71"/>
  <c r="AN265" i="71"/>
  <c r="B231" i="71"/>
  <c r="D231" i="71"/>
  <c r="E231" i="71"/>
  <c r="G231" i="71"/>
  <c r="H231" i="71"/>
  <c r="J231" i="71"/>
  <c r="K231" i="71"/>
  <c r="M231" i="71"/>
  <c r="N231" i="71"/>
  <c r="P231" i="71"/>
  <c r="Q231" i="71"/>
  <c r="S231" i="71"/>
  <c r="T231" i="71"/>
  <c r="V231" i="71"/>
  <c r="W231" i="71"/>
  <c r="Y231" i="71"/>
  <c r="Z231" i="71"/>
  <c r="AB231" i="71"/>
  <c r="AC231" i="71"/>
  <c r="AE231" i="71"/>
  <c r="AF231" i="71"/>
  <c r="AG197" i="71"/>
  <c r="AH197" i="71"/>
  <c r="AI197" i="71"/>
  <c r="AJ197" i="71"/>
  <c r="AK197" i="71"/>
  <c r="AL197" i="71"/>
  <c r="AM197" i="71"/>
  <c r="AN197" i="71"/>
  <c r="AO197" i="71"/>
  <c r="AP197" i="71"/>
  <c r="AQ197" i="71"/>
  <c r="Z184" i="71"/>
  <c r="AN266" i="71"/>
  <c r="AP264" i="71"/>
  <c r="AP265" i="71"/>
  <c r="AP266" i="71"/>
  <c r="AN271" i="71"/>
  <c r="AH271" i="71"/>
  <c r="L264" i="71"/>
  <c r="I271" i="71"/>
  <c r="B271" i="71"/>
  <c r="AN270" i="71"/>
  <c r="AH270" i="71"/>
  <c r="L265" i="71"/>
  <c r="L266" i="71"/>
  <c r="I270" i="71"/>
  <c r="B270" i="71"/>
  <c r="AN269" i="71"/>
  <c r="AH269" i="71"/>
  <c r="I269" i="71"/>
  <c r="B269" i="71"/>
  <c r="A259" i="71"/>
  <c r="AE255" i="71"/>
  <c r="AE201" i="71"/>
  <c r="AE202" i="71"/>
  <c r="AE203" i="71"/>
  <c r="AE204" i="71"/>
  <c r="AE205" i="71"/>
  <c r="AE206" i="71"/>
  <c r="AC255" i="71"/>
  <c r="AC201" i="71"/>
  <c r="AC202" i="71"/>
  <c r="AC203" i="71"/>
  <c r="AC204" i="71"/>
  <c r="AC205" i="71"/>
  <c r="AC206" i="71"/>
  <c r="AE256" i="71"/>
  <c r="AE257" i="71"/>
  <c r="AC256" i="71"/>
  <c r="AC257" i="71"/>
  <c r="AB255" i="71"/>
  <c r="AB201" i="71"/>
  <c r="AB202" i="71"/>
  <c r="AB203" i="71"/>
  <c r="AB204" i="71"/>
  <c r="AB205" i="71"/>
  <c r="AB206" i="71"/>
  <c r="Z255" i="71"/>
  <c r="Z201" i="71"/>
  <c r="Z202" i="71"/>
  <c r="Z203" i="71"/>
  <c r="Z204" i="71"/>
  <c r="Z205" i="71"/>
  <c r="Z206" i="71"/>
  <c r="AB256" i="71"/>
  <c r="AB257" i="71"/>
  <c r="Z256" i="71"/>
  <c r="Z257" i="71"/>
  <c r="Y255" i="71"/>
  <c r="Y201" i="71"/>
  <c r="Y202" i="71"/>
  <c r="Y203" i="71"/>
  <c r="Y204" i="71"/>
  <c r="Y205" i="71"/>
  <c r="Y206" i="71"/>
  <c r="W255" i="71"/>
  <c r="W201" i="71"/>
  <c r="W202" i="71"/>
  <c r="W203" i="71"/>
  <c r="W204" i="71"/>
  <c r="W205" i="71"/>
  <c r="W206" i="71"/>
  <c r="Y256" i="71"/>
  <c r="Y257" i="71"/>
  <c r="W256" i="71"/>
  <c r="W257" i="71"/>
  <c r="V255" i="71"/>
  <c r="V201" i="71"/>
  <c r="V202" i="71"/>
  <c r="V203" i="71"/>
  <c r="V204" i="71"/>
  <c r="V205" i="71"/>
  <c r="V206" i="71"/>
  <c r="T255" i="71"/>
  <c r="T201" i="71"/>
  <c r="T202" i="71"/>
  <c r="T203" i="71"/>
  <c r="T204" i="71"/>
  <c r="T205" i="71"/>
  <c r="T206" i="71"/>
  <c r="V256" i="71"/>
  <c r="V257" i="71"/>
  <c r="T256" i="71"/>
  <c r="T257" i="71"/>
  <c r="AF246" i="71"/>
  <c r="AF245" i="71"/>
  <c r="P244" i="71"/>
  <c r="AF244" i="71"/>
  <c r="D243" i="71"/>
  <c r="J243" i="71"/>
  <c r="AF243" i="71"/>
  <c r="G242" i="71"/>
  <c r="M242" i="71"/>
  <c r="S242" i="71"/>
  <c r="AF242" i="71"/>
  <c r="AC234" i="71"/>
  <c r="AE234" i="71"/>
  <c r="AC235" i="71"/>
  <c r="AE235" i="71"/>
  <c r="AC236" i="71"/>
  <c r="AE236" i="71"/>
  <c r="AC237" i="71"/>
  <c r="AE237" i="71"/>
  <c r="AC238" i="71"/>
  <c r="AE238" i="71"/>
  <c r="AD241" i="71"/>
  <c r="Z234" i="71"/>
  <c r="AB234" i="71"/>
  <c r="Z235" i="71"/>
  <c r="AB235" i="71"/>
  <c r="Z236" i="71"/>
  <c r="AB236" i="71"/>
  <c r="Z237" i="71"/>
  <c r="AB237" i="71"/>
  <c r="Z238" i="71"/>
  <c r="AB238" i="71"/>
  <c r="AA241" i="71"/>
  <c r="W234" i="71"/>
  <c r="Y234" i="71"/>
  <c r="W235" i="71"/>
  <c r="Y235" i="71"/>
  <c r="W236" i="71"/>
  <c r="Y236" i="71"/>
  <c r="W237" i="71"/>
  <c r="Y237" i="71"/>
  <c r="W238" i="71"/>
  <c r="Y238" i="71"/>
  <c r="X241" i="71"/>
  <c r="T234" i="71"/>
  <c r="V234" i="71"/>
  <c r="T235" i="71"/>
  <c r="V235" i="71"/>
  <c r="T236" i="71"/>
  <c r="V236" i="71"/>
  <c r="T237" i="71"/>
  <c r="V237" i="71"/>
  <c r="T238" i="71"/>
  <c r="V238" i="71"/>
  <c r="U241" i="71"/>
  <c r="AF238" i="71"/>
  <c r="AG238" i="71"/>
  <c r="AF237" i="71"/>
  <c r="AG237" i="71"/>
  <c r="AF236" i="71"/>
  <c r="AG236" i="71"/>
  <c r="AF235" i="71"/>
  <c r="AG235" i="71"/>
  <c r="AF234" i="71"/>
  <c r="AG234" i="71"/>
  <c r="B232" i="71"/>
  <c r="D232" i="71"/>
  <c r="E232" i="71"/>
  <c r="G232" i="71"/>
  <c r="H232" i="71"/>
  <c r="J232" i="71"/>
  <c r="K232" i="71"/>
  <c r="M232" i="71"/>
  <c r="N232" i="71"/>
  <c r="P232" i="71"/>
  <c r="Q232" i="71"/>
  <c r="S232" i="71"/>
  <c r="T232" i="71"/>
  <c r="V232" i="71"/>
  <c r="W232" i="71"/>
  <c r="Y232" i="71"/>
  <c r="Z232" i="71"/>
  <c r="AB232" i="71"/>
  <c r="AC232" i="71"/>
  <c r="AE232" i="71"/>
  <c r="AF232" i="71"/>
  <c r="B226" i="71"/>
  <c r="D226" i="71"/>
  <c r="E226" i="71"/>
  <c r="G226" i="71"/>
  <c r="H226" i="71"/>
  <c r="J226" i="71"/>
  <c r="K226" i="71"/>
  <c r="M226" i="71"/>
  <c r="N226" i="71"/>
  <c r="P226" i="71"/>
  <c r="Q226" i="71"/>
  <c r="S226" i="71"/>
  <c r="T226" i="71"/>
  <c r="V226" i="71"/>
  <c r="W226" i="71"/>
  <c r="Y226" i="71"/>
  <c r="Z226" i="71"/>
  <c r="AB226" i="71"/>
  <c r="AC226" i="71"/>
  <c r="AE226" i="71"/>
  <c r="AF226" i="71"/>
  <c r="B225" i="71"/>
  <c r="D225" i="71"/>
  <c r="E225" i="71"/>
  <c r="E207" i="71"/>
  <c r="G207" i="71"/>
  <c r="F207" i="71"/>
  <c r="G225" i="71"/>
  <c r="H225" i="71"/>
  <c r="H207" i="71"/>
  <c r="J207" i="71"/>
  <c r="I207" i="71"/>
  <c r="J225" i="71"/>
  <c r="K225" i="71"/>
  <c r="M225" i="71"/>
  <c r="N225" i="71"/>
  <c r="N207" i="71"/>
  <c r="P207" i="71"/>
  <c r="O207" i="71"/>
  <c r="P225" i="71"/>
  <c r="Q225" i="71"/>
  <c r="S225" i="71"/>
  <c r="T225" i="71"/>
  <c r="V225" i="71"/>
  <c r="W225" i="71"/>
  <c r="Y225" i="71"/>
  <c r="Z225" i="71"/>
  <c r="AB225" i="71"/>
  <c r="AC225" i="71"/>
  <c r="AE225" i="71"/>
  <c r="AF225" i="71"/>
  <c r="B224" i="71"/>
  <c r="B207" i="71"/>
  <c r="D207" i="71"/>
  <c r="C207" i="71"/>
  <c r="D224" i="71"/>
  <c r="E224" i="71"/>
  <c r="G224" i="71"/>
  <c r="H224" i="71"/>
  <c r="J224" i="71"/>
  <c r="K224" i="71"/>
  <c r="K207" i="71"/>
  <c r="M207" i="71"/>
  <c r="L207" i="71"/>
  <c r="M224" i="71"/>
  <c r="N224" i="71"/>
  <c r="P224" i="71"/>
  <c r="Q224" i="71"/>
  <c r="S224" i="71"/>
  <c r="T224" i="71"/>
  <c r="V224" i="71"/>
  <c r="W224" i="71"/>
  <c r="Y224" i="71"/>
  <c r="Z224" i="71"/>
  <c r="AB224" i="71"/>
  <c r="AC224" i="71"/>
  <c r="AE224" i="71"/>
  <c r="AF224" i="71"/>
  <c r="B223" i="71"/>
  <c r="D223" i="71"/>
  <c r="E223" i="71"/>
  <c r="G223" i="71"/>
  <c r="H223" i="71"/>
  <c r="J223" i="71"/>
  <c r="K223" i="71"/>
  <c r="M223" i="71"/>
  <c r="N223" i="71"/>
  <c r="P223" i="71"/>
  <c r="Q223" i="71"/>
  <c r="Q207" i="71"/>
  <c r="S207" i="71"/>
  <c r="R207" i="71"/>
  <c r="S223" i="71"/>
  <c r="T223" i="71"/>
  <c r="V223" i="71"/>
  <c r="W223" i="71"/>
  <c r="Y223" i="71"/>
  <c r="Z223" i="71"/>
  <c r="AB223" i="71"/>
  <c r="AC223" i="71"/>
  <c r="AE223" i="71"/>
  <c r="AF223" i="71"/>
  <c r="B222" i="71"/>
  <c r="D222" i="71"/>
  <c r="E222" i="71"/>
  <c r="G222" i="71"/>
  <c r="H222" i="71"/>
  <c r="J222" i="71"/>
  <c r="K222" i="71"/>
  <c r="M222" i="71"/>
  <c r="N222" i="71"/>
  <c r="P222" i="71"/>
  <c r="Q222" i="71"/>
  <c r="S222" i="71"/>
  <c r="T222" i="71"/>
  <c r="V222" i="71"/>
  <c r="W222" i="71"/>
  <c r="Y222" i="71"/>
  <c r="Z222" i="71"/>
  <c r="AB222" i="71"/>
  <c r="AC222" i="71"/>
  <c r="AE222" i="71"/>
  <c r="AF222" i="71"/>
  <c r="B220" i="71"/>
  <c r="D220" i="71"/>
  <c r="E220" i="71"/>
  <c r="G220" i="71"/>
  <c r="H220" i="71"/>
  <c r="J220" i="71"/>
  <c r="K220" i="71"/>
  <c r="M220" i="71"/>
  <c r="N220" i="71"/>
  <c r="P220" i="71"/>
  <c r="Q220" i="71"/>
  <c r="S220" i="71"/>
  <c r="T220" i="71"/>
  <c r="V220" i="71"/>
  <c r="W220" i="71"/>
  <c r="Y220" i="71"/>
  <c r="Z220" i="71"/>
  <c r="AB220" i="71"/>
  <c r="AC220" i="71"/>
  <c r="AE220" i="71"/>
  <c r="AF220" i="71"/>
  <c r="AG220" i="71"/>
  <c r="B219" i="71"/>
  <c r="D219" i="71"/>
  <c r="E219" i="71"/>
  <c r="G219" i="71"/>
  <c r="H219" i="71"/>
  <c r="J219" i="71"/>
  <c r="K219" i="71"/>
  <c r="M219" i="71"/>
  <c r="N219" i="71"/>
  <c r="P219" i="71"/>
  <c r="Q219" i="71"/>
  <c r="S219" i="71"/>
  <c r="T219" i="71"/>
  <c r="V219" i="71"/>
  <c r="W219" i="71"/>
  <c r="Y219" i="71"/>
  <c r="Z219" i="71"/>
  <c r="AB219" i="71"/>
  <c r="AC219" i="71"/>
  <c r="AE219" i="71"/>
  <c r="AF219" i="71"/>
  <c r="AG219" i="71"/>
  <c r="B218" i="71"/>
  <c r="D218" i="71"/>
  <c r="E218" i="71"/>
  <c r="G218" i="71"/>
  <c r="H218" i="71"/>
  <c r="J218" i="71"/>
  <c r="K218" i="71"/>
  <c r="M218" i="71"/>
  <c r="N218" i="71"/>
  <c r="P218" i="71"/>
  <c r="Q218" i="71"/>
  <c r="S218" i="71"/>
  <c r="T218" i="71"/>
  <c r="V218" i="71"/>
  <c r="W218" i="71"/>
  <c r="Y218" i="71"/>
  <c r="Z218" i="71"/>
  <c r="AB218" i="71"/>
  <c r="AC218" i="71"/>
  <c r="AE218" i="71"/>
  <c r="AF218" i="71"/>
  <c r="AG218" i="71"/>
  <c r="B217" i="71"/>
  <c r="D217" i="71"/>
  <c r="E217" i="71"/>
  <c r="G217" i="71"/>
  <c r="H217" i="71"/>
  <c r="J217" i="71"/>
  <c r="K217" i="71"/>
  <c r="M217" i="71"/>
  <c r="N217" i="71"/>
  <c r="P217" i="71"/>
  <c r="Q217" i="71"/>
  <c r="S217" i="71"/>
  <c r="T217" i="71"/>
  <c r="V217" i="71"/>
  <c r="W217" i="71"/>
  <c r="Y217" i="71"/>
  <c r="Z217" i="71"/>
  <c r="AB217" i="71"/>
  <c r="AC217" i="71"/>
  <c r="AE217" i="71"/>
  <c r="AF217" i="71"/>
  <c r="AG217" i="71"/>
  <c r="B216" i="71"/>
  <c r="D216" i="71"/>
  <c r="E216" i="71"/>
  <c r="G216" i="71"/>
  <c r="H216" i="71"/>
  <c r="J216" i="71"/>
  <c r="K216" i="71"/>
  <c r="M216" i="71"/>
  <c r="N216" i="71"/>
  <c r="P216" i="71"/>
  <c r="Q216" i="71"/>
  <c r="S216" i="71"/>
  <c r="T216" i="71"/>
  <c r="V216" i="71"/>
  <c r="W216" i="71"/>
  <c r="Y216" i="71"/>
  <c r="Z216" i="71"/>
  <c r="AB216" i="71"/>
  <c r="AC216" i="71"/>
  <c r="AE216" i="71"/>
  <c r="AF216" i="71"/>
  <c r="AG216" i="71"/>
  <c r="AC209" i="71"/>
  <c r="AE209" i="71"/>
  <c r="AC210" i="71"/>
  <c r="AE210" i="71"/>
  <c r="AC211" i="71"/>
  <c r="AE211" i="71"/>
  <c r="AC212" i="71"/>
  <c r="AE212" i="71"/>
  <c r="AC213" i="71"/>
  <c r="AE213" i="71"/>
  <c r="AC214" i="71"/>
  <c r="Z209" i="71"/>
  <c r="AB209" i="71"/>
  <c r="Z210" i="71"/>
  <c r="AB210" i="71"/>
  <c r="Z211" i="71"/>
  <c r="AB211" i="71"/>
  <c r="Z212" i="71"/>
  <c r="AB212" i="71"/>
  <c r="Z213" i="71"/>
  <c r="AB213" i="71"/>
  <c r="Z214" i="71"/>
  <c r="W209" i="71"/>
  <c r="Y209" i="71"/>
  <c r="W210" i="71"/>
  <c r="Y210" i="71"/>
  <c r="W211" i="71"/>
  <c r="Y211" i="71"/>
  <c r="W212" i="71"/>
  <c r="Y212" i="71"/>
  <c r="W213" i="71"/>
  <c r="Y213" i="71"/>
  <c r="W214" i="71"/>
  <c r="T209" i="71"/>
  <c r="V209" i="71"/>
  <c r="T210" i="71"/>
  <c r="V210" i="71"/>
  <c r="T211" i="71"/>
  <c r="V211" i="71"/>
  <c r="T212" i="71"/>
  <c r="V212" i="71"/>
  <c r="T213" i="71"/>
  <c r="V213" i="71"/>
  <c r="T214" i="71"/>
  <c r="AE207" i="71"/>
  <c r="AC207" i="71"/>
  <c r="AD207" i="71"/>
  <c r="AB207" i="71"/>
  <c r="Z207" i="71"/>
  <c r="AA207" i="71"/>
  <c r="Y207" i="71"/>
  <c r="W207" i="71"/>
  <c r="X207" i="71"/>
  <c r="V207" i="71"/>
  <c r="T207" i="71"/>
  <c r="U207" i="71"/>
  <c r="AE200" i="71"/>
  <c r="AC200" i="71"/>
  <c r="AB200" i="71"/>
  <c r="Z200" i="71"/>
  <c r="Y200" i="71"/>
  <c r="W200" i="71"/>
  <c r="V200" i="71"/>
  <c r="T200" i="71"/>
  <c r="AD199" i="71"/>
  <c r="AA199" i="71"/>
  <c r="X199" i="71"/>
  <c r="U199" i="71"/>
  <c r="R199" i="71"/>
  <c r="O199" i="71"/>
  <c r="L199" i="71"/>
  <c r="I199" i="71"/>
  <c r="F199" i="71"/>
  <c r="A199" i="71"/>
  <c r="AG198" i="71"/>
  <c r="AH198" i="71"/>
  <c r="AI198" i="71"/>
  <c r="AJ198" i="71"/>
  <c r="AK198" i="71"/>
  <c r="AL198" i="71"/>
  <c r="AM198" i="71"/>
  <c r="AN198" i="71"/>
  <c r="AO198" i="71"/>
  <c r="AP198" i="71"/>
  <c r="AQ198" i="71"/>
  <c r="AF198" i="71"/>
  <c r="AD198" i="71"/>
  <c r="AA198" i="71"/>
  <c r="X198" i="71"/>
  <c r="U198" i="71"/>
  <c r="R198" i="71"/>
  <c r="O198" i="71"/>
  <c r="L198" i="71"/>
  <c r="I198" i="71"/>
  <c r="F198" i="71"/>
  <c r="A198" i="71"/>
  <c r="AF197" i="71"/>
  <c r="AD197" i="71"/>
  <c r="AA197" i="71"/>
  <c r="X197" i="71"/>
  <c r="U197" i="71"/>
  <c r="R197" i="71"/>
  <c r="O197" i="71"/>
  <c r="L197" i="71"/>
  <c r="I197" i="71"/>
  <c r="F197" i="71"/>
  <c r="A197" i="71"/>
  <c r="AF196" i="71"/>
  <c r="AD196" i="71"/>
  <c r="AA196" i="71"/>
  <c r="X196" i="71"/>
  <c r="U196" i="71"/>
  <c r="R196" i="71"/>
  <c r="O196" i="71"/>
  <c r="L196" i="71"/>
  <c r="I196" i="71"/>
  <c r="F196" i="71"/>
  <c r="A196" i="71"/>
  <c r="AF195" i="71"/>
  <c r="AD195" i="71"/>
  <c r="AA195" i="71"/>
  <c r="X195" i="71"/>
  <c r="U195" i="71"/>
  <c r="R195" i="71"/>
  <c r="O195" i="71"/>
  <c r="L195" i="71"/>
  <c r="I195" i="71"/>
  <c r="F195" i="71"/>
  <c r="AF194" i="71"/>
  <c r="AD194" i="71"/>
  <c r="AA194" i="71"/>
  <c r="X194" i="71"/>
  <c r="U194" i="71"/>
  <c r="R194" i="71"/>
  <c r="O194" i="71"/>
  <c r="L194" i="71"/>
  <c r="I194" i="71"/>
  <c r="F194" i="71"/>
  <c r="AC192" i="71"/>
  <c r="Z192" i="71"/>
  <c r="W192" i="71"/>
  <c r="T192" i="71"/>
  <c r="Q192" i="71"/>
  <c r="N192" i="71"/>
  <c r="K192" i="71"/>
  <c r="H192" i="71"/>
  <c r="E192" i="71"/>
  <c r="E187" i="71"/>
  <c r="AC186" i="71"/>
  <c r="Z186" i="71"/>
  <c r="W186" i="71"/>
  <c r="R186" i="71"/>
  <c r="L186" i="71"/>
  <c r="A186" i="71"/>
  <c r="AC184" i="71"/>
  <c r="W184" i="71"/>
  <c r="R184" i="71"/>
  <c r="L184" i="71"/>
  <c r="A184" i="71"/>
  <c r="AC182" i="71"/>
  <c r="W182" i="71"/>
  <c r="R182" i="71"/>
  <c r="L182" i="71"/>
  <c r="A182" i="71"/>
  <c r="AC180" i="71"/>
  <c r="W180" i="71"/>
  <c r="R180" i="71"/>
  <c r="L180" i="71"/>
  <c r="A180" i="71"/>
  <c r="AC178" i="71"/>
  <c r="W178" i="71"/>
  <c r="R178" i="71"/>
  <c r="L178" i="71"/>
  <c r="A178" i="71"/>
  <c r="R177" i="71"/>
  <c r="L177" i="71"/>
  <c r="K176" i="71"/>
  <c r="A174" i="71"/>
  <c r="AF161" i="71"/>
  <c r="S160" i="71"/>
  <c r="AF160" i="71"/>
  <c r="J159" i="71"/>
  <c r="AB159" i="71"/>
  <c r="AF159" i="71"/>
  <c r="D158" i="71"/>
  <c r="M158" i="71"/>
  <c r="V158" i="71"/>
  <c r="AF158" i="71"/>
  <c r="G157" i="71"/>
  <c r="P157" i="71"/>
  <c r="Y157" i="71"/>
  <c r="AE157" i="71"/>
  <c r="AF157" i="71"/>
  <c r="AF153" i="71"/>
  <c r="AG153" i="71"/>
  <c r="AF152" i="71"/>
  <c r="AG152" i="71"/>
  <c r="AF151" i="71"/>
  <c r="AG151" i="71"/>
  <c r="AF150" i="71"/>
  <c r="AG150" i="71"/>
  <c r="AF149" i="71"/>
  <c r="AG149" i="71"/>
  <c r="B146" i="71"/>
  <c r="D146" i="71"/>
  <c r="E146" i="71"/>
  <c r="G146" i="71"/>
  <c r="H146" i="71"/>
  <c r="J146" i="71"/>
  <c r="K146" i="71"/>
  <c r="M146" i="71"/>
  <c r="N146" i="71"/>
  <c r="P146" i="71"/>
  <c r="Q146" i="71"/>
  <c r="S146" i="71"/>
  <c r="T146" i="71"/>
  <c r="V146" i="71"/>
  <c r="W146" i="71"/>
  <c r="Y146" i="71"/>
  <c r="Z146" i="71"/>
  <c r="AB146" i="71"/>
  <c r="AC146" i="71"/>
  <c r="AE146" i="71"/>
  <c r="AF146" i="71"/>
  <c r="B141" i="71"/>
  <c r="B122" i="71"/>
  <c r="D122" i="71"/>
  <c r="C122" i="71"/>
  <c r="D141" i="71"/>
  <c r="E141" i="71"/>
  <c r="G141" i="71"/>
  <c r="H141" i="71"/>
  <c r="H122" i="71"/>
  <c r="J122" i="71"/>
  <c r="I122" i="71"/>
  <c r="J141" i="71"/>
  <c r="K141" i="71"/>
  <c r="M141" i="71"/>
  <c r="N141" i="71"/>
  <c r="P141" i="71"/>
  <c r="Q141" i="71"/>
  <c r="Q122" i="71"/>
  <c r="S122" i="71"/>
  <c r="R122" i="71"/>
  <c r="S141" i="71"/>
  <c r="T141" i="71"/>
  <c r="V141" i="71"/>
  <c r="W141" i="71"/>
  <c r="W122" i="71"/>
  <c r="Y122" i="71"/>
  <c r="X122" i="71"/>
  <c r="Y141" i="71"/>
  <c r="Z141" i="71"/>
  <c r="AB141" i="71"/>
  <c r="AC141" i="71"/>
  <c r="AE141" i="71"/>
  <c r="AF141" i="71"/>
  <c r="B140" i="71"/>
  <c r="D140" i="71"/>
  <c r="E140" i="71"/>
  <c r="E122" i="71"/>
  <c r="G122" i="71"/>
  <c r="F122" i="71"/>
  <c r="G140" i="71"/>
  <c r="H140" i="71"/>
  <c r="J140" i="71"/>
  <c r="K140" i="71"/>
  <c r="K122" i="71"/>
  <c r="M122" i="71"/>
  <c r="L122" i="71"/>
  <c r="M140" i="71"/>
  <c r="N140" i="71"/>
  <c r="P140" i="71"/>
  <c r="Q140" i="71"/>
  <c r="S140" i="71"/>
  <c r="T140" i="71"/>
  <c r="V140" i="71"/>
  <c r="W140" i="71"/>
  <c r="Y140" i="71"/>
  <c r="Z140" i="71"/>
  <c r="Z122" i="71"/>
  <c r="AB122" i="71"/>
  <c r="AA122" i="71"/>
  <c r="AB140" i="71"/>
  <c r="AC140" i="71"/>
  <c r="AE140" i="71"/>
  <c r="AF140" i="71"/>
  <c r="B139" i="71"/>
  <c r="D139" i="71"/>
  <c r="E139" i="71"/>
  <c r="G139" i="71"/>
  <c r="H139" i="71"/>
  <c r="J139" i="71"/>
  <c r="K139" i="71"/>
  <c r="M139" i="71"/>
  <c r="N139" i="71"/>
  <c r="N122" i="71"/>
  <c r="P122" i="71"/>
  <c r="O122" i="71"/>
  <c r="P139" i="71"/>
  <c r="Q139" i="71"/>
  <c r="S139" i="71"/>
  <c r="T139" i="71"/>
  <c r="T122" i="71"/>
  <c r="V122" i="71"/>
  <c r="U122" i="71"/>
  <c r="V139" i="71"/>
  <c r="W139" i="71"/>
  <c r="Y139" i="71"/>
  <c r="Z139" i="71"/>
  <c r="AB139" i="71"/>
  <c r="AC139" i="71"/>
  <c r="AE139" i="71"/>
  <c r="AF139" i="71"/>
  <c r="B138" i="71"/>
  <c r="D138" i="71"/>
  <c r="E138" i="71"/>
  <c r="G138" i="71"/>
  <c r="H138" i="71"/>
  <c r="J138" i="71"/>
  <c r="K138" i="71"/>
  <c r="M138" i="71"/>
  <c r="N138" i="71"/>
  <c r="P138" i="71"/>
  <c r="Q138" i="71"/>
  <c r="S138" i="71"/>
  <c r="T138" i="71"/>
  <c r="V138" i="71"/>
  <c r="W138" i="71"/>
  <c r="Y138" i="71"/>
  <c r="Z138" i="71"/>
  <c r="AB138" i="71"/>
  <c r="AC138" i="71"/>
  <c r="AC122" i="71"/>
  <c r="AE122" i="71"/>
  <c r="AD122" i="71"/>
  <c r="AE138" i="71"/>
  <c r="AF138" i="71"/>
  <c r="B137" i="71"/>
  <c r="D137" i="71"/>
  <c r="E137" i="71"/>
  <c r="G137" i="71"/>
  <c r="H137" i="71"/>
  <c r="J137" i="71"/>
  <c r="K137" i="71"/>
  <c r="M137" i="71"/>
  <c r="N137" i="71"/>
  <c r="P137" i="71"/>
  <c r="Q137" i="71"/>
  <c r="S137" i="71"/>
  <c r="T137" i="71"/>
  <c r="V137" i="71"/>
  <c r="W137" i="71"/>
  <c r="Y137" i="71"/>
  <c r="Z137" i="71"/>
  <c r="AB137" i="71"/>
  <c r="AC137" i="71"/>
  <c r="AE137" i="71"/>
  <c r="AF137" i="71"/>
  <c r="B135" i="71"/>
  <c r="D135" i="71"/>
  <c r="E135" i="71"/>
  <c r="G135" i="71"/>
  <c r="H135" i="71"/>
  <c r="J135" i="71"/>
  <c r="K135" i="71"/>
  <c r="M135" i="71"/>
  <c r="N135" i="71"/>
  <c r="P135" i="71"/>
  <c r="Q135" i="71"/>
  <c r="S135" i="71"/>
  <c r="T135" i="71"/>
  <c r="V135" i="71"/>
  <c r="W135" i="71"/>
  <c r="Y135" i="71"/>
  <c r="Z135" i="71"/>
  <c r="AB135" i="71"/>
  <c r="AC135" i="71"/>
  <c r="AE135" i="71"/>
  <c r="AF135" i="71"/>
  <c r="AG135" i="71"/>
  <c r="B134" i="71"/>
  <c r="D134" i="71"/>
  <c r="E134" i="71"/>
  <c r="G134" i="71"/>
  <c r="H134" i="71"/>
  <c r="J134" i="71"/>
  <c r="K134" i="71"/>
  <c r="M134" i="71"/>
  <c r="N134" i="71"/>
  <c r="P134" i="71"/>
  <c r="Q134" i="71"/>
  <c r="S134" i="71"/>
  <c r="T134" i="71"/>
  <c r="V134" i="71"/>
  <c r="W134" i="71"/>
  <c r="Y134" i="71"/>
  <c r="Z134" i="71"/>
  <c r="AB134" i="71"/>
  <c r="AC134" i="71"/>
  <c r="AE134" i="71"/>
  <c r="AF134" i="71"/>
  <c r="AG134" i="71"/>
  <c r="B133" i="71"/>
  <c r="D133" i="71"/>
  <c r="E133" i="71"/>
  <c r="G133" i="71"/>
  <c r="H133" i="71"/>
  <c r="J133" i="71"/>
  <c r="K133" i="71"/>
  <c r="M133" i="71"/>
  <c r="N133" i="71"/>
  <c r="P133" i="71"/>
  <c r="Q133" i="71"/>
  <c r="S133" i="71"/>
  <c r="T133" i="71"/>
  <c r="V133" i="71"/>
  <c r="W133" i="71"/>
  <c r="Y133" i="71"/>
  <c r="Z133" i="71"/>
  <c r="AB133" i="71"/>
  <c r="AC133" i="71"/>
  <c r="AE133" i="71"/>
  <c r="AF133" i="71"/>
  <c r="AG133" i="71"/>
  <c r="B132" i="71"/>
  <c r="D132" i="71"/>
  <c r="E132" i="71"/>
  <c r="G132" i="71"/>
  <c r="H132" i="71"/>
  <c r="J132" i="71"/>
  <c r="K132" i="71"/>
  <c r="M132" i="71"/>
  <c r="N132" i="71"/>
  <c r="P132" i="71"/>
  <c r="Q132" i="71"/>
  <c r="S132" i="71"/>
  <c r="T132" i="71"/>
  <c r="V132" i="71"/>
  <c r="W132" i="71"/>
  <c r="Y132" i="71"/>
  <c r="Z132" i="71"/>
  <c r="AB132" i="71"/>
  <c r="AC132" i="71"/>
  <c r="AE132" i="71"/>
  <c r="AF132" i="71"/>
  <c r="AG132" i="71"/>
  <c r="B131" i="71"/>
  <c r="D131" i="71"/>
  <c r="E131" i="71"/>
  <c r="G131" i="71"/>
  <c r="H131" i="71"/>
  <c r="J131" i="71"/>
  <c r="K131" i="71"/>
  <c r="M131" i="71"/>
  <c r="N131" i="71"/>
  <c r="P131" i="71"/>
  <c r="Q131" i="71"/>
  <c r="S131" i="71"/>
  <c r="T131" i="71"/>
  <c r="V131" i="71"/>
  <c r="W131" i="71"/>
  <c r="Y131" i="71"/>
  <c r="Z131" i="71"/>
  <c r="AB131" i="71"/>
  <c r="AC131" i="71"/>
  <c r="AE131" i="71"/>
  <c r="AF131" i="71"/>
  <c r="AG131" i="71"/>
  <c r="AD114" i="71"/>
  <c r="AA114" i="71"/>
  <c r="X114" i="71"/>
  <c r="U114" i="71"/>
  <c r="R114" i="71"/>
  <c r="O114" i="71"/>
  <c r="L114" i="71"/>
  <c r="I114" i="71"/>
  <c r="F114" i="71"/>
  <c r="A114" i="71"/>
  <c r="AF113" i="71"/>
  <c r="AD113" i="71"/>
  <c r="AA113" i="71"/>
  <c r="X113" i="71"/>
  <c r="U113" i="71"/>
  <c r="R113" i="71"/>
  <c r="O113" i="71"/>
  <c r="L113" i="71"/>
  <c r="I113" i="71"/>
  <c r="F113" i="71"/>
  <c r="A113" i="71"/>
  <c r="AG112" i="71"/>
  <c r="AH112" i="71"/>
  <c r="AI112" i="71"/>
  <c r="AJ112" i="71"/>
  <c r="AK112" i="71"/>
  <c r="AL112" i="71"/>
  <c r="AM112" i="71"/>
  <c r="AN112" i="71"/>
  <c r="AO112" i="71"/>
  <c r="AP112" i="71"/>
  <c r="AQ112" i="71"/>
  <c r="AF112" i="71"/>
  <c r="AD112" i="71"/>
  <c r="AA112" i="71"/>
  <c r="X112" i="71"/>
  <c r="U112" i="71"/>
  <c r="R112" i="71"/>
  <c r="O112" i="71"/>
  <c r="L112" i="71"/>
  <c r="I112" i="71"/>
  <c r="F112" i="71"/>
  <c r="A112" i="71"/>
  <c r="AF111" i="71"/>
  <c r="AD111" i="71"/>
  <c r="AA111" i="71"/>
  <c r="X111" i="71"/>
  <c r="U111" i="71"/>
  <c r="R111" i="71"/>
  <c r="O111" i="71"/>
  <c r="L111" i="71"/>
  <c r="I111" i="71"/>
  <c r="F111" i="71"/>
  <c r="A111" i="71"/>
  <c r="AF110" i="71"/>
  <c r="AD110" i="71"/>
  <c r="AA110" i="71"/>
  <c r="X110" i="71"/>
  <c r="U110" i="71"/>
  <c r="R110" i="71"/>
  <c r="O110" i="71"/>
  <c r="L110" i="71"/>
  <c r="I110" i="71"/>
  <c r="F110" i="71"/>
  <c r="AF109" i="71"/>
  <c r="AD109" i="71"/>
  <c r="AA109" i="71"/>
  <c r="X109" i="71"/>
  <c r="U109" i="71"/>
  <c r="R109" i="71"/>
  <c r="O109" i="71"/>
  <c r="L109" i="71"/>
  <c r="I109" i="71"/>
  <c r="F109" i="71"/>
  <c r="AC107" i="71"/>
  <c r="Z107" i="71"/>
  <c r="W107" i="71"/>
  <c r="T107" i="71"/>
  <c r="Q107" i="71"/>
  <c r="N107" i="71"/>
  <c r="K107" i="71"/>
  <c r="H107" i="71"/>
  <c r="E107" i="71"/>
  <c r="AC101" i="71"/>
  <c r="W101" i="71"/>
  <c r="R101" i="71"/>
  <c r="L101" i="71"/>
  <c r="A101" i="71"/>
  <c r="E100" i="71"/>
  <c r="AC99" i="71"/>
  <c r="Z99" i="71"/>
  <c r="W99" i="71"/>
  <c r="R99" i="71"/>
  <c r="L99" i="71"/>
  <c r="A99" i="71"/>
  <c r="AC97" i="71"/>
  <c r="W97" i="71"/>
  <c r="R97" i="71"/>
  <c r="L97" i="71"/>
  <c r="A97" i="71"/>
  <c r="AC95" i="71"/>
  <c r="W95" i="71"/>
  <c r="R95" i="71"/>
  <c r="L95" i="71"/>
  <c r="A95" i="71"/>
  <c r="AC93" i="71"/>
  <c r="W93" i="71"/>
  <c r="R93" i="71"/>
  <c r="L93" i="71"/>
  <c r="A93" i="71"/>
  <c r="R92" i="71"/>
  <c r="L92" i="71"/>
  <c r="K91" i="71"/>
  <c r="A89" i="71"/>
  <c r="AF76" i="71"/>
  <c r="S75" i="71"/>
  <c r="AF75" i="71"/>
  <c r="J74" i="71"/>
  <c r="AB74" i="71"/>
  <c r="AF74" i="71"/>
  <c r="D73" i="71"/>
  <c r="M73" i="71"/>
  <c r="V73" i="71"/>
  <c r="AF73" i="71"/>
  <c r="G72" i="71"/>
  <c r="P72" i="71"/>
  <c r="Y72" i="71"/>
  <c r="AE72" i="71"/>
  <c r="AF72" i="71"/>
  <c r="AF68" i="71"/>
  <c r="AG68" i="71"/>
  <c r="AF67" i="71"/>
  <c r="AG67" i="71"/>
  <c r="AF66" i="71"/>
  <c r="AG66" i="71"/>
  <c r="AF65" i="71"/>
  <c r="AG65" i="71"/>
  <c r="AF64" i="71"/>
  <c r="AG64" i="71"/>
  <c r="B62" i="71"/>
  <c r="D62" i="71"/>
  <c r="E62" i="71"/>
  <c r="G62" i="71"/>
  <c r="H62" i="71"/>
  <c r="J62" i="71"/>
  <c r="K62" i="71"/>
  <c r="M62" i="71"/>
  <c r="N62" i="71"/>
  <c r="P62" i="71"/>
  <c r="Q62" i="71"/>
  <c r="S62" i="71"/>
  <c r="T62" i="71"/>
  <c r="V62" i="71"/>
  <c r="W62" i="71"/>
  <c r="Y62" i="71"/>
  <c r="Z62" i="71"/>
  <c r="AB62" i="71"/>
  <c r="AC62" i="71"/>
  <c r="AE62" i="71"/>
  <c r="AF62" i="71"/>
  <c r="B56" i="71"/>
  <c r="B37" i="71"/>
  <c r="D37" i="71"/>
  <c r="C37" i="71"/>
  <c r="D56" i="71"/>
  <c r="E56" i="71"/>
  <c r="G56" i="71"/>
  <c r="H56" i="71"/>
  <c r="H37" i="71"/>
  <c r="J37" i="71"/>
  <c r="I37" i="71"/>
  <c r="J56" i="71"/>
  <c r="K56" i="71"/>
  <c r="M56" i="71"/>
  <c r="N56" i="71"/>
  <c r="P56" i="71"/>
  <c r="Q56" i="71"/>
  <c r="Q37" i="71"/>
  <c r="S37" i="71"/>
  <c r="R37" i="71"/>
  <c r="S56" i="71"/>
  <c r="T56" i="71"/>
  <c r="V56" i="71"/>
  <c r="W56" i="71"/>
  <c r="W37" i="71"/>
  <c r="Y37" i="71"/>
  <c r="X37" i="71"/>
  <c r="Y56" i="71"/>
  <c r="Z56" i="71"/>
  <c r="AB56" i="71"/>
  <c r="AC56" i="71"/>
  <c r="AE56" i="71"/>
  <c r="AF56" i="71"/>
  <c r="B55" i="71"/>
  <c r="D55" i="71"/>
  <c r="E55" i="71"/>
  <c r="E37" i="71"/>
  <c r="G37" i="71"/>
  <c r="F37" i="71"/>
  <c r="G55" i="71"/>
  <c r="H55" i="71"/>
  <c r="J55" i="71"/>
  <c r="K55" i="71"/>
  <c r="K37" i="71"/>
  <c r="M37" i="71"/>
  <c r="L37" i="71"/>
  <c r="M55" i="71"/>
  <c r="N55" i="71"/>
  <c r="P55" i="71"/>
  <c r="Q55" i="71"/>
  <c r="S55" i="71"/>
  <c r="T55" i="71"/>
  <c r="V55" i="71"/>
  <c r="W55" i="71"/>
  <c r="Y55" i="71"/>
  <c r="Z55" i="71"/>
  <c r="Z37" i="71"/>
  <c r="AB37" i="71"/>
  <c r="AA37" i="71"/>
  <c r="AB55" i="71"/>
  <c r="AC55" i="71"/>
  <c r="AE55" i="71"/>
  <c r="AF55" i="71"/>
  <c r="B54" i="71"/>
  <c r="D54" i="71"/>
  <c r="E54" i="71"/>
  <c r="G54" i="71"/>
  <c r="H54" i="71"/>
  <c r="J54" i="71"/>
  <c r="K54" i="71"/>
  <c r="M54" i="71"/>
  <c r="N54" i="71"/>
  <c r="N37" i="71"/>
  <c r="P37" i="71"/>
  <c r="O37" i="71"/>
  <c r="P54" i="71"/>
  <c r="Q54" i="71"/>
  <c r="S54" i="71"/>
  <c r="T54" i="71"/>
  <c r="T37" i="71"/>
  <c r="V37" i="71"/>
  <c r="U37" i="71"/>
  <c r="V54" i="71"/>
  <c r="W54" i="71"/>
  <c r="Y54" i="71"/>
  <c r="Z54" i="71"/>
  <c r="AB54" i="71"/>
  <c r="AC54" i="71"/>
  <c r="AE54" i="71"/>
  <c r="AF54" i="71"/>
  <c r="B53" i="71"/>
  <c r="D53" i="71"/>
  <c r="E53" i="71"/>
  <c r="G53" i="71"/>
  <c r="H53" i="71"/>
  <c r="J53" i="71"/>
  <c r="K53" i="71"/>
  <c r="M53" i="71"/>
  <c r="N53" i="71"/>
  <c r="P53" i="71"/>
  <c r="Q53" i="71"/>
  <c r="S53" i="71"/>
  <c r="T53" i="71"/>
  <c r="V53" i="71"/>
  <c r="W53" i="71"/>
  <c r="Y53" i="71"/>
  <c r="Z53" i="71"/>
  <c r="AB53" i="71"/>
  <c r="AC53" i="71"/>
  <c r="AC37" i="71"/>
  <c r="AE37" i="71"/>
  <c r="AD37" i="71"/>
  <c r="AE53" i="71"/>
  <c r="AF53" i="71"/>
  <c r="B52" i="71"/>
  <c r="D52" i="71"/>
  <c r="E52" i="71"/>
  <c r="G52" i="71"/>
  <c r="H52" i="71"/>
  <c r="J52" i="71"/>
  <c r="K52" i="71"/>
  <c r="M52" i="71"/>
  <c r="N52" i="71"/>
  <c r="P52" i="71"/>
  <c r="Q52" i="71"/>
  <c r="S52" i="71"/>
  <c r="T52" i="71"/>
  <c r="V52" i="71"/>
  <c r="W52" i="71"/>
  <c r="Y52" i="71"/>
  <c r="Z52" i="71"/>
  <c r="AB52" i="71"/>
  <c r="AC52" i="71"/>
  <c r="AE52" i="71"/>
  <c r="AF52" i="71"/>
  <c r="B50" i="71"/>
  <c r="D50" i="71"/>
  <c r="E50" i="71"/>
  <c r="G50" i="71"/>
  <c r="H50" i="71"/>
  <c r="J50" i="71"/>
  <c r="K50" i="71"/>
  <c r="M50" i="71"/>
  <c r="N50" i="71"/>
  <c r="P50" i="71"/>
  <c r="Q50" i="71"/>
  <c r="S50" i="71"/>
  <c r="T50" i="71"/>
  <c r="V50" i="71"/>
  <c r="W50" i="71"/>
  <c r="Y50" i="71"/>
  <c r="Z50" i="71"/>
  <c r="AB50" i="71"/>
  <c r="AC50" i="71"/>
  <c r="AE50" i="71"/>
  <c r="AF50" i="71"/>
  <c r="AG50" i="71"/>
  <c r="B49" i="71"/>
  <c r="D49" i="71"/>
  <c r="E49" i="71"/>
  <c r="G49" i="71"/>
  <c r="H49" i="71"/>
  <c r="J49" i="71"/>
  <c r="K49" i="71"/>
  <c r="M49" i="71"/>
  <c r="N49" i="71"/>
  <c r="P49" i="71"/>
  <c r="Q49" i="71"/>
  <c r="S49" i="71"/>
  <c r="T49" i="71"/>
  <c r="V49" i="71"/>
  <c r="W49" i="71"/>
  <c r="Y49" i="71"/>
  <c r="Z49" i="71"/>
  <c r="AB49" i="71"/>
  <c r="AC49" i="71"/>
  <c r="AE49" i="71"/>
  <c r="AF49" i="71"/>
  <c r="AG49" i="71"/>
  <c r="B48" i="71"/>
  <c r="D48" i="71"/>
  <c r="E48" i="71"/>
  <c r="G48" i="71"/>
  <c r="H48" i="71"/>
  <c r="J48" i="71"/>
  <c r="K48" i="71"/>
  <c r="M48" i="71"/>
  <c r="N48" i="71"/>
  <c r="P48" i="71"/>
  <c r="Q48" i="71"/>
  <c r="S48" i="71"/>
  <c r="T48" i="71"/>
  <c r="V48" i="71"/>
  <c r="W48" i="71"/>
  <c r="Y48" i="71"/>
  <c r="Z48" i="71"/>
  <c r="AB48" i="71"/>
  <c r="AC48" i="71"/>
  <c r="AE48" i="71"/>
  <c r="AF48" i="71"/>
  <c r="AG48" i="71"/>
  <c r="B47" i="71"/>
  <c r="D47" i="71"/>
  <c r="E47" i="71"/>
  <c r="G47" i="71"/>
  <c r="H47" i="71"/>
  <c r="J47" i="71"/>
  <c r="K47" i="71"/>
  <c r="M47" i="71"/>
  <c r="N47" i="71"/>
  <c r="P47" i="71"/>
  <c r="Q47" i="71"/>
  <c r="S47" i="71"/>
  <c r="T47" i="71"/>
  <c r="V47" i="71"/>
  <c r="W47" i="71"/>
  <c r="Y47" i="71"/>
  <c r="Z47" i="71"/>
  <c r="AB47" i="71"/>
  <c r="AC47" i="71"/>
  <c r="AE47" i="71"/>
  <c r="AF47" i="71"/>
  <c r="AG47" i="71"/>
  <c r="B46" i="71"/>
  <c r="D46" i="71"/>
  <c r="E46" i="71"/>
  <c r="G46" i="71"/>
  <c r="H46" i="71"/>
  <c r="J46" i="71"/>
  <c r="K46" i="71"/>
  <c r="M46" i="71"/>
  <c r="N46" i="71"/>
  <c r="P46" i="71"/>
  <c r="Q46" i="71"/>
  <c r="S46" i="71"/>
  <c r="T46" i="71"/>
  <c r="V46" i="71"/>
  <c r="W46" i="71"/>
  <c r="Y46" i="71"/>
  <c r="Z46" i="71"/>
  <c r="AB46" i="71"/>
  <c r="AC46" i="71"/>
  <c r="AE46" i="71"/>
  <c r="AF46" i="71"/>
  <c r="AG46" i="71"/>
  <c r="AD29" i="71"/>
  <c r="AA29" i="71"/>
  <c r="X29" i="71"/>
  <c r="U29" i="71"/>
  <c r="R29" i="71"/>
  <c r="O29" i="71"/>
  <c r="L29" i="71"/>
  <c r="I29" i="71"/>
  <c r="F29" i="71"/>
  <c r="A29" i="71"/>
  <c r="AG28" i="71"/>
  <c r="AH28" i="71"/>
  <c r="AI28" i="71"/>
  <c r="AJ28" i="71"/>
  <c r="AK28" i="71"/>
  <c r="AL28" i="71"/>
  <c r="AM28" i="71"/>
  <c r="AN28" i="71"/>
  <c r="AO28" i="71"/>
  <c r="AP28" i="71"/>
  <c r="AQ28" i="71"/>
  <c r="AF28" i="71"/>
  <c r="AD28" i="71"/>
  <c r="AA28" i="71"/>
  <c r="X28" i="71"/>
  <c r="U28" i="71"/>
  <c r="R28" i="71"/>
  <c r="O28" i="71"/>
  <c r="L28" i="71"/>
  <c r="I28" i="71"/>
  <c r="F28" i="71"/>
  <c r="A28" i="71"/>
  <c r="AF27" i="71"/>
  <c r="AD27" i="71"/>
  <c r="AA27" i="71"/>
  <c r="X27" i="71"/>
  <c r="U27" i="71"/>
  <c r="R27" i="71"/>
  <c r="O27" i="71"/>
  <c r="L27" i="71"/>
  <c r="I27" i="71"/>
  <c r="F27" i="71"/>
  <c r="A27" i="71"/>
  <c r="AF26" i="71"/>
  <c r="AD26" i="71"/>
  <c r="AA26" i="71"/>
  <c r="X26" i="71"/>
  <c r="U26" i="71"/>
  <c r="R26" i="71"/>
  <c r="O26" i="71"/>
  <c r="L26" i="71"/>
  <c r="I26" i="71"/>
  <c r="F26" i="71"/>
  <c r="A26" i="71"/>
  <c r="AF25" i="71"/>
  <c r="AD25" i="71"/>
  <c r="AA25" i="71"/>
  <c r="X25" i="71"/>
  <c r="U25" i="71"/>
  <c r="R25" i="71"/>
  <c r="O25" i="71"/>
  <c r="L25" i="71"/>
  <c r="I25" i="71"/>
  <c r="F25" i="71"/>
  <c r="AF24" i="71"/>
  <c r="AD24" i="71"/>
  <c r="AA24" i="71"/>
  <c r="X24" i="71"/>
  <c r="U24" i="71"/>
  <c r="R24" i="71"/>
  <c r="O24" i="71"/>
  <c r="L24" i="71"/>
  <c r="I24" i="71"/>
  <c r="F24" i="71"/>
  <c r="AC22" i="71"/>
  <c r="Z22" i="71"/>
  <c r="W22" i="71"/>
  <c r="T22" i="71"/>
  <c r="Q22" i="71"/>
  <c r="N22" i="71"/>
  <c r="K22" i="71"/>
  <c r="H22" i="71"/>
  <c r="E22" i="71"/>
  <c r="E17" i="71"/>
  <c r="AY16" i="71"/>
  <c r="AC16" i="71"/>
  <c r="Z16" i="71"/>
  <c r="W16" i="71"/>
  <c r="R16" i="71"/>
  <c r="L16" i="71"/>
  <c r="A16" i="71"/>
  <c r="AX15" i="71"/>
  <c r="AY15" i="71"/>
  <c r="AY14" i="71"/>
  <c r="AC14" i="71"/>
  <c r="W14" i="71"/>
  <c r="R14" i="71"/>
  <c r="L14" i="71"/>
  <c r="A14" i="71"/>
  <c r="AX13" i="71"/>
  <c r="AY13" i="71"/>
  <c r="AY12" i="71"/>
  <c r="AC12" i="71"/>
  <c r="W12" i="71"/>
  <c r="R12" i="71"/>
  <c r="L12" i="71"/>
  <c r="A12" i="71"/>
  <c r="AY11" i="71"/>
  <c r="AC10" i="71"/>
  <c r="W10" i="71"/>
  <c r="R10" i="71"/>
  <c r="L10" i="71"/>
  <c r="A10" i="71"/>
  <c r="AY9" i="71"/>
  <c r="AC8" i="71"/>
  <c r="W8" i="71"/>
  <c r="R8" i="71"/>
  <c r="L8" i="71"/>
  <c r="A8" i="71"/>
  <c r="R7" i="71"/>
  <c r="L7" i="71"/>
  <c r="K6" i="71"/>
  <c r="AY5" i="71"/>
  <c r="AY4" i="71"/>
  <c r="AY3" i="71"/>
  <c r="AU372" i="70"/>
  <c r="AT372" i="70"/>
  <c r="E358" i="70"/>
  <c r="E359" i="70"/>
  <c r="E360" i="70"/>
  <c r="E361" i="70"/>
  <c r="G358" i="70"/>
  <c r="G359" i="70"/>
  <c r="G360" i="70"/>
  <c r="G361" i="70"/>
  <c r="J357" i="70"/>
  <c r="E12" i="70"/>
  <c r="AH264" i="70"/>
  <c r="B350" i="70"/>
  <c r="B367" i="70"/>
  <c r="E8" i="70"/>
  <c r="B79" i="70"/>
  <c r="AT79" i="70"/>
  <c r="E10" i="70"/>
  <c r="B80" i="70"/>
  <c r="AT80" i="70"/>
  <c r="B81" i="70"/>
  <c r="AT81" i="70"/>
  <c r="AC74" i="70"/>
  <c r="AE74" i="70"/>
  <c r="Z64" i="70"/>
  <c r="AB64" i="70"/>
  <c r="Z65" i="70"/>
  <c r="AB65" i="70"/>
  <c r="Z31" i="70"/>
  <c r="Z32" i="70"/>
  <c r="Z33" i="70"/>
  <c r="Z34" i="70"/>
  <c r="Z35" i="70"/>
  <c r="Z66" i="70"/>
  <c r="AB66" i="70"/>
  <c r="Z67" i="70"/>
  <c r="AB31" i="70"/>
  <c r="AB32" i="70"/>
  <c r="AB33" i="70"/>
  <c r="AB34" i="70"/>
  <c r="AB35" i="70"/>
  <c r="AB67" i="70"/>
  <c r="Z68" i="70"/>
  <c r="AB68" i="70"/>
  <c r="AA71" i="70"/>
  <c r="Z74" i="70"/>
  <c r="W74" i="70"/>
  <c r="Y74" i="70"/>
  <c r="T74" i="70"/>
  <c r="T64" i="70"/>
  <c r="V64" i="70"/>
  <c r="T31" i="70"/>
  <c r="T32" i="70"/>
  <c r="T33" i="70"/>
  <c r="T34" i="70"/>
  <c r="T35" i="70"/>
  <c r="T65" i="70"/>
  <c r="V65" i="70"/>
  <c r="T66" i="70"/>
  <c r="V31" i="70"/>
  <c r="V32" i="70"/>
  <c r="V33" i="70"/>
  <c r="V34" i="70"/>
  <c r="V35" i="70"/>
  <c r="V66" i="70"/>
  <c r="T67" i="70"/>
  <c r="V67" i="70"/>
  <c r="T68" i="70"/>
  <c r="V68" i="70"/>
  <c r="U71" i="70"/>
  <c r="V74" i="70"/>
  <c r="Q74" i="70"/>
  <c r="S74" i="70"/>
  <c r="N74" i="70"/>
  <c r="N31" i="70"/>
  <c r="N32" i="70"/>
  <c r="N33" i="70"/>
  <c r="N34" i="70"/>
  <c r="N35" i="70"/>
  <c r="N64" i="70"/>
  <c r="P64" i="70"/>
  <c r="N65" i="70"/>
  <c r="P65" i="70"/>
  <c r="N66" i="70"/>
  <c r="P31" i="70"/>
  <c r="P32" i="70"/>
  <c r="P33" i="70"/>
  <c r="P34" i="70"/>
  <c r="P35" i="70"/>
  <c r="P66" i="70"/>
  <c r="N67" i="70"/>
  <c r="P67" i="70"/>
  <c r="N68" i="70"/>
  <c r="P68" i="70"/>
  <c r="O71" i="70"/>
  <c r="P74" i="70"/>
  <c r="K74" i="70"/>
  <c r="M74" i="70"/>
  <c r="H64" i="70"/>
  <c r="J64" i="70"/>
  <c r="H65" i="70"/>
  <c r="J65" i="70"/>
  <c r="H31" i="70"/>
  <c r="H32" i="70"/>
  <c r="H33" i="70"/>
  <c r="H34" i="70"/>
  <c r="H35" i="70"/>
  <c r="H66" i="70"/>
  <c r="J66" i="70"/>
  <c r="H67" i="70"/>
  <c r="J67" i="70"/>
  <c r="H68" i="70"/>
  <c r="J31" i="70"/>
  <c r="J32" i="70"/>
  <c r="J33" i="70"/>
  <c r="J34" i="70"/>
  <c r="J35" i="70"/>
  <c r="J68" i="70"/>
  <c r="I71" i="70"/>
  <c r="H74" i="70"/>
  <c r="E74" i="70"/>
  <c r="G74" i="70"/>
  <c r="B74" i="70"/>
  <c r="D74" i="70"/>
  <c r="H36" i="70"/>
  <c r="E76" i="70"/>
  <c r="G76" i="70"/>
  <c r="B76" i="70"/>
  <c r="B64" i="70"/>
  <c r="D64" i="70"/>
  <c r="B31" i="70"/>
  <c r="B32" i="70"/>
  <c r="B33" i="70"/>
  <c r="B34" i="70"/>
  <c r="B35" i="70"/>
  <c r="B65" i="70"/>
  <c r="D65" i="70"/>
  <c r="B66" i="70"/>
  <c r="D66" i="70"/>
  <c r="B67" i="70"/>
  <c r="D67" i="70"/>
  <c r="B68" i="70"/>
  <c r="D31" i="70"/>
  <c r="D32" i="70"/>
  <c r="D33" i="70"/>
  <c r="D34" i="70"/>
  <c r="D35" i="70"/>
  <c r="D68" i="70"/>
  <c r="C71" i="70"/>
  <c r="D76" i="70"/>
  <c r="E16" i="70"/>
  <c r="B83" i="70"/>
  <c r="D36" i="70"/>
  <c r="B36" i="70"/>
  <c r="J36" i="70"/>
  <c r="P36" i="70"/>
  <c r="K72" i="70"/>
  <c r="M72" i="70"/>
  <c r="H72" i="70"/>
  <c r="J72" i="70"/>
  <c r="E31" i="70"/>
  <c r="E32" i="70"/>
  <c r="E33" i="70"/>
  <c r="E34" i="70"/>
  <c r="E35" i="70"/>
  <c r="E64" i="70"/>
  <c r="G64" i="70"/>
  <c r="E65" i="70"/>
  <c r="G65" i="70"/>
  <c r="E66" i="70"/>
  <c r="G66" i="70"/>
  <c r="E67" i="70"/>
  <c r="G31" i="70"/>
  <c r="G32" i="70"/>
  <c r="G33" i="70"/>
  <c r="G34" i="70"/>
  <c r="G35" i="70"/>
  <c r="G67" i="70"/>
  <c r="E68" i="70"/>
  <c r="G68" i="70"/>
  <c r="F71" i="70"/>
  <c r="E72" i="70"/>
  <c r="B72" i="70"/>
  <c r="D72" i="70"/>
  <c r="E36" i="70"/>
  <c r="B75" i="70"/>
  <c r="D75" i="70"/>
  <c r="E14" i="70"/>
  <c r="B82" i="70"/>
  <c r="G36" i="70"/>
  <c r="N36" i="70"/>
  <c r="V36" i="70"/>
  <c r="Q73" i="70"/>
  <c r="S73" i="70"/>
  <c r="N73" i="70"/>
  <c r="P73" i="70"/>
  <c r="K64" i="70"/>
  <c r="M64" i="70"/>
  <c r="K31" i="70"/>
  <c r="K32" i="70"/>
  <c r="K33" i="70"/>
  <c r="K34" i="70"/>
  <c r="K35" i="70"/>
  <c r="K65" i="70"/>
  <c r="M65" i="70"/>
  <c r="K66" i="70"/>
  <c r="M66" i="70"/>
  <c r="K67" i="70"/>
  <c r="M31" i="70"/>
  <c r="M32" i="70"/>
  <c r="M33" i="70"/>
  <c r="M34" i="70"/>
  <c r="M35" i="70"/>
  <c r="M67" i="70"/>
  <c r="K68" i="70"/>
  <c r="M68" i="70"/>
  <c r="L71" i="70"/>
  <c r="K73" i="70"/>
  <c r="H73" i="70"/>
  <c r="J73" i="70"/>
  <c r="E73" i="70"/>
  <c r="G73" i="70"/>
  <c r="B73" i="70"/>
  <c r="K36" i="70"/>
  <c r="H75" i="70"/>
  <c r="J75" i="70"/>
  <c r="E75" i="70"/>
  <c r="G75" i="70"/>
  <c r="M36" i="70"/>
  <c r="T36" i="70"/>
  <c r="V86" i="70"/>
  <c r="V87" i="70"/>
  <c r="V81" i="70"/>
  <c r="Y81" i="70"/>
  <c r="Z85" i="70"/>
  <c r="Z36" i="70"/>
  <c r="W75" i="70"/>
  <c r="Y75" i="70"/>
  <c r="T75" i="70"/>
  <c r="V75" i="70"/>
  <c r="Q64" i="70"/>
  <c r="S64" i="70"/>
  <c r="Q65" i="70"/>
  <c r="S65" i="70"/>
  <c r="Q66" i="70"/>
  <c r="S66" i="70"/>
  <c r="Q31" i="70"/>
  <c r="Q32" i="70"/>
  <c r="Q33" i="70"/>
  <c r="Q34" i="70"/>
  <c r="Q35" i="70"/>
  <c r="Q67" i="70"/>
  <c r="S67" i="70"/>
  <c r="Q68" i="70"/>
  <c r="S31" i="70"/>
  <c r="S32" i="70"/>
  <c r="S33" i="70"/>
  <c r="S34" i="70"/>
  <c r="S35" i="70"/>
  <c r="S68" i="70"/>
  <c r="R71" i="70"/>
  <c r="Q75" i="70"/>
  <c r="N75" i="70"/>
  <c r="P75" i="70"/>
  <c r="K75" i="70"/>
  <c r="M75" i="70"/>
  <c r="Q36" i="70"/>
  <c r="N76" i="70"/>
  <c r="P76" i="70"/>
  <c r="K76" i="70"/>
  <c r="M76" i="70"/>
  <c r="H76" i="70"/>
  <c r="J76" i="70"/>
  <c r="S36" i="70"/>
  <c r="Q86" i="70"/>
  <c r="Q87" i="70"/>
  <c r="S82" i="70"/>
  <c r="V82" i="70"/>
  <c r="Y82" i="70"/>
  <c r="AB85" i="70"/>
  <c r="AB36" i="70"/>
  <c r="Z86" i="70"/>
  <c r="Z87" i="70"/>
  <c r="AB81" i="70"/>
  <c r="AE81" i="70"/>
  <c r="AU81" i="70"/>
  <c r="AX9" i="70"/>
  <c r="C367" i="70"/>
  <c r="D367" i="70"/>
  <c r="E370" i="70"/>
  <c r="E93" i="70"/>
  <c r="AH265" i="70"/>
  <c r="B351" i="70"/>
  <c r="B368" i="70"/>
  <c r="AT82" i="70"/>
  <c r="AT83" i="70"/>
  <c r="B164" i="70"/>
  <c r="AT164" i="70"/>
  <c r="AC116" i="70"/>
  <c r="AC117" i="70"/>
  <c r="AC118" i="70"/>
  <c r="AC119" i="70"/>
  <c r="AC120" i="70"/>
  <c r="AC149" i="70"/>
  <c r="AE149" i="70"/>
  <c r="AC150" i="70"/>
  <c r="AE116" i="70"/>
  <c r="AE117" i="70"/>
  <c r="AE118" i="70"/>
  <c r="AE119" i="70"/>
  <c r="AE120" i="70"/>
  <c r="AE150" i="70"/>
  <c r="AC151" i="70"/>
  <c r="AE151" i="70"/>
  <c r="AC152" i="70"/>
  <c r="AE152" i="70"/>
  <c r="AC153" i="70"/>
  <c r="AE153" i="70"/>
  <c r="AD156" i="70"/>
  <c r="AC157" i="70"/>
  <c r="Z157" i="70"/>
  <c r="AB157" i="70"/>
  <c r="W116" i="70"/>
  <c r="W117" i="70"/>
  <c r="W118" i="70"/>
  <c r="W119" i="70"/>
  <c r="W120" i="70"/>
  <c r="W149" i="70"/>
  <c r="Y149" i="70"/>
  <c r="W150" i="70"/>
  <c r="Y150" i="70"/>
  <c r="W151" i="70"/>
  <c r="Y151" i="70"/>
  <c r="W152" i="70"/>
  <c r="Y152" i="70"/>
  <c r="W153" i="70"/>
  <c r="Y116" i="70"/>
  <c r="Y117" i="70"/>
  <c r="Y118" i="70"/>
  <c r="Y119" i="70"/>
  <c r="Y120" i="70"/>
  <c r="Y153" i="70"/>
  <c r="X156" i="70"/>
  <c r="W157" i="70"/>
  <c r="T157" i="70"/>
  <c r="V157" i="70"/>
  <c r="Q157" i="70"/>
  <c r="S157" i="70"/>
  <c r="N116" i="70"/>
  <c r="N117" i="70"/>
  <c r="N118" i="70"/>
  <c r="N119" i="70"/>
  <c r="N120" i="70"/>
  <c r="N149" i="70"/>
  <c r="P149" i="70"/>
  <c r="N150" i="70"/>
  <c r="P150" i="70"/>
  <c r="N151" i="70"/>
  <c r="P116" i="70"/>
  <c r="P117" i="70"/>
  <c r="P118" i="70"/>
  <c r="P119" i="70"/>
  <c r="P120" i="70"/>
  <c r="P151" i="70"/>
  <c r="N152" i="70"/>
  <c r="P152" i="70"/>
  <c r="N153" i="70"/>
  <c r="P153" i="70"/>
  <c r="O156" i="70"/>
  <c r="N157" i="70"/>
  <c r="K157" i="70"/>
  <c r="M157" i="70"/>
  <c r="H157" i="70"/>
  <c r="J157" i="70"/>
  <c r="E116" i="70"/>
  <c r="E117" i="70"/>
  <c r="E118" i="70"/>
  <c r="E119" i="70"/>
  <c r="E120" i="70"/>
  <c r="E149" i="70"/>
  <c r="G149" i="70"/>
  <c r="E150" i="70"/>
  <c r="G150" i="70"/>
  <c r="E151" i="70"/>
  <c r="G151" i="70"/>
  <c r="E152" i="70"/>
  <c r="G116" i="70"/>
  <c r="G117" i="70"/>
  <c r="G118" i="70"/>
  <c r="G119" i="70"/>
  <c r="G120" i="70"/>
  <c r="G152" i="70"/>
  <c r="E153" i="70"/>
  <c r="G153" i="70"/>
  <c r="F156" i="70"/>
  <c r="E157" i="70"/>
  <c r="B157" i="70"/>
  <c r="D157" i="70"/>
  <c r="E121" i="70"/>
  <c r="B160" i="70"/>
  <c r="D160" i="70"/>
  <c r="E99" i="70"/>
  <c r="B167" i="70"/>
  <c r="G121" i="70"/>
  <c r="N121" i="70"/>
  <c r="K159" i="70"/>
  <c r="M159" i="70"/>
  <c r="H149" i="70"/>
  <c r="J149" i="70"/>
  <c r="H150" i="70"/>
  <c r="J150" i="70"/>
  <c r="H116" i="70"/>
  <c r="H117" i="70"/>
  <c r="H118" i="70"/>
  <c r="H119" i="70"/>
  <c r="H120" i="70"/>
  <c r="H151" i="70"/>
  <c r="J151" i="70"/>
  <c r="H152" i="70"/>
  <c r="J152" i="70"/>
  <c r="H153" i="70"/>
  <c r="J116" i="70"/>
  <c r="J117" i="70"/>
  <c r="J118" i="70"/>
  <c r="J119" i="70"/>
  <c r="J120" i="70"/>
  <c r="J153" i="70"/>
  <c r="I156" i="70"/>
  <c r="H159" i="70"/>
  <c r="E159" i="70"/>
  <c r="G159" i="70"/>
  <c r="B159" i="70"/>
  <c r="D159" i="70"/>
  <c r="E97" i="70"/>
  <c r="B166" i="70"/>
  <c r="H121" i="70"/>
  <c r="E161" i="70"/>
  <c r="G161" i="70"/>
  <c r="B161" i="70"/>
  <c r="B149" i="70"/>
  <c r="D149" i="70"/>
  <c r="B116" i="70"/>
  <c r="B117" i="70"/>
  <c r="B118" i="70"/>
  <c r="B119" i="70"/>
  <c r="B120" i="70"/>
  <c r="B150" i="70"/>
  <c r="D150" i="70"/>
  <c r="B151" i="70"/>
  <c r="D151" i="70"/>
  <c r="B152" i="70"/>
  <c r="D152" i="70"/>
  <c r="B153" i="70"/>
  <c r="D116" i="70"/>
  <c r="D117" i="70"/>
  <c r="D118" i="70"/>
  <c r="D119" i="70"/>
  <c r="D120" i="70"/>
  <c r="D153" i="70"/>
  <c r="C156" i="70"/>
  <c r="D161" i="70"/>
  <c r="E101" i="70"/>
  <c r="B168" i="70"/>
  <c r="D121" i="70"/>
  <c r="E95" i="70"/>
  <c r="B165" i="70"/>
  <c r="B121" i="70"/>
  <c r="J121" i="70"/>
  <c r="P121" i="70"/>
  <c r="N171" i="70"/>
  <c r="N172" i="70"/>
  <c r="P164" i="70"/>
  <c r="S164" i="70"/>
  <c r="V164" i="70"/>
  <c r="W170" i="70"/>
  <c r="W121" i="70"/>
  <c r="T161" i="70"/>
  <c r="V161" i="70"/>
  <c r="Q161" i="70"/>
  <c r="Q149" i="70"/>
  <c r="S149" i="70"/>
  <c r="Q150" i="70"/>
  <c r="S150" i="70"/>
  <c r="Q151" i="70"/>
  <c r="S151" i="70"/>
  <c r="Q116" i="70"/>
  <c r="Q117" i="70"/>
  <c r="Q118" i="70"/>
  <c r="Q119" i="70"/>
  <c r="Q120" i="70"/>
  <c r="Q152" i="70"/>
  <c r="S152" i="70"/>
  <c r="Q153" i="70"/>
  <c r="S116" i="70"/>
  <c r="S117" i="70"/>
  <c r="S118" i="70"/>
  <c r="S119" i="70"/>
  <c r="S120" i="70"/>
  <c r="S153" i="70"/>
  <c r="R156" i="70"/>
  <c r="S161" i="70"/>
  <c r="N161" i="70"/>
  <c r="P161" i="70"/>
  <c r="K161" i="70"/>
  <c r="M161" i="70"/>
  <c r="H161" i="70"/>
  <c r="J161" i="70"/>
  <c r="S121" i="70"/>
  <c r="N160" i="70"/>
  <c r="P160" i="70"/>
  <c r="K160" i="70"/>
  <c r="K149" i="70"/>
  <c r="M149" i="70"/>
  <c r="K116" i="70"/>
  <c r="K117" i="70"/>
  <c r="K118" i="70"/>
  <c r="K119" i="70"/>
  <c r="K120" i="70"/>
  <c r="K150" i="70"/>
  <c r="M150" i="70"/>
  <c r="K151" i="70"/>
  <c r="M151" i="70"/>
  <c r="K152" i="70"/>
  <c r="M116" i="70"/>
  <c r="M117" i="70"/>
  <c r="M118" i="70"/>
  <c r="M119" i="70"/>
  <c r="M120" i="70"/>
  <c r="M152" i="70"/>
  <c r="K153" i="70"/>
  <c r="M153" i="70"/>
  <c r="L156" i="70"/>
  <c r="M160" i="70"/>
  <c r="H160" i="70"/>
  <c r="J160" i="70"/>
  <c r="E160" i="70"/>
  <c r="G160" i="70"/>
  <c r="M121" i="70"/>
  <c r="H158" i="70"/>
  <c r="J158" i="70"/>
  <c r="E158" i="70"/>
  <c r="G158" i="70"/>
  <c r="B158" i="70"/>
  <c r="K121" i="70"/>
  <c r="Q121" i="70"/>
  <c r="S171" i="70"/>
  <c r="S172" i="70"/>
  <c r="S168" i="70"/>
  <c r="V168" i="70"/>
  <c r="Y170" i="70"/>
  <c r="Y121" i="70"/>
  <c r="W171" i="70"/>
  <c r="W172" i="70"/>
  <c r="Y164" i="70"/>
  <c r="AB164" i="70"/>
  <c r="AC170" i="70"/>
  <c r="AC121" i="70"/>
  <c r="Z158" i="70"/>
  <c r="AB158" i="70"/>
  <c r="W158" i="70"/>
  <c r="Y158" i="70"/>
  <c r="T149" i="70"/>
  <c r="V149" i="70"/>
  <c r="T116" i="70"/>
  <c r="T117" i="70"/>
  <c r="T118" i="70"/>
  <c r="T119" i="70"/>
  <c r="T120" i="70"/>
  <c r="T150" i="70"/>
  <c r="V150" i="70"/>
  <c r="T151" i="70"/>
  <c r="V116" i="70"/>
  <c r="V117" i="70"/>
  <c r="V118" i="70"/>
  <c r="V119" i="70"/>
  <c r="V120" i="70"/>
  <c r="V151" i="70"/>
  <c r="T152" i="70"/>
  <c r="V152" i="70"/>
  <c r="T153" i="70"/>
  <c r="V153" i="70"/>
  <c r="U156" i="70"/>
  <c r="T158" i="70"/>
  <c r="Q158" i="70"/>
  <c r="S158" i="70"/>
  <c r="N158" i="70"/>
  <c r="P158" i="70"/>
  <c r="K158" i="70"/>
  <c r="T121" i="70"/>
  <c r="Q159" i="70"/>
  <c r="S159" i="70"/>
  <c r="N159" i="70"/>
  <c r="P159" i="70"/>
  <c r="V121" i="70"/>
  <c r="T171" i="70"/>
  <c r="T172" i="70"/>
  <c r="V165" i="70"/>
  <c r="Y165" i="70"/>
  <c r="AB165" i="70"/>
  <c r="AE170" i="70"/>
  <c r="AE121" i="70"/>
  <c r="AC171" i="70"/>
  <c r="AC172" i="70"/>
  <c r="AE164" i="70"/>
  <c r="AU164" i="70"/>
  <c r="AX4" i="70"/>
  <c r="C368" i="70"/>
  <c r="D368" i="70"/>
  <c r="G370" i="70"/>
  <c r="E371" i="70"/>
  <c r="E372" i="70"/>
  <c r="G367" i="70"/>
  <c r="J370" i="70"/>
  <c r="J358" i="70"/>
  <c r="J359" i="70"/>
  <c r="J360" i="70"/>
  <c r="J361" i="70"/>
  <c r="B358" i="70"/>
  <c r="B359" i="70"/>
  <c r="B360" i="70"/>
  <c r="B361" i="70"/>
  <c r="D358" i="70"/>
  <c r="D359" i="70"/>
  <c r="D360" i="70"/>
  <c r="D361" i="70"/>
  <c r="H357" i="70"/>
  <c r="B62" i="70"/>
  <c r="B39" i="70"/>
  <c r="D39" i="70"/>
  <c r="B40" i="70"/>
  <c r="D40" i="70"/>
  <c r="B41" i="70"/>
  <c r="D41" i="70"/>
  <c r="B42" i="70"/>
  <c r="D42" i="70"/>
  <c r="B43" i="70"/>
  <c r="D43" i="70"/>
  <c r="B44" i="70"/>
  <c r="D62" i="70"/>
  <c r="E62" i="70"/>
  <c r="G62" i="70"/>
  <c r="H62" i="70"/>
  <c r="H39" i="70"/>
  <c r="J39" i="70"/>
  <c r="H40" i="70"/>
  <c r="J40" i="70"/>
  <c r="H41" i="70"/>
  <c r="J41" i="70"/>
  <c r="H42" i="70"/>
  <c r="J42" i="70"/>
  <c r="H43" i="70"/>
  <c r="J43" i="70"/>
  <c r="H44" i="70"/>
  <c r="J62" i="70"/>
  <c r="K62" i="70"/>
  <c r="M62" i="70"/>
  <c r="N62" i="70"/>
  <c r="P62" i="70"/>
  <c r="Q62" i="70"/>
  <c r="Q39" i="70"/>
  <c r="S39" i="70"/>
  <c r="Q40" i="70"/>
  <c r="S40" i="70"/>
  <c r="Q41" i="70"/>
  <c r="S41" i="70"/>
  <c r="Q42" i="70"/>
  <c r="S42" i="70"/>
  <c r="Q43" i="70"/>
  <c r="S43" i="70"/>
  <c r="Q44" i="70"/>
  <c r="S62" i="70"/>
  <c r="T62" i="70"/>
  <c r="V62" i="70"/>
  <c r="W62" i="70"/>
  <c r="W31" i="70"/>
  <c r="W39" i="70"/>
  <c r="Y31" i="70"/>
  <c r="Y39" i="70"/>
  <c r="W32" i="70"/>
  <c r="W40" i="70"/>
  <c r="Y32" i="70"/>
  <c r="Y40" i="70"/>
  <c r="W33" i="70"/>
  <c r="W41" i="70"/>
  <c r="Y33" i="70"/>
  <c r="Y41" i="70"/>
  <c r="W34" i="70"/>
  <c r="W42" i="70"/>
  <c r="Y34" i="70"/>
  <c r="Y42" i="70"/>
  <c r="W35" i="70"/>
  <c r="W43" i="70"/>
  <c r="Y35" i="70"/>
  <c r="Y43" i="70"/>
  <c r="W44" i="70"/>
  <c r="Y62" i="70"/>
  <c r="Z62" i="70"/>
  <c r="AB62" i="70"/>
  <c r="AC62" i="70"/>
  <c r="AE62" i="70"/>
  <c r="AF62" i="70"/>
  <c r="D30" i="70"/>
  <c r="B30" i="70"/>
  <c r="AG28" i="70"/>
  <c r="AH28" i="70"/>
  <c r="J30" i="70"/>
  <c r="H30" i="70"/>
  <c r="AI28" i="70"/>
  <c r="AJ28" i="70"/>
  <c r="AK28" i="70"/>
  <c r="S30" i="70"/>
  <c r="Q30" i="70"/>
  <c r="AL28" i="70"/>
  <c r="AM28" i="70"/>
  <c r="Y30" i="70"/>
  <c r="W30" i="70"/>
  <c r="AN28" i="70"/>
  <c r="AO28" i="70"/>
  <c r="AP28" i="70"/>
  <c r="AQ28" i="70"/>
  <c r="Z16" i="70"/>
  <c r="J264" i="70"/>
  <c r="B146" i="70"/>
  <c r="D146" i="70"/>
  <c r="E146" i="70"/>
  <c r="E124" i="70"/>
  <c r="G124" i="70"/>
  <c r="E125" i="70"/>
  <c r="G125" i="70"/>
  <c r="E126" i="70"/>
  <c r="G126" i="70"/>
  <c r="E127" i="70"/>
  <c r="G127" i="70"/>
  <c r="E128" i="70"/>
  <c r="G128" i="70"/>
  <c r="E129" i="70"/>
  <c r="G146" i="70"/>
  <c r="H146" i="70"/>
  <c r="J146" i="70"/>
  <c r="K146" i="70"/>
  <c r="K124" i="70"/>
  <c r="M124" i="70"/>
  <c r="K125" i="70"/>
  <c r="M125" i="70"/>
  <c r="K126" i="70"/>
  <c r="M126" i="70"/>
  <c r="K127" i="70"/>
  <c r="M127" i="70"/>
  <c r="K128" i="70"/>
  <c r="M128" i="70"/>
  <c r="K129" i="70"/>
  <c r="M146" i="70"/>
  <c r="N146" i="70"/>
  <c r="P146" i="70"/>
  <c r="Q124" i="70"/>
  <c r="S124" i="70"/>
  <c r="Q125" i="70"/>
  <c r="S125" i="70"/>
  <c r="Q126" i="70"/>
  <c r="S126" i="70"/>
  <c r="Q127" i="70"/>
  <c r="S127" i="70"/>
  <c r="Q128" i="70"/>
  <c r="S128" i="70"/>
  <c r="Q129" i="70"/>
  <c r="Q146" i="70"/>
  <c r="S146" i="70"/>
  <c r="T146" i="70"/>
  <c r="V146" i="70"/>
  <c r="W146" i="70"/>
  <c r="Y146" i="70"/>
  <c r="Z146" i="70"/>
  <c r="Z116" i="70"/>
  <c r="Z124" i="70"/>
  <c r="AB116" i="70"/>
  <c r="AB124" i="70"/>
  <c r="Z117" i="70"/>
  <c r="Z125" i="70"/>
  <c r="AB117" i="70"/>
  <c r="AB125" i="70"/>
  <c r="Z118" i="70"/>
  <c r="Z126" i="70"/>
  <c r="AB118" i="70"/>
  <c r="AB126" i="70"/>
  <c r="Z119" i="70"/>
  <c r="Z127" i="70"/>
  <c r="AB119" i="70"/>
  <c r="AB127" i="70"/>
  <c r="Z120" i="70"/>
  <c r="Z128" i="70"/>
  <c r="AB120" i="70"/>
  <c r="AB128" i="70"/>
  <c r="Z129" i="70"/>
  <c r="AB146" i="70"/>
  <c r="AC146" i="70"/>
  <c r="AE146" i="70"/>
  <c r="AF146" i="70"/>
  <c r="AG112" i="70"/>
  <c r="G115" i="70"/>
  <c r="E115" i="70"/>
  <c r="AH112" i="70"/>
  <c r="AI112" i="70"/>
  <c r="M115" i="70"/>
  <c r="K115" i="70"/>
  <c r="AJ112" i="70"/>
  <c r="AK112" i="70"/>
  <c r="Q115" i="70"/>
  <c r="S115" i="70"/>
  <c r="AL112" i="70"/>
  <c r="AM112" i="70"/>
  <c r="AN112" i="70"/>
  <c r="AB115" i="70"/>
  <c r="Z115" i="70"/>
  <c r="AO112" i="70"/>
  <c r="AP112" i="70"/>
  <c r="AQ112" i="70"/>
  <c r="Z99" i="70"/>
  <c r="J265" i="70"/>
  <c r="B201" i="70"/>
  <c r="B209" i="70"/>
  <c r="D201" i="70"/>
  <c r="D209" i="70"/>
  <c r="B202" i="70"/>
  <c r="B210" i="70"/>
  <c r="D202" i="70"/>
  <c r="D210" i="70"/>
  <c r="B203" i="70"/>
  <c r="B211" i="70"/>
  <c r="D203" i="70"/>
  <c r="D211" i="70"/>
  <c r="B204" i="70"/>
  <c r="B212" i="70"/>
  <c r="D204" i="70"/>
  <c r="D212" i="70"/>
  <c r="B205" i="70"/>
  <c r="B213" i="70"/>
  <c r="D205" i="70"/>
  <c r="D213" i="70"/>
  <c r="B214" i="70"/>
  <c r="B229" i="70"/>
  <c r="D229" i="70"/>
  <c r="E229" i="70"/>
  <c r="G229" i="70"/>
  <c r="H229" i="70"/>
  <c r="J229" i="70"/>
  <c r="K201" i="70"/>
  <c r="K209" i="70"/>
  <c r="M201" i="70"/>
  <c r="M209" i="70"/>
  <c r="K202" i="70"/>
  <c r="K210" i="70"/>
  <c r="M202" i="70"/>
  <c r="M210" i="70"/>
  <c r="K203" i="70"/>
  <c r="K211" i="70"/>
  <c r="M203" i="70"/>
  <c r="M211" i="70"/>
  <c r="K204" i="70"/>
  <c r="K212" i="70"/>
  <c r="M204" i="70"/>
  <c r="M212" i="70"/>
  <c r="K205" i="70"/>
  <c r="K213" i="70"/>
  <c r="M205" i="70"/>
  <c r="M213" i="70"/>
  <c r="K214" i="70"/>
  <c r="K229" i="70"/>
  <c r="M229" i="70"/>
  <c r="N229" i="70"/>
  <c r="P229" i="70"/>
  <c r="Q229" i="70"/>
  <c r="S229" i="70"/>
  <c r="T201" i="70"/>
  <c r="T209" i="70"/>
  <c r="V201" i="70"/>
  <c r="V209" i="70"/>
  <c r="T202" i="70"/>
  <c r="T210" i="70"/>
  <c r="V202" i="70"/>
  <c r="V210" i="70"/>
  <c r="T203" i="70"/>
  <c r="T211" i="70"/>
  <c r="V203" i="70"/>
  <c r="V211" i="70"/>
  <c r="T204" i="70"/>
  <c r="T212" i="70"/>
  <c r="V204" i="70"/>
  <c r="V212" i="70"/>
  <c r="T205" i="70"/>
  <c r="T213" i="70"/>
  <c r="V205" i="70"/>
  <c r="V213" i="70"/>
  <c r="T214" i="70"/>
  <c r="T229" i="70"/>
  <c r="V229" i="70"/>
  <c r="W229" i="70"/>
  <c r="Y229" i="70"/>
  <c r="Z229" i="70"/>
  <c r="AB229" i="70"/>
  <c r="AC229" i="70"/>
  <c r="AC201" i="70"/>
  <c r="AC209" i="70"/>
  <c r="AE201" i="70"/>
  <c r="AE209" i="70"/>
  <c r="AC202" i="70"/>
  <c r="AC210" i="70"/>
  <c r="AE202" i="70"/>
  <c r="AE210" i="70"/>
  <c r="AC203" i="70"/>
  <c r="AC211" i="70"/>
  <c r="AE203" i="70"/>
  <c r="AE211" i="70"/>
  <c r="AC204" i="70"/>
  <c r="AC212" i="70"/>
  <c r="AE204" i="70"/>
  <c r="AE212" i="70"/>
  <c r="AC205" i="70"/>
  <c r="AC213" i="70"/>
  <c r="AE205" i="70"/>
  <c r="AE213" i="70"/>
  <c r="AC214" i="70"/>
  <c r="AE229" i="70"/>
  <c r="AF229" i="70"/>
  <c r="B200" i="70"/>
  <c r="D200" i="70"/>
  <c r="AG195" i="70"/>
  <c r="AH195" i="70"/>
  <c r="AI195" i="70"/>
  <c r="K200" i="70"/>
  <c r="M200" i="70"/>
  <c r="AJ195" i="70"/>
  <c r="AK195" i="70"/>
  <c r="AL195" i="70"/>
  <c r="T200" i="70"/>
  <c r="V200" i="70"/>
  <c r="AM195" i="70"/>
  <c r="AN195" i="70"/>
  <c r="AO195" i="70"/>
  <c r="AE200" i="70"/>
  <c r="AC200" i="70"/>
  <c r="AP195" i="70"/>
  <c r="AQ195" i="70"/>
  <c r="Z180" i="70"/>
  <c r="J266" i="70"/>
  <c r="B59" i="70"/>
  <c r="D59" i="70"/>
  <c r="E59" i="70"/>
  <c r="G59" i="70"/>
  <c r="H59" i="70"/>
  <c r="J59" i="70"/>
  <c r="K39" i="70"/>
  <c r="M39" i="70"/>
  <c r="K40" i="70"/>
  <c r="M40" i="70"/>
  <c r="K41" i="70"/>
  <c r="M41" i="70"/>
  <c r="K42" i="70"/>
  <c r="M42" i="70"/>
  <c r="K43" i="70"/>
  <c r="M43" i="70"/>
  <c r="K44" i="70"/>
  <c r="K59" i="70"/>
  <c r="M59" i="70"/>
  <c r="N59" i="70"/>
  <c r="P59" i="70"/>
  <c r="Q59" i="70"/>
  <c r="S59" i="70"/>
  <c r="T39" i="70"/>
  <c r="V39" i="70"/>
  <c r="T40" i="70"/>
  <c r="V40" i="70"/>
  <c r="T41" i="70"/>
  <c r="V41" i="70"/>
  <c r="T42" i="70"/>
  <c r="V42" i="70"/>
  <c r="T43" i="70"/>
  <c r="V43" i="70"/>
  <c r="T44" i="70"/>
  <c r="T59" i="70"/>
  <c r="V59" i="70"/>
  <c r="W59" i="70"/>
  <c r="Y59" i="70"/>
  <c r="Z59" i="70"/>
  <c r="AB59" i="70"/>
  <c r="AC59" i="70"/>
  <c r="AC31" i="70"/>
  <c r="AC39" i="70"/>
  <c r="AE31" i="70"/>
  <c r="AE39" i="70"/>
  <c r="AC32" i="70"/>
  <c r="AC40" i="70"/>
  <c r="AE32" i="70"/>
  <c r="AE40" i="70"/>
  <c r="AC33" i="70"/>
  <c r="AC41" i="70"/>
  <c r="AE33" i="70"/>
  <c r="AE41" i="70"/>
  <c r="AC34" i="70"/>
  <c r="AC42" i="70"/>
  <c r="AE34" i="70"/>
  <c r="AE42" i="70"/>
  <c r="AC35" i="70"/>
  <c r="AC43" i="70"/>
  <c r="AE35" i="70"/>
  <c r="AE43" i="70"/>
  <c r="AC44" i="70"/>
  <c r="AE59" i="70"/>
  <c r="AF59" i="70"/>
  <c r="AG25" i="70"/>
  <c r="AH25" i="70"/>
  <c r="AI25" i="70"/>
  <c r="K30" i="70"/>
  <c r="M30" i="70"/>
  <c r="AJ25" i="70"/>
  <c r="AK25" i="70"/>
  <c r="AL25" i="70"/>
  <c r="T30" i="70"/>
  <c r="V30" i="70"/>
  <c r="AM25" i="70"/>
  <c r="AN25" i="70"/>
  <c r="AO25" i="70"/>
  <c r="AE30" i="70"/>
  <c r="AC30" i="70"/>
  <c r="AP25" i="70"/>
  <c r="AQ25" i="70"/>
  <c r="Z10" i="70"/>
  <c r="AF264" i="70"/>
  <c r="B124" i="70"/>
  <c r="D124" i="70"/>
  <c r="B125" i="70"/>
  <c r="D125" i="70"/>
  <c r="B126" i="70"/>
  <c r="D126" i="70"/>
  <c r="B127" i="70"/>
  <c r="D127" i="70"/>
  <c r="B128" i="70"/>
  <c r="D128" i="70"/>
  <c r="B129" i="70"/>
  <c r="B144" i="70"/>
  <c r="D144" i="70"/>
  <c r="E144" i="70"/>
  <c r="G144" i="70"/>
  <c r="H144" i="70"/>
  <c r="J144" i="70"/>
  <c r="K144" i="70"/>
  <c r="M144" i="70"/>
  <c r="N144" i="70"/>
  <c r="P144" i="70"/>
  <c r="Q144" i="70"/>
  <c r="S144" i="70"/>
  <c r="T124" i="70"/>
  <c r="V124" i="70"/>
  <c r="T125" i="70"/>
  <c r="V125" i="70"/>
  <c r="T126" i="70"/>
  <c r="V126" i="70"/>
  <c r="T127" i="70"/>
  <c r="V127" i="70"/>
  <c r="T128" i="70"/>
  <c r="V128" i="70"/>
  <c r="T129" i="70"/>
  <c r="T144" i="70"/>
  <c r="V144" i="70"/>
  <c r="W144" i="70"/>
  <c r="Y144" i="70"/>
  <c r="Z144" i="70"/>
  <c r="AB144" i="70"/>
  <c r="AC144" i="70"/>
  <c r="AC124" i="70"/>
  <c r="AE124" i="70"/>
  <c r="AC125" i="70"/>
  <c r="AE125" i="70"/>
  <c r="AC126" i="70"/>
  <c r="AE126" i="70"/>
  <c r="AC127" i="70"/>
  <c r="AE127" i="70"/>
  <c r="AC128" i="70"/>
  <c r="AE128" i="70"/>
  <c r="AC129" i="70"/>
  <c r="AE144" i="70"/>
  <c r="AF144" i="70"/>
  <c r="B115" i="70"/>
  <c r="D115" i="70"/>
  <c r="AG110" i="70"/>
  <c r="AH110" i="70"/>
  <c r="AI110" i="70"/>
  <c r="AJ110" i="70"/>
  <c r="AK110" i="70"/>
  <c r="AL110" i="70"/>
  <c r="T115" i="70"/>
  <c r="V115" i="70"/>
  <c r="AM110" i="70"/>
  <c r="AN110" i="70"/>
  <c r="AO110" i="70"/>
  <c r="AE115" i="70"/>
  <c r="AC115" i="70"/>
  <c r="AP110" i="70"/>
  <c r="AQ110" i="70"/>
  <c r="Z95" i="70"/>
  <c r="AF265" i="70"/>
  <c r="B228" i="70"/>
  <c r="D228" i="70"/>
  <c r="E201" i="70"/>
  <c r="E209" i="70"/>
  <c r="G201" i="70"/>
  <c r="G209" i="70"/>
  <c r="E202" i="70"/>
  <c r="E210" i="70"/>
  <c r="G202" i="70"/>
  <c r="G210" i="70"/>
  <c r="E203" i="70"/>
  <c r="E211" i="70"/>
  <c r="G203" i="70"/>
  <c r="G211" i="70"/>
  <c r="E204" i="70"/>
  <c r="E212" i="70"/>
  <c r="G204" i="70"/>
  <c r="G212" i="70"/>
  <c r="E205" i="70"/>
  <c r="E213" i="70"/>
  <c r="G205" i="70"/>
  <c r="G213" i="70"/>
  <c r="E214" i="70"/>
  <c r="E228" i="70"/>
  <c r="G228" i="70"/>
  <c r="H228" i="70"/>
  <c r="J228" i="70"/>
  <c r="K228" i="70"/>
  <c r="M228" i="70"/>
  <c r="N201" i="70"/>
  <c r="N209" i="70"/>
  <c r="P201" i="70"/>
  <c r="P209" i="70"/>
  <c r="N202" i="70"/>
  <c r="N210" i="70"/>
  <c r="P202" i="70"/>
  <c r="P210" i="70"/>
  <c r="N203" i="70"/>
  <c r="N211" i="70"/>
  <c r="P203" i="70"/>
  <c r="P211" i="70"/>
  <c r="N204" i="70"/>
  <c r="N212" i="70"/>
  <c r="P204" i="70"/>
  <c r="P212" i="70"/>
  <c r="N205" i="70"/>
  <c r="N213" i="70"/>
  <c r="P205" i="70"/>
  <c r="P213" i="70"/>
  <c r="N214" i="70"/>
  <c r="N228" i="70"/>
  <c r="P228" i="70"/>
  <c r="Q228" i="70"/>
  <c r="S228" i="70"/>
  <c r="T228" i="70"/>
  <c r="V228" i="70"/>
  <c r="W201" i="70"/>
  <c r="W209" i="70"/>
  <c r="Y201" i="70"/>
  <c r="Y209" i="70"/>
  <c r="W202" i="70"/>
  <c r="W210" i="70"/>
  <c r="Y202" i="70"/>
  <c r="Y210" i="70"/>
  <c r="W203" i="70"/>
  <c r="W211" i="70"/>
  <c r="Y203" i="70"/>
  <c r="Y211" i="70"/>
  <c r="W204" i="70"/>
  <c r="W212" i="70"/>
  <c r="Y204" i="70"/>
  <c r="Y212" i="70"/>
  <c r="W205" i="70"/>
  <c r="W213" i="70"/>
  <c r="Y205" i="70"/>
  <c r="Y213" i="70"/>
  <c r="W214" i="70"/>
  <c r="W228" i="70"/>
  <c r="Y228" i="70"/>
  <c r="Z228" i="70"/>
  <c r="AB228" i="70"/>
  <c r="AC228" i="70"/>
  <c r="AE228" i="70"/>
  <c r="AF228" i="70"/>
  <c r="AG194" i="70"/>
  <c r="E200" i="70"/>
  <c r="G200" i="70"/>
  <c r="AH194" i="70"/>
  <c r="AI194" i="70"/>
  <c r="AJ194" i="70"/>
  <c r="N200" i="70"/>
  <c r="P200" i="70"/>
  <c r="AK194" i="70"/>
  <c r="AL194" i="70"/>
  <c r="AM194" i="70"/>
  <c r="W200" i="70"/>
  <c r="Y200" i="70"/>
  <c r="AN194" i="70"/>
  <c r="AO194" i="70"/>
  <c r="AP194" i="70"/>
  <c r="AQ194" i="70"/>
  <c r="Z178" i="70"/>
  <c r="AF266" i="70"/>
  <c r="AG264" i="70"/>
  <c r="X264" i="70"/>
  <c r="X271" i="70"/>
  <c r="B349" i="70"/>
  <c r="B366" i="70"/>
  <c r="AC73" i="70"/>
  <c r="AC64" i="70"/>
  <c r="AE64" i="70"/>
  <c r="AC65" i="70"/>
  <c r="AE65" i="70"/>
  <c r="AC66" i="70"/>
  <c r="AE66" i="70"/>
  <c r="AC67" i="70"/>
  <c r="AE67" i="70"/>
  <c r="AC68" i="70"/>
  <c r="AE68" i="70"/>
  <c r="AD71" i="70"/>
  <c r="AE73" i="70"/>
  <c r="Z73" i="70"/>
  <c r="AB73" i="70"/>
  <c r="W73" i="70"/>
  <c r="Y73" i="70"/>
  <c r="T73" i="70"/>
  <c r="AE36" i="70"/>
  <c r="Z72" i="70"/>
  <c r="AB72" i="70"/>
  <c r="W64" i="70"/>
  <c r="Y64" i="70"/>
  <c r="W65" i="70"/>
  <c r="Y65" i="70"/>
  <c r="W66" i="70"/>
  <c r="Y66" i="70"/>
  <c r="W67" i="70"/>
  <c r="Y67" i="70"/>
  <c r="W68" i="70"/>
  <c r="Y68" i="70"/>
  <c r="X71" i="70"/>
  <c r="W72" i="70"/>
  <c r="T72" i="70"/>
  <c r="V72" i="70"/>
  <c r="Q72" i="70"/>
  <c r="S72" i="70"/>
  <c r="N72" i="70"/>
  <c r="W36" i="70"/>
  <c r="T76" i="70"/>
  <c r="V76" i="70"/>
  <c r="Q76" i="70"/>
  <c r="S76" i="70"/>
  <c r="Y36" i="70"/>
  <c r="AC36" i="70"/>
  <c r="AE86" i="70"/>
  <c r="AE87" i="70"/>
  <c r="AE80" i="70"/>
  <c r="AU80" i="70"/>
  <c r="AX8" i="70"/>
  <c r="C366" i="70"/>
  <c r="B370" i="70"/>
  <c r="E182" i="70"/>
  <c r="AH266" i="70"/>
  <c r="B352" i="70"/>
  <c r="B369" i="70"/>
  <c r="AT165" i="70"/>
  <c r="AT166" i="70"/>
  <c r="AT167" i="70"/>
  <c r="AT168" i="70"/>
  <c r="AC72" i="70"/>
  <c r="AC75" i="70"/>
  <c r="AE75" i="70"/>
  <c r="Z75" i="70"/>
  <c r="AB75" i="70"/>
  <c r="AB86" i="70"/>
  <c r="AB87" i="70"/>
  <c r="AB82" i="70"/>
  <c r="AE82" i="70"/>
  <c r="AU82" i="70"/>
  <c r="AC76" i="70"/>
  <c r="AE76" i="70"/>
  <c r="Z76" i="70"/>
  <c r="AB76" i="70"/>
  <c r="W76" i="70"/>
  <c r="Y76" i="70"/>
  <c r="AC158" i="70"/>
  <c r="AE158" i="70"/>
  <c r="AE171" i="70"/>
  <c r="AE172" i="70"/>
  <c r="AE165" i="70"/>
  <c r="AU165" i="70"/>
  <c r="AC159" i="70"/>
  <c r="AE159" i="70"/>
  <c r="Z149" i="70"/>
  <c r="AB149" i="70"/>
  <c r="Z150" i="70"/>
  <c r="AB150" i="70"/>
  <c r="Z151" i="70"/>
  <c r="AB151" i="70"/>
  <c r="Z152" i="70"/>
  <c r="AB152" i="70"/>
  <c r="Z153" i="70"/>
  <c r="AB153" i="70"/>
  <c r="AA156" i="70"/>
  <c r="Z159" i="70"/>
  <c r="W159" i="70"/>
  <c r="Y159" i="70"/>
  <c r="T159" i="70"/>
  <c r="V159" i="70"/>
  <c r="Z121" i="70"/>
  <c r="W160" i="70"/>
  <c r="Y160" i="70"/>
  <c r="T160" i="70"/>
  <c r="V160" i="70"/>
  <c r="Q160" i="70"/>
  <c r="AB121" i="70"/>
  <c r="Z171" i="70"/>
  <c r="Z172" i="70"/>
  <c r="AB166" i="70"/>
  <c r="AE166" i="70"/>
  <c r="AU166" i="70"/>
  <c r="AC160" i="70"/>
  <c r="AE160" i="70"/>
  <c r="Z160" i="70"/>
  <c r="AB160" i="70"/>
  <c r="AC161" i="70"/>
  <c r="AE161" i="70"/>
  <c r="Z161" i="70"/>
  <c r="AB161" i="70"/>
  <c r="W161" i="70"/>
  <c r="Y161" i="70"/>
  <c r="Y171" i="70"/>
  <c r="Y172" i="70"/>
  <c r="Y168" i="70"/>
  <c r="AB168" i="70"/>
  <c r="AE168" i="70"/>
  <c r="AU168" i="70"/>
  <c r="E178" i="70"/>
  <c r="B249" i="70"/>
  <c r="AT249" i="70"/>
  <c r="AC234" i="70"/>
  <c r="AE234" i="70"/>
  <c r="AC235" i="70"/>
  <c r="AE235" i="70"/>
  <c r="AC236" i="70"/>
  <c r="AE236" i="70"/>
  <c r="AC237" i="70"/>
  <c r="AE237" i="70"/>
  <c r="AC238" i="70"/>
  <c r="AE238" i="70"/>
  <c r="AD241" i="70"/>
  <c r="AC242" i="70"/>
  <c r="Z242" i="70"/>
  <c r="AB242" i="70"/>
  <c r="W234" i="70"/>
  <c r="Y234" i="70"/>
  <c r="W235" i="70"/>
  <c r="Y235" i="70"/>
  <c r="W236" i="70"/>
  <c r="Y236" i="70"/>
  <c r="W237" i="70"/>
  <c r="Y237" i="70"/>
  <c r="W238" i="70"/>
  <c r="Y238" i="70"/>
  <c r="X241" i="70"/>
  <c r="W242" i="70"/>
  <c r="T242" i="70"/>
  <c r="V242" i="70"/>
  <c r="Q242" i="70"/>
  <c r="S242" i="70"/>
  <c r="N234" i="70"/>
  <c r="P234" i="70"/>
  <c r="N235" i="70"/>
  <c r="P235" i="70"/>
  <c r="N236" i="70"/>
  <c r="P236" i="70"/>
  <c r="N237" i="70"/>
  <c r="P237" i="70"/>
  <c r="N238" i="70"/>
  <c r="P238" i="70"/>
  <c r="O241" i="70"/>
  <c r="N242" i="70"/>
  <c r="K242" i="70"/>
  <c r="M242" i="70"/>
  <c r="H242" i="70"/>
  <c r="J242" i="70"/>
  <c r="E234" i="70"/>
  <c r="G234" i="70"/>
  <c r="E235" i="70"/>
  <c r="G235" i="70"/>
  <c r="E236" i="70"/>
  <c r="G236" i="70"/>
  <c r="E237" i="70"/>
  <c r="G237" i="70"/>
  <c r="E238" i="70"/>
  <c r="G238" i="70"/>
  <c r="F241" i="70"/>
  <c r="E242" i="70"/>
  <c r="B242" i="70"/>
  <c r="D242" i="70"/>
  <c r="E206" i="70"/>
  <c r="B245" i="70"/>
  <c r="D245" i="70"/>
  <c r="E184" i="70"/>
  <c r="B252" i="70"/>
  <c r="G206" i="70"/>
  <c r="N206" i="70"/>
  <c r="K244" i="70"/>
  <c r="M244" i="70"/>
  <c r="H234" i="70"/>
  <c r="J234" i="70"/>
  <c r="H235" i="70"/>
  <c r="J235" i="70"/>
  <c r="H201" i="70"/>
  <c r="H202" i="70"/>
  <c r="H203" i="70"/>
  <c r="H204" i="70"/>
  <c r="H205" i="70"/>
  <c r="H236" i="70"/>
  <c r="J236" i="70"/>
  <c r="H237" i="70"/>
  <c r="J237" i="70"/>
  <c r="H238" i="70"/>
  <c r="J201" i="70"/>
  <c r="J202" i="70"/>
  <c r="J203" i="70"/>
  <c r="J204" i="70"/>
  <c r="J205" i="70"/>
  <c r="J238" i="70"/>
  <c r="I241" i="70"/>
  <c r="H244" i="70"/>
  <c r="E244" i="70"/>
  <c r="G244" i="70"/>
  <c r="B244" i="70"/>
  <c r="D244" i="70"/>
  <c r="B251" i="70"/>
  <c r="H206" i="70"/>
  <c r="E246" i="70"/>
  <c r="G246" i="70"/>
  <c r="B246" i="70"/>
  <c r="B234" i="70"/>
  <c r="D234" i="70"/>
  <c r="B235" i="70"/>
  <c r="D235" i="70"/>
  <c r="B236" i="70"/>
  <c r="D236" i="70"/>
  <c r="B237" i="70"/>
  <c r="D237" i="70"/>
  <c r="B238" i="70"/>
  <c r="D238" i="70"/>
  <c r="C241" i="70"/>
  <c r="D246" i="70"/>
  <c r="E186" i="70"/>
  <c r="B253" i="70"/>
  <c r="D206" i="70"/>
  <c r="E180" i="70"/>
  <c r="B250" i="70"/>
  <c r="B206" i="70"/>
  <c r="J206" i="70"/>
  <c r="P206" i="70"/>
  <c r="W206" i="70"/>
  <c r="T246" i="70"/>
  <c r="V246" i="70"/>
  <c r="Q246" i="70"/>
  <c r="Q234" i="70"/>
  <c r="S234" i="70"/>
  <c r="Q235" i="70"/>
  <c r="S235" i="70"/>
  <c r="Q236" i="70"/>
  <c r="S236" i="70"/>
  <c r="Q201" i="70"/>
  <c r="Q202" i="70"/>
  <c r="Q203" i="70"/>
  <c r="Q204" i="70"/>
  <c r="Q205" i="70"/>
  <c r="Q237" i="70"/>
  <c r="S237" i="70"/>
  <c r="Q238" i="70"/>
  <c r="S201" i="70"/>
  <c r="S202" i="70"/>
  <c r="S203" i="70"/>
  <c r="S204" i="70"/>
  <c r="S205" i="70"/>
  <c r="S238" i="70"/>
  <c r="R241" i="70"/>
  <c r="S246" i="70"/>
  <c r="N246" i="70"/>
  <c r="P246" i="70"/>
  <c r="K246" i="70"/>
  <c r="M246" i="70"/>
  <c r="H246" i="70"/>
  <c r="J246" i="70"/>
  <c r="S206" i="70"/>
  <c r="N245" i="70"/>
  <c r="P245" i="70"/>
  <c r="K245" i="70"/>
  <c r="K234" i="70"/>
  <c r="M234" i="70"/>
  <c r="K235" i="70"/>
  <c r="M235" i="70"/>
  <c r="K236" i="70"/>
  <c r="M236" i="70"/>
  <c r="K237" i="70"/>
  <c r="M237" i="70"/>
  <c r="K238" i="70"/>
  <c r="M238" i="70"/>
  <c r="L241" i="70"/>
  <c r="M245" i="70"/>
  <c r="H245" i="70"/>
  <c r="J245" i="70"/>
  <c r="E245" i="70"/>
  <c r="G245" i="70"/>
  <c r="M206" i="70"/>
  <c r="H243" i="70"/>
  <c r="J243" i="70"/>
  <c r="E243" i="70"/>
  <c r="G243" i="70"/>
  <c r="B243" i="70"/>
  <c r="K206" i="70"/>
  <c r="Q206" i="70"/>
  <c r="Y206" i="70"/>
  <c r="AC206" i="70"/>
  <c r="Z243" i="70"/>
  <c r="AB243" i="70"/>
  <c r="W243" i="70"/>
  <c r="Y243" i="70"/>
  <c r="T234" i="70"/>
  <c r="V234" i="70"/>
  <c r="T235" i="70"/>
  <c r="V235" i="70"/>
  <c r="T236" i="70"/>
  <c r="V236" i="70"/>
  <c r="T237" i="70"/>
  <c r="V237" i="70"/>
  <c r="T238" i="70"/>
  <c r="V238" i="70"/>
  <c r="U241" i="70"/>
  <c r="T243" i="70"/>
  <c r="Q243" i="70"/>
  <c r="S243" i="70"/>
  <c r="N243" i="70"/>
  <c r="P243" i="70"/>
  <c r="K243" i="70"/>
  <c r="T206" i="70"/>
  <c r="Q244" i="70"/>
  <c r="S244" i="70"/>
  <c r="N244" i="70"/>
  <c r="P244" i="70"/>
  <c r="V206" i="70"/>
  <c r="AE206" i="70"/>
  <c r="AC256" i="70"/>
  <c r="AC257" i="70"/>
  <c r="AE249" i="70"/>
  <c r="AU249" i="70"/>
  <c r="AT250" i="70"/>
  <c r="AC243" i="70"/>
  <c r="AE243" i="70"/>
  <c r="AT251" i="70"/>
  <c r="AC244" i="70"/>
  <c r="AE244" i="70"/>
  <c r="Z234" i="70"/>
  <c r="AB234" i="70"/>
  <c r="Z235" i="70"/>
  <c r="AB235" i="70"/>
  <c r="Z201" i="70"/>
  <c r="Z202" i="70"/>
  <c r="Z203" i="70"/>
  <c r="Z204" i="70"/>
  <c r="Z205" i="70"/>
  <c r="Z236" i="70"/>
  <c r="AB236" i="70"/>
  <c r="Z237" i="70"/>
  <c r="AB201" i="70"/>
  <c r="AB202" i="70"/>
  <c r="AB203" i="70"/>
  <c r="AB204" i="70"/>
  <c r="AB205" i="70"/>
  <c r="AB237" i="70"/>
  <c r="Z238" i="70"/>
  <c r="AB238" i="70"/>
  <c r="AA241" i="70"/>
  <c r="Z244" i="70"/>
  <c r="W244" i="70"/>
  <c r="Y244" i="70"/>
  <c r="T244" i="70"/>
  <c r="V244" i="70"/>
  <c r="V256" i="70"/>
  <c r="V257" i="70"/>
  <c r="V251" i="70"/>
  <c r="Y251" i="70"/>
  <c r="Z255" i="70"/>
  <c r="Z206" i="70"/>
  <c r="W245" i="70"/>
  <c r="Y245" i="70"/>
  <c r="T245" i="70"/>
  <c r="V245" i="70"/>
  <c r="Q245" i="70"/>
  <c r="Q256" i="70"/>
  <c r="Q257" i="70"/>
  <c r="S252" i="70"/>
  <c r="V252" i="70"/>
  <c r="Y252" i="70"/>
  <c r="AB255" i="70"/>
  <c r="AB206" i="70"/>
  <c r="Z256" i="70"/>
  <c r="Z257" i="70"/>
  <c r="AB251" i="70"/>
  <c r="AE251" i="70"/>
  <c r="AU251" i="70"/>
  <c r="AT252" i="70"/>
  <c r="AC245" i="70"/>
  <c r="AE245" i="70"/>
  <c r="Z245" i="70"/>
  <c r="AB245" i="70"/>
  <c r="AB256" i="70"/>
  <c r="AB257" i="70"/>
  <c r="AB252" i="70"/>
  <c r="AE252" i="70"/>
  <c r="AU252" i="70"/>
  <c r="AT253" i="70"/>
  <c r="AC246" i="70"/>
  <c r="AE246" i="70"/>
  <c r="Z246" i="70"/>
  <c r="AB246" i="70"/>
  <c r="W246" i="70"/>
  <c r="Y246" i="70"/>
  <c r="Y256" i="70"/>
  <c r="Y257" i="70"/>
  <c r="Y253" i="70"/>
  <c r="AB253" i="70"/>
  <c r="AE253" i="70"/>
  <c r="AU253" i="70"/>
  <c r="AX11" i="70"/>
  <c r="C369" i="70"/>
  <c r="D370" i="70"/>
  <c r="B371" i="70"/>
  <c r="B372" i="70"/>
  <c r="D366" i="70"/>
  <c r="G366" i="70"/>
  <c r="H370" i="70"/>
  <c r="H358" i="70"/>
  <c r="H359" i="70"/>
  <c r="H360" i="70"/>
  <c r="H361" i="70"/>
  <c r="J371" i="70"/>
  <c r="J372" i="70"/>
  <c r="H371" i="70"/>
  <c r="H372" i="70"/>
  <c r="G371" i="70"/>
  <c r="G372" i="70"/>
  <c r="D371" i="70"/>
  <c r="D372" i="70"/>
  <c r="AU371" i="70"/>
  <c r="AT371" i="70"/>
  <c r="AU370" i="70"/>
  <c r="AT370" i="70"/>
  <c r="AU369" i="70"/>
  <c r="AT369" i="70"/>
  <c r="D369" i="70"/>
  <c r="G369" i="70"/>
  <c r="J369" i="70"/>
  <c r="AU368" i="70"/>
  <c r="AT368" i="70"/>
  <c r="G368" i="70"/>
  <c r="J368" i="70"/>
  <c r="AU367" i="70"/>
  <c r="AT367" i="70"/>
  <c r="J367" i="70"/>
  <c r="AU366" i="70"/>
  <c r="AT366" i="70"/>
  <c r="J366" i="70"/>
  <c r="AU365" i="70"/>
  <c r="AT365" i="70"/>
  <c r="K362" i="70"/>
  <c r="E183" i="70"/>
  <c r="AK266" i="70"/>
  <c r="K352" i="70"/>
  <c r="E94" i="70"/>
  <c r="AK265" i="70"/>
  <c r="K351" i="70"/>
  <c r="E13" i="70"/>
  <c r="AK264" i="70"/>
  <c r="K350" i="70"/>
  <c r="E11" i="70"/>
  <c r="AC264" i="70"/>
  <c r="AF271" i="70"/>
  <c r="K349" i="70"/>
  <c r="A343" i="70"/>
  <c r="F342" i="70"/>
  <c r="A338" i="70"/>
  <c r="J337" i="70"/>
  <c r="A334" i="70"/>
  <c r="F332" i="70"/>
  <c r="A332" i="70"/>
  <c r="A329" i="70"/>
  <c r="W310" i="70"/>
  <c r="W311" i="70"/>
  <c r="W312" i="70"/>
  <c r="W313" i="70"/>
  <c r="Y310" i="70"/>
  <c r="Y311" i="70"/>
  <c r="Y312" i="70"/>
  <c r="Y313" i="70"/>
  <c r="AC309" i="70"/>
  <c r="AG265" i="70"/>
  <c r="X265" i="70"/>
  <c r="X270" i="70"/>
  <c r="X304" i="70"/>
  <c r="W321" i="70"/>
  <c r="AX7" i="70"/>
  <c r="X321" i="70"/>
  <c r="Y322" i="70"/>
  <c r="B58" i="70"/>
  <c r="D58" i="70"/>
  <c r="E39" i="70"/>
  <c r="G39" i="70"/>
  <c r="E40" i="70"/>
  <c r="G40" i="70"/>
  <c r="E41" i="70"/>
  <c r="G41" i="70"/>
  <c r="E42" i="70"/>
  <c r="G42" i="70"/>
  <c r="E43" i="70"/>
  <c r="G43" i="70"/>
  <c r="E44" i="70"/>
  <c r="E58" i="70"/>
  <c r="G58" i="70"/>
  <c r="H58" i="70"/>
  <c r="J58" i="70"/>
  <c r="K58" i="70"/>
  <c r="M58" i="70"/>
  <c r="N39" i="70"/>
  <c r="P39" i="70"/>
  <c r="N40" i="70"/>
  <c r="P40" i="70"/>
  <c r="N41" i="70"/>
  <c r="P41" i="70"/>
  <c r="N42" i="70"/>
  <c r="P42" i="70"/>
  <c r="N43" i="70"/>
  <c r="P43" i="70"/>
  <c r="N44" i="70"/>
  <c r="N58" i="70"/>
  <c r="P58" i="70"/>
  <c r="Q58" i="70"/>
  <c r="S58" i="70"/>
  <c r="T58" i="70"/>
  <c r="V58" i="70"/>
  <c r="W58" i="70"/>
  <c r="Y58" i="70"/>
  <c r="Z58" i="70"/>
  <c r="AB58" i="70"/>
  <c r="AC58" i="70"/>
  <c r="AE58" i="70"/>
  <c r="AF58" i="70"/>
  <c r="AG24" i="70"/>
  <c r="E30" i="70"/>
  <c r="G30" i="70"/>
  <c r="AH24" i="70"/>
  <c r="AI24" i="70"/>
  <c r="AJ24" i="70"/>
  <c r="N30" i="70"/>
  <c r="P30" i="70"/>
  <c r="AK24" i="70"/>
  <c r="AL24" i="70"/>
  <c r="AM24" i="70"/>
  <c r="AN24" i="70"/>
  <c r="AO24" i="70"/>
  <c r="AP24" i="70"/>
  <c r="AQ24" i="70"/>
  <c r="Z8" i="70"/>
  <c r="U264" i="70"/>
  <c r="B147" i="70"/>
  <c r="D147" i="70"/>
  <c r="E147" i="70"/>
  <c r="G147" i="70"/>
  <c r="H147" i="70"/>
  <c r="H124" i="70"/>
  <c r="J124" i="70"/>
  <c r="H125" i="70"/>
  <c r="J125" i="70"/>
  <c r="H126" i="70"/>
  <c r="J126" i="70"/>
  <c r="H127" i="70"/>
  <c r="J127" i="70"/>
  <c r="H128" i="70"/>
  <c r="J128" i="70"/>
  <c r="H129" i="70"/>
  <c r="J147" i="70"/>
  <c r="K147" i="70"/>
  <c r="M147" i="70"/>
  <c r="N147" i="70"/>
  <c r="P147" i="70"/>
  <c r="Q147" i="70"/>
  <c r="S147" i="70"/>
  <c r="T147" i="70"/>
  <c r="V147" i="70"/>
  <c r="W147" i="70"/>
  <c r="W124" i="70"/>
  <c r="Y124" i="70"/>
  <c r="W125" i="70"/>
  <c r="Y125" i="70"/>
  <c r="W126" i="70"/>
  <c r="Y126" i="70"/>
  <c r="W127" i="70"/>
  <c r="Y127" i="70"/>
  <c r="W128" i="70"/>
  <c r="Y128" i="70"/>
  <c r="W129" i="70"/>
  <c r="Y147" i="70"/>
  <c r="Z147" i="70"/>
  <c r="AB147" i="70"/>
  <c r="AC147" i="70"/>
  <c r="AE147" i="70"/>
  <c r="AF147" i="70"/>
  <c r="AG113" i="70"/>
  <c r="AH113" i="70"/>
  <c r="J115" i="70"/>
  <c r="H115" i="70"/>
  <c r="AI113" i="70"/>
  <c r="AJ113" i="70"/>
  <c r="AK113" i="70"/>
  <c r="AL113" i="70"/>
  <c r="AM113" i="70"/>
  <c r="Y115" i="70"/>
  <c r="W115" i="70"/>
  <c r="AN113" i="70"/>
  <c r="AO113" i="70"/>
  <c r="AP113" i="70"/>
  <c r="AQ113" i="70"/>
  <c r="Z101" i="70"/>
  <c r="U265" i="70"/>
  <c r="B231" i="70"/>
  <c r="D231" i="70"/>
  <c r="E231" i="70"/>
  <c r="G231" i="70"/>
  <c r="H231" i="70"/>
  <c r="J231" i="70"/>
  <c r="K231" i="70"/>
  <c r="M231" i="70"/>
  <c r="N231" i="70"/>
  <c r="P231" i="70"/>
  <c r="Q209" i="70"/>
  <c r="S209" i="70"/>
  <c r="Q210" i="70"/>
  <c r="S210" i="70"/>
  <c r="Q211" i="70"/>
  <c r="S211" i="70"/>
  <c r="Q212" i="70"/>
  <c r="S212" i="70"/>
  <c r="Q213" i="70"/>
  <c r="S213" i="70"/>
  <c r="Q214" i="70"/>
  <c r="Q231" i="70"/>
  <c r="S231" i="70"/>
  <c r="T231" i="70"/>
  <c r="V231" i="70"/>
  <c r="W231" i="70"/>
  <c r="Y231" i="70"/>
  <c r="Z231" i="70"/>
  <c r="Z209" i="70"/>
  <c r="AB209" i="70"/>
  <c r="Z210" i="70"/>
  <c r="AB210" i="70"/>
  <c r="Z211" i="70"/>
  <c r="AB211" i="70"/>
  <c r="Z212" i="70"/>
  <c r="AB212" i="70"/>
  <c r="Z213" i="70"/>
  <c r="AB213" i="70"/>
  <c r="Z214" i="70"/>
  <c r="AB231" i="70"/>
  <c r="AC231" i="70"/>
  <c r="AE231" i="70"/>
  <c r="AF231" i="70"/>
  <c r="AG197" i="70"/>
  <c r="AH197" i="70"/>
  <c r="AI197" i="70"/>
  <c r="AJ197" i="70"/>
  <c r="AK197" i="70"/>
  <c r="Q200" i="70"/>
  <c r="S200" i="70"/>
  <c r="AL197" i="70"/>
  <c r="AM197" i="70"/>
  <c r="AN197" i="70"/>
  <c r="AB200" i="70"/>
  <c r="Z200" i="70"/>
  <c r="AO197" i="70"/>
  <c r="AP197" i="70"/>
  <c r="AQ197" i="70"/>
  <c r="Z184" i="70"/>
  <c r="U266" i="70"/>
  <c r="W264" i="70"/>
  <c r="W265" i="70"/>
  <c r="M265" i="70"/>
  <c r="M270" i="70"/>
  <c r="X301" i="70"/>
  <c r="W318" i="70"/>
  <c r="AX16" i="70"/>
  <c r="X318" i="70"/>
  <c r="W322" i="70"/>
  <c r="Y323" i="70"/>
  <c r="Y324" i="70"/>
  <c r="Y321" i="70"/>
  <c r="AB321" i="70"/>
  <c r="AC322" i="70"/>
  <c r="AC310" i="70"/>
  <c r="AC311" i="70"/>
  <c r="AC312" i="70"/>
  <c r="AC313" i="70"/>
  <c r="Z310" i="70"/>
  <c r="Z311" i="70"/>
  <c r="Z312" i="70"/>
  <c r="Z313" i="70"/>
  <c r="AB310" i="70"/>
  <c r="AB311" i="70"/>
  <c r="AB312" i="70"/>
  <c r="AB313" i="70"/>
  <c r="AE309" i="70"/>
  <c r="W266" i="70"/>
  <c r="M266" i="70"/>
  <c r="M271" i="70"/>
  <c r="X302" i="70"/>
  <c r="W319" i="70"/>
  <c r="AX12" i="70"/>
  <c r="X319" i="70"/>
  <c r="Y319" i="70"/>
  <c r="Z322" i="70"/>
  <c r="AG266" i="70"/>
  <c r="X266" i="70"/>
  <c r="X269" i="70"/>
  <c r="X303" i="70"/>
  <c r="W320" i="70"/>
  <c r="AX5" i="70"/>
  <c r="X320" i="70"/>
  <c r="Y320" i="70"/>
  <c r="AB322" i="70"/>
  <c r="Z323" i="70"/>
  <c r="Z324" i="70"/>
  <c r="AB319" i="70"/>
  <c r="AE322" i="70"/>
  <c r="AE310" i="70"/>
  <c r="AE311" i="70"/>
  <c r="AE312" i="70"/>
  <c r="AE313" i="70"/>
  <c r="AC323" i="70"/>
  <c r="AC324" i="70"/>
  <c r="AE321" i="70"/>
  <c r="AU324" i="70"/>
  <c r="AT324" i="70"/>
  <c r="AE323" i="70"/>
  <c r="AE324" i="70"/>
  <c r="AB323" i="70"/>
  <c r="AB324" i="70"/>
  <c r="W323" i="70"/>
  <c r="W324" i="70"/>
  <c r="E310" i="70"/>
  <c r="E311" i="70"/>
  <c r="E312" i="70"/>
  <c r="E313" i="70"/>
  <c r="G310" i="70"/>
  <c r="G311" i="70"/>
  <c r="G312" i="70"/>
  <c r="G313" i="70"/>
  <c r="J309" i="70"/>
  <c r="B265" i="70"/>
  <c r="B302" i="70"/>
  <c r="B319" i="70"/>
  <c r="B266" i="70"/>
  <c r="B303" i="70"/>
  <c r="B320" i="70"/>
  <c r="J310" i="70"/>
  <c r="J311" i="70"/>
  <c r="J312" i="70"/>
  <c r="J313" i="70"/>
  <c r="B310" i="70"/>
  <c r="B311" i="70"/>
  <c r="B312" i="70"/>
  <c r="B313" i="70"/>
  <c r="D310" i="70"/>
  <c r="D311" i="70"/>
  <c r="D312" i="70"/>
  <c r="D313" i="70"/>
  <c r="H309" i="70"/>
  <c r="M264" i="70"/>
  <c r="M269" i="70"/>
  <c r="B304" i="70"/>
  <c r="B321" i="70"/>
  <c r="B264" i="70"/>
  <c r="B301" i="70"/>
  <c r="B318" i="70"/>
  <c r="H310" i="70"/>
  <c r="H311" i="70"/>
  <c r="H312" i="70"/>
  <c r="H313" i="70"/>
  <c r="H323" i="70"/>
  <c r="H324" i="70"/>
  <c r="G323" i="70"/>
  <c r="G324" i="70"/>
  <c r="AB320" i="70"/>
  <c r="AE320" i="70"/>
  <c r="AU323" i="70"/>
  <c r="AT323" i="70"/>
  <c r="AE319" i="70"/>
  <c r="AU322" i="70"/>
  <c r="AT322" i="70"/>
  <c r="Y318" i="70"/>
  <c r="AB318" i="70"/>
  <c r="AE318" i="70"/>
  <c r="AU321" i="70"/>
  <c r="AT321" i="70"/>
  <c r="J321" i="70"/>
  <c r="AU320" i="70"/>
  <c r="AT320" i="70"/>
  <c r="G320" i="70"/>
  <c r="J320" i="70"/>
  <c r="AU319" i="70"/>
  <c r="AT319" i="70"/>
  <c r="AT318" i="70"/>
  <c r="AT317" i="70"/>
  <c r="AF314" i="70"/>
  <c r="K314" i="70"/>
  <c r="E96" i="70"/>
  <c r="AC265" i="70"/>
  <c r="AF270" i="70"/>
  <c r="AG304" i="70"/>
  <c r="E9" i="70"/>
  <c r="R264" i="70"/>
  <c r="T269" i="70"/>
  <c r="K304" i="70"/>
  <c r="E179" i="70"/>
  <c r="AC266" i="70"/>
  <c r="AF269" i="70"/>
  <c r="AG303" i="70"/>
  <c r="E181" i="70"/>
  <c r="F266" i="70"/>
  <c r="K303" i="70"/>
  <c r="E185" i="70"/>
  <c r="R266" i="70"/>
  <c r="T271" i="70"/>
  <c r="AG302" i="70"/>
  <c r="E100" i="70"/>
  <c r="F265" i="70"/>
  <c r="K302" i="70"/>
  <c r="E102" i="70"/>
  <c r="R265" i="70"/>
  <c r="T270" i="70"/>
  <c r="AG301" i="70"/>
  <c r="E17" i="70"/>
  <c r="F264" i="70"/>
  <c r="K301" i="70"/>
  <c r="V295" i="70"/>
  <c r="A295" i="70"/>
  <c r="AC294" i="70"/>
  <c r="F294" i="70"/>
  <c r="V290" i="70"/>
  <c r="A290" i="70"/>
  <c r="AG289" i="70"/>
  <c r="J289" i="70"/>
  <c r="V286" i="70"/>
  <c r="A286" i="70"/>
  <c r="AC284" i="70"/>
  <c r="U284" i="70"/>
  <c r="F284" i="70"/>
  <c r="A284" i="70"/>
  <c r="V281" i="70"/>
  <c r="A281" i="70"/>
  <c r="B60" i="70"/>
  <c r="D60" i="70"/>
  <c r="E60" i="70"/>
  <c r="G60" i="70"/>
  <c r="H60" i="70"/>
  <c r="J60" i="70"/>
  <c r="K60" i="70"/>
  <c r="M60" i="70"/>
  <c r="N60" i="70"/>
  <c r="P60" i="70"/>
  <c r="Q60" i="70"/>
  <c r="S60" i="70"/>
  <c r="T60" i="70"/>
  <c r="V60" i="70"/>
  <c r="W60" i="70"/>
  <c r="Y60" i="70"/>
  <c r="Z39" i="70"/>
  <c r="AB39" i="70"/>
  <c r="Z40" i="70"/>
  <c r="AB40" i="70"/>
  <c r="Z41" i="70"/>
  <c r="AB41" i="70"/>
  <c r="Z42" i="70"/>
  <c r="AB42" i="70"/>
  <c r="Z43" i="70"/>
  <c r="AB43" i="70"/>
  <c r="Z44" i="70"/>
  <c r="Z60" i="70"/>
  <c r="AB60" i="70"/>
  <c r="AC60" i="70"/>
  <c r="AE60" i="70"/>
  <c r="AF60" i="70"/>
  <c r="AG26" i="70"/>
  <c r="AH26" i="70"/>
  <c r="AI26" i="70"/>
  <c r="AJ26" i="70"/>
  <c r="AK26" i="70"/>
  <c r="AL26" i="70"/>
  <c r="AM26" i="70"/>
  <c r="AN26" i="70"/>
  <c r="Z30" i="70"/>
  <c r="AB30" i="70"/>
  <c r="AO26" i="70"/>
  <c r="AP26" i="70"/>
  <c r="AQ26" i="70"/>
  <c r="Z12" i="70"/>
  <c r="AN264" i="70"/>
  <c r="B143" i="70"/>
  <c r="D143" i="70"/>
  <c r="E143" i="70"/>
  <c r="G143" i="70"/>
  <c r="H143" i="70"/>
  <c r="J143" i="70"/>
  <c r="K143" i="70"/>
  <c r="M143" i="70"/>
  <c r="N124" i="70"/>
  <c r="P124" i="70"/>
  <c r="N125" i="70"/>
  <c r="P125" i="70"/>
  <c r="N126" i="70"/>
  <c r="P126" i="70"/>
  <c r="N127" i="70"/>
  <c r="P127" i="70"/>
  <c r="N128" i="70"/>
  <c r="P128" i="70"/>
  <c r="N129" i="70"/>
  <c r="N143" i="70"/>
  <c r="P143" i="70"/>
  <c r="Q143" i="70"/>
  <c r="S143" i="70"/>
  <c r="T143" i="70"/>
  <c r="V143" i="70"/>
  <c r="W143" i="70"/>
  <c r="Y143" i="70"/>
  <c r="Z143" i="70"/>
  <c r="AB143" i="70"/>
  <c r="AC143" i="70"/>
  <c r="AE143" i="70"/>
  <c r="AF143" i="70"/>
  <c r="AG109" i="70"/>
  <c r="AH109" i="70"/>
  <c r="AI109" i="70"/>
  <c r="AJ109" i="70"/>
  <c r="N115" i="70"/>
  <c r="P115" i="70"/>
  <c r="AK109" i="70"/>
  <c r="AL109" i="70"/>
  <c r="AM109" i="70"/>
  <c r="AN109" i="70"/>
  <c r="AO109" i="70"/>
  <c r="AP109" i="70"/>
  <c r="AQ109" i="70"/>
  <c r="Z93" i="70"/>
  <c r="AN265" i="70"/>
  <c r="B230" i="70"/>
  <c r="D230" i="70"/>
  <c r="E230" i="70"/>
  <c r="G230" i="70"/>
  <c r="H209" i="70"/>
  <c r="J209" i="70"/>
  <c r="H210" i="70"/>
  <c r="J210" i="70"/>
  <c r="H211" i="70"/>
  <c r="J211" i="70"/>
  <c r="H212" i="70"/>
  <c r="J212" i="70"/>
  <c r="H213" i="70"/>
  <c r="J213" i="70"/>
  <c r="H214" i="70"/>
  <c r="H230" i="70"/>
  <c r="J230" i="70"/>
  <c r="K230" i="70"/>
  <c r="M230" i="70"/>
  <c r="N230" i="70"/>
  <c r="P230" i="70"/>
  <c r="Q230" i="70"/>
  <c r="S230" i="70"/>
  <c r="T230" i="70"/>
  <c r="V230" i="70"/>
  <c r="W230" i="70"/>
  <c r="Y230" i="70"/>
  <c r="Z230" i="70"/>
  <c r="AB230" i="70"/>
  <c r="AC230" i="70"/>
  <c r="AE230" i="70"/>
  <c r="AF230" i="70"/>
  <c r="AG196" i="70"/>
  <c r="AH196" i="70"/>
  <c r="H200" i="70"/>
  <c r="J200" i="70"/>
  <c r="AI196" i="70"/>
  <c r="AJ196" i="70"/>
  <c r="AK196" i="70"/>
  <c r="AL196" i="70"/>
  <c r="AM196" i="70"/>
  <c r="AN196" i="70"/>
  <c r="AO196" i="70"/>
  <c r="AP196" i="70"/>
  <c r="AQ196" i="70"/>
  <c r="Z182" i="70"/>
  <c r="AN266" i="70"/>
  <c r="AP264" i="70"/>
  <c r="AP265" i="70"/>
  <c r="AP266" i="70"/>
  <c r="AN271" i="70"/>
  <c r="AH271" i="70"/>
  <c r="L264" i="70"/>
  <c r="L265" i="70"/>
  <c r="L266" i="70"/>
  <c r="I271" i="70"/>
  <c r="B271" i="70"/>
  <c r="AN270" i="70"/>
  <c r="AH270" i="70"/>
  <c r="I270" i="70"/>
  <c r="B270" i="70"/>
  <c r="AN269" i="70"/>
  <c r="AH269" i="70"/>
  <c r="I269" i="70"/>
  <c r="B269" i="70"/>
  <c r="A259" i="70"/>
  <c r="AF246" i="70"/>
  <c r="S245" i="70"/>
  <c r="AF245" i="70"/>
  <c r="J244" i="70"/>
  <c r="AB244" i="70"/>
  <c r="AF244" i="70"/>
  <c r="D243" i="70"/>
  <c r="M243" i="70"/>
  <c r="V243" i="70"/>
  <c r="AF243" i="70"/>
  <c r="G242" i="70"/>
  <c r="P242" i="70"/>
  <c r="Y242" i="70"/>
  <c r="AE242" i="70"/>
  <c r="AF242" i="70"/>
  <c r="AF238" i="70"/>
  <c r="AG238" i="70"/>
  <c r="AF237" i="70"/>
  <c r="AG237" i="70"/>
  <c r="AF236" i="70"/>
  <c r="AG236" i="70"/>
  <c r="AF235" i="70"/>
  <c r="AG235" i="70"/>
  <c r="AF234" i="70"/>
  <c r="AG234" i="70"/>
  <c r="B232" i="70"/>
  <c r="D232" i="70"/>
  <c r="E232" i="70"/>
  <c r="G232" i="70"/>
  <c r="H232" i="70"/>
  <c r="J232" i="70"/>
  <c r="K232" i="70"/>
  <c r="M232" i="70"/>
  <c r="N232" i="70"/>
  <c r="P232" i="70"/>
  <c r="Q232" i="70"/>
  <c r="S232" i="70"/>
  <c r="T232" i="70"/>
  <c r="V232" i="70"/>
  <c r="W232" i="70"/>
  <c r="Y232" i="70"/>
  <c r="Z232" i="70"/>
  <c r="AB232" i="70"/>
  <c r="AC232" i="70"/>
  <c r="AE232" i="70"/>
  <c r="AF232" i="70"/>
  <c r="B226" i="70"/>
  <c r="B207" i="70"/>
  <c r="D207" i="70"/>
  <c r="C207" i="70"/>
  <c r="D226" i="70"/>
  <c r="E226" i="70"/>
  <c r="G226" i="70"/>
  <c r="H226" i="70"/>
  <c r="H207" i="70"/>
  <c r="J207" i="70"/>
  <c r="I207" i="70"/>
  <c r="J226" i="70"/>
  <c r="K226" i="70"/>
  <c r="M226" i="70"/>
  <c r="N226" i="70"/>
  <c r="P226" i="70"/>
  <c r="Q226" i="70"/>
  <c r="Q207" i="70"/>
  <c r="S207" i="70"/>
  <c r="R207" i="70"/>
  <c r="S226" i="70"/>
  <c r="T226" i="70"/>
  <c r="V226" i="70"/>
  <c r="W226" i="70"/>
  <c r="W207" i="70"/>
  <c r="Y207" i="70"/>
  <c r="X207" i="70"/>
  <c r="Y226" i="70"/>
  <c r="Z226" i="70"/>
  <c r="AB226" i="70"/>
  <c r="AC226" i="70"/>
  <c r="AE226" i="70"/>
  <c r="AF226" i="70"/>
  <c r="B225" i="70"/>
  <c r="D225" i="70"/>
  <c r="E225" i="70"/>
  <c r="E207" i="70"/>
  <c r="G207" i="70"/>
  <c r="F207" i="70"/>
  <c r="G225" i="70"/>
  <c r="H225" i="70"/>
  <c r="J225" i="70"/>
  <c r="K225" i="70"/>
  <c r="K207" i="70"/>
  <c r="M207" i="70"/>
  <c r="L207" i="70"/>
  <c r="M225" i="70"/>
  <c r="N225" i="70"/>
  <c r="P225" i="70"/>
  <c r="Q225" i="70"/>
  <c r="S225" i="70"/>
  <c r="T225" i="70"/>
  <c r="V225" i="70"/>
  <c r="W225" i="70"/>
  <c r="Y225" i="70"/>
  <c r="Z225" i="70"/>
  <c r="Z207" i="70"/>
  <c r="AB207" i="70"/>
  <c r="AA207" i="70"/>
  <c r="AB225" i="70"/>
  <c r="AC225" i="70"/>
  <c r="AE225" i="70"/>
  <c r="AF225" i="70"/>
  <c r="B224" i="70"/>
  <c r="D224" i="70"/>
  <c r="E224" i="70"/>
  <c r="G224" i="70"/>
  <c r="H224" i="70"/>
  <c r="J224" i="70"/>
  <c r="K224" i="70"/>
  <c r="M224" i="70"/>
  <c r="N224" i="70"/>
  <c r="N207" i="70"/>
  <c r="P207" i="70"/>
  <c r="O207" i="70"/>
  <c r="P224" i="70"/>
  <c r="Q224" i="70"/>
  <c r="S224" i="70"/>
  <c r="T224" i="70"/>
  <c r="T207" i="70"/>
  <c r="V207" i="70"/>
  <c r="U207" i="70"/>
  <c r="V224" i="70"/>
  <c r="W224" i="70"/>
  <c r="Y224" i="70"/>
  <c r="Z224" i="70"/>
  <c r="AB224" i="70"/>
  <c r="AC224" i="70"/>
  <c r="AE224" i="70"/>
  <c r="AF224" i="70"/>
  <c r="B223" i="70"/>
  <c r="D223" i="70"/>
  <c r="E223" i="70"/>
  <c r="G223" i="70"/>
  <c r="H223" i="70"/>
  <c r="J223" i="70"/>
  <c r="K223" i="70"/>
  <c r="M223" i="70"/>
  <c r="N223" i="70"/>
  <c r="P223" i="70"/>
  <c r="Q223" i="70"/>
  <c r="S223" i="70"/>
  <c r="T223" i="70"/>
  <c r="V223" i="70"/>
  <c r="W223" i="70"/>
  <c r="Y223" i="70"/>
  <c r="Z223" i="70"/>
  <c r="AB223" i="70"/>
  <c r="AC223" i="70"/>
  <c r="AC207" i="70"/>
  <c r="AE207" i="70"/>
  <c r="AD207" i="70"/>
  <c r="AE223" i="70"/>
  <c r="AF223" i="70"/>
  <c r="B222" i="70"/>
  <c r="D222" i="70"/>
  <c r="E222" i="70"/>
  <c r="G222" i="70"/>
  <c r="H222" i="70"/>
  <c r="J222" i="70"/>
  <c r="K222" i="70"/>
  <c r="M222" i="70"/>
  <c r="N222" i="70"/>
  <c r="P222" i="70"/>
  <c r="Q222" i="70"/>
  <c r="S222" i="70"/>
  <c r="T222" i="70"/>
  <c r="V222" i="70"/>
  <c r="W222" i="70"/>
  <c r="Y222" i="70"/>
  <c r="Z222" i="70"/>
  <c r="AB222" i="70"/>
  <c r="AC222" i="70"/>
  <c r="AE222" i="70"/>
  <c r="AF222" i="70"/>
  <c r="B220" i="70"/>
  <c r="D220" i="70"/>
  <c r="E220" i="70"/>
  <c r="G220" i="70"/>
  <c r="H220" i="70"/>
  <c r="J220" i="70"/>
  <c r="K220" i="70"/>
  <c r="M220" i="70"/>
  <c r="N220" i="70"/>
  <c r="P220" i="70"/>
  <c r="Q220" i="70"/>
  <c r="S220" i="70"/>
  <c r="T220" i="70"/>
  <c r="V220" i="70"/>
  <c r="W220" i="70"/>
  <c r="Y220" i="70"/>
  <c r="Z220" i="70"/>
  <c r="AB220" i="70"/>
  <c r="AC220" i="70"/>
  <c r="AE220" i="70"/>
  <c r="AF220" i="70"/>
  <c r="AG220" i="70"/>
  <c r="B219" i="70"/>
  <c r="D219" i="70"/>
  <c r="E219" i="70"/>
  <c r="G219" i="70"/>
  <c r="H219" i="70"/>
  <c r="J219" i="70"/>
  <c r="K219" i="70"/>
  <c r="M219" i="70"/>
  <c r="N219" i="70"/>
  <c r="P219" i="70"/>
  <c r="Q219" i="70"/>
  <c r="S219" i="70"/>
  <c r="T219" i="70"/>
  <c r="V219" i="70"/>
  <c r="W219" i="70"/>
  <c r="Y219" i="70"/>
  <c r="Z219" i="70"/>
  <c r="AB219" i="70"/>
  <c r="AC219" i="70"/>
  <c r="AE219" i="70"/>
  <c r="AF219" i="70"/>
  <c r="AG219" i="70"/>
  <c r="B218" i="70"/>
  <c r="D218" i="70"/>
  <c r="E218" i="70"/>
  <c r="G218" i="70"/>
  <c r="H218" i="70"/>
  <c r="J218" i="70"/>
  <c r="K218" i="70"/>
  <c r="M218" i="70"/>
  <c r="N218" i="70"/>
  <c r="P218" i="70"/>
  <c r="Q218" i="70"/>
  <c r="S218" i="70"/>
  <c r="T218" i="70"/>
  <c r="V218" i="70"/>
  <c r="W218" i="70"/>
  <c r="Y218" i="70"/>
  <c r="Z218" i="70"/>
  <c r="AB218" i="70"/>
  <c r="AC218" i="70"/>
  <c r="AE218" i="70"/>
  <c r="AF218" i="70"/>
  <c r="AG218" i="70"/>
  <c r="B217" i="70"/>
  <c r="D217" i="70"/>
  <c r="E217" i="70"/>
  <c r="G217" i="70"/>
  <c r="H217" i="70"/>
  <c r="J217" i="70"/>
  <c r="K217" i="70"/>
  <c r="M217" i="70"/>
  <c r="N217" i="70"/>
  <c r="P217" i="70"/>
  <c r="Q217" i="70"/>
  <c r="S217" i="70"/>
  <c r="T217" i="70"/>
  <c r="V217" i="70"/>
  <c r="W217" i="70"/>
  <c r="Y217" i="70"/>
  <c r="Z217" i="70"/>
  <c r="AB217" i="70"/>
  <c r="AC217" i="70"/>
  <c r="AE217" i="70"/>
  <c r="AF217" i="70"/>
  <c r="AG217" i="70"/>
  <c r="B216" i="70"/>
  <c r="D216" i="70"/>
  <c r="E216" i="70"/>
  <c r="G216" i="70"/>
  <c r="H216" i="70"/>
  <c r="J216" i="70"/>
  <c r="K216" i="70"/>
  <c r="M216" i="70"/>
  <c r="N216" i="70"/>
  <c r="P216" i="70"/>
  <c r="Q216" i="70"/>
  <c r="S216" i="70"/>
  <c r="T216" i="70"/>
  <c r="V216" i="70"/>
  <c r="W216" i="70"/>
  <c r="Y216" i="70"/>
  <c r="Z216" i="70"/>
  <c r="AB216" i="70"/>
  <c r="AC216" i="70"/>
  <c r="AE216" i="70"/>
  <c r="AF216" i="70"/>
  <c r="AG216" i="70"/>
  <c r="AD199" i="70"/>
  <c r="AA199" i="70"/>
  <c r="X199" i="70"/>
  <c r="U199" i="70"/>
  <c r="R199" i="70"/>
  <c r="O199" i="70"/>
  <c r="L199" i="70"/>
  <c r="I199" i="70"/>
  <c r="F199" i="70"/>
  <c r="A199" i="70"/>
  <c r="AG198" i="70"/>
  <c r="AH198" i="70"/>
  <c r="AI198" i="70"/>
  <c r="AJ198" i="70"/>
  <c r="AK198" i="70"/>
  <c r="AL198" i="70"/>
  <c r="AM198" i="70"/>
  <c r="AN198" i="70"/>
  <c r="AO198" i="70"/>
  <c r="AP198" i="70"/>
  <c r="AQ198" i="70"/>
  <c r="AF198" i="70"/>
  <c r="AD198" i="70"/>
  <c r="AA198" i="70"/>
  <c r="X198" i="70"/>
  <c r="U198" i="70"/>
  <c r="R198" i="70"/>
  <c r="O198" i="70"/>
  <c r="L198" i="70"/>
  <c r="I198" i="70"/>
  <c r="F198" i="70"/>
  <c r="A198" i="70"/>
  <c r="AF197" i="70"/>
  <c r="AD197" i="70"/>
  <c r="AA197" i="70"/>
  <c r="X197" i="70"/>
  <c r="U197" i="70"/>
  <c r="R197" i="70"/>
  <c r="O197" i="70"/>
  <c r="L197" i="70"/>
  <c r="I197" i="70"/>
  <c r="F197" i="70"/>
  <c r="A197" i="70"/>
  <c r="AF196" i="70"/>
  <c r="AD196" i="70"/>
  <c r="AA196" i="70"/>
  <c r="X196" i="70"/>
  <c r="U196" i="70"/>
  <c r="R196" i="70"/>
  <c r="O196" i="70"/>
  <c r="L196" i="70"/>
  <c r="I196" i="70"/>
  <c r="F196" i="70"/>
  <c r="A196" i="70"/>
  <c r="AF195" i="70"/>
  <c r="AD195" i="70"/>
  <c r="AA195" i="70"/>
  <c r="X195" i="70"/>
  <c r="U195" i="70"/>
  <c r="R195" i="70"/>
  <c r="O195" i="70"/>
  <c r="L195" i="70"/>
  <c r="I195" i="70"/>
  <c r="F195" i="70"/>
  <c r="AF194" i="70"/>
  <c r="AD194" i="70"/>
  <c r="AA194" i="70"/>
  <c r="X194" i="70"/>
  <c r="U194" i="70"/>
  <c r="R194" i="70"/>
  <c r="O194" i="70"/>
  <c r="L194" i="70"/>
  <c r="I194" i="70"/>
  <c r="F194" i="70"/>
  <c r="AC192" i="70"/>
  <c r="Z192" i="70"/>
  <c r="W192" i="70"/>
  <c r="T192" i="70"/>
  <c r="Q192" i="70"/>
  <c r="N192" i="70"/>
  <c r="K192" i="70"/>
  <c r="H192" i="70"/>
  <c r="E192" i="70"/>
  <c r="E187" i="70"/>
  <c r="AC186" i="70"/>
  <c r="Z186" i="70"/>
  <c r="W186" i="70"/>
  <c r="R186" i="70"/>
  <c r="L186" i="70"/>
  <c r="A186" i="70"/>
  <c r="AC184" i="70"/>
  <c r="W184" i="70"/>
  <c r="R184" i="70"/>
  <c r="L184" i="70"/>
  <c r="A184" i="70"/>
  <c r="AC182" i="70"/>
  <c r="W182" i="70"/>
  <c r="R182" i="70"/>
  <c r="L182" i="70"/>
  <c r="A182" i="70"/>
  <c r="AC180" i="70"/>
  <c r="W180" i="70"/>
  <c r="R180" i="70"/>
  <c r="L180" i="70"/>
  <c r="A180" i="70"/>
  <c r="AC178" i="70"/>
  <c r="W178" i="70"/>
  <c r="R178" i="70"/>
  <c r="L178" i="70"/>
  <c r="A178" i="70"/>
  <c r="R177" i="70"/>
  <c r="L177" i="70"/>
  <c r="K176" i="70"/>
  <c r="A174" i="70"/>
  <c r="AF161" i="70"/>
  <c r="S160" i="70"/>
  <c r="AF160" i="70"/>
  <c r="J159" i="70"/>
  <c r="AB159" i="70"/>
  <c r="AF159" i="70"/>
  <c r="D158" i="70"/>
  <c r="M158" i="70"/>
  <c r="V158" i="70"/>
  <c r="AF158" i="70"/>
  <c r="G157" i="70"/>
  <c r="P157" i="70"/>
  <c r="Y157" i="70"/>
  <c r="AE157" i="70"/>
  <c r="AF157" i="70"/>
  <c r="AF153" i="70"/>
  <c r="AG153" i="70"/>
  <c r="AF152" i="70"/>
  <c r="AG152" i="70"/>
  <c r="AF151" i="70"/>
  <c r="AG151" i="70"/>
  <c r="AF150" i="70"/>
  <c r="AG150" i="70"/>
  <c r="AF149" i="70"/>
  <c r="AG149" i="70"/>
  <c r="B145" i="70"/>
  <c r="D145" i="70"/>
  <c r="E145" i="70"/>
  <c r="G145" i="70"/>
  <c r="H145" i="70"/>
  <c r="J145" i="70"/>
  <c r="K145" i="70"/>
  <c r="M145" i="70"/>
  <c r="N145" i="70"/>
  <c r="P145" i="70"/>
  <c r="Q145" i="70"/>
  <c r="S145" i="70"/>
  <c r="T145" i="70"/>
  <c r="V145" i="70"/>
  <c r="W145" i="70"/>
  <c r="Y145" i="70"/>
  <c r="Z145" i="70"/>
  <c r="AB145" i="70"/>
  <c r="AC145" i="70"/>
  <c r="AE145" i="70"/>
  <c r="AF145" i="70"/>
  <c r="B141" i="70"/>
  <c r="B122" i="70"/>
  <c r="D122" i="70"/>
  <c r="C122" i="70"/>
  <c r="D141" i="70"/>
  <c r="E141" i="70"/>
  <c r="G141" i="70"/>
  <c r="H141" i="70"/>
  <c r="H122" i="70"/>
  <c r="J122" i="70"/>
  <c r="I122" i="70"/>
  <c r="J141" i="70"/>
  <c r="K141" i="70"/>
  <c r="M141" i="70"/>
  <c r="N141" i="70"/>
  <c r="P141" i="70"/>
  <c r="Q141" i="70"/>
  <c r="Q122" i="70"/>
  <c r="S122" i="70"/>
  <c r="R122" i="70"/>
  <c r="S141" i="70"/>
  <c r="T141" i="70"/>
  <c r="V141" i="70"/>
  <c r="W141" i="70"/>
  <c r="W122" i="70"/>
  <c r="Y122" i="70"/>
  <c r="X122" i="70"/>
  <c r="Y141" i="70"/>
  <c r="Z141" i="70"/>
  <c r="AB141" i="70"/>
  <c r="AC141" i="70"/>
  <c r="AE141" i="70"/>
  <c r="AF141" i="70"/>
  <c r="B140" i="70"/>
  <c r="D140" i="70"/>
  <c r="E140" i="70"/>
  <c r="E122" i="70"/>
  <c r="G122" i="70"/>
  <c r="F122" i="70"/>
  <c r="G140" i="70"/>
  <c r="H140" i="70"/>
  <c r="J140" i="70"/>
  <c r="K140" i="70"/>
  <c r="K122" i="70"/>
  <c r="M122" i="70"/>
  <c r="L122" i="70"/>
  <c r="M140" i="70"/>
  <c r="N140" i="70"/>
  <c r="P140" i="70"/>
  <c r="Q140" i="70"/>
  <c r="S140" i="70"/>
  <c r="T140" i="70"/>
  <c r="V140" i="70"/>
  <c r="W140" i="70"/>
  <c r="Y140" i="70"/>
  <c r="Z140" i="70"/>
  <c r="Z122" i="70"/>
  <c r="AB122" i="70"/>
  <c r="AA122" i="70"/>
  <c r="AB140" i="70"/>
  <c r="AC140" i="70"/>
  <c r="AE140" i="70"/>
  <c r="AF140" i="70"/>
  <c r="B139" i="70"/>
  <c r="D139" i="70"/>
  <c r="E139" i="70"/>
  <c r="G139" i="70"/>
  <c r="H139" i="70"/>
  <c r="J139" i="70"/>
  <c r="K139" i="70"/>
  <c r="M139" i="70"/>
  <c r="N139" i="70"/>
  <c r="N122" i="70"/>
  <c r="P122" i="70"/>
  <c r="O122" i="70"/>
  <c r="P139" i="70"/>
  <c r="Q139" i="70"/>
  <c r="S139" i="70"/>
  <c r="T139" i="70"/>
  <c r="T122" i="70"/>
  <c r="V122" i="70"/>
  <c r="U122" i="70"/>
  <c r="V139" i="70"/>
  <c r="W139" i="70"/>
  <c r="Y139" i="70"/>
  <c r="Z139" i="70"/>
  <c r="AB139" i="70"/>
  <c r="AC139" i="70"/>
  <c r="AE139" i="70"/>
  <c r="AF139" i="70"/>
  <c r="B138" i="70"/>
  <c r="D138" i="70"/>
  <c r="E138" i="70"/>
  <c r="G138" i="70"/>
  <c r="H138" i="70"/>
  <c r="J138" i="70"/>
  <c r="K138" i="70"/>
  <c r="M138" i="70"/>
  <c r="N138" i="70"/>
  <c r="P138" i="70"/>
  <c r="Q138" i="70"/>
  <c r="S138" i="70"/>
  <c r="T138" i="70"/>
  <c r="V138" i="70"/>
  <c r="W138" i="70"/>
  <c r="Y138" i="70"/>
  <c r="Z138" i="70"/>
  <c r="AB138" i="70"/>
  <c r="AC138" i="70"/>
  <c r="AC122" i="70"/>
  <c r="AE122" i="70"/>
  <c r="AD122" i="70"/>
  <c r="AE138" i="70"/>
  <c r="AF138" i="70"/>
  <c r="B137" i="70"/>
  <c r="D137" i="70"/>
  <c r="E137" i="70"/>
  <c r="G137" i="70"/>
  <c r="H137" i="70"/>
  <c r="J137" i="70"/>
  <c r="K137" i="70"/>
  <c r="M137" i="70"/>
  <c r="N137" i="70"/>
  <c r="P137" i="70"/>
  <c r="Q137" i="70"/>
  <c r="S137" i="70"/>
  <c r="T137" i="70"/>
  <c r="V137" i="70"/>
  <c r="W137" i="70"/>
  <c r="Y137" i="70"/>
  <c r="Z137" i="70"/>
  <c r="AB137" i="70"/>
  <c r="AC137" i="70"/>
  <c r="AE137" i="70"/>
  <c r="AF137" i="70"/>
  <c r="B135" i="70"/>
  <c r="D135" i="70"/>
  <c r="E135" i="70"/>
  <c r="G135" i="70"/>
  <c r="H135" i="70"/>
  <c r="J135" i="70"/>
  <c r="K135" i="70"/>
  <c r="M135" i="70"/>
  <c r="N135" i="70"/>
  <c r="P135" i="70"/>
  <c r="Q135" i="70"/>
  <c r="S135" i="70"/>
  <c r="T135" i="70"/>
  <c r="V135" i="70"/>
  <c r="W135" i="70"/>
  <c r="Y135" i="70"/>
  <c r="Z135" i="70"/>
  <c r="AB135" i="70"/>
  <c r="AC135" i="70"/>
  <c r="AE135" i="70"/>
  <c r="AF135" i="70"/>
  <c r="AG135" i="70"/>
  <c r="B134" i="70"/>
  <c r="D134" i="70"/>
  <c r="E134" i="70"/>
  <c r="G134" i="70"/>
  <c r="H134" i="70"/>
  <c r="J134" i="70"/>
  <c r="K134" i="70"/>
  <c r="M134" i="70"/>
  <c r="N134" i="70"/>
  <c r="P134" i="70"/>
  <c r="Q134" i="70"/>
  <c r="S134" i="70"/>
  <c r="T134" i="70"/>
  <c r="V134" i="70"/>
  <c r="W134" i="70"/>
  <c r="Y134" i="70"/>
  <c r="Z134" i="70"/>
  <c r="AB134" i="70"/>
  <c r="AC134" i="70"/>
  <c r="AE134" i="70"/>
  <c r="AF134" i="70"/>
  <c r="AG134" i="70"/>
  <c r="B133" i="70"/>
  <c r="D133" i="70"/>
  <c r="E133" i="70"/>
  <c r="G133" i="70"/>
  <c r="H133" i="70"/>
  <c r="J133" i="70"/>
  <c r="K133" i="70"/>
  <c r="M133" i="70"/>
  <c r="N133" i="70"/>
  <c r="P133" i="70"/>
  <c r="Q133" i="70"/>
  <c r="S133" i="70"/>
  <c r="T133" i="70"/>
  <c r="V133" i="70"/>
  <c r="W133" i="70"/>
  <c r="Y133" i="70"/>
  <c r="Z133" i="70"/>
  <c r="AB133" i="70"/>
  <c r="AC133" i="70"/>
  <c r="AE133" i="70"/>
  <c r="AF133" i="70"/>
  <c r="AG133" i="70"/>
  <c r="B132" i="70"/>
  <c r="D132" i="70"/>
  <c r="E132" i="70"/>
  <c r="G132" i="70"/>
  <c r="H132" i="70"/>
  <c r="J132" i="70"/>
  <c r="K132" i="70"/>
  <c r="M132" i="70"/>
  <c r="N132" i="70"/>
  <c r="P132" i="70"/>
  <c r="Q132" i="70"/>
  <c r="S132" i="70"/>
  <c r="T132" i="70"/>
  <c r="V132" i="70"/>
  <c r="W132" i="70"/>
  <c r="Y132" i="70"/>
  <c r="Z132" i="70"/>
  <c r="AB132" i="70"/>
  <c r="AC132" i="70"/>
  <c r="AE132" i="70"/>
  <c r="AF132" i="70"/>
  <c r="AG132" i="70"/>
  <c r="B131" i="70"/>
  <c r="D131" i="70"/>
  <c r="E131" i="70"/>
  <c r="G131" i="70"/>
  <c r="H131" i="70"/>
  <c r="J131" i="70"/>
  <c r="K131" i="70"/>
  <c r="M131" i="70"/>
  <c r="N131" i="70"/>
  <c r="P131" i="70"/>
  <c r="Q131" i="70"/>
  <c r="S131" i="70"/>
  <c r="T131" i="70"/>
  <c r="V131" i="70"/>
  <c r="W131" i="70"/>
  <c r="Y131" i="70"/>
  <c r="Z131" i="70"/>
  <c r="AB131" i="70"/>
  <c r="AC131" i="70"/>
  <c r="AE131" i="70"/>
  <c r="AF131" i="70"/>
  <c r="AG131" i="70"/>
  <c r="AD114" i="70"/>
  <c r="AA114" i="70"/>
  <c r="X114" i="70"/>
  <c r="U114" i="70"/>
  <c r="R114" i="70"/>
  <c r="O114" i="70"/>
  <c r="L114" i="70"/>
  <c r="I114" i="70"/>
  <c r="F114" i="70"/>
  <c r="A114" i="70"/>
  <c r="AF113" i="70"/>
  <c r="AD113" i="70"/>
  <c r="AA113" i="70"/>
  <c r="X113" i="70"/>
  <c r="U113" i="70"/>
  <c r="R113" i="70"/>
  <c r="O113" i="70"/>
  <c r="L113" i="70"/>
  <c r="I113" i="70"/>
  <c r="F113" i="70"/>
  <c r="A113" i="70"/>
  <c r="AF112" i="70"/>
  <c r="AD112" i="70"/>
  <c r="AA112" i="70"/>
  <c r="X112" i="70"/>
  <c r="U112" i="70"/>
  <c r="R112" i="70"/>
  <c r="O112" i="70"/>
  <c r="L112" i="70"/>
  <c r="I112" i="70"/>
  <c r="F112" i="70"/>
  <c r="A112" i="70"/>
  <c r="AG111" i="70"/>
  <c r="AH111" i="70"/>
  <c r="AI111" i="70"/>
  <c r="AJ111" i="70"/>
  <c r="AK111" i="70"/>
  <c r="AL111" i="70"/>
  <c r="AM111" i="70"/>
  <c r="AN111" i="70"/>
  <c r="AO111" i="70"/>
  <c r="AP111" i="70"/>
  <c r="AQ111" i="70"/>
  <c r="AF111" i="70"/>
  <c r="AD111" i="70"/>
  <c r="AA111" i="70"/>
  <c r="X111" i="70"/>
  <c r="U111" i="70"/>
  <c r="R111" i="70"/>
  <c r="O111" i="70"/>
  <c r="L111" i="70"/>
  <c r="I111" i="70"/>
  <c r="F111" i="70"/>
  <c r="A111" i="70"/>
  <c r="AF110" i="70"/>
  <c r="AD110" i="70"/>
  <c r="AA110" i="70"/>
  <c r="X110" i="70"/>
  <c r="U110" i="70"/>
  <c r="R110" i="70"/>
  <c r="O110" i="70"/>
  <c r="L110" i="70"/>
  <c r="I110" i="70"/>
  <c r="F110" i="70"/>
  <c r="AF109" i="70"/>
  <c r="AD109" i="70"/>
  <c r="AA109" i="70"/>
  <c r="X109" i="70"/>
  <c r="U109" i="70"/>
  <c r="R109" i="70"/>
  <c r="O109" i="70"/>
  <c r="L109" i="70"/>
  <c r="I109" i="70"/>
  <c r="F109" i="70"/>
  <c r="AC107" i="70"/>
  <c r="Z107" i="70"/>
  <c r="W107" i="70"/>
  <c r="T107" i="70"/>
  <c r="Q107" i="70"/>
  <c r="N107" i="70"/>
  <c r="K107" i="70"/>
  <c r="H107" i="70"/>
  <c r="E107" i="70"/>
  <c r="AC101" i="70"/>
  <c r="W101" i="70"/>
  <c r="R101" i="70"/>
  <c r="L101" i="70"/>
  <c r="A101" i="70"/>
  <c r="AC99" i="70"/>
  <c r="W99" i="70"/>
  <c r="R99" i="70"/>
  <c r="L99" i="70"/>
  <c r="A99" i="70"/>
  <c r="E98" i="70"/>
  <c r="AC97" i="70"/>
  <c r="Z97" i="70"/>
  <c r="W97" i="70"/>
  <c r="R97" i="70"/>
  <c r="L97" i="70"/>
  <c r="A97" i="70"/>
  <c r="AC95" i="70"/>
  <c r="W95" i="70"/>
  <c r="R95" i="70"/>
  <c r="L95" i="70"/>
  <c r="A95" i="70"/>
  <c r="AC93" i="70"/>
  <c r="W93" i="70"/>
  <c r="R93" i="70"/>
  <c r="L93" i="70"/>
  <c r="A93" i="70"/>
  <c r="R92" i="70"/>
  <c r="L92" i="70"/>
  <c r="K91" i="70"/>
  <c r="A89" i="70"/>
  <c r="AF76" i="70"/>
  <c r="S75" i="70"/>
  <c r="AF75" i="70"/>
  <c r="J74" i="70"/>
  <c r="AB74" i="70"/>
  <c r="AF74" i="70"/>
  <c r="D73" i="70"/>
  <c r="M73" i="70"/>
  <c r="V73" i="70"/>
  <c r="AF73" i="70"/>
  <c r="G72" i="70"/>
  <c r="P72" i="70"/>
  <c r="Y72" i="70"/>
  <c r="AE72" i="70"/>
  <c r="AF72" i="70"/>
  <c r="AF68" i="70"/>
  <c r="AG68" i="70"/>
  <c r="AF67" i="70"/>
  <c r="AG67" i="70"/>
  <c r="AF66" i="70"/>
  <c r="AG66" i="70"/>
  <c r="AF65" i="70"/>
  <c r="AG65" i="70"/>
  <c r="AF64" i="70"/>
  <c r="AG64" i="70"/>
  <c r="B61" i="70"/>
  <c r="D61" i="70"/>
  <c r="E61" i="70"/>
  <c r="G61" i="70"/>
  <c r="H61" i="70"/>
  <c r="J61" i="70"/>
  <c r="K61" i="70"/>
  <c r="M61" i="70"/>
  <c r="N61" i="70"/>
  <c r="P61" i="70"/>
  <c r="Q61" i="70"/>
  <c r="S61" i="70"/>
  <c r="T61" i="70"/>
  <c r="V61" i="70"/>
  <c r="W61" i="70"/>
  <c r="Y61" i="70"/>
  <c r="Z61" i="70"/>
  <c r="AB61" i="70"/>
  <c r="AC61" i="70"/>
  <c r="AE61" i="70"/>
  <c r="AF61" i="70"/>
  <c r="B56" i="70"/>
  <c r="B37" i="70"/>
  <c r="D37" i="70"/>
  <c r="C37" i="70"/>
  <c r="D56" i="70"/>
  <c r="E56" i="70"/>
  <c r="G56" i="70"/>
  <c r="H56" i="70"/>
  <c r="H37" i="70"/>
  <c r="J37" i="70"/>
  <c r="I37" i="70"/>
  <c r="J56" i="70"/>
  <c r="K56" i="70"/>
  <c r="M56" i="70"/>
  <c r="N56" i="70"/>
  <c r="P56" i="70"/>
  <c r="Q56" i="70"/>
  <c r="Q37" i="70"/>
  <c r="S37" i="70"/>
  <c r="R37" i="70"/>
  <c r="S56" i="70"/>
  <c r="T56" i="70"/>
  <c r="V56" i="70"/>
  <c r="W56" i="70"/>
  <c r="W37" i="70"/>
  <c r="Y37" i="70"/>
  <c r="X37" i="70"/>
  <c r="Y56" i="70"/>
  <c r="Z56" i="70"/>
  <c r="AB56" i="70"/>
  <c r="AC56" i="70"/>
  <c r="AE56" i="70"/>
  <c r="AF56" i="70"/>
  <c r="B55" i="70"/>
  <c r="D55" i="70"/>
  <c r="E55" i="70"/>
  <c r="E37" i="70"/>
  <c r="G37" i="70"/>
  <c r="F37" i="70"/>
  <c r="G55" i="70"/>
  <c r="H55" i="70"/>
  <c r="J55" i="70"/>
  <c r="K55" i="70"/>
  <c r="K37" i="70"/>
  <c r="M37" i="70"/>
  <c r="L37" i="70"/>
  <c r="M55" i="70"/>
  <c r="N55" i="70"/>
  <c r="P55" i="70"/>
  <c r="Q55" i="70"/>
  <c r="S55" i="70"/>
  <c r="T55" i="70"/>
  <c r="V55" i="70"/>
  <c r="W55" i="70"/>
  <c r="Y55" i="70"/>
  <c r="Z55" i="70"/>
  <c r="Z37" i="70"/>
  <c r="AB37" i="70"/>
  <c r="AA37" i="70"/>
  <c r="AB55" i="70"/>
  <c r="AC55" i="70"/>
  <c r="AE55" i="70"/>
  <c r="AF55" i="70"/>
  <c r="B54" i="70"/>
  <c r="D54" i="70"/>
  <c r="E54" i="70"/>
  <c r="G54" i="70"/>
  <c r="H54" i="70"/>
  <c r="J54" i="70"/>
  <c r="K54" i="70"/>
  <c r="M54" i="70"/>
  <c r="N54" i="70"/>
  <c r="N37" i="70"/>
  <c r="P37" i="70"/>
  <c r="O37" i="70"/>
  <c r="P54" i="70"/>
  <c r="Q54" i="70"/>
  <c r="S54" i="70"/>
  <c r="T54" i="70"/>
  <c r="T37" i="70"/>
  <c r="V37" i="70"/>
  <c r="U37" i="70"/>
  <c r="V54" i="70"/>
  <c r="W54" i="70"/>
  <c r="Y54" i="70"/>
  <c r="Z54" i="70"/>
  <c r="AB54" i="70"/>
  <c r="AC54" i="70"/>
  <c r="AE54" i="70"/>
  <c r="AF54" i="70"/>
  <c r="B53" i="70"/>
  <c r="D53" i="70"/>
  <c r="E53" i="70"/>
  <c r="G53" i="70"/>
  <c r="H53" i="70"/>
  <c r="J53" i="70"/>
  <c r="K53" i="70"/>
  <c r="M53" i="70"/>
  <c r="N53" i="70"/>
  <c r="P53" i="70"/>
  <c r="Q53" i="70"/>
  <c r="S53" i="70"/>
  <c r="T53" i="70"/>
  <c r="V53" i="70"/>
  <c r="W53" i="70"/>
  <c r="Y53" i="70"/>
  <c r="Z53" i="70"/>
  <c r="AB53" i="70"/>
  <c r="AC53" i="70"/>
  <c r="AC37" i="70"/>
  <c r="AE37" i="70"/>
  <c r="AD37" i="70"/>
  <c r="AE53" i="70"/>
  <c r="AF53" i="70"/>
  <c r="B52" i="70"/>
  <c r="D52" i="70"/>
  <c r="E52" i="70"/>
  <c r="G52" i="70"/>
  <c r="H52" i="70"/>
  <c r="J52" i="70"/>
  <c r="K52" i="70"/>
  <c r="M52" i="70"/>
  <c r="N52" i="70"/>
  <c r="P52" i="70"/>
  <c r="Q52" i="70"/>
  <c r="S52" i="70"/>
  <c r="T52" i="70"/>
  <c r="V52" i="70"/>
  <c r="W52" i="70"/>
  <c r="Y52" i="70"/>
  <c r="Z52" i="70"/>
  <c r="AB52" i="70"/>
  <c r="AC52" i="70"/>
  <c r="AE52" i="70"/>
  <c r="AF52" i="70"/>
  <c r="B50" i="70"/>
  <c r="D50" i="70"/>
  <c r="E50" i="70"/>
  <c r="G50" i="70"/>
  <c r="H50" i="70"/>
  <c r="J50" i="70"/>
  <c r="K50" i="70"/>
  <c r="M50" i="70"/>
  <c r="N50" i="70"/>
  <c r="P50" i="70"/>
  <c r="Q50" i="70"/>
  <c r="S50" i="70"/>
  <c r="T50" i="70"/>
  <c r="V50" i="70"/>
  <c r="W50" i="70"/>
  <c r="Y50" i="70"/>
  <c r="Z50" i="70"/>
  <c r="AB50" i="70"/>
  <c r="AC50" i="70"/>
  <c r="AE50" i="70"/>
  <c r="AF50" i="70"/>
  <c r="AG50" i="70"/>
  <c r="B49" i="70"/>
  <c r="D49" i="70"/>
  <c r="E49" i="70"/>
  <c r="G49" i="70"/>
  <c r="H49" i="70"/>
  <c r="J49" i="70"/>
  <c r="K49" i="70"/>
  <c r="M49" i="70"/>
  <c r="N49" i="70"/>
  <c r="P49" i="70"/>
  <c r="Q49" i="70"/>
  <c r="S49" i="70"/>
  <c r="T49" i="70"/>
  <c r="V49" i="70"/>
  <c r="W49" i="70"/>
  <c r="Y49" i="70"/>
  <c r="Z49" i="70"/>
  <c r="AB49" i="70"/>
  <c r="AC49" i="70"/>
  <c r="AE49" i="70"/>
  <c r="AF49" i="70"/>
  <c r="AG49" i="70"/>
  <c r="B48" i="70"/>
  <c r="D48" i="70"/>
  <c r="E48" i="70"/>
  <c r="G48" i="70"/>
  <c r="H48" i="70"/>
  <c r="J48" i="70"/>
  <c r="K48" i="70"/>
  <c r="M48" i="70"/>
  <c r="N48" i="70"/>
  <c r="P48" i="70"/>
  <c r="Q48" i="70"/>
  <c r="S48" i="70"/>
  <c r="T48" i="70"/>
  <c r="V48" i="70"/>
  <c r="W48" i="70"/>
  <c r="Y48" i="70"/>
  <c r="Z48" i="70"/>
  <c r="AB48" i="70"/>
  <c r="AC48" i="70"/>
  <c r="AE48" i="70"/>
  <c r="AF48" i="70"/>
  <c r="AG48" i="70"/>
  <c r="B47" i="70"/>
  <c r="D47" i="70"/>
  <c r="E47" i="70"/>
  <c r="G47" i="70"/>
  <c r="H47" i="70"/>
  <c r="J47" i="70"/>
  <c r="K47" i="70"/>
  <c r="M47" i="70"/>
  <c r="N47" i="70"/>
  <c r="P47" i="70"/>
  <c r="Q47" i="70"/>
  <c r="S47" i="70"/>
  <c r="T47" i="70"/>
  <c r="V47" i="70"/>
  <c r="W47" i="70"/>
  <c r="Y47" i="70"/>
  <c r="Z47" i="70"/>
  <c r="AB47" i="70"/>
  <c r="AC47" i="70"/>
  <c r="AE47" i="70"/>
  <c r="AF47" i="70"/>
  <c r="AG47" i="70"/>
  <c r="B46" i="70"/>
  <c r="D46" i="70"/>
  <c r="E46" i="70"/>
  <c r="G46" i="70"/>
  <c r="H46" i="70"/>
  <c r="J46" i="70"/>
  <c r="K46" i="70"/>
  <c r="M46" i="70"/>
  <c r="N46" i="70"/>
  <c r="P46" i="70"/>
  <c r="Q46" i="70"/>
  <c r="S46" i="70"/>
  <c r="T46" i="70"/>
  <c r="V46" i="70"/>
  <c r="W46" i="70"/>
  <c r="Y46" i="70"/>
  <c r="Z46" i="70"/>
  <c r="AB46" i="70"/>
  <c r="AC46" i="70"/>
  <c r="AE46" i="70"/>
  <c r="AF46" i="70"/>
  <c r="AG46" i="70"/>
  <c r="AD29" i="70"/>
  <c r="AA29" i="70"/>
  <c r="X29" i="70"/>
  <c r="U29" i="70"/>
  <c r="R29" i="70"/>
  <c r="O29" i="70"/>
  <c r="L29" i="70"/>
  <c r="I29" i="70"/>
  <c r="F29" i="70"/>
  <c r="A29" i="70"/>
  <c r="AF28" i="70"/>
  <c r="AD28" i="70"/>
  <c r="AA28" i="70"/>
  <c r="X28" i="70"/>
  <c r="U28" i="70"/>
  <c r="R28" i="70"/>
  <c r="O28" i="70"/>
  <c r="L28" i="70"/>
  <c r="I28" i="70"/>
  <c r="F28" i="70"/>
  <c r="A28" i="70"/>
  <c r="AG27" i="70"/>
  <c r="AH27" i="70"/>
  <c r="AI27" i="70"/>
  <c r="AJ27" i="70"/>
  <c r="AK27" i="70"/>
  <c r="AL27" i="70"/>
  <c r="AM27" i="70"/>
  <c r="AN27" i="70"/>
  <c r="AO27" i="70"/>
  <c r="AP27" i="70"/>
  <c r="AQ27" i="70"/>
  <c r="AF27" i="70"/>
  <c r="AD27" i="70"/>
  <c r="AA27" i="70"/>
  <c r="X27" i="70"/>
  <c r="U27" i="70"/>
  <c r="R27" i="70"/>
  <c r="O27" i="70"/>
  <c r="L27" i="70"/>
  <c r="I27" i="70"/>
  <c r="F27" i="70"/>
  <c r="A27" i="70"/>
  <c r="AF26" i="70"/>
  <c r="AD26" i="70"/>
  <c r="AA26" i="70"/>
  <c r="X26" i="70"/>
  <c r="U26" i="70"/>
  <c r="R26" i="70"/>
  <c r="O26" i="70"/>
  <c r="L26" i="70"/>
  <c r="I26" i="70"/>
  <c r="F26" i="70"/>
  <c r="A26" i="70"/>
  <c r="AF25" i="70"/>
  <c r="AD25" i="70"/>
  <c r="AA25" i="70"/>
  <c r="X25" i="70"/>
  <c r="U25" i="70"/>
  <c r="R25" i="70"/>
  <c r="O25" i="70"/>
  <c r="L25" i="70"/>
  <c r="I25" i="70"/>
  <c r="F25" i="70"/>
  <c r="AF24" i="70"/>
  <c r="AD24" i="70"/>
  <c r="AA24" i="70"/>
  <c r="X24" i="70"/>
  <c r="U24" i="70"/>
  <c r="R24" i="70"/>
  <c r="O24" i="70"/>
  <c r="L24" i="70"/>
  <c r="I24" i="70"/>
  <c r="F24" i="70"/>
  <c r="AC22" i="70"/>
  <c r="Z22" i="70"/>
  <c r="W22" i="70"/>
  <c r="T22" i="70"/>
  <c r="Q22" i="70"/>
  <c r="N22" i="70"/>
  <c r="K22" i="70"/>
  <c r="H22" i="70"/>
  <c r="E22" i="70"/>
  <c r="AX17" i="70"/>
  <c r="AY17" i="70"/>
  <c r="AY16" i="70"/>
  <c r="AC16" i="70"/>
  <c r="W16" i="70"/>
  <c r="R16" i="70"/>
  <c r="L16" i="70"/>
  <c r="A16" i="70"/>
  <c r="E15" i="70"/>
  <c r="AX14" i="70"/>
  <c r="AY14" i="70"/>
  <c r="AC14" i="70"/>
  <c r="Z14" i="70"/>
  <c r="W14" i="70"/>
  <c r="R14" i="70"/>
  <c r="L14" i="70"/>
  <c r="A14" i="70"/>
  <c r="AY12" i="70"/>
  <c r="AC12" i="70"/>
  <c r="W12" i="70"/>
  <c r="R12" i="70"/>
  <c r="L12" i="70"/>
  <c r="A12" i="70"/>
  <c r="AY11" i="70"/>
  <c r="AX10" i="70"/>
  <c r="AY10" i="70"/>
  <c r="AC10" i="70"/>
  <c r="W10" i="70"/>
  <c r="R10" i="70"/>
  <c r="L10" i="70"/>
  <c r="A10" i="70"/>
  <c r="AY9" i="70"/>
  <c r="AY8" i="70"/>
  <c r="AC8" i="70"/>
  <c r="W8" i="70"/>
  <c r="R8" i="70"/>
  <c r="L8" i="70"/>
  <c r="A8" i="70"/>
  <c r="AY7" i="70"/>
  <c r="R7" i="70"/>
  <c r="L7" i="70"/>
  <c r="AY6" i="70"/>
  <c r="K6" i="70"/>
  <c r="AY5" i="70"/>
  <c r="AY4" i="70"/>
  <c r="AY3" i="70"/>
  <c r="W219" i="69"/>
  <c r="W220" i="69"/>
  <c r="W221" i="69"/>
  <c r="W222" i="69"/>
  <c r="Y219" i="69"/>
  <c r="Y220" i="69"/>
  <c r="Y221" i="69"/>
  <c r="Y222" i="69"/>
  <c r="AC218" i="69"/>
  <c r="Z219" i="69"/>
  <c r="Z220" i="69"/>
  <c r="Z221" i="69"/>
  <c r="Z222" i="69"/>
  <c r="AB219" i="69"/>
  <c r="AB220" i="69"/>
  <c r="AB221" i="69"/>
  <c r="AB222" i="69"/>
  <c r="AE218" i="69"/>
  <c r="E93" i="69"/>
  <c r="AF180" i="69"/>
  <c r="X213" i="69"/>
  <c r="W230" i="69"/>
  <c r="E8" i="69"/>
  <c r="B79" i="69"/>
  <c r="AT79" i="69"/>
  <c r="E10" i="69"/>
  <c r="B80" i="69"/>
  <c r="AT80" i="69"/>
  <c r="E12" i="69"/>
  <c r="B81" i="69"/>
  <c r="AT81" i="69"/>
  <c r="E14" i="69"/>
  <c r="B82" i="69"/>
  <c r="AT82" i="69"/>
  <c r="AC31" i="69"/>
  <c r="AC32" i="69"/>
  <c r="AC33" i="69"/>
  <c r="AC34" i="69"/>
  <c r="AC35" i="69"/>
  <c r="AC64" i="69"/>
  <c r="AE64" i="69"/>
  <c r="AC65" i="69"/>
  <c r="AE31" i="69"/>
  <c r="AE32" i="69"/>
  <c r="AE33" i="69"/>
  <c r="AE34" i="69"/>
  <c r="AE35" i="69"/>
  <c r="AE65" i="69"/>
  <c r="AC66" i="69"/>
  <c r="AE66" i="69"/>
  <c r="AC67" i="69"/>
  <c r="AE67" i="69"/>
  <c r="AC68" i="69"/>
  <c r="AE68" i="69"/>
  <c r="AD71" i="69"/>
  <c r="AC72" i="69"/>
  <c r="Z72" i="69"/>
  <c r="AB72" i="69"/>
  <c r="W31" i="69"/>
  <c r="W32" i="69"/>
  <c r="W33" i="69"/>
  <c r="W34" i="69"/>
  <c r="W35" i="69"/>
  <c r="W64" i="69"/>
  <c r="Y64" i="69"/>
  <c r="W65" i="69"/>
  <c r="Y65" i="69"/>
  <c r="W66" i="69"/>
  <c r="Y66" i="69"/>
  <c r="W67" i="69"/>
  <c r="Y67" i="69"/>
  <c r="W68" i="69"/>
  <c r="Y31" i="69"/>
  <c r="Y32" i="69"/>
  <c r="Y33" i="69"/>
  <c r="Y34" i="69"/>
  <c r="Y35" i="69"/>
  <c r="Y68" i="69"/>
  <c r="X71" i="69"/>
  <c r="W72" i="69"/>
  <c r="T72" i="69"/>
  <c r="V72" i="69"/>
  <c r="Q72" i="69"/>
  <c r="S72" i="69"/>
  <c r="N31" i="69"/>
  <c r="N32" i="69"/>
  <c r="N33" i="69"/>
  <c r="N34" i="69"/>
  <c r="N35" i="69"/>
  <c r="N64" i="69"/>
  <c r="P64" i="69"/>
  <c r="N65" i="69"/>
  <c r="P65" i="69"/>
  <c r="N66" i="69"/>
  <c r="P31" i="69"/>
  <c r="P32" i="69"/>
  <c r="P33" i="69"/>
  <c r="P34" i="69"/>
  <c r="P35" i="69"/>
  <c r="P66" i="69"/>
  <c r="N67" i="69"/>
  <c r="P67" i="69"/>
  <c r="N68" i="69"/>
  <c r="P68" i="69"/>
  <c r="O71" i="69"/>
  <c r="N72" i="69"/>
  <c r="K72" i="69"/>
  <c r="M72" i="69"/>
  <c r="H72" i="69"/>
  <c r="J72" i="69"/>
  <c r="E31" i="69"/>
  <c r="E32" i="69"/>
  <c r="E33" i="69"/>
  <c r="E34" i="69"/>
  <c r="E35" i="69"/>
  <c r="E64" i="69"/>
  <c r="G64" i="69"/>
  <c r="E65" i="69"/>
  <c r="G65" i="69"/>
  <c r="E66" i="69"/>
  <c r="G66" i="69"/>
  <c r="E67" i="69"/>
  <c r="G31" i="69"/>
  <c r="G32" i="69"/>
  <c r="G33" i="69"/>
  <c r="G34" i="69"/>
  <c r="G35" i="69"/>
  <c r="G67" i="69"/>
  <c r="E68" i="69"/>
  <c r="G68" i="69"/>
  <c r="F71" i="69"/>
  <c r="E72" i="69"/>
  <c r="B72" i="69"/>
  <c r="D72" i="69"/>
  <c r="C79" i="69"/>
  <c r="D79" i="69"/>
  <c r="E85" i="69"/>
  <c r="E36" i="69"/>
  <c r="B75" i="69"/>
  <c r="D75" i="69"/>
  <c r="C82" i="69"/>
  <c r="D82" i="69"/>
  <c r="G85" i="69"/>
  <c r="G36" i="69"/>
  <c r="E86" i="69"/>
  <c r="E87" i="69"/>
  <c r="G79" i="69"/>
  <c r="J79" i="69"/>
  <c r="M79" i="69"/>
  <c r="N85" i="69"/>
  <c r="N36" i="69"/>
  <c r="K74" i="69"/>
  <c r="M74" i="69"/>
  <c r="H64" i="69"/>
  <c r="J64" i="69"/>
  <c r="H65" i="69"/>
  <c r="J65" i="69"/>
  <c r="H31" i="69"/>
  <c r="H32" i="69"/>
  <c r="H33" i="69"/>
  <c r="H34" i="69"/>
  <c r="H35" i="69"/>
  <c r="H66" i="69"/>
  <c r="J66" i="69"/>
  <c r="H67" i="69"/>
  <c r="J67" i="69"/>
  <c r="H68" i="69"/>
  <c r="J31" i="69"/>
  <c r="J32" i="69"/>
  <c r="J33" i="69"/>
  <c r="J34" i="69"/>
  <c r="J35" i="69"/>
  <c r="J68" i="69"/>
  <c r="I71" i="69"/>
  <c r="H74" i="69"/>
  <c r="E74" i="69"/>
  <c r="G74" i="69"/>
  <c r="B74" i="69"/>
  <c r="D74" i="69"/>
  <c r="C81" i="69"/>
  <c r="D81" i="69"/>
  <c r="G81" i="69"/>
  <c r="H85" i="69"/>
  <c r="H36" i="69"/>
  <c r="E76" i="69"/>
  <c r="G76" i="69"/>
  <c r="B76" i="69"/>
  <c r="B64" i="69"/>
  <c r="D64" i="69"/>
  <c r="B31" i="69"/>
  <c r="B32" i="69"/>
  <c r="B33" i="69"/>
  <c r="B34" i="69"/>
  <c r="B35" i="69"/>
  <c r="B65" i="69"/>
  <c r="D65" i="69"/>
  <c r="B66" i="69"/>
  <c r="D66" i="69"/>
  <c r="B67" i="69"/>
  <c r="D67" i="69"/>
  <c r="B68" i="69"/>
  <c r="D31" i="69"/>
  <c r="D32" i="69"/>
  <c r="D33" i="69"/>
  <c r="D34" i="69"/>
  <c r="D35" i="69"/>
  <c r="D68" i="69"/>
  <c r="C71" i="69"/>
  <c r="D76" i="69"/>
  <c r="E16" i="69"/>
  <c r="B83" i="69"/>
  <c r="C83" i="69"/>
  <c r="D85" i="69"/>
  <c r="D36" i="69"/>
  <c r="C80" i="69"/>
  <c r="B85" i="69"/>
  <c r="B36" i="69"/>
  <c r="D86" i="69"/>
  <c r="D87" i="69"/>
  <c r="D83" i="69"/>
  <c r="G83" i="69"/>
  <c r="J85" i="69"/>
  <c r="J36" i="69"/>
  <c r="H86" i="69"/>
  <c r="H87" i="69"/>
  <c r="J81" i="69"/>
  <c r="M81" i="69"/>
  <c r="P85" i="69"/>
  <c r="P36" i="69"/>
  <c r="N86" i="69"/>
  <c r="N87" i="69"/>
  <c r="P79" i="69"/>
  <c r="S79" i="69"/>
  <c r="V79" i="69"/>
  <c r="W85" i="69"/>
  <c r="W36" i="69"/>
  <c r="T76" i="69"/>
  <c r="V76" i="69"/>
  <c r="Q76" i="69"/>
  <c r="Q64" i="69"/>
  <c r="S64" i="69"/>
  <c r="Q65" i="69"/>
  <c r="S65" i="69"/>
  <c r="Q66" i="69"/>
  <c r="S66" i="69"/>
  <c r="Q31" i="69"/>
  <c r="Q32" i="69"/>
  <c r="Q33" i="69"/>
  <c r="Q34" i="69"/>
  <c r="Q35" i="69"/>
  <c r="Q67" i="69"/>
  <c r="S67" i="69"/>
  <c r="Q68" i="69"/>
  <c r="S31" i="69"/>
  <c r="S32" i="69"/>
  <c r="S33" i="69"/>
  <c r="S34" i="69"/>
  <c r="S35" i="69"/>
  <c r="S68" i="69"/>
  <c r="R71" i="69"/>
  <c r="S76" i="69"/>
  <c r="N76" i="69"/>
  <c r="P76" i="69"/>
  <c r="K76" i="69"/>
  <c r="M76" i="69"/>
  <c r="H76" i="69"/>
  <c r="J76" i="69"/>
  <c r="J86" i="69"/>
  <c r="J87" i="69"/>
  <c r="J83" i="69"/>
  <c r="M83" i="69"/>
  <c r="P83" i="69"/>
  <c r="S85" i="69"/>
  <c r="S36" i="69"/>
  <c r="N75" i="69"/>
  <c r="P75" i="69"/>
  <c r="K75" i="69"/>
  <c r="K64" i="69"/>
  <c r="M64" i="69"/>
  <c r="K31" i="69"/>
  <c r="K32" i="69"/>
  <c r="K33" i="69"/>
  <c r="K34" i="69"/>
  <c r="K35" i="69"/>
  <c r="K65" i="69"/>
  <c r="M65" i="69"/>
  <c r="K66" i="69"/>
  <c r="M66" i="69"/>
  <c r="K67" i="69"/>
  <c r="M31" i="69"/>
  <c r="M32" i="69"/>
  <c r="M33" i="69"/>
  <c r="M34" i="69"/>
  <c r="M35" i="69"/>
  <c r="M67" i="69"/>
  <c r="K68" i="69"/>
  <c r="M68" i="69"/>
  <c r="L71" i="69"/>
  <c r="M75" i="69"/>
  <c r="H75" i="69"/>
  <c r="J75" i="69"/>
  <c r="E75" i="69"/>
  <c r="G75" i="69"/>
  <c r="G86" i="69"/>
  <c r="G87" i="69"/>
  <c r="G82" i="69"/>
  <c r="J82" i="69"/>
  <c r="M85" i="69"/>
  <c r="M36" i="69"/>
  <c r="H73" i="69"/>
  <c r="J73" i="69"/>
  <c r="E73" i="69"/>
  <c r="G73" i="69"/>
  <c r="B73" i="69"/>
  <c r="B86" i="69"/>
  <c r="B87" i="69"/>
  <c r="D80" i="69"/>
  <c r="G80" i="69"/>
  <c r="J80" i="69"/>
  <c r="K85" i="69"/>
  <c r="K36" i="69"/>
  <c r="M86" i="69"/>
  <c r="M87" i="69"/>
  <c r="M82" i="69"/>
  <c r="P82" i="69"/>
  <c r="Q85" i="69"/>
  <c r="Q36" i="69"/>
  <c r="S86" i="69"/>
  <c r="S87" i="69"/>
  <c r="S83" i="69"/>
  <c r="V83" i="69"/>
  <c r="Y85" i="69"/>
  <c r="Y36" i="69"/>
  <c r="W86" i="69"/>
  <c r="W87" i="69"/>
  <c r="Y79" i="69"/>
  <c r="AB79" i="69"/>
  <c r="AC85" i="69"/>
  <c r="AC36" i="69"/>
  <c r="Z73" i="69"/>
  <c r="AB73" i="69"/>
  <c r="W73" i="69"/>
  <c r="Y73" i="69"/>
  <c r="T64" i="69"/>
  <c r="V64" i="69"/>
  <c r="T31" i="69"/>
  <c r="T32" i="69"/>
  <c r="T33" i="69"/>
  <c r="T34" i="69"/>
  <c r="T35" i="69"/>
  <c r="T65" i="69"/>
  <c r="V65" i="69"/>
  <c r="T66" i="69"/>
  <c r="V31" i="69"/>
  <c r="V32" i="69"/>
  <c r="V33" i="69"/>
  <c r="V34" i="69"/>
  <c r="V35" i="69"/>
  <c r="V66" i="69"/>
  <c r="T67" i="69"/>
  <c r="V67" i="69"/>
  <c r="T68" i="69"/>
  <c r="V68" i="69"/>
  <c r="U71" i="69"/>
  <c r="T73" i="69"/>
  <c r="Q73" i="69"/>
  <c r="S73" i="69"/>
  <c r="N73" i="69"/>
  <c r="P73" i="69"/>
  <c r="K73" i="69"/>
  <c r="K86" i="69"/>
  <c r="K87" i="69"/>
  <c r="M80" i="69"/>
  <c r="P80" i="69"/>
  <c r="S80" i="69"/>
  <c r="T85" i="69"/>
  <c r="T36" i="69"/>
  <c r="Q74" i="69"/>
  <c r="S74" i="69"/>
  <c r="N74" i="69"/>
  <c r="P74" i="69"/>
  <c r="P86" i="69"/>
  <c r="P87" i="69"/>
  <c r="P81" i="69"/>
  <c r="S81" i="69"/>
  <c r="V85" i="69"/>
  <c r="V36" i="69"/>
  <c r="T86" i="69"/>
  <c r="T87" i="69"/>
  <c r="V80" i="69"/>
  <c r="Y80" i="69"/>
  <c r="AB80" i="69"/>
  <c r="AE85" i="69"/>
  <c r="AE36" i="69"/>
  <c r="AC86" i="69"/>
  <c r="AC87" i="69"/>
  <c r="AE79" i="69"/>
  <c r="AU79" i="69"/>
  <c r="AC73" i="69"/>
  <c r="AE73" i="69"/>
  <c r="AE86" i="69"/>
  <c r="AE87" i="69"/>
  <c r="AE80" i="69"/>
  <c r="AU80" i="69"/>
  <c r="AC74" i="69"/>
  <c r="AE74" i="69"/>
  <c r="Z64" i="69"/>
  <c r="AB64" i="69"/>
  <c r="Z65" i="69"/>
  <c r="AB65" i="69"/>
  <c r="Z31" i="69"/>
  <c r="Z32" i="69"/>
  <c r="Z33" i="69"/>
  <c r="Z34" i="69"/>
  <c r="Z35" i="69"/>
  <c r="Z66" i="69"/>
  <c r="AB66" i="69"/>
  <c r="Z67" i="69"/>
  <c r="AB31" i="69"/>
  <c r="AB32" i="69"/>
  <c r="AB33" i="69"/>
  <c r="AB34" i="69"/>
  <c r="AB35" i="69"/>
  <c r="AB67" i="69"/>
  <c r="Z68" i="69"/>
  <c r="AB68" i="69"/>
  <c r="AA71" i="69"/>
  <c r="Z74" i="69"/>
  <c r="W74" i="69"/>
  <c r="Y74" i="69"/>
  <c r="T74" i="69"/>
  <c r="V74" i="69"/>
  <c r="V86" i="69"/>
  <c r="V87" i="69"/>
  <c r="V81" i="69"/>
  <c r="Y81" i="69"/>
  <c r="Z85" i="69"/>
  <c r="Z36" i="69"/>
  <c r="W75" i="69"/>
  <c r="Y75" i="69"/>
  <c r="T75" i="69"/>
  <c r="V75" i="69"/>
  <c r="Q75" i="69"/>
  <c r="Q86" i="69"/>
  <c r="Q87" i="69"/>
  <c r="S82" i="69"/>
  <c r="V82" i="69"/>
  <c r="Y82" i="69"/>
  <c r="AB85" i="69"/>
  <c r="AB36" i="69"/>
  <c r="Z86" i="69"/>
  <c r="Z87" i="69"/>
  <c r="AB81" i="69"/>
  <c r="AE81" i="69"/>
  <c r="AU81" i="69"/>
  <c r="AC75" i="69"/>
  <c r="AE75" i="69"/>
  <c r="Z75" i="69"/>
  <c r="AB75" i="69"/>
  <c r="AB86" i="69"/>
  <c r="AB87" i="69"/>
  <c r="AB82" i="69"/>
  <c r="AE82" i="69"/>
  <c r="AU82" i="69"/>
  <c r="AT83" i="69"/>
  <c r="AC76" i="69"/>
  <c r="AE76" i="69"/>
  <c r="Z76" i="69"/>
  <c r="AB76" i="69"/>
  <c r="W76" i="69"/>
  <c r="Y76" i="69"/>
  <c r="Y86" i="69"/>
  <c r="Y87" i="69"/>
  <c r="Y83" i="69"/>
  <c r="AB83" i="69"/>
  <c r="AE83" i="69"/>
  <c r="AU83" i="69"/>
  <c r="B164" i="69"/>
  <c r="AT164" i="69"/>
  <c r="AC116" i="69"/>
  <c r="AC117" i="69"/>
  <c r="AC118" i="69"/>
  <c r="AC119" i="69"/>
  <c r="AC120" i="69"/>
  <c r="AC149" i="69"/>
  <c r="AE149" i="69"/>
  <c r="AC150" i="69"/>
  <c r="AE116" i="69"/>
  <c r="AE117" i="69"/>
  <c r="AE118" i="69"/>
  <c r="AE119" i="69"/>
  <c r="AE120" i="69"/>
  <c r="AE150" i="69"/>
  <c r="AC151" i="69"/>
  <c r="AE151" i="69"/>
  <c r="AC152" i="69"/>
  <c r="AE152" i="69"/>
  <c r="AC153" i="69"/>
  <c r="AE153" i="69"/>
  <c r="AD156" i="69"/>
  <c r="AC157" i="69"/>
  <c r="Z157" i="69"/>
  <c r="AB157" i="69"/>
  <c r="W116" i="69"/>
  <c r="W117" i="69"/>
  <c r="W118" i="69"/>
  <c r="W119" i="69"/>
  <c r="W120" i="69"/>
  <c r="W149" i="69"/>
  <c r="Y149" i="69"/>
  <c r="W150" i="69"/>
  <c r="Y150" i="69"/>
  <c r="W151" i="69"/>
  <c r="Y151" i="69"/>
  <c r="W152" i="69"/>
  <c r="Y152" i="69"/>
  <c r="W153" i="69"/>
  <c r="Y116" i="69"/>
  <c r="Y117" i="69"/>
  <c r="Y118" i="69"/>
  <c r="Y119" i="69"/>
  <c r="Y120" i="69"/>
  <c r="Y153" i="69"/>
  <c r="X156" i="69"/>
  <c r="W157" i="69"/>
  <c r="T157" i="69"/>
  <c r="V157" i="69"/>
  <c r="Q157" i="69"/>
  <c r="S157" i="69"/>
  <c r="N116" i="69"/>
  <c r="N117" i="69"/>
  <c r="N118" i="69"/>
  <c r="N119" i="69"/>
  <c r="N120" i="69"/>
  <c r="N149" i="69"/>
  <c r="P149" i="69"/>
  <c r="N150" i="69"/>
  <c r="P150" i="69"/>
  <c r="N151" i="69"/>
  <c r="P116" i="69"/>
  <c r="P117" i="69"/>
  <c r="P118" i="69"/>
  <c r="P119" i="69"/>
  <c r="P120" i="69"/>
  <c r="P151" i="69"/>
  <c r="N152" i="69"/>
  <c r="P152" i="69"/>
  <c r="N153" i="69"/>
  <c r="P153" i="69"/>
  <c r="O156" i="69"/>
  <c r="N157" i="69"/>
  <c r="K157" i="69"/>
  <c r="M157" i="69"/>
  <c r="H157" i="69"/>
  <c r="J157" i="69"/>
  <c r="E116" i="69"/>
  <c r="E117" i="69"/>
  <c r="E118" i="69"/>
  <c r="E119" i="69"/>
  <c r="E120" i="69"/>
  <c r="E149" i="69"/>
  <c r="G149" i="69"/>
  <c r="E150" i="69"/>
  <c r="G150" i="69"/>
  <c r="E151" i="69"/>
  <c r="G151" i="69"/>
  <c r="E152" i="69"/>
  <c r="G116" i="69"/>
  <c r="G117" i="69"/>
  <c r="G118" i="69"/>
  <c r="G119" i="69"/>
  <c r="G120" i="69"/>
  <c r="G152" i="69"/>
  <c r="E153" i="69"/>
  <c r="G153" i="69"/>
  <c r="F156" i="69"/>
  <c r="E157" i="69"/>
  <c r="B157" i="69"/>
  <c r="D157" i="69"/>
  <c r="C164" i="69"/>
  <c r="D164" i="69"/>
  <c r="E170" i="69"/>
  <c r="E121" i="69"/>
  <c r="B160" i="69"/>
  <c r="D160" i="69"/>
  <c r="E99" i="69"/>
  <c r="B167" i="69"/>
  <c r="C167" i="69"/>
  <c r="D167" i="69"/>
  <c r="G170" i="69"/>
  <c r="G121" i="69"/>
  <c r="E171" i="69"/>
  <c r="E172" i="69"/>
  <c r="G164" i="69"/>
  <c r="J164" i="69"/>
  <c r="M164" i="69"/>
  <c r="N170" i="69"/>
  <c r="N121" i="69"/>
  <c r="K159" i="69"/>
  <c r="M159" i="69"/>
  <c r="H149" i="69"/>
  <c r="J149" i="69"/>
  <c r="H150" i="69"/>
  <c r="J150" i="69"/>
  <c r="H116" i="69"/>
  <c r="H117" i="69"/>
  <c r="H118" i="69"/>
  <c r="H119" i="69"/>
  <c r="H120" i="69"/>
  <c r="H151" i="69"/>
  <c r="J151" i="69"/>
  <c r="H152" i="69"/>
  <c r="J152" i="69"/>
  <c r="H153" i="69"/>
  <c r="J116" i="69"/>
  <c r="J117" i="69"/>
  <c r="J118" i="69"/>
  <c r="J119" i="69"/>
  <c r="J120" i="69"/>
  <c r="J153" i="69"/>
  <c r="I156" i="69"/>
  <c r="H159" i="69"/>
  <c r="E159" i="69"/>
  <c r="G159" i="69"/>
  <c r="B159" i="69"/>
  <c r="D159" i="69"/>
  <c r="E97" i="69"/>
  <c r="B166" i="69"/>
  <c r="C166" i="69"/>
  <c r="D166" i="69"/>
  <c r="G166" i="69"/>
  <c r="H170" i="69"/>
  <c r="H121" i="69"/>
  <c r="E161" i="69"/>
  <c r="G161" i="69"/>
  <c r="B161" i="69"/>
  <c r="B149" i="69"/>
  <c r="D149" i="69"/>
  <c r="B116" i="69"/>
  <c r="B117" i="69"/>
  <c r="B118" i="69"/>
  <c r="B119" i="69"/>
  <c r="B120" i="69"/>
  <c r="B150" i="69"/>
  <c r="D150" i="69"/>
  <c r="B151" i="69"/>
  <c r="D151" i="69"/>
  <c r="B152" i="69"/>
  <c r="D152" i="69"/>
  <c r="B153" i="69"/>
  <c r="D116" i="69"/>
  <c r="D117" i="69"/>
  <c r="D118" i="69"/>
  <c r="D119" i="69"/>
  <c r="D120" i="69"/>
  <c r="D153" i="69"/>
  <c r="C156" i="69"/>
  <c r="D161" i="69"/>
  <c r="E101" i="69"/>
  <c r="B168" i="69"/>
  <c r="C168" i="69"/>
  <c r="D170" i="69"/>
  <c r="D121" i="69"/>
  <c r="E95" i="69"/>
  <c r="B165" i="69"/>
  <c r="C165" i="69"/>
  <c r="B170" i="69"/>
  <c r="B121" i="69"/>
  <c r="D171" i="69"/>
  <c r="D172" i="69"/>
  <c r="D168" i="69"/>
  <c r="G168" i="69"/>
  <c r="J170" i="69"/>
  <c r="J121" i="69"/>
  <c r="H171" i="69"/>
  <c r="H172" i="69"/>
  <c r="J166" i="69"/>
  <c r="M166" i="69"/>
  <c r="P170" i="69"/>
  <c r="P121" i="69"/>
  <c r="N171" i="69"/>
  <c r="N172" i="69"/>
  <c r="P164" i="69"/>
  <c r="S164" i="69"/>
  <c r="V164" i="69"/>
  <c r="W170" i="69"/>
  <c r="W121" i="69"/>
  <c r="T161" i="69"/>
  <c r="V161" i="69"/>
  <c r="Q161" i="69"/>
  <c r="Q149" i="69"/>
  <c r="S149" i="69"/>
  <c r="Q150" i="69"/>
  <c r="S150" i="69"/>
  <c r="Q151" i="69"/>
  <c r="S151" i="69"/>
  <c r="Q116" i="69"/>
  <c r="Q117" i="69"/>
  <c r="Q118" i="69"/>
  <c r="Q119" i="69"/>
  <c r="Q120" i="69"/>
  <c r="Q152" i="69"/>
  <c r="S152" i="69"/>
  <c r="Q153" i="69"/>
  <c r="S116" i="69"/>
  <c r="S117" i="69"/>
  <c r="S118" i="69"/>
  <c r="S119" i="69"/>
  <c r="S120" i="69"/>
  <c r="S153" i="69"/>
  <c r="R156" i="69"/>
  <c r="S161" i="69"/>
  <c r="N161" i="69"/>
  <c r="P161" i="69"/>
  <c r="K161" i="69"/>
  <c r="M161" i="69"/>
  <c r="H161" i="69"/>
  <c r="J161" i="69"/>
  <c r="J171" i="69"/>
  <c r="J172" i="69"/>
  <c r="J168" i="69"/>
  <c r="M168" i="69"/>
  <c r="P168" i="69"/>
  <c r="S170" i="69"/>
  <c r="S121" i="69"/>
  <c r="N160" i="69"/>
  <c r="P160" i="69"/>
  <c r="K160" i="69"/>
  <c r="K149" i="69"/>
  <c r="M149" i="69"/>
  <c r="K116" i="69"/>
  <c r="K117" i="69"/>
  <c r="K118" i="69"/>
  <c r="K119" i="69"/>
  <c r="K120" i="69"/>
  <c r="K150" i="69"/>
  <c r="M150" i="69"/>
  <c r="K151" i="69"/>
  <c r="M151" i="69"/>
  <c r="K152" i="69"/>
  <c r="M116" i="69"/>
  <c r="M117" i="69"/>
  <c r="M118" i="69"/>
  <c r="M119" i="69"/>
  <c r="M120" i="69"/>
  <c r="M152" i="69"/>
  <c r="K153" i="69"/>
  <c r="M153" i="69"/>
  <c r="L156" i="69"/>
  <c r="M160" i="69"/>
  <c r="H160" i="69"/>
  <c r="J160" i="69"/>
  <c r="E160" i="69"/>
  <c r="G160" i="69"/>
  <c r="G171" i="69"/>
  <c r="G172" i="69"/>
  <c r="G167" i="69"/>
  <c r="J167" i="69"/>
  <c r="M170" i="69"/>
  <c r="M121" i="69"/>
  <c r="H158" i="69"/>
  <c r="J158" i="69"/>
  <c r="E158" i="69"/>
  <c r="G158" i="69"/>
  <c r="B158" i="69"/>
  <c r="B171" i="69"/>
  <c r="B172" i="69"/>
  <c r="D165" i="69"/>
  <c r="G165" i="69"/>
  <c r="J165" i="69"/>
  <c r="K170" i="69"/>
  <c r="K121" i="69"/>
  <c r="M171" i="69"/>
  <c r="M172" i="69"/>
  <c r="M167" i="69"/>
  <c r="P167" i="69"/>
  <c r="Q170" i="69"/>
  <c r="Q121" i="69"/>
  <c r="S171" i="69"/>
  <c r="S172" i="69"/>
  <c r="S168" i="69"/>
  <c r="V168" i="69"/>
  <c r="Y170" i="69"/>
  <c r="Y121" i="69"/>
  <c r="W171" i="69"/>
  <c r="W172" i="69"/>
  <c r="Y164" i="69"/>
  <c r="AB164" i="69"/>
  <c r="AC170" i="69"/>
  <c r="AC121" i="69"/>
  <c r="Z158" i="69"/>
  <c r="AB158" i="69"/>
  <c r="W158" i="69"/>
  <c r="Y158" i="69"/>
  <c r="T149" i="69"/>
  <c r="V149" i="69"/>
  <c r="T116" i="69"/>
  <c r="T117" i="69"/>
  <c r="T118" i="69"/>
  <c r="T119" i="69"/>
  <c r="T120" i="69"/>
  <c r="T150" i="69"/>
  <c r="V150" i="69"/>
  <c r="T151" i="69"/>
  <c r="V116" i="69"/>
  <c r="V117" i="69"/>
  <c r="V118" i="69"/>
  <c r="V119" i="69"/>
  <c r="V120" i="69"/>
  <c r="V151" i="69"/>
  <c r="T152" i="69"/>
  <c r="V152" i="69"/>
  <c r="T153" i="69"/>
  <c r="V153" i="69"/>
  <c r="U156" i="69"/>
  <c r="T158" i="69"/>
  <c r="Q158" i="69"/>
  <c r="S158" i="69"/>
  <c r="N158" i="69"/>
  <c r="P158" i="69"/>
  <c r="K158" i="69"/>
  <c r="K171" i="69"/>
  <c r="K172" i="69"/>
  <c r="M165" i="69"/>
  <c r="P165" i="69"/>
  <c r="S165" i="69"/>
  <c r="T170" i="69"/>
  <c r="T121" i="69"/>
  <c r="Q159" i="69"/>
  <c r="S159" i="69"/>
  <c r="N159" i="69"/>
  <c r="P159" i="69"/>
  <c r="P171" i="69"/>
  <c r="P172" i="69"/>
  <c r="P166" i="69"/>
  <c r="S166" i="69"/>
  <c r="V170" i="69"/>
  <c r="V121" i="69"/>
  <c r="T171" i="69"/>
  <c r="T172" i="69"/>
  <c r="V165" i="69"/>
  <c r="Y165" i="69"/>
  <c r="AB165" i="69"/>
  <c r="AE170" i="69"/>
  <c r="AE121" i="69"/>
  <c r="AC171" i="69"/>
  <c r="AC172" i="69"/>
  <c r="AE164" i="69"/>
  <c r="AU164" i="69"/>
  <c r="AT165" i="69"/>
  <c r="AC158" i="69"/>
  <c r="AE158" i="69"/>
  <c r="AE171" i="69"/>
  <c r="AE172" i="69"/>
  <c r="AE165" i="69"/>
  <c r="AU165" i="69"/>
  <c r="AT166" i="69"/>
  <c r="AC159" i="69"/>
  <c r="AE159" i="69"/>
  <c r="Z149" i="69"/>
  <c r="AB149" i="69"/>
  <c r="Z150" i="69"/>
  <c r="AB150" i="69"/>
  <c r="Z116" i="69"/>
  <c r="Z117" i="69"/>
  <c r="Z118" i="69"/>
  <c r="Z119" i="69"/>
  <c r="Z120" i="69"/>
  <c r="Z151" i="69"/>
  <c r="AB151" i="69"/>
  <c r="Z152" i="69"/>
  <c r="AB116" i="69"/>
  <c r="AB117" i="69"/>
  <c r="AB118" i="69"/>
  <c r="AB119" i="69"/>
  <c r="AB120" i="69"/>
  <c r="AB152" i="69"/>
  <c r="Z153" i="69"/>
  <c r="AB153" i="69"/>
  <c r="AA156" i="69"/>
  <c r="Z159" i="69"/>
  <c r="W159" i="69"/>
  <c r="Y159" i="69"/>
  <c r="T159" i="69"/>
  <c r="V159" i="69"/>
  <c r="V171" i="69"/>
  <c r="V172" i="69"/>
  <c r="V166" i="69"/>
  <c r="Y166" i="69"/>
  <c r="Z170" i="69"/>
  <c r="Z121" i="69"/>
  <c r="W160" i="69"/>
  <c r="Y160" i="69"/>
  <c r="T160" i="69"/>
  <c r="V160" i="69"/>
  <c r="Q160" i="69"/>
  <c r="Q171" i="69"/>
  <c r="Q172" i="69"/>
  <c r="S167" i="69"/>
  <c r="V167" i="69"/>
  <c r="Y167" i="69"/>
  <c r="AB170" i="69"/>
  <c r="AB121" i="69"/>
  <c r="Z171" i="69"/>
  <c r="Z172" i="69"/>
  <c r="AB166" i="69"/>
  <c r="AE166" i="69"/>
  <c r="AU166" i="69"/>
  <c r="AT167" i="69"/>
  <c r="AC160" i="69"/>
  <c r="AE160" i="69"/>
  <c r="Z160" i="69"/>
  <c r="AB160" i="69"/>
  <c r="AB171" i="69"/>
  <c r="AB172" i="69"/>
  <c r="AB167" i="69"/>
  <c r="AE167" i="69"/>
  <c r="AU167" i="69"/>
  <c r="AT168" i="69"/>
  <c r="AC161" i="69"/>
  <c r="AE161" i="69"/>
  <c r="Z161" i="69"/>
  <c r="AB161" i="69"/>
  <c r="W161" i="69"/>
  <c r="Y161" i="69"/>
  <c r="Y171" i="69"/>
  <c r="Y172" i="69"/>
  <c r="Y168" i="69"/>
  <c r="AB168" i="69"/>
  <c r="AE168" i="69"/>
  <c r="AU168" i="69"/>
  <c r="AX4" i="69"/>
  <c r="X230" i="69"/>
  <c r="Y231" i="69"/>
  <c r="V179" i="69"/>
  <c r="X210" i="69"/>
  <c r="W227" i="69"/>
  <c r="AX7" i="69"/>
  <c r="X227" i="69"/>
  <c r="W231" i="69"/>
  <c r="Y232" i="69"/>
  <c r="Y233" i="69"/>
  <c r="Y230" i="69"/>
  <c r="AB230" i="69"/>
  <c r="AE230" i="69"/>
  <c r="AU233" i="69"/>
  <c r="AT233" i="69"/>
  <c r="AF179" i="69"/>
  <c r="X212" i="69"/>
  <c r="W229" i="69"/>
  <c r="AX10" i="69"/>
  <c r="X229" i="69"/>
  <c r="Y229" i="69"/>
  <c r="AB231" i="69"/>
  <c r="V180" i="69"/>
  <c r="X211" i="69"/>
  <c r="W228" i="69"/>
  <c r="AX9" i="69"/>
  <c r="X228" i="69"/>
  <c r="Y228" i="69"/>
  <c r="Z231" i="69"/>
  <c r="AB232" i="69"/>
  <c r="AB233" i="69"/>
  <c r="AB229" i="69"/>
  <c r="AE231" i="69"/>
  <c r="AE219" i="69"/>
  <c r="AE220" i="69"/>
  <c r="AE221" i="69"/>
  <c r="AE222" i="69"/>
  <c r="W232" i="69"/>
  <c r="W233" i="69"/>
  <c r="Y227" i="69"/>
  <c r="AB227" i="69"/>
  <c r="AC231" i="69"/>
  <c r="AC219" i="69"/>
  <c r="AC220" i="69"/>
  <c r="AC221" i="69"/>
  <c r="AC222" i="69"/>
  <c r="AE232" i="69"/>
  <c r="AE233" i="69"/>
  <c r="AC232" i="69"/>
  <c r="AC233" i="69"/>
  <c r="Z232" i="69"/>
  <c r="Z233" i="69"/>
  <c r="E219" i="69"/>
  <c r="E220" i="69"/>
  <c r="E221" i="69"/>
  <c r="E222" i="69"/>
  <c r="G219" i="69"/>
  <c r="G220" i="69"/>
  <c r="G221" i="69"/>
  <c r="G222" i="69"/>
  <c r="J218" i="69"/>
  <c r="L179" i="69"/>
  <c r="B212" i="69"/>
  <c r="B229" i="69"/>
  <c r="AX11" i="69"/>
  <c r="C229" i="69"/>
  <c r="D229" i="69"/>
  <c r="G231" i="69"/>
  <c r="B180" i="69"/>
  <c r="B211" i="69"/>
  <c r="B228" i="69"/>
  <c r="AX8" i="69"/>
  <c r="C228" i="69"/>
  <c r="D228" i="69"/>
  <c r="E231" i="69"/>
  <c r="G232" i="69"/>
  <c r="G233" i="69"/>
  <c r="G229" i="69"/>
  <c r="J231" i="69"/>
  <c r="J219" i="69"/>
  <c r="J220" i="69"/>
  <c r="J221" i="69"/>
  <c r="J222" i="69"/>
  <c r="B219" i="69"/>
  <c r="B220" i="69"/>
  <c r="B221" i="69"/>
  <c r="B222" i="69"/>
  <c r="D219" i="69"/>
  <c r="D220" i="69"/>
  <c r="D221" i="69"/>
  <c r="D222" i="69"/>
  <c r="H218" i="69"/>
  <c r="B179" i="69"/>
  <c r="B210" i="69"/>
  <c r="B227" i="69"/>
  <c r="AX3" i="69"/>
  <c r="C227" i="69"/>
  <c r="B231" i="69"/>
  <c r="L180" i="69"/>
  <c r="B213" i="69"/>
  <c r="B230" i="69"/>
  <c r="AX12" i="69"/>
  <c r="C230" i="69"/>
  <c r="D231" i="69"/>
  <c r="B232" i="69"/>
  <c r="B233" i="69"/>
  <c r="D227" i="69"/>
  <c r="G227" i="69"/>
  <c r="H231" i="69"/>
  <c r="H219" i="69"/>
  <c r="H220" i="69"/>
  <c r="H221" i="69"/>
  <c r="H222" i="69"/>
  <c r="J232" i="69"/>
  <c r="J233" i="69"/>
  <c r="H232" i="69"/>
  <c r="H233" i="69"/>
  <c r="E232" i="69"/>
  <c r="E233" i="69"/>
  <c r="D232" i="69"/>
  <c r="D233" i="69"/>
  <c r="AE229" i="69"/>
  <c r="AU232" i="69"/>
  <c r="AT232" i="69"/>
  <c r="AB228" i="69"/>
  <c r="AE228" i="69"/>
  <c r="AU231" i="69"/>
  <c r="AT231" i="69"/>
  <c r="AE227" i="69"/>
  <c r="AU230" i="69"/>
  <c r="AT230" i="69"/>
  <c r="D230" i="69"/>
  <c r="G230" i="69"/>
  <c r="J230" i="69"/>
  <c r="AU229" i="69"/>
  <c r="AT229" i="69"/>
  <c r="J229" i="69"/>
  <c r="AU228" i="69"/>
  <c r="AT228" i="69"/>
  <c r="G228" i="69"/>
  <c r="J228" i="69"/>
  <c r="AU227" i="69"/>
  <c r="AT227" i="69"/>
  <c r="J227" i="69"/>
  <c r="AU226" i="69"/>
  <c r="AT226" i="69"/>
  <c r="AF223" i="69"/>
  <c r="K223" i="69"/>
  <c r="E94" i="69"/>
  <c r="AL180" i="69"/>
  <c r="AG213" i="69"/>
  <c r="E102" i="69"/>
  <c r="R180" i="69"/>
  <c r="K213" i="69"/>
  <c r="E15" i="69"/>
  <c r="AL179" i="69"/>
  <c r="AG212" i="69"/>
  <c r="E17" i="69"/>
  <c r="R179" i="69"/>
  <c r="K212" i="69"/>
  <c r="E100" i="69"/>
  <c r="AB180" i="69"/>
  <c r="AG211" i="69"/>
  <c r="E98" i="69"/>
  <c r="H180" i="69"/>
  <c r="K211" i="69"/>
  <c r="E13" i="69"/>
  <c r="AB179" i="69"/>
  <c r="AG210" i="69"/>
  <c r="E9" i="69"/>
  <c r="H179" i="69"/>
  <c r="K210" i="69"/>
  <c r="U204" i="69"/>
  <c r="A204" i="69"/>
  <c r="AB203" i="69"/>
  <c r="F203" i="69"/>
  <c r="U199" i="69"/>
  <c r="A199" i="69"/>
  <c r="AF198" i="69"/>
  <c r="J198" i="69"/>
  <c r="U195" i="69"/>
  <c r="A195" i="69"/>
  <c r="AB193" i="69"/>
  <c r="T193" i="69"/>
  <c r="F193" i="69"/>
  <c r="A193" i="69"/>
  <c r="U190" i="69"/>
  <c r="A190" i="69"/>
  <c r="A174" i="69"/>
  <c r="AF161" i="69"/>
  <c r="S160" i="69"/>
  <c r="AF160" i="69"/>
  <c r="J159" i="69"/>
  <c r="AB159" i="69"/>
  <c r="AF159" i="69"/>
  <c r="D158" i="69"/>
  <c r="M158" i="69"/>
  <c r="V158" i="69"/>
  <c r="AF158" i="69"/>
  <c r="G157" i="69"/>
  <c r="P157" i="69"/>
  <c r="Y157" i="69"/>
  <c r="AE157" i="69"/>
  <c r="AF157" i="69"/>
  <c r="AF153" i="69"/>
  <c r="AG153" i="69"/>
  <c r="AF152" i="69"/>
  <c r="AG152" i="69"/>
  <c r="AF151" i="69"/>
  <c r="AG151" i="69"/>
  <c r="AF150" i="69"/>
  <c r="AG150" i="69"/>
  <c r="AF149" i="69"/>
  <c r="AG149" i="69"/>
  <c r="B147" i="69"/>
  <c r="B124" i="69"/>
  <c r="D124" i="69"/>
  <c r="B125" i="69"/>
  <c r="D125" i="69"/>
  <c r="B126" i="69"/>
  <c r="D126" i="69"/>
  <c r="B127" i="69"/>
  <c r="D127" i="69"/>
  <c r="B128" i="69"/>
  <c r="D128" i="69"/>
  <c r="B129" i="69"/>
  <c r="D147" i="69"/>
  <c r="E147" i="69"/>
  <c r="G147" i="69"/>
  <c r="H147" i="69"/>
  <c r="H124" i="69"/>
  <c r="J124" i="69"/>
  <c r="H125" i="69"/>
  <c r="J125" i="69"/>
  <c r="H126" i="69"/>
  <c r="J126" i="69"/>
  <c r="H127" i="69"/>
  <c r="J127" i="69"/>
  <c r="H128" i="69"/>
  <c r="J128" i="69"/>
  <c r="H129" i="69"/>
  <c r="J147" i="69"/>
  <c r="K147" i="69"/>
  <c r="M147" i="69"/>
  <c r="N147" i="69"/>
  <c r="P147" i="69"/>
  <c r="Q147" i="69"/>
  <c r="Q124" i="69"/>
  <c r="S124" i="69"/>
  <c r="Q125" i="69"/>
  <c r="S125" i="69"/>
  <c r="Q126" i="69"/>
  <c r="S126" i="69"/>
  <c r="Q127" i="69"/>
  <c r="S127" i="69"/>
  <c r="Q128" i="69"/>
  <c r="S128" i="69"/>
  <c r="Q129" i="69"/>
  <c r="S147" i="69"/>
  <c r="T147" i="69"/>
  <c r="V147" i="69"/>
  <c r="W147" i="69"/>
  <c r="W124" i="69"/>
  <c r="Y124" i="69"/>
  <c r="W125" i="69"/>
  <c r="Y125" i="69"/>
  <c r="W126" i="69"/>
  <c r="Y126" i="69"/>
  <c r="W127" i="69"/>
  <c r="Y127" i="69"/>
  <c r="W128" i="69"/>
  <c r="Y128" i="69"/>
  <c r="W129" i="69"/>
  <c r="Y147" i="69"/>
  <c r="Z147" i="69"/>
  <c r="AB147" i="69"/>
  <c r="AC147" i="69"/>
  <c r="AE147" i="69"/>
  <c r="AF147" i="69"/>
  <c r="B146" i="69"/>
  <c r="D146" i="69"/>
  <c r="E146" i="69"/>
  <c r="E124" i="69"/>
  <c r="G124" i="69"/>
  <c r="E125" i="69"/>
  <c r="G125" i="69"/>
  <c r="E126" i="69"/>
  <c r="G126" i="69"/>
  <c r="E127" i="69"/>
  <c r="G127" i="69"/>
  <c r="E128" i="69"/>
  <c r="G128" i="69"/>
  <c r="E129" i="69"/>
  <c r="G146" i="69"/>
  <c r="H146" i="69"/>
  <c r="J146" i="69"/>
  <c r="K146" i="69"/>
  <c r="K124" i="69"/>
  <c r="M124" i="69"/>
  <c r="K125" i="69"/>
  <c r="M125" i="69"/>
  <c r="K126" i="69"/>
  <c r="M126" i="69"/>
  <c r="K127" i="69"/>
  <c r="M127" i="69"/>
  <c r="K128" i="69"/>
  <c r="M128" i="69"/>
  <c r="K129" i="69"/>
  <c r="M146" i="69"/>
  <c r="N146" i="69"/>
  <c r="P146" i="69"/>
  <c r="Q146" i="69"/>
  <c r="S146" i="69"/>
  <c r="T146" i="69"/>
  <c r="V146" i="69"/>
  <c r="W146" i="69"/>
  <c r="Y146" i="69"/>
  <c r="Z146" i="69"/>
  <c r="Z124" i="69"/>
  <c r="AB124" i="69"/>
  <c r="Z125" i="69"/>
  <c r="AB125" i="69"/>
  <c r="Z126" i="69"/>
  <c r="AB126" i="69"/>
  <c r="Z127" i="69"/>
  <c r="AB127" i="69"/>
  <c r="Z128" i="69"/>
  <c r="AB128" i="69"/>
  <c r="Z129" i="69"/>
  <c r="AB146" i="69"/>
  <c r="AC146" i="69"/>
  <c r="AE146" i="69"/>
  <c r="AF146" i="69"/>
  <c r="B145" i="69"/>
  <c r="D145" i="69"/>
  <c r="E145" i="69"/>
  <c r="G145" i="69"/>
  <c r="H145" i="69"/>
  <c r="J145" i="69"/>
  <c r="K145" i="69"/>
  <c r="M145" i="69"/>
  <c r="N145" i="69"/>
  <c r="N124" i="69"/>
  <c r="P124" i="69"/>
  <c r="N125" i="69"/>
  <c r="P125" i="69"/>
  <c r="N126" i="69"/>
  <c r="P126" i="69"/>
  <c r="N127" i="69"/>
  <c r="P127" i="69"/>
  <c r="N128" i="69"/>
  <c r="P128" i="69"/>
  <c r="N129" i="69"/>
  <c r="P145" i="69"/>
  <c r="Q145" i="69"/>
  <c r="S145" i="69"/>
  <c r="T145" i="69"/>
  <c r="T124" i="69"/>
  <c r="V124" i="69"/>
  <c r="T125" i="69"/>
  <c r="V125" i="69"/>
  <c r="T126" i="69"/>
  <c r="V126" i="69"/>
  <c r="T127" i="69"/>
  <c r="V127" i="69"/>
  <c r="T128" i="69"/>
  <c r="V128" i="69"/>
  <c r="T129" i="69"/>
  <c r="V145" i="69"/>
  <c r="W145" i="69"/>
  <c r="Y145" i="69"/>
  <c r="Z145" i="69"/>
  <c r="AB145" i="69"/>
  <c r="AC145" i="69"/>
  <c r="AE145" i="69"/>
  <c r="AF145" i="69"/>
  <c r="B144" i="69"/>
  <c r="D144" i="69"/>
  <c r="E144" i="69"/>
  <c r="G144" i="69"/>
  <c r="H144" i="69"/>
  <c r="J144" i="69"/>
  <c r="K144" i="69"/>
  <c r="M144" i="69"/>
  <c r="N144" i="69"/>
  <c r="P144" i="69"/>
  <c r="Q144" i="69"/>
  <c r="S144" i="69"/>
  <c r="T144" i="69"/>
  <c r="V144" i="69"/>
  <c r="W144" i="69"/>
  <c r="Y144" i="69"/>
  <c r="Z144" i="69"/>
  <c r="AB144" i="69"/>
  <c r="AC144" i="69"/>
  <c r="AC124" i="69"/>
  <c r="AE124" i="69"/>
  <c r="AC125" i="69"/>
  <c r="AE125" i="69"/>
  <c r="AC126" i="69"/>
  <c r="AE126" i="69"/>
  <c r="AC127" i="69"/>
  <c r="AE127" i="69"/>
  <c r="AC128" i="69"/>
  <c r="AE128" i="69"/>
  <c r="AC129" i="69"/>
  <c r="AE144" i="69"/>
  <c r="AF144" i="69"/>
  <c r="B143" i="69"/>
  <c r="D143" i="69"/>
  <c r="E143" i="69"/>
  <c r="G143" i="69"/>
  <c r="H143" i="69"/>
  <c r="J143" i="69"/>
  <c r="K143" i="69"/>
  <c r="M143" i="69"/>
  <c r="N143" i="69"/>
  <c r="P143" i="69"/>
  <c r="Q143" i="69"/>
  <c r="S143" i="69"/>
  <c r="T143" i="69"/>
  <c r="V143" i="69"/>
  <c r="W143" i="69"/>
  <c r="Y143" i="69"/>
  <c r="Z143" i="69"/>
  <c r="AB143" i="69"/>
  <c r="AC143" i="69"/>
  <c r="AE143" i="69"/>
  <c r="AF143" i="69"/>
  <c r="B141" i="69"/>
  <c r="B122" i="69"/>
  <c r="D122" i="69"/>
  <c r="C122" i="69"/>
  <c r="D141" i="69"/>
  <c r="E141" i="69"/>
  <c r="G141" i="69"/>
  <c r="H141" i="69"/>
  <c r="H122" i="69"/>
  <c r="J122" i="69"/>
  <c r="I122" i="69"/>
  <c r="J141" i="69"/>
  <c r="K141" i="69"/>
  <c r="M141" i="69"/>
  <c r="N141" i="69"/>
  <c r="P141" i="69"/>
  <c r="Q141" i="69"/>
  <c r="Q122" i="69"/>
  <c r="S122" i="69"/>
  <c r="R122" i="69"/>
  <c r="S141" i="69"/>
  <c r="T141" i="69"/>
  <c r="V141" i="69"/>
  <c r="W141" i="69"/>
  <c r="W122" i="69"/>
  <c r="Y122" i="69"/>
  <c r="X122" i="69"/>
  <c r="Y141" i="69"/>
  <c r="Z141" i="69"/>
  <c r="AB141" i="69"/>
  <c r="AC141" i="69"/>
  <c r="AE141" i="69"/>
  <c r="AF141" i="69"/>
  <c r="B140" i="69"/>
  <c r="D140" i="69"/>
  <c r="E140" i="69"/>
  <c r="E122" i="69"/>
  <c r="G122" i="69"/>
  <c r="F122" i="69"/>
  <c r="G140" i="69"/>
  <c r="H140" i="69"/>
  <c r="J140" i="69"/>
  <c r="K140" i="69"/>
  <c r="K122" i="69"/>
  <c r="M122" i="69"/>
  <c r="L122" i="69"/>
  <c r="M140" i="69"/>
  <c r="N140" i="69"/>
  <c r="P140" i="69"/>
  <c r="Q140" i="69"/>
  <c r="S140" i="69"/>
  <c r="T140" i="69"/>
  <c r="V140" i="69"/>
  <c r="W140" i="69"/>
  <c r="Y140" i="69"/>
  <c r="Z140" i="69"/>
  <c r="Z122" i="69"/>
  <c r="AB122" i="69"/>
  <c r="AA122" i="69"/>
  <c r="AB140" i="69"/>
  <c r="AC140" i="69"/>
  <c r="AE140" i="69"/>
  <c r="AF140" i="69"/>
  <c r="B139" i="69"/>
  <c r="D139" i="69"/>
  <c r="E139" i="69"/>
  <c r="G139" i="69"/>
  <c r="H139" i="69"/>
  <c r="J139" i="69"/>
  <c r="K139" i="69"/>
  <c r="M139" i="69"/>
  <c r="N139" i="69"/>
  <c r="N122" i="69"/>
  <c r="P122" i="69"/>
  <c r="O122" i="69"/>
  <c r="P139" i="69"/>
  <c r="Q139" i="69"/>
  <c r="S139" i="69"/>
  <c r="T139" i="69"/>
  <c r="T122" i="69"/>
  <c r="V122" i="69"/>
  <c r="U122" i="69"/>
  <c r="V139" i="69"/>
  <c r="W139" i="69"/>
  <c r="Y139" i="69"/>
  <c r="Z139" i="69"/>
  <c r="AB139" i="69"/>
  <c r="AC139" i="69"/>
  <c r="AE139" i="69"/>
  <c r="AF139" i="69"/>
  <c r="B138" i="69"/>
  <c r="D138" i="69"/>
  <c r="E138" i="69"/>
  <c r="G138" i="69"/>
  <c r="H138" i="69"/>
  <c r="J138" i="69"/>
  <c r="K138" i="69"/>
  <c r="M138" i="69"/>
  <c r="N138" i="69"/>
  <c r="P138" i="69"/>
  <c r="Q138" i="69"/>
  <c r="S138" i="69"/>
  <c r="T138" i="69"/>
  <c r="V138" i="69"/>
  <c r="W138" i="69"/>
  <c r="Y138" i="69"/>
  <c r="Z138" i="69"/>
  <c r="AB138" i="69"/>
  <c r="AC138" i="69"/>
  <c r="AC122" i="69"/>
  <c r="AE122" i="69"/>
  <c r="AD122" i="69"/>
  <c r="AE138" i="69"/>
  <c r="AF138" i="69"/>
  <c r="B137" i="69"/>
  <c r="D137" i="69"/>
  <c r="E137" i="69"/>
  <c r="G137" i="69"/>
  <c r="H137" i="69"/>
  <c r="J137" i="69"/>
  <c r="K137" i="69"/>
  <c r="M137" i="69"/>
  <c r="N137" i="69"/>
  <c r="P137" i="69"/>
  <c r="Q137" i="69"/>
  <c r="S137" i="69"/>
  <c r="T137" i="69"/>
  <c r="V137" i="69"/>
  <c r="W137" i="69"/>
  <c r="Y137" i="69"/>
  <c r="Z137" i="69"/>
  <c r="AB137" i="69"/>
  <c r="AC137" i="69"/>
  <c r="AE137" i="69"/>
  <c r="AF137" i="69"/>
  <c r="B135" i="69"/>
  <c r="D135" i="69"/>
  <c r="E135" i="69"/>
  <c r="G135" i="69"/>
  <c r="H135" i="69"/>
  <c r="J135" i="69"/>
  <c r="K135" i="69"/>
  <c r="M135" i="69"/>
  <c r="N135" i="69"/>
  <c r="P135" i="69"/>
  <c r="Q135" i="69"/>
  <c r="S135" i="69"/>
  <c r="T135" i="69"/>
  <c r="V135" i="69"/>
  <c r="W135" i="69"/>
  <c r="Y135" i="69"/>
  <c r="Z135" i="69"/>
  <c r="AB135" i="69"/>
  <c r="AC135" i="69"/>
  <c r="AE135" i="69"/>
  <c r="AF135" i="69"/>
  <c r="AG135" i="69"/>
  <c r="B134" i="69"/>
  <c r="D134" i="69"/>
  <c r="E134" i="69"/>
  <c r="G134" i="69"/>
  <c r="H134" i="69"/>
  <c r="J134" i="69"/>
  <c r="K134" i="69"/>
  <c r="M134" i="69"/>
  <c r="N134" i="69"/>
  <c r="P134" i="69"/>
  <c r="Q134" i="69"/>
  <c r="S134" i="69"/>
  <c r="T134" i="69"/>
  <c r="V134" i="69"/>
  <c r="W134" i="69"/>
  <c r="Y134" i="69"/>
  <c r="Z134" i="69"/>
  <c r="AB134" i="69"/>
  <c r="AC134" i="69"/>
  <c r="AE134" i="69"/>
  <c r="AF134" i="69"/>
  <c r="AG134" i="69"/>
  <c r="B133" i="69"/>
  <c r="D133" i="69"/>
  <c r="E133" i="69"/>
  <c r="G133" i="69"/>
  <c r="H133" i="69"/>
  <c r="J133" i="69"/>
  <c r="K133" i="69"/>
  <c r="M133" i="69"/>
  <c r="N133" i="69"/>
  <c r="P133" i="69"/>
  <c r="Q133" i="69"/>
  <c r="S133" i="69"/>
  <c r="T133" i="69"/>
  <c r="V133" i="69"/>
  <c r="W133" i="69"/>
  <c r="Y133" i="69"/>
  <c r="Z133" i="69"/>
  <c r="AB133" i="69"/>
  <c r="AC133" i="69"/>
  <c r="AE133" i="69"/>
  <c r="AF133" i="69"/>
  <c r="AG133" i="69"/>
  <c r="B132" i="69"/>
  <c r="D132" i="69"/>
  <c r="E132" i="69"/>
  <c r="G132" i="69"/>
  <c r="H132" i="69"/>
  <c r="J132" i="69"/>
  <c r="K132" i="69"/>
  <c r="M132" i="69"/>
  <c r="N132" i="69"/>
  <c r="P132" i="69"/>
  <c r="Q132" i="69"/>
  <c r="S132" i="69"/>
  <c r="T132" i="69"/>
  <c r="V132" i="69"/>
  <c r="W132" i="69"/>
  <c r="Y132" i="69"/>
  <c r="Z132" i="69"/>
  <c r="AB132" i="69"/>
  <c r="AC132" i="69"/>
  <c r="AE132" i="69"/>
  <c r="AF132" i="69"/>
  <c r="AG132" i="69"/>
  <c r="B131" i="69"/>
  <c r="D131" i="69"/>
  <c r="E131" i="69"/>
  <c r="G131" i="69"/>
  <c r="H131" i="69"/>
  <c r="J131" i="69"/>
  <c r="K131" i="69"/>
  <c r="M131" i="69"/>
  <c r="N131" i="69"/>
  <c r="P131" i="69"/>
  <c r="Q131" i="69"/>
  <c r="S131" i="69"/>
  <c r="T131" i="69"/>
  <c r="V131" i="69"/>
  <c r="W131" i="69"/>
  <c r="Y131" i="69"/>
  <c r="Z131" i="69"/>
  <c r="AB131" i="69"/>
  <c r="AC131" i="69"/>
  <c r="AE131" i="69"/>
  <c r="AF131" i="69"/>
  <c r="AG131" i="69"/>
  <c r="AE115" i="69"/>
  <c r="AC115" i="69"/>
  <c r="AB115" i="69"/>
  <c r="Z115" i="69"/>
  <c r="Y115" i="69"/>
  <c r="W115" i="69"/>
  <c r="V115" i="69"/>
  <c r="T115" i="69"/>
  <c r="S115" i="69"/>
  <c r="Q115" i="69"/>
  <c r="P115" i="69"/>
  <c r="N115" i="69"/>
  <c r="M115" i="69"/>
  <c r="K115" i="69"/>
  <c r="J115" i="69"/>
  <c r="H115" i="69"/>
  <c r="G115" i="69"/>
  <c r="E115" i="69"/>
  <c r="D115" i="69"/>
  <c r="B115" i="69"/>
  <c r="AD114" i="69"/>
  <c r="AA114" i="69"/>
  <c r="X114" i="69"/>
  <c r="U114" i="69"/>
  <c r="R114" i="69"/>
  <c r="O114" i="69"/>
  <c r="L114" i="69"/>
  <c r="I114" i="69"/>
  <c r="F114" i="69"/>
  <c r="A114" i="69"/>
  <c r="AG113" i="69"/>
  <c r="AH113" i="69"/>
  <c r="AI113" i="69"/>
  <c r="AJ113" i="69"/>
  <c r="AK113" i="69"/>
  <c r="AL113" i="69"/>
  <c r="AM113" i="69"/>
  <c r="AN113" i="69"/>
  <c r="AO113" i="69"/>
  <c r="AP113" i="69"/>
  <c r="AQ113" i="69"/>
  <c r="AF113" i="69"/>
  <c r="AD113" i="69"/>
  <c r="AA113" i="69"/>
  <c r="X113" i="69"/>
  <c r="U113" i="69"/>
  <c r="R113" i="69"/>
  <c r="O113" i="69"/>
  <c r="L113" i="69"/>
  <c r="I113" i="69"/>
  <c r="F113" i="69"/>
  <c r="A113" i="69"/>
  <c r="AG112" i="69"/>
  <c r="AH112" i="69"/>
  <c r="AI112" i="69"/>
  <c r="AJ112" i="69"/>
  <c r="AK112" i="69"/>
  <c r="AL112" i="69"/>
  <c r="AM112" i="69"/>
  <c r="AN112" i="69"/>
  <c r="AO112" i="69"/>
  <c r="AP112" i="69"/>
  <c r="AQ112" i="69"/>
  <c r="AF112" i="69"/>
  <c r="AD112" i="69"/>
  <c r="AA112" i="69"/>
  <c r="X112" i="69"/>
  <c r="U112" i="69"/>
  <c r="R112" i="69"/>
  <c r="O112" i="69"/>
  <c r="L112" i="69"/>
  <c r="I112" i="69"/>
  <c r="F112" i="69"/>
  <c r="A112" i="69"/>
  <c r="AG111" i="69"/>
  <c r="AH111" i="69"/>
  <c r="AI111" i="69"/>
  <c r="AJ111" i="69"/>
  <c r="AK111" i="69"/>
  <c r="AL111" i="69"/>
  <c r="AM111" i="69"/>
  <c r="AN111" i="69"/>
  <c r="AO111" i="69"/>
  <c r="AP111" i="69"/>
  <c r="AQ111" i="69"/>
  <c r="AF111" i="69"/>
  <c r="AD111" i="69"/>
  <c r="AA111" i="69"/>
  <c r="X111" i="69"/>
  <c r="U111" i="69"/>
  <c r="R111" i="69"/>
  <c r="O111" i="69"/>
  <c r="L111" i="69"/>
  <c r="I111" i="69"/>
  <c r="F111" i="69"/>
  <c r="A111" i="69"/>
  <c r="AG110" i="69"/>
  <c r="AH110" i="69"/>
  <c r="AI110" i="69"/>
  <c r="AJ110" i="69"/>
  <c r="AK110" i="69"/>
  <c r="AL110" i="69"/>
  <c r="AM110" i="69"/>
  <c r="AN110" i="69"/>
  <c r="AO110" i="69"/>
  <c r="AP110" i="69"/>
  <c r="AQ110" i="69"/>
  <c r="AF110" i="69"/>
  <c r="AD110" i="69"/>
  <c r="AA110" i="69"/>
  <c r="X110" i="69"/>
  <c r="U110" i="69"/>
  <c r="R110" i="69"/>
  <c r="O110" i="69"/>
  <c r="L110" i="69"/>
  <c r="I110" i="69"/>
  <c r="F110" i="69"/>
  <c r="AG109" i="69"/>
  <c r="AH109" i="69"/>
  <c r="AI109" i="69"/>
  <c r="AJ109" i="69"/>
  <c r="AK109" i="69"/>
  <c r="AL109" i="69"/>
  <c r="AM109" i="69"/>
  <c r="AN109" i="69"/>
  <c r="AO109" i="69"/>
  <c r="AP109" i="69"/>
  <c r="AQ109" i="69"/>
  <c r="AF109" i="69"/>
  <c r="AD109" i="69"/>
  <c r="AA109" i="69"/>
  <c r="X109" i="69"/>
  <c r="U109" i="69"/>
  <c r="R109" i="69"/>
  <c r="O109" i="69"/>
  <c r="L109" i="69"/>
  <c r="I109" i="69"/>
  <c r="F109" i="69"/>
  <c r="AC107" i="69"/>
  <c r="Z107" i="69"/>
  <c r="W107" i="69"/>
  <c r="T107" i="69"/>
  <c r="Q107" i="69"/>
  <c r="N107" i="69"/>
  <c r="K107" i="69"/>
  <c r="H107" i="69"/>
  <c r="E107" i="69"/>
  <c r="AC101" i="69"/>
  <c r="Z101" i="69"/>
  <c r="W101" i="69"/>
  <c r="R101" i="69"/>
  <c r="L101" i="69"/>
  <c r="A101" i="69"/>
  <c r="AC99" i="69"/>
  <c r="Z99" i="69"/>
  <c r="W99" i="69"/>
  <c r="R99" i="69"/>
  <c r="L99" i="69"/>
  <c r="A99" i="69"/>
  <c r="AC97" i="69"/>
  <c r="Z97" i="69"/>
  <c r="W97" i="69"/>
  <c r="R97" i="69"/>
  <c r="L97" i="69"/>
  <c r="A97" i="69"/>
  <c r="E96" i="69"/>
  <c r="AC95" i="69"/>
  <c r="Z95" i="69"/>
  <c r="W95" i="69"/>
  <c r="R95" i="69"/>
  <c r="L95" i="69"/>
  <c r="A95" i="69"/>
  <c r="AC93" i="69"/>
  <c r="Z93" i="69"/>
  <c r="W93" i="69"/>
  <c r="R93" i="69"/>
  <c r="L93" i="69"/>
  <c r="A93" i="69"/>
  <c r="R92" i="69"/>
  <c r="L92" i="69"/>
  <c r="K91" i="69"/>
  <c r="A89" i="69"/>
  <c r="AF76" i="69"/>
  <c r="S75" i="69"/>
  <c r="AF75" i="69"/>
  <c r="J74" i="69"/>
  <c r="AB74" i="69"/>
  <c r="AF74" i="69"/>
  <c r="D73" i="69"/>
  <c r="M73" i="69"/>
  <c r="V73" i="69"/>
  <c r="AF73" i="69"/>
  <c r="G72" i="69"/>
  <c r="P72" i="69"/>
  <c r="Y72" i="69"/>
  <c r="AE72" i="69"/>
  <c r="AF72" i="69"/>
  <c r="AF68" i="69"/>
  <c r="AG68" i="69"/>
  <c r="AF67" i="69"/>
  <c r="AG67" i="69"/>
  <c r="AF66" i="69"/>
  <c r="AG66" i="69"/>
  <c r="AF65" i="69"/>
  <c r="AG65" i="69"/>
  <c r="AF64" i="69"/>
  <c r="AG64" i="69"/>
  <c r="B62" i="69"/>
  <c r="B39" i="69"/>
  <c r="D39" i="69"/>
  <c r="B40" i="69"/>
  <c r="D40" i="69"/>
  <c r="B41" i="69"/>
  <c r="D41" i="69"/>
  <c r="B42" i="69"/>
  <c r="D42" i="69"/>
  <c r="B43" i="69"/>
  <c r="D43" i="69"/>
  <c r="B44" i="69"/>
  <c r="D62" i="69"/>
  <c r="E62" i="69"/>
  <c r="G62" i="69"/>
  <c r="H62" i="69"/>
  <c r="H39" i="69"/>
  <c r="J39" i="69"/>
  <c r="H40" i="69"/>
  <c r="J40" i="69"/>
  <c r="H41" i="69"/>
  <c r="J41" i="69"/>
  <c r="H42" i="69"/>
  <c r="J42" i="69"/>
  <c r="H43" i="69"/>
  <c r="J43" i="69"/>
  <c r="H44" i="69"/>
  <c r="J62" i="69"/>
  <c r="K62" i="69"/>
  <c r="M62" i="69"/>
  <c r="N62" i="69"/>
  <c r="P62" i="69"/>
  <c r="Q62" i="69"/>
  <c r="Q39" i="69"/>
  <c r="S39" i="69"/>
  <c r="Q40" i="69"/>
  <c r="S40" i="69"/>
  <c r="Q41" i="69"/>
  <c r="S41" i="69"/>
  <c r="Q42" i="69"/>
  <c r="S42" i="69"/>
  <c r="Q43" i="69"/>
  <c r="S43" i="69"/>
  <c r="Q44" i="69"/>
  <c r="S62" i="69"/>
  <c r="T62" i="69"/>
  <c r="V62" i="69"/>
  <c r="W62" i="69"/>
  <c r="W39" i="69"/>
  <c r="Y39" i="69"/>
  <c r="W40" i="69"/>
  <c r="Y40" i="69"/>
  <c r="W41" i="69"/>
  <c r="Y41" i="69"/>
  <c r="W42" i="69"/>
  <c r="Y42" i="69"/>
  <c r="W43" i="69"/>
  <c r="Y43" i="69"/>
  <c r="W44" i="69"/>
  <c r="Y62" i="69"/>
  <c r="Z62" i="69"/>
  <c r="AB62" i="69"/>
  <c r="AC62" i="69"/>
  <c r="AE62" i="69"/>
  <c r="AF62" i="69"/>
  <c r="B61" i="69"/>
  <c r="D61" i="69"/>
  <c r="E61" i="69"/>
  <c r="E39" i="69"/>
  <c r="G39" i="69"/>
  <c r="E40" i="69"/>
  <c r="G40" i="69"/>
  <c r="E41" i="69"/>
  <c r="G41" i="69"/>
  <c r="E42" i="69"/>
  <c r="G42" i="69"/>
  <c r="E43" i="69"/>
  <c r="G43" i="69"/>
  <c r="E44" i="69"/>
  <c r="G61" i="69"/>
  <c r="H61" i="69"/>
  <c r="J61" i="69"/>
  <c r="K61" i="69"/>
  <c r="K39" i="69"/>
  <c r="M39" i="69"/>
  <c r="K40" i="69"/>
  <c r="M40" i="69"/>
  <c r="K41" i="69"/>
  <c r="M41" i="69"/>
  <c r="K42" i="69"/>
  <c r="M42" i="69"/>
  <c r="K43" i="69"/>
  <c r="M43" i="69"/>
  <c r="K44" i="69"/>
  <c r="M61" i="69"/>
  <c r="N61" i="69"/>
  <c r="P61" i="69"/>
  <c r="Q61" i="69"/>
  <c r="S61" i="69"/>
  <c r="T61" i="69"/>
  <c r="V61" i="69"/>
  <c r="W61" i="69"/>
  <c r="Y61" i="69"/>
  <c r="Z61" i="69"/>
  <c r="Z39" i="69"/>
  <c r="AB39" i="69"/>
  <c r="Z40" i="69"/>
  <c r="AB40" i="69"/>
  <c r="Z41" i="69"/>
  <c r="AB41" i="69"/>
  <c r="Z42" i="69"/>
  <c r="AB42" i="69"/>
  <c r="Z43" i="69"/>
  <c r="AB43" i="69"/>
  <c r="Z44" i="69"/>
  <c r="AB61" i="69"/>
  <c r="AC61" i="69"/>
  <c r="AE61" i="69"/>
  <c r="AF61" i="69"/>
  <c r="B60" i="69"/>
  <c r="D60" i="69"/>
  <c r="E60" i="69"/>
  <c r="G60" i="69"/>
  <c r="H60" i="69"/>
  <c r="J60" i="69"/>
  <c r="K60" i="69"/>
  <c r="M60" i="69"/>
  <c r="N60" i="69"/>
  <c r="N39" i="69"/>
  <c r="P39" i="69"/>
  <c r="N40" i="69"/>
  <c r="P40" i="69"/>
  <c r="N41" i="69"/>
  <c r="P41" i="69"/>
  <c r="N42" i="69"/>
  <c r="P42" i="69"/>
  <c r="N43" i="69"/>
  <c r="P43" i="69"/>
  <c r="N44" i="69"/>
  <c r="P60" i="69"/>
  <c r="Q60" i="69"/>
  <c r="S60" i="69"/>
  <c r="T60" i="69"/>
  <c r="T39" i="69"/>
  <c r="V39" i="69"/>
  <c r="T40" i="69"/>
  <c r="V40" i="69"/>
  <c r="T41" i="69"/>
  <c r="V41" i="69"/>
  <c r="T42" i="69"/>
  <c r="V42" i="69"/>
  <c r="T43" i="69"/>
  <c r="V43" i="69"/>
  <c r="T44" i="69"/>
  <c r="V60" i="69"/>
  <c r="W60" i="69"/>
  <c r="Y60" i="69"/>
  <c r="Z60" i="69"/>
  <c r="AB60" i="69"/>
  <c r="AC60" i="69"/>
  <c r="AE60" i="69"/>
  <c r="AF60" i="69"/>
  <c r="B59" i="69"/>
  <c r="D59" i="69"/>
  <c r="E59" i="69"/>
  <c r="G59" i="69"/>
  <c r="H59" i="69"/>
  <c r="J59" i="69"/>
  <c r="K59" i="69"/>
  <c r="M59" i="69"/>
  <c r="N59" i="69"/>
  <c r="P59" i="69"/>
  <c r="Q59" i="69"/>
  <c r="S59" i="69"/>
  <c r="T59" i="69"/>
  <c r="V59" i="69"/>
  <c r="W59" i="69"/>
  <c r="Y59" i="69"/>
  <c r="Z59" i="69"/>
  <c r="AB59" i="69"/>
  <c r="AC59" i="69"/>
  <c r="AC39" i="69"/>
  <c r="AE39" i="69"/>
  <c r="AC40" i="69"/>
  <c r="AE40" i="69"/>
  <c r="AC41" i="69"/>
  <c r="AE41" i="69"/>
  <c r="AC42" i="69"/>
  <c r="AE42" i="69"/>
  <c r="AC43" i="69"/>
  <c r="AE43" i="69"/>
  <c r="AC44" i="69"/>
  <c r="AE59" i="69"/>
  <c r="AF59" i="69"/>
  <c r="B58" i="69"/>
  <c r="D58" i="69"/>
  <c r="E58" i="69"/>
  <c r="G58" i="69"/>
  <c r="H58" i="69"/>
  <c r="J58" i="69"/>
  <c r="K58" i="69"/>
  <c r="M58" i="69"/>
  <c r="N58" i="69"/>
  <c r="P58" i="69"/>
  <c r="Q58" i="69"/>
  <c r="S58" i="69"/>
  <c r="T58" i="69"/>
  <c r="V58" i="69"/>
  <c r="W58" i="69"/>
  <c r="Y58" i="69"/>
  <c r="Z58" i="69"/>
  <c r="AB58" i="69"/>
  <c r="AC58" i="69"/>
  <c r="AE58" i="69"/>
  <c r="AF58" i="69"/>
  <c r="B56" i="69"/>
  <c r="B37" i="69"/>
  <c r="D37" i="69"/>
  <c r="C37" i="69"/>
  <c r="D56" i="69"/>
  <c r="E56" i="69"/>
  <c r="G56" i="69"/>
  <c r="H56" i="69"/>
  <c r="H37" i="69"/>
  <c r="J37" i="69"/>
  <c r="I37" i="69"/>
  <c r="J56" i="69"/>
  <c r="K56" i="69"/>
  <c r="M56" i="69"/>
  <c r="N56" i="69"/>
  <c r="P56" i="69"/>
  <c r="Q56" i="69"/>
  <c r="Q37" i="69"/>
  <c r="S37" i="69"/>
  <c r="R37" i="69"/>
  <c r="S56" i="69"/>
  <c r="T56" i="69"/>
  <c r="V56" i="69"/>
  <c r="W56" i="69"/>
  <c r="W37" i="69"/>
  <c r="Y37" i="69"/>
  <c r="X37" i="69"/>
  <c r="Y56" i="69"/>
  <c r="Z56" i="69"/>
  <c r="AB56" i="69"/>
  <c r="AC56" i="69"/>
  <c r="AE56" i="69"/>
  <c r="AF56" i="69"/>
  <c r="B55" i="69"/>
  <c r="D55" i="69"/>
  <c r="E55" i="69"/>
  <c r="E37" i="69"/>
  <c r="G37" i="69"/>
  <c r="F37" i="69"/>
  <c r="G55" i="69"/>
  <c r="H55" i="69"/>
  <c r="J55" i="69"/>
  <c r="K55" i="69"/>
  <c r="K37" i="69"/>
  <c r="M37" i="69"/>
  <c r="L37" i="69"/>
  <c r="M55" i="69"/>
  <c r="N55" i="69"/>
  <c r="P55" i="69"/>
  <c r="Q55" i="69"/>
  <c r="S55" i="69"/>
  <c r="T55" i="69"/>
  <c r="V55" i="69"/>
  <c r="W55" i="69"/>
  <c r="Y55" i="69"/>
  <c r="Z55" i="69"/>
  <c r="Z37" i="69"/>
  <c r="AB37" i="69"/>
  <c r="AA37" i="69"/>
  <c r="AB55" i="69"/>
  <c r="AC55" i="69"/>
  <c r="AE55" i="69"/>
  <c r="AF55" i="69"/>
  <c r="B54" i="69"/>
  <c r="D54" i="69"/>
  <c r="E54" i="69"/>
  <c r="G54" i="69"/>
  <c r="H54" i="69"/>
  <c r="J54" i="69"/>
  <c r="K54" i="69"/>
  <c r="M54" i="69"/>
  <c r="N54" i="69"/>
  <c r="N37" i="69"/>
  <c r="P37" i="69"/>
  <c r="O37" i="69"/>
  <c r="P54" i="69"/>
  <c r="Q54" i="69"/>
  <c r="S54" i="69"/>
  <c r="T54" i="69"/>
  <c r="T37" i="69"/>
  <c r="V37" i="69"/>
  <c r="U37" i="69"/>
  <c r="V54" i="69"/>
  <c r="W54" i="69"/>
  <c r="Y54" i="69"/>
  <c r="Z54" i="69"/>
  <c r="AB54" i="69"/>
  <c r="AC54" i="69"/>
  <c r="AE54" i="69"/>
  <c r="AF54" i="69"/>
  <c r="B53" i="69"/>
  <c r="D53" i="69"/>
  <c r="E53" i="69"/>
  <c r="G53" i="69"/>
  <c r="H53" i="69"/>
  <c r="J53" i="69"/>
  <c r="K53" i="69"/>
  <c r="M53" i="69"/>
  <c r="N53" i="69"/>
  <c r="P53" i="69"/>
  <c r="Q53" i="69"/>
  <c r="S53" i="69"/>
  <c r="T53" i="69"/>
  <c r="V53" i="69"/>
  <c r="W53" i="69"/>
  <c r="Y53" i="69"/>
  <c r="Z53" i="69"/>
  <c r="AB53" i="69"/>
  <c r="AC53" i="69"/>
  <c r="AC37" i="69"/>
  <c r="AE37" i="69"/>
  <c r="AD37" i="69"/>
  <c r="AE53" i="69"/>
  <c r="AF53" i="69"/>
  <c r="B52" i="69"/>
  <c r="D52" i="69"/>
  <c r="E52" i="69"/>
  <c r="G52" i="69"/>
  <c r="H52" i="69"/>
  <c r="J52" i="69"/>
  <c r="K52" i="69"/>
  <c r="M52" i="69"/>
  <c r="N52" i="69"/>
  <c r="P52" i="69"/>
  <c r="Q52" i="69"/>
  <c r="S52" i="69"/>
  <c r="T52" i="69"/>
  <c r="V52" i="69"/>
  <c r="W52" i="69"/>
  <c r="Y52" i="69"/>
  <c r="Z52" i="69"/>
  <c r="AB52" i="69"/>
  <c r="AC52" i="69"/>
  <c r="AE52" i="69"/>
  <c r="AF52" i="69"/>
  <c r="B50" i="69"/>
  <c r="D50" i="69"/>
  <c r="E50" i="69"/>
  <c r="G50" i="69"/>
  <c r="H50" i="69"/>
  <c r="J50" i="69"/>
  <c r="K50" i="69"/>
  <c r="M50" i="69"/>
  <c r="N50" i="69"/>
  <c r="P50" i="69"/>
  <c r="Q50" i="69"/>
  <c r="S50" i="69"/>
  <c r="T50" i="69"/>
  <c r="V50" i="69"/>
  <c r="W50" i="69"/>
  <c r="Y50" i="69"/>
  <c r="Z50" i="69"/>
  <c r="AB50" i="69"/>
  <c r="AC50" i="69"/>
  <c r="AE50" i="69"/>
  <c r="AF50" i="69"/>
  <c r="AG50" i="69"/>
  <c r="B49" i="69"/>
  <c r="D49" i="69"/>
  <c r="E49" i="69"/>
  <c r="G49" i="69"/>
  <c r="H49" i="69"/>
  <c r="J49" i="69"/>
  <c r="K49" i="69"/>
  <c r="M49" i="69"/>
  <c r="N49" i="69"/>
  <c r="P49" i="69"/>
  <c r="Q49" i="69"/>
  <c r="S49" i="69"/>
  <c r="T49" i="69"/>
  <c r="V49" i="69"/>
  <c r="W49" i="69"/>
  <c r="Y49" i="69"/>
  <c r="Z49" i="69"/>
  <c r="AB49" i="69"/>
  <c r="AC49" i="69"/>
  <c r="AE49" i="69"/>
  <c r="AF49" i="69"/>
  <c r="AG49" i="69"/>
  <c r="B48" i="69"/>
  <c r="D48" i="69"/>
  <c r="E48" i="69"/>
  <c r="G48" i="69"/>
  <c r="H48" i="69"/>
  <c r="J48" i="69"/>
  <c r="K48" i="69"/>
  <c r="M48" i="69"/>
  <c r="N48" i="69"/>
  <c r="P48" i="69"/>
  <c r="Q48" i="69"/>
  <c r="S48" i="69"/>
  <c r="T48" i="69"/>
  <c r="V48" i="69"/>
  <c r="W48" i="69"/>
  <c r="Y48" i="69"/>
  <c r="Z48" i="69"/>
  <c r="AB48" i="69"/>
  <c r="AC48" i="69"/>
  <c r="AE48" i="69"/>
  <c r="AF48" i="69"/>
  <c r="AG48" i="69"/>
  <c r="B47" i="69"/>
  <c r="D47" i="69"/>
  <c r="E47" i="69"/>
  <c r="G47" i="69"/>
  <c r="H47" i="69"/>
  <c r="J47" i="69"/>
  <c r="K47" i="69"/>
  <c r="M47" i="69"/>
  <c r="N47" i="69"/>
  <c r="P47" i="69"/>
  <c r="Q47" i="69"/>
  <c r="S47" i="69"/>
  <c r="T47" i="69"/>
  <c r="V47" i="69"/>
  <c r="W47" i="69"/>
  <c r="Y47" i="69"/>
  <c r="Z47" i="69"/>
  <c r="AB47" i="69"/>
  <c r="AC47" i="69"/>
  <c r="AE47" i="69"/>
  <c r="AF47" i="69"/>
  <c r="AG47" i="69"/>
  <c r="B46" i="69"/>
  <c r="D46" i="69"/>
  <c r="E46" i="69"/>
  <c r="G46" i="69"/>
  <c r="H46" i="69"/>
  <c r="J46" i="69"/>
  <c r="K46" i="69"/>
  <c r="M46" i="69"/>
  <c r="N46" i="69"/>
  <c r="P46" i="69"/>
  <c r="Q46" i="69"/>
  <c r="S46" i="69"/>
  <c r="T46" i="69"/>
  <c r="V46" i="69"/>
  <c r="W46" i="69"/>
  <c r="Y46" i="69"/>
  <c r="Z46" i="69"/>
  <c r="AB46" i="69"/>
  <c r="AC46" i="69"/>
  <c r="AE46" i="69"/>
  <c r="AF46" i="69"/>
  <c r="AG46" i="69"/>
  <c r="AE30" i="69"/>
  <c r="AC30" i="69"/>
  <c r="AB30" i="69"/>
  <c r="Z30" i="69"/>
  <c r="Y30" i="69"/>
  <c r="W30" i="69"/>
  <c r="V30" i="69"/>
  <c r="T30" i="69"/>
  <c r="S30" i="69"/>
  <c r="Q30" i="69"/>
  <c r="P30" i="69"/>
  <c r="N30" i="69"/>
  <c r="M30" i="69"/>
  <c r="K30" i="69"/>
  <c r="J30" i="69"/>
  <c r="H30" i="69"/>
  <c r="G30" i="69"/>
  <c r="E30" i="69"/>
  <c r="D30" i="69"/>
  <c r="B30" i="69"/>
  <c r="AD29" i="69"/>
  <c r="AA29" i="69"/>
  <c r="X29" i="69"/>
  <c r="U29" i="69"/>
  <c r="R29" i="69"/>
  <c r="O29" i="69"/>
  <c r="L29" i="69"/>
  <c r="I29" i="69"/>
  <c r="F29" i="69"/>
  <c r="A29" i="69"/>
  <c r="AG28" i="69"/>
  <c r="AH28" i="69"/>
  <c r="AI28" i="69"/>
  <c r="AJ28" i="69"/>
  <c r="AK28" i="69"/>
  <c r="AL28" i="69"/>
  <c r="AM28" i="69"/>
  <c r="AN28" i="69"/>
  <c r="AO28" i="69"/>
  <c r="AP28" i="69"/>
  <c r="AQ28" i="69"/>
  <c r="AF28" i="69"/>
  <c r="AD28" i="69"/>
  <c r="AA28" i="69"/>
  <c r="X28" i="69"/>
  <c r="U28" i="69"/>
  <c r="R28" i="69"/>
  <c r="O28" i="69"/>
  <c r="L28" i="69"/>
  <c r="I28" i="69"/>
  <c r="F28" i="69"/>
  <c r="A28" i="69"/>
  <c r="AG27" i="69"/>
  <c r="AH27" i="69"/>
  <c r="AI27" i="69"/>
  <c r="AJ27" i="69"/>
  <c r="AK27" i="69"/>
  <c r="AL27" i="69"/>
  <c r="AM27" i="69"/>
  <c r="AN27" i="69"/>
  <c r="AO27" i="69"/>
  <c r="AP27" i="69"/>
  <c r="AQ27" i="69"/>
  <c r="AF27" i="69"/>
  <c r="AD27" i="69"/>
  <c r="AA27" i="69"/>
  <c r="X27" i="69"/>
  <c r="U27" i="69"/>
  <c r="R27" i="69"/>
  <c r="O27" i="69"/>
  <c r="L27" i="69"/>
  <c r="I27" i="69"/>
  <c r="F27" i="69"/>
  <c r="A27" i="69"/>
  <c r="AG26" i="69"/>
  <c r="AH26" i="69"/>
  <c r="AI26" i="69"/>
  <c r="AJ26" i="69"/>
  <c r="AK26" i="69"/>
  <c r="AL26" i="69"/>
  <c r="AM26" i="69"/>
  <c r="AN26" i="69"/>
  <c r="AO26" i="69"/>
  <c r="AP26" i="69"/>
  <c r="AQ26" i="69"/>
  <c r="AF26" i="69"/>
  <c r="AD26" i="69"/>
  <c r="AA26" i="69"/>
  <c r="X26" i="69"/>
  <c r="U26" i="69"/>
  <c r="R26" i="69"/>
  <c r="O26" i="69"/>
  <c r="L26" i="69"/>
  <c r="I26" i="69"/>
  <c r="F26" i="69"/>
  <c r="A26" i="69"/>
  <c r="AG25" i="69"/>
  <c r="AH25" i="69"/>
  <c r="AI25" i="69"/>
  <c r="AJ25" i="69"/>
  <c r="AK25" i="69"/>
  <c r="AL25" i="69"/>
  <c r="AM25" i="69"/>
  <c r="AN25" i="69"/>
  <c r="AO25" i="69"/>
  <c r="AP25" i="69"/>
  <c r="AQ25" i="69"/>
  <c r="AF25" i="69"/>
  <c r="AD25" i="69"/>
  <c r="AA25" i="69"/>
  <c r="X25" i="69"/>
  <c r="U25" i="69"/>
  <c r="R25" i="69"/>
  <c r="O25" i="69"/>
  <c r="L25" i="69"/>
  <c r="I25" i="69"/>
  <c r="F25" i="69"/>
  <c r="AG24" i="69"/>
  <c r="AH24" i="69"/>
  <c r="AI24" i="69"/>
  <c r="AJ24" i="69"/>
  <c r="AK24" i="69"/>
  <c r="AL24" i="69"/>
  <c r="AM24" i="69"/>
  <c r="AN24" i="69"/>
  <c r="AO24" i="69"/>
  <c r="AP24" i="69"/>
  <c r="AQ24" i="69"/>
  <c r="AF24" i="69"/>
  <c r="AD24" i="69"/>
  <c r="AA24" i="69"/>
  <c r="X24" i="69"/>
  <c r="U24" i="69"/>
  <c r="R24" i="69"/>
  <c r="O24" i="69"/>
  <c r="L24" i="69"/>
  <c r="I24" i="69"/>
  <c r="F24" i="69"/>
  <c r="AC22" i="69"/>
  <c r="Z22" i="69"/>
  <c r="W22" i="69"/>
  <c r="T22" i="69"/>
  <c r="Q22" i="69"/>
  <c r="N22" i="69"/>
  <c r="K22" i="69"/>
  <c r="H22" i="69"/>
  <c r="E22" i="69"/>
  <c r="AC16" i="69"/>
  <c r="Z16" i="69"/>
  <c r="W16" i="69"/>
  <c r="R16" i="69"/>
  <c r="L16" i="69"/>
  <c r="A16" i="69"/>
  <c r="AC14" i="69"/>
  <c r="Z14" i="69"/>
  <c r="W14" i="69"/>
  <c r="R14" i="69"/>
  <c r="L14" i="69"/>
  <c r="A14" i="69"/>
  <c r="AY12" i="69"/>
  <c r="AC12" i="69"/>
  <c r="Z12" i="69"/>
  <c r="W12" i="69"/>
  <c r="R12" i="69"/>
  <c r="L12" i="69"/>
  <c r="A12" i="69"/>
  <c r="AY11" i="69"/>
  <c r="E11" i="69"/>
  <c r="AY10" i="69"/>
  <c r="AC10" i="69"/>
  <c r="Z10" i="69"/>
  <c r="W10" i="69"/>
  <c r="R10" i="69"/>
  <c r="L10" i="69"/>
  <c r="A10" i="69"/>
  <c r="AY9" i="69"/>
  <c r="AY8" i="69"/>
  <c r="AC8" i="69"/>
  <c r="Z8" i="69"/>
  <c r="W8" i="69"/>
  <c r="R8" i="69"/>
  <c r="L8" i="69"/>
  <c r="A8" i="69"/>
  <c r="AY7" i="69"/>
  <c r="R7" i="69"/>
  <c r="L7" i="69"/>
  <c r="AX6" i="69"/>
  <c r="AY6" i="69"/>
  <c r="K6" i="69"/>
  <c r="AX5" i="69"/>
  <c r="AY5" i="69"/>
  <c r="AY4" i="69"/>
  <c r="AY3" i="69"/>
  <c r="W219" i="68"/>
  <c r="W220" i="68"/>
  <c r="W221" i="68"/>
  <c r="W222" i="68"/>
  <c r="Y219" i="68"/>
  <c r="Y220" i="68"/>
  <c r="Y221" i="68"/>
  <c r="Y222" i="68"/>
  <c r="AC218" i="68"/>
  <c r="Z219" i="68"/>
  <c r="Z220" i="68"/>
  <c r="Z221" i="68"/>
  <c r="Z222" i="68"/>
  <c r="AB219" i="68"/>
  <c r="AB220" i="68"/>
  <c r="AB221" i="68"/>
  <c r="AB222" i="68"/>
  <c r="AE218" i="68"/>
  <c r="E99" i="68"/>
  <c r="AF180" i="68"/>
  <c r="X213" i="68"/>
  <c r="W230" i="68"/>
  <c r="E8" i="68"/>
  <c r="B79" i="68"/>
  <c r="AT79" i="68"/>
  <c r="E10" i="68"/>
  <c r="B80" i="68"/>
  <c r="AT80" i="68"/>
  <c r="E12" i="68"/>
  <c r="B81" i="68"/>
  <c r="AT81" i="68"/>
  <c r="E14" i="68"/>
  <c r="B82" i="68"/>
  <c r="AT82" i="68"/>
  <c r="AC31" i="68"/>
  <c r="AC32" i="68"/>
  <c r="AC33" i="68"/>
  <c r="AC34" i="68"/>
  <c r="AC35" i="68"/>
  <c r="AC64" i="68"/>
  <c r="AE64" i="68"/>
  <c r="AC65" i="68"/>
  <c r="AE31" i="68"/>
  <c r="AE32" i="68"/>
  <c r="AE33" i="68"/>
  <c r="AE34" i="68"/>
  <c r="AE35" i="68"/>
  <c r="AE65" i="68"/>
  <c r="AC66" i="68"/>
  <c r="AE66" i="68"/>
  <c r="AC67" i="68"/>
  <c r="AE67" i="68"/>
  <c r="AC68" i="68"/>
  <c r="AE68" i="68"/>
  <c r="AD71" i="68"/>
  <c r="AC72" i="68"/>
  <c r="Z72" i="68"/>
  <c r="AB72" i="68"/>
  <c r="W31" i="68"/>
  <c r="W32" i="68"/>
  <c r="W33" i="68"/>
  <c r="W34" i="68"/>
  <c r="W35" i="68"/>
  <c r="W64" i="68"/>
  <c r="Y64" i="68"/>
  <c r="W65" i="68"/>
  <c r="Y65" i="68"/>
  <c r="W66" i="68"/>
  <c r="Y66" i="68"/>
  <c r="W67" i="68"/>
  <c r="Y67" i="68"/>
  <c r="W68" i="68"/>
  <c r="Y31" i="68"/>
  <c r="Y32" i="68"/>
  <c r="Y33" i="68"/>
  <c r="Y34" i="68"/>
  <c r="Y35" i="68"/>
  <c r="Y68" i="68"/>
  <c r="X71" i="68"/>
  <c r="W72" i="68"/>
  <c r="T72" i="68"/>
  <c r="V72" i="68"/>
  <c r="Q72" i="68"/>
  <c r="S72" i="68"/>
  <c r="N31" i="68"/>
  <c r="N32" i="68"/>
  <c r="N33" i="68"/>
  <c r="N34" i="68"/>
  <c r="N35" i="68"/>
  <c r="N64" i="68"/>
  <c r="P64" i="68"/>
  <c r="N65" i="68"/>
  <c r="P65" i="68"/>
  <c r="N66" i="68"/>
  <c r="P31" i="68"/>
  <c r="P32" i="68"/>
  <c r="P33" i="68"/>
  <c r="P34" i="68"/>
  <c r="P35" i="68"/>
  <c r="P66" i="68"/>
  <c r="N67" i="68"/>
  <c r="P67" i="68"/>
  <c r="N68" i="68"/>
  <c r="P68" i="68"/>
  <c r="O71" i="68"/>
  <c r="N72" i="68"/>
  <c r="K72" i="68"/>
  <c r="M72" i="68"/>
  <c r="H72" i="68"/>
  <c r="J72" i="68"/>
  <c r="E31" i="68"/>
  <c r="E32" i="68"/>
  <c r="E33" i="68"/>
  <c r="E34" i="68"/>
  <c r="E35" i="68"/>
  <c r="E64" i="68"/>
  <c r="G64" i="68"/>
  <c r="E65" i="68"/>
  <c r="G65" i="68"/>
  <c r="E66" i="68"/>
  <c r="G66" i="68"/>
  <c r="E67" i="68"/>
  <c r="G31" i="68"/>
  <c r="G32" i="68"/>
  <c r="G33" i="68"/>
  <c r="G34" i="68"/>
  <c r="G35" i="68"/>
  <c r="G67" i="68"/>
  <c r="E68" i="68"/>
  <c r="G68" i="68"/>
  <c r="F71" i="68"/>
  <c r="E72" i="68"/>
  <c r="B72" i="68"/>
  <c r="D72" i="68"/>
  <c r="C79" i="68"/>
  <c r="D79" i="68"/>
  <c r="E85" i="68"/>
  <c r="E36" i="68"/>
  <c r="B75" i="68"/>
  <c r="D75" i="68"/>
  <c r="C82" i="68"/>
  <c r="D82" i="68"/>
  <c r="G85" i="68"/>
  <c r="G36" i="68"/>
  <c r="E86" i="68"/>
  <c r="E87" i="68"/>
  <c r="G79" i="68"/>
  <c r="J79" i="68"/>
  <c r="M79" i="68"/>
  <c r="N85" i="68"/>
  <c r="N36" i="68"/>
  <c r="K74" i="68"/>
  <c r="M74" i="68"/>
  <c r="H64" i="68"/>
  <c r="J64" i="68"/>
  <c r="H65" i="68"/>
  <c r="J65" i="68"/>
  <c r="H31" i="68"/>
  <c r="H32" i="68"/>
  <c r="H33" i="68"/>
  <c r="H34" i="68"/>
  <c r="H35" i="68"/>
  <c r="H66" i="68"/>
  <c r="J66" i="68"/>
  <c r="H67" i="68"/>
  <c r="J67" i="68"/>
  <c r="H68" i="68"/>
  <c r="J31" i="68"/>
  <c r="J32" i="68"/>
  <c r="J33" i="68"/>
  <c r="J34" i="68"/>
  <c r="J35" i="68"/>
  <c r="J68" i="68"/>
  <c r="I71" i="68"/>
  <c r="H74" i="68"/>
  <c r="E74" i="68"/>
  <c r="G74" i="68"/>
  <c r="B74" i="68"/>
  <c r="D74" i="68"/>
  <c r="C81" i="68"/>
  <c r="D81" i="68"/>
  <c r="G81" i="68"/>
  <c r="H85" i="68"/>
  <c r="H36" i="68"/>
  <c r="E76" i="68"/>
  <c r="G76" i="68"/>
  <c r="B76" i="68"/>
  <c r="B64" i="68"/>
  <c r="D64" i="68"/>
  <c r="B31" i="68"/>
  <c r="B32" i="68"/>
  <c r="B33" i="68"/>
  <c r="B34" i="68"/>
  <c r="B35" i="68"/>
  <c r="B65" i="68"/>
  <c r="D65" i="68"/>
  <c r="B66" i="68"/>
  <c r="D66" i="68"/>
  <c r="B67" i="68"/>
  <c r="D67" i="68"/>
  <c r="B68" i="68"/>
  <c r="D31" i="68"/>
  <c r="D32" i="68"/>
  <c r="D33" i="68"/>
  <c r="D34" i="68"/>
  <c r="D35" i="68"/>
  <c r="D68" i="68"/>
  <c r="C71" i="68"/>
  <c r="D76" i="68"/>
  <c r="E16" i="68"/>
  <c r="B83" i="68"/>
  <c r="C83" i="68"/>
  <c r="D85" i="68"/>
  <c r="D36" i="68"/>
  <c r="C80" i="68"/>
  <c r="B85" i="68"/>
  <c r="B36" i="68"/>
  <c r="D86" i="68"/>
  <c r="D87" i="68"/>
  <c r="D83" i="68"/>
  <c r="G83" i="68"/>
  <c r="J85" i="68"/>
  <c r="J36" i="68"/>
  <c r="H86" i="68"/>
  <c r="H87" i="68"/>
  <c r="J81" i="68"/>
  <c r="M81" i="68"/>
  <c r="P85" i="68"/>
  <c r="P36" i="68"/>
  <c r="N86" i="68"/>
  <c r="N87" i="68"/>
  <c r="P79" i="68"/>
  <c r="S79" i="68"/>
  <c r="V79" i="68"/>
  <c r="W85" i="68"/>
  <c r="W36" i="68"/>
  <c r="T76" i="68"/>
  <c r="V76" i="68"/>
  <c r="Q76" i="68"/>
  <c r="Q64" i="68"/>
  <c r="S64" i="68"/>
  <c r="Q65" i="68"/>
  <c r="S65" i="68"/>
  <c r="Q66" i="68"/>
  <c r="S66" i="68"/>
  <c r="Q31" i="68"/>
  <c r="Q32" i="68"/>
  <c r="Q33" i="68"/>
  <c r="Q34" i="68"/>
  <c r="Q35" i="68"/>
  <c r="Q67" i="68"/>
  <c r="S67" i="68"/>
  <c r="Q68" i="68"/>
  <c r="S31" i="68"/>
  <c r="S32" i="68"/>
  <c r="S33" i="68"/>
  <c r="S34" i="68"/>
  <c r="S35" i="68"/>
  <c r="S68" i="68"/>
  <c r="R71" i="68"/>
  <c r="S76" i="68"/>
  <c r="N76" i="68"/>
  <c r="P76" i="68"/>
  <c r="K76" i="68"/>
  <c r="M76" i="68"/>
  <c r="H76" i="68"/>
  <c r="J76" i="68"/>
  <c r="J86" i="68"/>
  <c r="J87" i="68"/>
  <c r="J83" i="68"/>
  <c r="M83" i="68"/>
  <c r="P83" i="68"/>
  <c r="S85" i="68"/>
  <c r="S36" i="68"/>
  <c r="N75" i="68"/>
  <c r="P75" i="68"/>
  <c r="K75" i="68"/>
  <c r="K64" i="68"/>
  <c r="M64" i="68"/>
  <c r="K31" i="68"/>
  <c r="K32" i="68"/>
  <c r="K33" i="68"/>
  <c r="K34" i="68"/>
  <c r="K35" i="68"/>
  <c r="K65" i="68"/>
  <c r="M65" i="68"/>
  <c r="K66" i="68"/>
  <c r="M66" i="68"/>
  <c r="K67" i="68"/>
  <c r="M31" i="68"/>
  <c r="M32" i="68"/>
  <c r="M33" i="68"/>
  <c r="M34" i="68"/>
  <c r="M35" i="68"/>
  <c r="M67" i="68"/>
  <c r="K68" i="68"/>
  <c r="M68" i="68"/>
  <c r="L71" i="68"/>
  <c r="M75" i="68"/>
  <c r="H75" i="68"/>
  <c r="J75" i="68"/>
  <c r="E75" i="68"/>
  <c r="G75" i="68"/>
  <c r="G86" i="68"/>
  <c r="G87" i="68"/>
  <c r="G82" i="68"/>
  <c r="J82" i="68"/>
  <c r="M85" i="68"/>
  <c r="M36" i="68"/>
  <c r="H73" i="68"/>
  <c r="J73" i="68"/>
  <c r="E73" i="68"/>
  <c r="G73" i="68"/>
  <c r="B73" i="68"/>
  <c r="B86" i="68"/>
  <c r="B87" i="68"/>
  <c r="D80" i="68"/>
  <c r="G80" i="68"/>
  <c r="J80" i="68"/>
  <c r="K85" i="68"/>
  <c r="K36" i="68"/>
  <c r="M86" i="68"/>
  <c r="M87" i="68"/>
  <c r="M82" i="68"/>
  <c r="P82" i="68"/>
  <c r="Q85" i="68"/>
  <c r="Q36" i="68"/>
  <c r="S86" i="68"/>
  <c r="S87" i="68"/>
  <c r="S83" i="68"/>
  <c r="V83" i="68"/>
  <c r="Y85" i="68"/>
  <c r="Y36" i="68"/>
  <c r="W86" i="68"/>
  <c r="W87" i="68"/>
  <c r="Y79" i="68"/>
  <c r="AB79" i="68"/>
  <c r="AC85" i="68"/>
  <c r="AC36" i="68"/>
  <c r="Z73" i="68"/>
  <c r="AB73" i="68"/>
  <c r="W73" i="68"/>
  <c r="Y73" i="68"/>
  <c r="T64" i="68"/>
  <c r="V64" i="68"/>
  <c r="T31" i="68"/>
  <c r="T32" i="68"/>
  <c r="T33" i="68"/>
  <c r="T34" i="68"/>
  <c r="T35" i="68"/>
  <c r="T65" i="68"/>
  <c r="V65" i="68"/>
  <c r="T66" i="68"/>
  <c r="V31" i="68"/>
  <c r="V32" i="68"/>
  <c r="V33" i="68"/>
  <c r="V34" i="68"/>
  <c r="V35" i="68"/>
  <c r="V66" i="68"/>
  <c r="T67" i="68"/>
  <c r="V67" i="68"/>
  <c r="T68" i="68"/>
  <c r="V68" i="68"/>
  <c r="U71" i="68"/>
  <c r="T73" i="68"/>
  <c r="Q73" i="68"/>
  <c r="S73" i="68"/>
  <c r="N73" i="68"/>
  <c r="P73" i="68"/>
  <c r="K73" i="68"/>
  <c r="K86" i="68"/>
  <c r="K87" i="68"/>
  <c r="M80" i="68"/>
  <c r="P80" i="68"/>
  <c r="S80" i="68"/>
  <c r="T85" i="68"/>
  <c r="T36" i="68"/>
  <c r="Q74" i="68"/>
  <c r="S74" i="68"/>
  <c r="N74" i="68"/>
  <c r="P74" i="68"/>
  <c r="P86" i="68"/>
  <c r="P87" i="68"/>
  <c r="P81" i="68"/>
  <c r="S81" i="68"/>
  <c r="V85" i="68"/>
  <c r="V36" i="68"/>
  <c r="T86" i="68"/>
  <c r="T87" i="68"/>
  <c r="V80" i="68"/>
  <c r="Y80" i="68"/>
  <c r="AB80" i="68"/>
  <c r="AE85" i="68"/>
  <c r="AE36" i="68"/>
  <c r="AC86" i="68"/>
  <c r="AC87" i="68"/>
  <c r="AE79" i="68"/>
  <c r="AU79" i="68"/>
  <c r="AC73" i="68"/>
  <c r="AE73" i="68"/>
  <c r="AE86" i="68"/>
  <c r="AE87" i="68"/>
  <c r="AE80" i="68"/>
  <c r="AU80" i="68"/>
  <c r="AC74" i="68"/>
  <c r="AE74" i="68"/>
  <c r="Z64" i="68"/>
  <c r="AB64" i="68"/>
  <c r="Z65" i="68"/>
  <c r="AB65" i="68"/>
  <c r="Z31" i="68"/>
  <c r="Z32" i="68"/>
  <c r="Z33" i="68"/>
  <c r="Z34" i="68"/>
  <c r="Z35" i="68"/>
  <c r="Z66" i="68"/>
  <c r="AB66" i="68"/>
  <c r="Z67" i="68"/>
  <c r="AB31" i="68"/>
  <c r="AB32" i="68"/>
  <c r="AB33" i="68"/>
  <c r="AB34" i="68"/>
  <c r="AB35" i="68"/>
  <c r="AB67" i="68"/>
  <c r="Z68" i="68"/>
  <c r="AB68" i="68"/>
  <c r="AA71" i="68"/>
  <c r="Z74" i="68"/>
  <c r="W74" i="68"/>
  <c r="Y74" i="68"/>
  <c r="T74" i="68"/>
  <c r="V74" i="68"/>
  <c r="V86" i="68"/>
  <c r="V87" i="68"/>
  <c r="V81" i="68"/>
  <c r="Y81" i="68"/>
  <c r="Z85" i="68"/>
  <c r="Z36" i="68"/>
  <c r="W75" i="68"/>
  <c r="Y75" i="68"/>
  <c r="T75" i="68"/>
  <c r="V75" i="68"/>
  <c r="Q75" i="68"/>
  <c r="Q86" i="68"/>
  <c r="Q87" i="68"/>
  <c r="S82" i="68"/>
  <c r="V82" i="68"/>
  <c r="Y82" i="68"/>
  <c r="AB85" i="68"/>
  <c r="AB36" i="68"/>
  <c r="Z86" i="68"/>
  <c r="Z87" i="68"/>
  <c r="AB81" i="68"/>
  <c r="AE81" i="68"/>
  <c r="AU81" i="68"/>
  <c r="AC75" i="68"/>
  <c r="AE75" i="68"/>
  <c r="Z75" i="68"/>
  <c r="AB75" i="68"/>
  <c r="AB86" i="68"/>
  <c r="AB87" i="68"/>
  <c r="AB82" i="68"/>
  <c r="AE82" i="68"/>
  <c r="AU82" i="68"/>
  <c r="AT83" i="68"/>
  <c r="AC76" i="68"/>
  <c r="AE76" i="68"/>
  <c r="Z76" i="68"/>
  <c r="AB76" i="68"/>
  <c r="W76" i="68"/>
  <c r="Y76" i="68"/>
  <c r="Y86" i="68"/>
  <c r="Y87" i="68"/>
  <c r="Y83" i="68"/>
  <c r="AB83" i="68"/>
  <c r="AE83" i="68"/>
  <c r="AU83" i="68"/>
  <c r="E93" i="68"/>
  <c r="B164" i="68"/>
  <c r="AT164" i="68"/>
  <c r="AC116" i="68"/>
  <c r="AC117" i="68"/>
  <c r="AC118" i="68"/>
  <c r="AC119" i="68"/>
  <c r="AC120" i="68"/>
  <c r="AC149" i="68"/>
  <c r="AE149" i="68"/>
  <c r="AC150" i="68"/>
  <c r="AE116" i="68"/>
  <c r="AE117" i="68"/>
  <c r="AE118" i="68"/>
  <c r="AE119" i="68"/>
  <c r="AE120" i="68"/>
  <c r="AE150" i="68"/>
  <c r="AC151" i="68"/>
  <c r="AE151" i="68"/>
  <c r="AC152" i="68"/>
  <c r="AE152" i="68"/>
  <c r="AC153" i="68"/>
  <c r="AE153" i="68"/>
  <c r="AD156" i="68"/>
  <c r="AC157" i="68"/>
  <c r="Z157" i="68"/>
  <c r="AB157" i="68"/>
  <c r="W116" i="68"/>
  <c r="W117" i="68"/>
  <c r="W118" i="68"/>
  <c r="W119" i="68"/>
  <c r="W120" i="68"/>
  <c r="W149" i="68"/>
  <c r="Y149" i="68"/>
  <c r="W150" i="68"/>
  <c r="Y150" i="68"/>
  <c r="W151" i="68"/>
  <c r="Y151" i="68"/>
  <c r="W152" i="68"/>
  <c r="Y152" i="68"/>
  <c r="W153" i="68"/>
  <c r="Y116" i="68"/>
  <c r="Y117" i="68"/>
  <c r="Y118" i="68"/>
  <c r="Y119" i="68"/>
  <c r="Y120" i="68"/>
  <c r="Y153" i="68"/>
  <c r="X156" i="68"/>
  <c r="W157" i="68"/>
  <c r="T157" i="68"/>
  <c r="V157" i="68"/>
  <c r="Q157" i="68"/>
  <c r="S157" i="68"/>
  <c r="N116" i="68"/>
  <c r="N117" i="68"/>
  <c r="N118" i="68"/>
  <c r="N119" i="68"/>
  <c r="N120" i="68"/>
  <c r="N149" i="68"/>
  <c r="P149" i="68"/>
  <c r="N150" i="68"/>
  <c r="P150" i="68"/>
  <c r="N151" i="68"/>
  <c r="P116" i="68"/>
  <c r="P117" i="68"/>
  <c r="P118" i="68"/>
  <c r="P119" i="68"/>
  <c r="P120" i="68"/>
  <c r="P151" i="68"/>
  <c r="N152" i="68"/>
  <c r="P152" i="68"/>
  <c r="N153" i="68"/>
  <c r="P153" i="68"/>
  <c r="O156" i="68"/>
  <c r="N157" i="68"/>
  <c r="K157" i="68"/>
  <c r="M157" i="68"/>
  <c r="H157" i="68"/>
  <c r="J157" i="68"/>
  <c r="E116" i="68"/>
  <c r="E117" i="68"/>
  <c r="E118" i="68"/>
  <c r="E119" i="68"/>
  <c r="E120" i="68"/>
  <c r="E149" i="68"/>
  <c r="G149" i="68"/>
  <c r="E150" i="68"/>
  <c r="G150" i="68"/>
  <c r="E151" i="68"/>
  <c r="G151" i="68"/>
  <c r="E152" i="68"/>
  <c r="G116" i="68"/>
  <c r="G117" i="68"/>
  <c r="G118" i="68"/>
  <c r="G119" i="68"/>
  <c r="G120" i="68"/>
  <c r="G152" i="68"/>
  <c r="E153" i="68"/>
  <c r="G153" i="68"/>
  <c r="F156" i="68"/>
  <c r="E157" i="68"/>
  <c r="B157" i="68"/>
  <c r="D157" i="68"/>
  <c r="C164" i="68"/>
  <c r="D164" i="68"/>
  <c r="E170" i="68"/>
  <c r="E121" i="68"/>
  <c r="B160" i="68"/>
  <c r="D160" i="68"/>
  <c r="B167" i="68"/>
  <c r="C167" i="68"/>
  <c r="D167" i="68"/>
  <c r="G170" i="68"/>
  <c r="G121" i="68"/>
  <c r="E171" i="68"/>
  <c r="E172" i="68"/>
  <c r="G164" i="68"/>
  <c r="J164" i="68"/>
  <c r="M164" i="68"/>
  <c r="N170" i="68"/>
  <c r="N121" i="68"/>
  <c r="K159" i="68"/>
  <c r="M159" i="68"/>
  <c r="H149" i="68"/>
  <c r="J149" i="68"/>
  <c r="H150" i="68"/>
  <c r="J150" i="68"/>
  <c r="H116" i="68"/>
  <c r="H117" i="68"/>
  <c r="H118" i="68"/>
  <c r="H119" i="68"/>
  <c r="H120" i="68"/>
  <c r="H151" i="68"/>
  <c r="J151" i="68"/>
  <c r="H152" i="68"/>
  <c r="J152" i="68"/>
  <c r="H153" i="68"/>
  <c r="J116" i="68"/>
  <c r="J117" i="68"/>
  <c r="J118" i="68"/>
  <c r="J119" i="68"/>
  <c r="J120" i="68"/>
  <c r="J153" i="68"/>
  <c r="I156" i="68"/>
  <c r="H159" i="68"/>
  <c r="E159" i="68"/>
  <c r="G159" i="68"/>
  <c r="B159" i="68"/>
  <c r="D159" i="68"/>
  <c r="E97" i="68"/>
  <c r="B166" i="68"/>
  <c r="C166" i="68"/>
  <c r="D166" i="68"/>
  <c r="G166" i="68"/>
  <c r="H170" i="68"/>
  <c r="H121" i="68"/>
  <c r="E161" i="68"/>
  <c r="G161" i="68"/>
  <c r="B161" i="68"/>
  <c r="B149" i="68"/>
  <c r="D149" i="68"/>
  <c r="B116" i="68"/>
  <c r="B117" i="68"/>
  <c r="B118" i="68"/>
  <c r="B119" i="68"/>
  <c r="B120" i="68"/>
  <c r="B150" i="68"/>
  <c r="D150" i="68"/>
  <c r="B151" i="68"/>
  <c r="D151" i="68"/>
  <c r="B152" i="68"/>
  <c r="D152" i="68"/>
  <c r="B153" i="68"/>
  <c r="D116" i="68"/>
  <c r="D117" i="68"/>
  <c r="D118" i="68"/>
  <c r="D119" i="68"/>
  <c r="D120" i="68"/>
  <c r="D153" i="68"/>
  <c r="C156" i="68"/>
  <c r="D161" i="68"/>
  <c r="E101" i="68"/>
  <c r="B168" i="68"/>
  <c r="C168" i="68"/>
  <c r="D170" i="68"/>
  <c r="D121" i="68"/>
  <c r="E95" i="68"/>
  <c r="B165" i="68"/>
  <c r="C165" i="68"/>
  <c r="B170" i="68"/>
  <c r="B121" i="68"/>
  <c r="D171" i="68"/>
  <c r="D172" i="68"/>
  <c r="D168" i="68"/>
  <c r="G168" i="68"/>
  <c r="J170" i="68"/>
  <c r="J121" i="68"/>
  <c r="H171" i="68"/>
  <c r="H172" i="68"/>
  <c r="J166" i="68"/>
  <c r="M166" i="68"/>
  <c r="P170" i="68"/>
  <c r="P121" i="68"/>
  <c r="N171" i="68"/>
  <c r="N172" i="68"/>
  <c r="P164" i="68"/>
  <c r="S164" i="68"/>
  <c r="V164" i="68"/>
  <c r="W170" i="68"/>
  <c r="W121" i="68"/>
  <c r="T161" i="68"/>
  <c r="V161" i="68"/>
  <c r="Q161" i="68"/>
  <c r="Q149" i="68"/>
  <c r="S149" i="68"/>
  <c r="Q150" i="68"/>
  <c r="S150" i="68"/>
  <c r="Q151" i="68"/>
  <c r="S151" i="68"/>
  <c r="Q116" i="68"/>
  <c r="Q117" i="68"/>
  <c r="Q118" i="68"/>
  <c r="Q119" i="68"/>
  <c r="Q120" i="68"/>
  <c r="Q152" i="68"/>
  <c r="S152" i="68"/>
  <c r="Q153" i="68"/>
  <c r="S116" i="68"/>
  <c r="S117" i="68"/>
  <c r="S118" i="68"/>
  <c r="S119" i="68"/>
  <c r="S120" i="68"/>
  <c r="S153" i="68"/>
  <c r="R156" i="68"/>
  <c r="S161" i="68"/>
  <c r="N161" i="68"/>
  <c r="P161" i="68"/>
  <c r="K161" i="68"/>
  <c r="M161" i="68"/>
  <c r="H161" i="68"/>
  <c r="J161" i="68"/>
  <c r="J171" i="68"/>
  <c r="J172" i="68"/>
  <c r="J168" i="68"/>
  <c r="M168" i="68"/>
  <c r="P168" i="68"/>
  <c r="S170" i="68"/>
  <c r="S121" i="68"/>
  <c r="N160" i="68"/>
  <c r="P160" i="68"/>
  <c r="K160" i="68"/>
  <c r="K149" i="68"/>
  <c r="M149" i="68"/>
  <c r="K116" i="68"/>
  <c r="K117" i="68"/>
  <c r="K118" i="68"/>
  <c r="K119" i="68"/>
  <c r="K120" i="68"/>
  <c r="K150" i="68"/>
  <c r="M150" i="68"/>
  <c r="K151" i="68"/>
  <c r="M151" i="68"/>
  <c r="K152" i="68"/>
  <c r="M116" i="68"/>
  <c r="M117" i="68"/>
  <c r="M118" i="68"/>
  <c r="M119" i="68"/>
  <c r="M120" i="68"/>
  <c r="M152" i="68"/>
  <c r="K153" i="68"/>
  <c r="M153" i="68"/>
  <c r="L156" i="68"/>
  <c r="M160" i="68"/>
  <c r="H160" i="68"/>
  <c r="J160" i="68"/>
  <c r="E160" i="68"/>
  <c r="G160" i="68"/>
  <c r="G171" i="68"/>
  <c r="G172" i="68"/>
  <c r="G167" i="68"/>
  <c r="J167" i="68"/>
  <c r="M170" i="68"/>
  <c r="M121" i="68"/>
  <c r="H158" i="68"/>
  <c r="J158" i="68"/>
  <c r="E158" i="68"/>
  <c r="G158" i="68"/>
  <c r="B158" i="68"/>
  <c r="B171" i="68"/>
  <c r="B172" i="68"/>
  <c r="D165" i="68"/>
  <c r="G165" i="68"/>
  <c r="J165" i="68"/>
  <c r="K170" i="68"/>
  <c r="K121" i="68"/>
  <c r="M171" i="68"/>
  <c r="M172" i="68"/>
  <c r="M167" i="68"/>
  <c r="P167" i="68"/>
  <c r="Q170" i="68"/>
  <c r="Q121" i="68"/>
  <c r="S171" i="68"/>
  <c r="S172" i="68"/>
  <c r="S168" i="68"/>
  <c r="V168" i="68"/>
  <c r="Y170" i="68"/>
  <c r="Y121" i="68"/>
  <c r="W171" i="68"/>
  <c r="W172" i="68"/>
  <c r="Y164" i="68"/>
  <c r="AB164" i="68"/>
  <c r="AC170" i="68"/>
  <c r="AC121" i="68"/>
  <c r="Z158" i="68"/>
  <c r="AB158" i="68"/>
  <c r="W158" i="68"/>
  <c r="Y158" i="68"/>
  <c r="T149" i="68"/>
  <c r="V149" i="68"/>
  <c r="T116" i="68"/>
  <c r="T117" i="68"/>
  <c r="T118" i="68"/>
  <c r="T119" i="68"/>
  <c r="T120" i="68"/>
  <c r="T150" i="68"/>
  <c r="V150" i="68"/>
  <c r="T151" i="68"/>
  <c r="V116" i="68"/>
  <c r="V117" i="68"/>
  <c r="V118" i="68"/>
  <c r="V119" i="68"/>
  <c r="V120" i="68"/>
  <c r="V151" i="68"/>
  <c r="T152" i="68"/>
  <c r="V152" i="68"/>
  <c r="T153" i="68"/>
  <c r="V153" i="68"/>
  <c r="U156" i="68"/>
  <c r="T158" i="68"/>
  <c r="Q158" i="68"/>
  <c r="S158" i="68"/>
  <c r="N158" i="68"/>
  <c r="P158" i="68"/>
  <c r="K158" i="68"/>
  <c r="K171" i="68"/>
  <c r="K172" i="68"/>
  <c r="M165" i="68"/>
  <c r="P165" i="68"/>
  <c r="S165" i="68"/>
  <c r="T170" i="68"/>
  <c r="T121" i="68"/>
  <c r="Q159" i="68"/>
  <c r="S159" i="68"/>
  <c r="N159" i="68"/>
  <c r="P159" i="68"/>
  <c r="P171" i="68"/>
  <c r="P172" i="68"/>
  <c r="P166" i="68"/>
  <c r="S166" i="68"/>
  <c r="V170" i="68"/>
  <c r="V121" i="68"/>
  <c r="T171" i="68"/>
  <c r="T172" i="68"/>
  <c r="V165" i="68"/>
  <c r="Y165" i="68"/>
  <c r="AB165" i="68"/>
  <c r="AE170" i="68"/>
  <c r="AE121" i="68"/>
  <c r="AC171" i="68"/>
  <c r="AC172" i="68"/>
  <c r="AE164" i="68"/>
  <c r="AU164" i="68"/>
  <c r="AT165" i="68"/>
  <c r="AC158" i="68"/>
  <c r="AE158" i="68"/>
  <c r="AE171" i="68"/>
  <c r="AE172" i="68"/>
  <c r="AE165" i="68"/>
  <c r="AU165" i="68"/>
  <c r="AT166" i="68"/>
  <c r="AC159" i="68"/>
  <c r="AE159" i="68"/>
  <c r="Z149" i="68"/>
  <c r="AB149" i="68"/>
  <c r="Z150" i="68"/>
  <c r="AB150" i="68"/>
  <c r="Z116" i="68"/>
  <c r="Z117" i="68"/>
  <c r="Z118" i="68"/>
  <c r="Z119" i="68"/>
  <c r="Z120" i="68"/>
  <c r="Z151" i="68"/>
  <c r="AB151" i="68"/>
  <c r="Z152" i="68"/>
  <c r="AB116" i="68"/>
  <c r="AB117" i="68"/>
  <c r="AB118" i="68"/>
  <c r="AB119" i="68"/>
  <c r="AB120" i="68"/>
  <c r="AB152" i="68"/>
  <c r="Z153" i="68"/>
  <c r="AB153" i="68"/>
  <c r="AA156" i="68"/>
  <c r="Z159" i="68"/>
  <c r="W159" i="68"/>
  <c r="Y159" i="68"/>
  <c r="T159" i="68"/>
  <c r="V159" i="68"/>
  <c r="V171" i="68"/>
  <c r="V172" i="68"/>
  <c r="V166" i="68"/>
  <c r="Y166" i="68"/>
  <c r="Z170" i="68"/>
  <c r="Z121" i="68"/>
  <c r="W160" i="68"/>
  <c r="Y160" i="68"/>
  <c r="T160" i="68"/>
  <c r="V160" i="68"/>
  <c r="Q160" i="68"/>
  <c r="Q171" i="68"/>
  <c r="Q172" i="68"/>
  <c r="S167" i="68"/>
  <c r="V167" i="68"/>
  <c r="Y167" i="68"/>
  <c r="AB170" i="68"/>
  <c r="AB121" i="68"/>
  <c r="Z171" i="68"/>
  <c r="Z172" i="68"/>
  <c r="AB166" i="68"/>
  <c r="AE166" i="68"/>
  <c r="AU166" i="68"/>
  <c r="AT167" i="68"/>
  <c r="AC160" i="68"/>
  <c r="AE160" i="68"/>
  <c r="Z160" i="68"/>
  <c r="AB160" i="68"/>
  <c r="AB171" i="68"/>
  <c r="AB172" i="68"/>
  <c r="AB167" i="68"/>
  <c r="AE167" i="68"/>
  <c r="AU167" i="68"/>
  <c r="AT168" i="68"/>
  <c r="AC161" i="68"/>
  <c r="AE161" i="68"/>
  <c r="Z161" i="68"/>
  <c r="AB161" i="68"/>
  <c r="W161" i="68"/>
  <c r="Y161" i="68"/>
  <c r="Y171" i="68"/>
  <c r="Y172" i="68"/>
  <c r="Y168" i="68"/>
  <c r="AB168" i="68"/>
  <c r="AE168" i="68"/>
  <c r="AU168" i="68"/>
  <c r="AX9" i="68"/>
  <c r="X230" i="68"/>
  <c r="Y231" i="68"/>
  <c r="V179" i="68"/>
  <c r="X210" i="68"/>
  <c r="W227" i="68"/>
  <c r="AX10" i="68"/>
  <c r="X227" i="68"/>
  <c r="W231" i="68"/>
  <c r="Y232" i="68"/>
  <c r="Y233" i="68"/>
  <c r="Y230" i="68"/>
  <c r="AB230" i="68"/>
  <c r="AE230" i="68"/>
  <c r="AU233" i="68"/>
  <c r="AT233" i="68"/>
  <c r="V180" i="68"/>
  <c r="X211" i="68"/>
  <c r="W228" i="68"/>
  <c r="AX12" i="68"/>
  <c r="X228" i="68"/>
  <c r="Y228" i="68"/>
  <c r="Z231" i="68"/>
  <c r="AF179" i="68"/>
  <c r="X212" i="68"/>
  <c r="W229" i="68"/>
  <c r="AX7" i="68"/>
  <c r="X229" i="68"/>
  <c r="Y229" i="68"/>
  <c r="AB231" i="68"/>
  <c r="Z232" i="68"/>
  <c r="Z233" i="68"/>
  <c r="AB228" i="68"/>
  <c r="AE231" i="68"/>
  <c r="AE219" i="68"/>
  <c r="AE220" i="68"/>
  <c r="AE221" i="68"/>
  <c r="AE222" i="68"/>
  <c r="W232" i="68"/>
  <c r="W233" i="68"/>
  <c r="Y227" i="68"/>
  <c r="AB227" i="68"/>
  <c r="AC231" i="68"/>
  <c r="AC219" i="68"/>
  <c r="AC220" i="68"/>
  <c r="AC221" i="68"/>
  <c r="AC222" i="68"/>
  <c r="AE232" i="68"/>
  <c r="AE233" i="68"/>
  <c r="AC232" i="68"/>
  <c r="AC233" i="68"/>
  <c r="AB232" i="68"/>
  <c r="AB233" i="68"/>
  <c r="E219" i="68"/>
  <c r="E220" i="68"/>
  <c r="E221" i="68"/>
  <c r="E222" i="68"/>
  <c r="G219" i="68"/>
  <c r="G220" i="68"/>
  <c r="G221" i="68"/>
  <c r="G222" i="68"/>
  <c r="J218" i="68"/>
  <c r="B180" i="68"/>
  <c r="B211" i="68"/>
  <c r="B228" i="68"/>
  <c r="AX8" i="68"/>
  <c r="C228" i="68"/>
  <c r="D228" i="68"/>
  <c r="E231" i="68"/>
  <c r="L179" i="68"/>
  <c r="B212" i="68"/>
  <c r="B229" i="68"/>
  <c r="AX6" i="68"/>
  <c r="C229" i="68"/>
  <c r="D229" i="68"/>
  <c r="G231" i="68"/>
  <c r="E232" i="68"/>
  <c r="E233" i="68"/>
  <c r="G228" i="68"/>
  <c r="J231" i="68"/>
  <c r="J219" i="68"/>
  <c r="J220" i="68"/>
  <c r="J221" i="68"/>
  <c r="J222" i="68"/>
  <c r="B219" i="68"/>
  <c r="B220" i="68"/>
  <c r="B221" i="68"/>
  <c r="B222" i="68"/>
  <c r="D219" i="68"/>
  <c r="D220" i="68"/>
  <c r="D221" i="68"/>
  <c r="D222" i="68"/>
  <c r="H218" i="68"/>
  <c r="L180" i="68"/>
  <c r="B213" i="68"/>
  <c r="B230" i="68"/>
  <c r="AX4" i="68"/>
  <c r="C230" i="68"/>
  <c r="D231" i="68"/>
  <c r="B179" i="68"/>
  <c r="B210" i="68"/>
  <c r="B227" i="68"/>
  <c r="AX3" i="68"/>
  <c r="C227" i="68"/>
  <c r="B231" i="68"/>
  <c r="D232" i="68"/>
  <c r="D233" i="68"/>
  <c r="D230" i="68"/>
  <c r="G230" i="68"/>
  <c r="H231" i="68"/>
  <c r="H219" i="68"/>
  <c r="H220" i="68"/>
  <c r="H221" i="68"/>
  <c r="H222" i="68"/>
  <c r="J232" i="68"/>
  <c r="J233" i="68"/>
  <c r="H232" i="68"/>
  <c r="H233" i="68"/>
  <c r="G232" i="68"/>
  <c r="G233" i="68"/>
  <c r="B232" i="68"/>
  <c r="B233" i="68"/>
  <c r="AB229" i="68"/>
  <c r="AE229" i="68"/>
  <c r="AU232" i="68"/>
  <c r="AT232" i="68"/>
  <c r="AE228" i="68"/>
  <c r="AU231" i="68"/>
  <c r="AT231" i="68"/>
  <c r="AE227" i="68"/>
  <c r="AU230" i="68"/>
  <c r="AT230" i="68"/>
  <c r="J230" i="68"/>
  <c r="AU229" i="68"/>
  <c r="AT229" i="68"/>
  <c r="G229" i="68"/>
  <c r="J229" i="68"/>
  <c r="AU228" i="68"/>
  <c r="AT228" i="68"/>
  <c r="J228" i="68"/>
  <c r="AU227" i="68"/>
  <c r="AT227" i="68"/>
  <c r="D227" i="68"/>
  <c r="G227" i="68"/>
  <c r="J227" i="68"/>
  <c r="AU226" i="68"/>
  <c r="AT226" i="68"/>
  <c r="AF223" i="68"/>
  <c r="K223" i="68"/>
  <c r="E100" i="68"/>
  <c r="AL180" i="68"/>
  <c r="AG213" i="68"/>
  <c r="E94" i="68"/>
  <c r="R180" i="68"/>
  <c r="K213" i="68"/>
  <c r="E13" i="68"/>
  <c r="AL179" i="68"/>
  <c r="AG212" i="68"/>
  <c r="E11" i="68"/>
  <c r="R179" i="68"/>
  <c r="K212" i="68"/>
  <c r="E102" i="68"/>
  <c r="AB180" i="68"/>
  <c r="AG211" i="68"/>
  <c r="E98" i="68"/>
  <c r="H180" i="68"/>
  <c r="K211" i="68"/>
  <c r="E15" i="68"/>
  <c r="AB179" i="68"/>
  <c r="AG210" i="68"/>
  <c r="E9" i="68"/>
  <c r="H179" i="68"/>
  <c r="K210" i="68"/>
  <c r="U204" i="68"/>
  <c r="A204" i="68"/>
  <c r="AB203" i="68"/>
  <c r="F203" i="68"/>
  <c r="U199" i="68"/>
  <c r="A199" i="68"/>
  <c r="AF198" i="68"/>
  <c r="J198" i="68"/>
  <c r="U195" i="68"/>
  <c r="A195" i="68"/>
  <c r="AB193" i="68"/>
  <c r="T193" i="68"/>
  <c r="F193" i="68"/>
  <c r="A193" i="68"/>
  <c r="U190" i="68"/>
  <c r="A190" i="68"/>
  <c r="A174" i="68"/>
  <c r="AF161" i="68"/>
  <c r="S160" i="68"/>
  <c r="AF160" i="68"/>
  <c r="J159" i="68"/>
  <c r="AB159" i="68"/>
  <c r="AF159" i="68"/>
  <c r="D158" i="68"/>
  <c r="M158" i="68"/>
  <c r="V158" i="68"/>
  <c r="AF158" i="68"/>
  <c r="G157" i="68"/>
  <c r="P157" i="68"/>
  <c r="Y157" i="68"/>
  <c r="AE157" i="68"/>
  <c r="AF157" i="68"/>
  <c r="AF153" i="68"/>
  <c r="AG153" i="68"/>
  <c r="AF152" i="68"/>
  <c r="AG152" i="68"/>
  <c r="AF151" i="68"/>
  <c r="AG151" i="68"/>
  <c r="AF150" i="68"/>
  <c r="AG150" i="68"/>
  <c r="AF149" i="68"/>
  <c r="AG149" i="68"/>
  <c r="B147" i="68"/>
  <c r="B124" i="68"/>
  <c r="D124" i="68"/>
  <c r="B125" i="68"/>
  <c r="D125" i="68"/>
  <c r="B126" i="68"/>
  <c r="D126" i="68"/>
  <c r="B127" i="68"/>
  <c r="D127" i="68"/>
  <c r="B128" i="68"/>
  <c r="D128" i="68"/>
  <c r="B129" i="68"/>
  <c r="D147" i="68"/>
  <c r="E147" i="68"/>
  <c r="G147" i="68"/>
  <c r="H147" i="68"/>
  <c r="H124" i="68"/>
  <c r="J124" i="68"/>
  <c r="H125" i="68"/>
  <c r="J125" i="68"/>
  <c r="H126" i="68"/>
  <c r="J126" i="68"/>
  <c r="H127" i="68"/>
  <c r="J127" i="68"/>
  <c r="H128" i="68"/>
  <c r="J128" i="68"/>
  <c r="H129" i="68"/>
  <c r="J147" i="68"/>
  <c r="K147" i="68"/>
  <c r="M147" i="68"/>
  <c r="N147" i="68"/>
  <c r="P147" i="68"/>
  <c r="Q147" i="68"/>
  <c r="Q124" i="68"/>
  <c r="S124" i="68"/>
  <c r="Q125" i="68"/>
  <c r="S125" i="68"/>
  <c r="Q126" i="68"/>
  <c r="S126" i="68"/>
  <c r="Q127" i="68"/>
  <c r="S127" i="68"/>
  <c r="Q128" i="68"/>
  <c r="S128" i="68"/>
  <c r="Q129" i="68"/>
  <c r="S147" i="68"/>
  <c r="T147" i="68"/>
  <c r="V147" i="68"/>
  <c r="W147" i="68"/>
  <c r="W124" i="68"/>
  <c r="Y124" i="68"/>
  <c r="W125" i="68"/>
  <c r="Y125" i="68"/>
  <c r="W126" i="68"/>
  <c r="Y126" i="68"/>
  <c r="W127" i="68"/>
  <c r="Y127" i="68"/>
  <c r="W128" i="68"/>
  <c r="Y128" i="68"/>
  <c r="W129" i="68"/>
  <c r="Y147" i="68"/>
  <c r="Z147" i="68"/>
  <c r="AB147" i="68"/>
  <c r="AC147" i="68"/>
  <c r="AE147" i="68"/>
  <c r="AF147" i="68"/>
  <c r="B146" i="68"/>
  <c r="D146" i="68"/>
  <c r="E146" i="68"/>
  <c r="E124" i="68"/>
  <c r="G124" i="68"/>
  <c r="E125" i="68"/>
  <c r="G125" i="68"/>
  <c r="E126" i="68"/>
  <c r="G126" i="68"/>
  <c r="E127" i="68"/>
  <c r="G127" i="68"/>
  <c r="E128" i="68"/>
  <c r="G128" i="68"/>
  <c r="E129" i="68"/>
  <c r="G146" i="68"/>
  <c r="H146" i="68"/>
  <c r="J146" i="68"/>
  <c r="K146" i="68"/>
  <c r="K124" i="68"/>
  <c r="M124" i="68"/>
  <c r="K125" i="68"/>
  <c r="M125" i="68"/>
  <c r="K126" i="68"/>
  <c r="M126" i="68"/>
  <c r="K127" i="68"/>
  <c r="M127" i="68"/>
  <c r="K128" i="68"/>
  <c r="M128" i="68"/>
  <c r="K129" i="68"/>
  <c r="M146" i="68"/>
  <c r="N146" i="68"/>
  <c r="P146" i="68"/>
  <c r="Q146" i="68"/>
  <c r="S146" i="68"/>
  <c r="T146" i="68"/>
  <c r="V146" i="68"/>
  <c r="W146" i="68"/>
  <c r="Y146" i="68"/>
  <c r="Z146" i="68"/>
  <c r="Z124" i="68"/>
  <c r="AB124" i="68"/>
  <c r="Z125" i="68"/>
  <c r="AB125" i="68"/>
  <c r="Z126" i="68"/>
  <c r="AB126" i="68"/>
  <c r="Z127" i="68"/>
  <c r="AB127" i="68"/>
  <c r="Z128" i="68"/>
  <c r="AB128" i="68"/>
  <c r="Z129" i="68"/>
  <c r="AB146" i="68"/>
  <c r="AC146" i="68"/>
  <c r="AE146" i="68"/>
  <c r="AF146" i="68"/>
  <c r="B145" i="68"/>
  <c r="D145" i="68"/>
  <c r="E145" i="68"/>
  <c r="G145" i="68"/>
  <c r="H145" i="68"/>
  <c r="J145" i="68"/>
  <c r="K145" i="68"/>
  <c r="M145" i="68"/>
  <c r="N145" i="68"/>
  <c r="N124" i="68"/>
  <c r="P124" i="68"/>
  <c r="N125" i="68"/>
  <c r="P125" i="68"/>
  <c r="N126" i="68"/>
  <c r="P126" i="68"/>
  <c r="N127" i="68"/>
  <c r="P127" i="68"/>
  <c r="N128" i="68"/>
  <c r="P128" i="68"/>
  <c r="N129" i="68"/>
  <c r="P145" i="68"/>
  <c r="Q145" i="68"/>
  <c r="S145" i="68"/>
  <c r="T145" i="68"/>
  <c r="T124" i="68"/>
  <c r="V124" i="68"/>
  <c r="T125" i="68"/>
  <c r="V125" i="68"/>
  <c r="T126" i="68"/>
  <c r="V126" i="68"/>
  <c r="T127" i="68"/>
  <c r="V127" i="68"/>
  <c r="T128" i="68"/>
  <c r="V128" i="68"/>
  <c r="T129" i="68"/>
  <c r="V145" i="68"/>
  <c r="W145" i="68"/>
  <c r="Y145" i="68"/>
  <c r="Z145" i="68"/>
  <c r="AB145" i="68"/>
  <c r="AC145" i="68"/>
  <c r="AE145" i="68"/>
  <c r="AF145" i="68"/>
  <c r="B144" i="68"/>
  <c r="D144" i="68"/>
  <c r="E144" i="68"/>
  <c r="G144" i="68"/>
  <c r="H144" i="68"/>
  <c r="J144" i="68"/>
  <c r="K144" i="68"/>
  <c r="M144" i="68"/>
  <c r="N144" i="68"/>
  <c r="P144" i="68"/>
  <c r="Q144" i="68"/>
  <c r="S144" i="68"/>
  <c r="T144" i="68"/>
  <c r="V144" i="68"/>
  <c r="W144" i="68"/>
  <c r="Y144" i="68"/>
  <c r="Z144" i="68"/>
  <c r="AB144" i="68"/>
  <c r="AC144" i="68"/>
  <c r="AC124" i="68"/>
  <c r="AE124" i="68"/>
  <c r="AC125" i="68"/>
  <c r="AE125" i="68"/>
  <c r="AC126" i="68"/>
  <c r="AE126" i="68"/>
  <c r="AC127" i="68"/>
  <c r="AE127" i="68"/>
  <c r="AC128" i="68"/>
  <c r="AE128" i="68"/>
  <c r="AC129" i="68"/>
  <c r="AE144" i="68"/>
  <c r="AF144" i="68"/>
  <c r="B143" i="68"/>
  <c r="D143" i="68"/>
  <c r="E143" i="68"/>
  <c r="G143" i="68"/>
  <c r="H143" i="68"/>
  <c r="J143" i="68"/>
  <c r="K143" i="68"/>
  <c r="M143" i="68"/>
  <c r="N143" i="68"/>
  <c r="P143" i="68"/>
  <c r="Q143" i="68"/>
  <c r="S143" i="68"/>
  <c r="T143" i="68"/>
  <c r="V143" i="68"/>
  <c r="W143" i="68"/>
  <c r="Y143" i="68"/>
  <c r="Z143" i="68"/>
  <c r="AB143" i="68"/>
  <c r="AC143" i="68"/>
  <c r="AE143" i="68"/>
  <c r="AF143" i="68"/>
  <c r="B141" i="68"/>
  <c r="B122" i="68"/>
  <c r="D122" i="68"/>
  <c r="C122" i="68"/>
  <c r="D141" i="68"/>
  <c r="E141" i="68"/>
  <c r="G141" i="68"/>
  <c r="H141" i="68"/>
  <c r="H122" i="68"/>
  <c r="J122" i="68"/>
  <c r="I122" i="68"/>
  <c r="J141" i="68"/>
  <c r="K141" i="68"/>
  <c r="M141" i="68"/>
  <c r="N141" i="68"/>
  <c r="P141" i="68"/>
  <c r="Q141" i="68"/>
  <c r="Q122" i="68"/>
  <c r="S122" i="68"/>
  <c r="R122" i="68"/>
  <c r="S141" i="68"/>
  <c r="T141" i="68"/>
  <c r="V141" i="68"/>
  <c r="W141" i="68"/>
  <c r="W122" i="68"/>
  <c r="Y122" i="68"/>
  <c r="X122" i="68"/>
  <c r="Y141" i="68"/>
  <c r="Z141" i="68"/>
  <c r="AB141" i="68"/>
  <c r="AC141" i="68"/>
  <c r="AE141" i="68"/>
  <c r="AF141" i="68"/>
  <c r="B140" i="68"/>
  <c r="D140" i="68"/>
  <c r="E140" i="68"/>
  <c r="E122" i="68"/>
  <c r="G122" i="68"/>
  <c r="F122" i="68"/>
  <c r="G140" i="68"/>
  <c r="H140" i="68"/>
  <c r="J140" i="68"/>
  <c r="K140" i="68"/>
  <c r="K122" i="68"/>
  <c r="M122" i="68"/>
  <c r="L122" i="68"/>
  <c r="M140" i="68"/>
  <c r="N140" i="68"/>
  <c r="P140" i="68"/>
  <c r="Q140" i="68"/>
  <c r="S140" i="68"/>
  <c r="T140" i="68"/>
  <c r="V140" i="68"/>
  <c r="W140" i="68"/>
  <c r="Y140" i="68"/>
  <c r="Z140" i="68"/>
  <c r="Z122" i="68"/>
  <c r="AB122" i="68"/>
  <c r="AA122" i="68"/>
  <c r="AB140" i="68"/>
  <c r="AC140" i="68"/>
  <c r="AE140" i="68"/>
  <c r="AF140" i="68"/>
  <c r="B139" i="68"/>
  <c r="D139" i="68"/>
  <c r="E139" i="68"/>
  <c r="G139" i="68"/>
  <c r="H139" i="68"/>
  <c r="J139" i="68"/>
  <c r="K139" i="68"/>
  <c r="M139" i="68"/>
  <c r="N139" i="68"/>
  <c r="N122" i="68"/>
  <c r="P122" i="68"/>
  <c r="O122" i="68"/>
  <c r="P139" i="68"/>
  <c r="Q139" i="68"/>
  <c r="S139" i="68"/>
  <c r="T139" i="68"/>
  <c r="T122" i="68"/>
  <c r="V122" i="68"/>
  <c r="U122" i="68"/>
  <c r="V139" i="68"/>
  <c r="W139" i="68"/>
  <c r="Y139" i="68"/>
  <c r="Z139" i="68"/>
  <c r="AB139" i="68"/>
  <c r="AC139" i="68"/>
  <c r="AE139" i="68"/>
  <c r="AF139" i="68"/>
  <c r="B138" i="68"/>
  <c r="D138" i="68"/>
  <c r="E138" i="68"/>
  <c r="G138" i="68"/>
  <c r="H138" i="68"/>
  <c r="J138" i="68"/>
  <c r="K138" i="68"/>
  <c r="M138" i="68"/>
  <c r="N138" i="68"/>
  <c r="P138" i="68"/>
  <c r="Q138" i="68"/>
  <c r="S138" i="68"/>
  <c r="T138" i="68"/>
  <c r="V138" i="68"/>
  <c r="W138" i="68"/>
  <c r="Y138" i="68"/>
  <c r="Z138" i="68"/>
  <c r="AB138" i="68"/>
  <c r="AC138" i="68"/>
  <c r="AC122" i="68"/>
  <c r="AE122" i="68"/>
  <c r="AD122" i="68"/>
  <c r="AE138" i="68"/>
  <c r="AF138" i="68"/>
  <c r="B137" i="68"/>
  <c r="D137" i="68"/>
  <c r="E137" i="68"/>
  <c r="G137" i="68"/>
  <c r="H137" i="68"/>
  <c r="J137" i="68"/>
  <c r="K137" i="68"/>
  <c r="M137" i="68"/>
  <c r="N137" i="68"/>
  <c r="P137" i="68"/>
  <c r="Q137" i="68"/>
  <c r="S137" i="68"/>
  <c r="T137" i="68"/>
  <c r="V137" i="68"/>
  <c r="W137" i="68"/>
  <c r="Y137" i="68"/>
  <c r="Z137" i="68"/>
  <c r="AB137" i="68"/>
  <c r="AC137" i="68"/>
  <c r="AE137" i="68"/>
  <c r="AF137" i="68"/>
  <c r="B135" i="68"/>
  <c r="D135" i="68"/>
  <c r="E135" i="68"/>
  <c r="G135" i="68"/>
  <c r="H135" i="68"/>
  <c r="J135" i="68"/>
  <c r="K135" i="68"/>
  <c r="M135" i="68"/>
  <c r="N135" i="68"/>
  <c r="P135" i="68"/>
  <c r="Q135" i="68"/>
  <c r="S135" i="68"/>
  <c r="T135" i="68"/>
  <c r="V135" i="68"/>
  <c r="W135" i="68"/>
  <c r="Y135" i="68"/>
  <c r="Z135" i="68"/>
  <c r="AB135" i="68"/>
  <c r="AC135" i="68"/>
  <c r="AE135" i="68"/>
  <c r="AF135" i="68"/>
  <c r="AG135" i="68"/>
  <c r="B134" i="68"/>
  <c r="D134" i="68"/>
  <c r="E134" i="68"/>
  <c r="G134" i="68"/>
  <c r="H134" i="68"/>
  <c r="J134" i="68"/>
  <c r="K134" i="68"/>
  <c r="M134" i="68"/>
  <c r="N134" i="68"/>
  <c r="P134" i="68"/>
  <c r="Q134" i="68"/>
  <c r="S134" i="68"/>
  <c r="T134" i="68"/>
  <c r="V134" i="68"/>
  <c r="W134" i="68"/>
  <c r="Y134" i="68"/>
  <c r="Z134" i="68"/>
  <c r="AB134" i="68"/>
  <c r="AC134" i="68"/>
  <c r="AE134" i="68"/>
  <c r="AF134" i="68"/>
  <c r="AG134" i="68"/>
  <c r="B133" i="68"/>
  <c r="D133" i="68"/>
  <c r="E133" i="68"/>
  <c r="G133" i="68"/>
  <c r="H133" i="68"/>
  <c r="J133" i="68"/>
  <c r="K133" i="68"/>
  <c r="M133" i="68"/>
  <c r="N133" i="68"/>
  <c r="P133" i="68"/>
  <c r="Q133" i="68"/>
  <c r="S133" i="68"/>
  <c r="T133" i="68"/>
  <c r="V133" i="68"/>
  <c r="W133" i="68"/>
  <c r="Y133" i="68"/>
  <c r="Z133" i="68"/>
  <c r="AB133" i="68"/>
  <c r="AC133" i="68"/>
  <c r="AE133" i="68"/>
  <c r="AF133" i="68"/>
  <c r="AG133" i="68"/>
  <c r="B132" i="68"/>
  <c r="D132" i="68"/>
  <c r="E132" i="68"/>
  <c r="G132" i="68"/>
  <c r="H132" i="68"/>
  <c r="J132" i="68"/>
  <c r="K132" i="68"/>
  <c r="M132" i="68"/>
  <c r="N132" i="68"/>
  <c r="P132" i="68"/>
  <c r="Q132" i="68"/>
  <c r="S132" i="68"/>
  <c r="T132" i="68"/>
  <c r="V132" i="68"/>
  <c r="W132" i="68"/>
  <c r="Y132" i="68"/>
  <c r="Z132" i="68"/>
  <c r="AB132" i="68"/>
  <c r="AC132" i="68"/>
  <c r="AE132" i="68"/>
  <c r="AF132" i="68"/>
  <c r="AG132" i="68"/>
  <c r="B131" i="68"/>
  <c r="D131" i="68"/>
  <c r="E131" i="68"/>
  <c r="G131" i="68"/>
  <c r="H131" i="68"/>
  <c r="J131" i="68"/>
  <c r="K131" i="68"/>
  <c r="M131" i="68"/>
  <c r="N131" i="68"/>
  <c r="P131" i="68"/>
  <c r="Q131" i="68"/>
  <c r="S131" i="68"/>
  <c r="T131" i="68"/>
  <c r="V131" i="68"/>
  <c r="W131" i="68"/>
  <c r="Y131" i="68"/>
  <c r="Z131" i="68"/>
  <c r="AB131" i="68"/>
  <c r="AC131" i="68"/>
  <c r="AE131" i="68"/>
  <c r="AF131" i="68"/>
  <c r="AG131" i="68"/>
  <c r="AE115" i="68"/>
  <c r="AC115" i="68"/>
  <c r="AB115" i="68"/>
  <c r="Z115" i="68"/>
  <c r="Y115" i="68"/>
  <c r="W115" i="68"/>
  <c r="V115" i="68"/>
  <c r="T115" i="68"/>
  <c r="S115" i="68"/>
  <c r="Q115" i="68"/>
  <c r="P115" i="68"/>
  <c r="N115" i="68"/>
  <c r="M115" i="68"/>
  <c r="K115" i="68"/>
  <c r="J115" i="68"/>
  <c r="H115" i="68"/>
  <c r="G115" i="68"/>
  <c r="E115" i="68"/>
  <c r="D115" i="68"/>
  <c r="B115" i="68"/>
  <c r="AD114" i="68"/>
  <c r="AA114" i="68"/>
  <c r="X114" i="68"/>
  <c r="U114" i="68"/>
  <c r="R114" i="68"/>
  <c r="O114" i="68"/>
  <c r="L114" i="68"/>
  <c r="I114" i="68"/>
  <c r="F114" i="68"/>
  <c r="A114" i="68"/>
  <c r="AG113" i="68"/>
  <c r="AH113" i="68"/>
  <c r="AI113" i="68"/>
  <c r="AJ113" i="68"/>
  <c r="AK113" i="68"/>
  <c r="AL113" i="68"/>
  <c r="AM113" i="68"/>
  <c r="AN113" i="68"/>
  <c r="AO113" i="68"/>
  <c r="AP113" i="68"/>
  <c r="AQ113" i="68"/>
  <c r="AF113" i="68"/>
  <c r="AD113" i="68"/>
  <c r="AA113" i="68"/>
  <c r="X113" i="68"/>
  <c r="U113" i="68"/>
  <c r="R113" i="68"/>
  <c r="O113" i="68"/>
  <c r="L113" i="68"/>
  <c r="I113" i="68"/>
  <c r="F113" i="68"/>
  <c r="A113" i="68"/>
  <c r="AG112" i="68"/>
  <c r="AH112" i="68"/>
  <c r="AI112" i="68"/>
  <c r="AJ112" i="68"/>
  <c r="AK112" i="68"/>
  <c r="AL112" i="68"/>
  <c r="AM112" i="68"/>
  <c r="AN112" i="68"/>
  <c r="AO112" i="68"/>
  <c r="AP112" i="68"/>
  <c r="AQ112" i="68"/>
  <c r="AF112" i="68"/>
  <c r="AD112" i="68"/>
  <c r="AA112" i="68"/>
  <c r="X112" i="68"/>
  <c r="U112" i="68"/>
  <c r="R112" i="68"/>
  <c r="O112" i="68"/>
  <c r="L112" i="68"/>
  <c r="I112" i="68"/>
  <c r="F112" i="68"/>
  <c r="A112" i="68"/>
  <c r="AG111" i="68"/>
  <c r="AH111" i="68"/>
  <c r="AI111" i="68"/>
  <c r="AJ111" i="68"/>
  <c r="AK111" i="68"/>
  <c r="AL111" i="68"/>
  <c r="AM111" i="68"/>
  <c r="AN111" i="68"/>
  <c r="AO111" i="68"/>
  <c r="AP111" i="68"/>
  <c r="AQ111" i="68"/>
  <c r="AF111" i="68"/>
  <c r="AD111" i="68"/>
  <c r="AA111" i="68"/>
  <c r="X111" i="68"/>
  <c r="U111" i="68"/>
  <c r="R111" i="68"/>
  <c r="O111" i="68"/>
  <c r="L111" i="68"/>
  <c r="I111" i="68"/>
  <c r="F111" i="68"/>
  <c r="A111" i="68"/>
  <c r="AG110" i="68"/>
  <c r="AH110" i="68"/>
  <c r="AI110" i="68"/>
  <c r="AJ110" i="68"/>
  <c r="AK110" i="68"/>
  <c r="AL110" i="68"/>
  <c r="AM110" i="68"/>
  <c r="AN110" i="68"/>
  <c r="AO110" i="68"/>
  <c r="AP110" i="68"/>
  <c r="AQ110" i="68"/>
  <c r="AF110" i="68"/>
  <c r="AD110" i="68"/>
  <c r="AA110" i="68"/>
  <c r="X110" i="68"/>
  <c r="U110" i="68"/>
  <c r="R110" i="68"/>
  <c r="O110" i="68"/>
  <c r="L110" i="68"/>
  <c r="I110" i="68"/>
  <c r="F110" i="68"/>
  <c r="AG109" i="68"/>
  <c r="AH109" i="68"/>
  <c r="AI109" i="68"/>
  <c r="AJ109" i="68"/>
  <c r="AK109" i="68"/>
  <c r="AL109" i="68"/>
  <c r="AM109" i="68"/>
  <c r="AN109" i="68"/>
  <c r="AO109" i="68"/>
  <c r="AP109" i="68"/>
  <c r="AQ109" i="68"/>
  <c r="AF109" i="68"/>
  <c r="AD109" i="68"/>
  <c r="AA109" i="68"/>
  <c r="X109" i="68"/>
  <c r="U109" i="68"/>
  <c r="R109" i="68"/>
  <c r="O109" i="68"/>
  <c r="L109" i="68"/>
  <c r="I109" i="68"/>
  <c r="F109" i="68"/>
  <c r="AC107" i="68"/>
  <c r="Z107" i="68"/>
  <c r="W107" i="68"/>
  <c r="T107" i="68"/>
  <c r="Q107" i="68"/>
  <c r="N107" i="68"/>
  <c r="K107" i="68"/>
  <c r="H107" i="68"/>
  <c r="E107" i="68"/>
  <c r="AC101" i="68"/>
  <c r="Z101" i="68"/>
  <c r="W101" i="68"/>
  <c r="R101" i="68"/>
  <c r="L101" i="68"/>
  <c r="A101" i="68"/>
  <c r="AC99" i="68"/>
  <c r="Z99" i="68"/>
  <c r="W99" i="68"/>
  <c r="R99" i="68"/>
  <c r="L99" i="68"/>
  <c r="A99" i="68"/>
  <c r="AC97" i="68"/>
  <c r="Z97" i="68"/>
  <c r="W97" i="68"/>
  <c r="R97" i="68"/>
  <c r="L97" i="68"/>
  <c r="A97" i="68"/>
  <c r="E96" i="68"/>
  <c r="AC95" i="68"/>
  <c r="Z95" i="68"/>
  <c r="W95" i="68"/>
  <c r="R95" i="68"/>
  <c r="L95" i="68"/>
  <c r="A95" i="68"/>
  <c r="AC93" i="68"/>
  <c r="Z93" i="68"/>
  <c r="W93" i="68"/>
  <c r="R93" i="68"/>
  <c r="L93" i="68"/>
  <c r="A93" i="68"/>
  <c r="R92" i="68"/>
  <c r="L92" i="68"/>
  <c r="K91" i="68"/>
  <c r="A89" i="68"/>
  <c r="AF76" i="68"/>
  <c r="S75" i="68"/>
  <c r="AF75" i="68"/>
  <c r="J74" i="68"/>
  <c r="AB74" i="68"/>
  <c r="AF74" i="68"/>
  <c r="D73" i="68"/>
  <c r="M73" i="68"/>
  <c r="V73" i="68"/>
  <c r="AF73" i="68"/>
  <c r="G72" i="68"/>
  <c r="P72" i="68"/>
  <c r="Y72" i="68"/>
  <c r="AE72" i="68"/>
  <c r="AF72" i="68"/>
  <c r="AF68" i="68"/>
  <c r="AG68" i="68"/>
  <c r="AF67" i="68"/>
  <c r="AG67" i="68"/>
  <c r="AF66" i="68"/>
  <c r="AG66" i="68"/>
  <c r="AF65" i="68"/>
  <c r="AG65" i="68"/>
  <c r="AF64" i="68"/>
  <c r="AG64" i="68"/>
  <c r="B62" i="68"/>
  <c r="B39" i="68"/>
  <c r="D39" i="68"/>
  <c r="B40" i="68"/>
  <c r="D40" i="68"/>
  <c r="B41" i="68"/>
  <c r="D41" i="68"/>
  <c r="B42" i="68"/>
  <c r="D42" i="68"/>
  <c r="B43" i="68"/>
  <c r="D43" i="68"/>
  <c r="B44" i="68"/>
  <c r="D62" i="68"/>
  <c r="E62" i="68"/>
  <c r="G62" i="68"/>
  <c r="H62" i="68"/>
  <c r="H39" i="68"/>
  <c r="J39" i="68"/>
  <c r="H40" i="68"/>
  <c r="J40" i="68"/>
  <c r="H41" i="68"/>
  <c r="J41" i="68"/>
  <c r="H42" i="68"/>
  <c r="J42" i="68"/>
  <c r="H43" i="68"/>
  <c r="J43" i="68"/>
  <c r="H44" i="68"/>
  <c r="J62" i="68"/>
  <c r="K62" i="68"/>
  <c r="M62" i="68"/>
  <c r="N62" i="68"/>
  <c r="P62" i="68"/>
  <c r="Q62" i="68"/>
  <c r="Q39" i="68"/>
  <c r="S39" i="68"/>
  <c r="Q40" i="68"/>
  <c r="S40" i="68"/>
  <c r="Q41" i="68"/>
  <c r="S41" i="68"/>
  <c r="Q42" i="68"/>
  <c r="S42" i="68"/>
  <c r="Q43" i="68"/>
  <c r="S43" i="68"/>
  <c r="Q44" i="68"/>
  <c r="S62" i="68"/>
  <c r="T62" i="68"/>
  <c r="V62" i="68"/>
  <c r="W62" i="68"/>
  <c r="W39" i="68"/>
  <c r="Y39" i="68"/>
  <c r="W40" i="68"/>
  <c r="Y40" i="68"/>
  <c r="W41" i="68"/>
  <c r="Y41" i="68"/>
  <c r="W42" i="68"/>
  <c r="Y42" i="68"/>
  <c r="W43" i="68"/>
  <c r="Y43" i="68"/>
  <c r="W44" i="68"/>
  <c r="Y62" i="68"/>
  <c r="Z62" i="68"/>
  <c r="AB62" i="68"/>
  <c r="AC62" i="68"/>
  <c r="AE62" i="68"/>
  <c r="AF62" i="68"/>
  <c r="B61" i="68"/>
  <c r="D61" i="68"/>
  <c r="E61" i="68"/>
  <c r="E39" i="68"/>
  <c r="G39" i="68"/>
  <c r="E40" i="68"/>
  <c r="G40" i="68"/>
  <c r="E41" i="68"/>
  <c r="G41" i="68"/>
  <c r="E42" i="68"/>
  <c r="G42" i="68"/>
  <c r="E43" i="68"/>
  <c r="G43" i="68"/>
  <c r="E44" i="68"/>
  <c r="G61" i="68"/>
  <c r="H61" i="68"/>
  <c r="J61" i="68"/>
  <c r="K61" i="68"/>
  <c r="K39" i="68"/>
  <c r="M39" i="68"/>
  <c r="K40" i="68"/>
  <c r="M40" i="68"/>
  <c r="K41" i="68"/>
  <c r="M41" i="68"/>
  <c r="K42" i="68"/>
  <c r="M42" i="68"/>
  <c r="K43" i="68"/>
  <c r="M43" i="68"/>
  <c r="K44" i="68"/>
  <c r="M61" i="68"/>
  <c r="N61" i="68"/>
  <c r="P61" i="68"/>
  <c r="Q61" i="68"/>
  <c r="S61" i="68"/>
  <c r="T61" i="68"/>
  <c r="V61" i="68"/>
  <c r="W61" i="68"/>
  <c r="Y61" i="68"/>
  <c r="Z61" i="68"/>
  <c r="Z39" i="68"/>
  <c r="AB39" i="68"/>
  <c r="Z40" i="68"/>
  <c r="AB40" i="68"/>
  <c r="Z41" i="68"/>
  <c r="AB41" i="68"/>
  <c r="Z42" i="68"/>
  <c r="AB42" i="68"/>
  <c r="Z43" i="68"/>
  <c r="AB43" i="68"/>
  <c r="Z44" i="68"/>
  <c r="AB61" i="68"/>
  <c r="AC61" i="68"/>
  <c r="AE61" i="68"/>
  <c r="AF61" i="68"/>
  <c r="B60" i="68"/>
  <c r="D60" i="68"/>
  <c r="E60" i="68"/>
  <c r="G60" i="68"/>
  <c r="H60" i="68"/>
  <c r="J60" i="68"/>
  <c r="K60" i="68"/>
  <c r="M60" i="68"/>
  <c r="N60" i="68"/>
  <c r="N39" i="68"/>
  <c r="P39" i="68"/>
  <c r="N40" i="68"/>
  <c r="P40" i="68"/>
  <c r="N41" i="68"/>
  <c r="P41" i="68"/>
  <c r="N42" i="68"/>
  <c r="P42" i="68"/>
  <c r="N43" i="68"/>
  <c r="P43" i="68"/>
  <c r="N44" i="68"/>
  <c r="P60" i="68"/>
  <c r="Q60" i="68"/>
  <c r="S60" i="68"/>
  <c r="T60" i="68"/>
  <c r="T39" i="68"/>
  <c r="V39" i="68"/>
  <c r="T40" i="68"/>
  <c r="V40" i="68"/>
  <c r="T41" i="68"/>
  <c r="V41" i="68"/>
  <c r="T42" i="68"/>
  <c r="V42" i="68"/>
  <c r="T43" i="68"/>
  <c r="V43" i="68"/>
  <c r="T44" i="68"/>
  <c r="V60" i="68"/>
  <c r="W60" i="68"/>
  <c r="Y60" i="68"/>
  <c r="Z60" i="68"/>
  <c r="AB60" i="68"/>
  <c r="AC60" i="68"/>
  <c r="AE60" i="68"/>
  <c r="AF60" i="68"/>
  <c r="B59" i="68"/>
  <c r="D59" i="68"/>
  <c r="E59" i="68"/>
  <c r="G59" i="68"/>
  <c r="H59" i="68"/>
  <c r="J59" i="68"/>
  <c r="K59" i="68"/>
  <c r="M59" i="68"/>
  <c r="N59" i="68"/>
  <c r="P59" i="68"/>
  <c r="Q59" i="68"/>
  <c r="S59" i="68"/>
  <c r="T59" i="68"/>
  <c r="V59" i="68"/>
  <c r="W59" i="68"/>
  <c r="Y59" i="68"/>
  <c r="Z59" i="68"/>
  <c r="AB59" i="68"/>
  <c r="AC59" i="68"/>
  <c r="AC39" i="68"/>
  <c r="AE39" i="68"/>
  <c r="AC40" i="68"/>
  <c r="AE40" i="68"/>
  <c r="AC41" i="68"/>
  <c r="AE41" i="68"/>
  <c r="AC42" i="68"/>
  <c r="AE42" i="68"/>
  <c r="AC43" i="68"/>
  <c r="AE43" i="68"/>
  <c r="AC44" i="68"/>
  <c r="AE59" i="68"/>
  <c r="AF59" i="68"/>
  <c r="B58" i="68"/>
  <c r="D58" i="68"/>
  <c r="E58" i="68"/>
  <c r="G58" i="68"/>
  <c r="H58" i="68"/>
  <c r="J58" i="68"/>
  <c r="K58" i="68"/>
  <c r="M58" i="68"/>
  <c r="N58" i="68"/>
  <c r="P58" i="68"/>
  <c r="Q58" i="68"/>
  <c r="S58" i="68"/>
  <c r="T58" i="68"/>
  <c r="V58" i="68"/>
  <c r="W58" i="68"/>
  <c r="Y58" i="68"/>
  <c r="Z58" i="68"/>
  <c r="AB58" i="68"/>
  <c r="AC58" i="68"/>
  <c r="AE58" i="68"/>
  <c r="AF58" i="68"/>
  <c r="B56" i="68"/>
  <c r="B37" i="68"/>
  <c r="D37" i="68"/>
  <c r="C37" i="68"/>
  <c r="D56" i="68"/>
  <c r="E56" i="68"/>
  <c r="G56" i="68"/>
  <c r="H56" i="68"/>
  <c r="H37" i="68"/>
  <c r="J37" i="68"/>
  <c r="I37" i="68"/>
  <c r="J56" i="68"/>
  <c r="K56" i="68"/>
  <c r="M56" i="68"/>
  <c r="N56" i="68"/>
  <c r="P56" i="68"/>
  <c r="Q56" i="68"/>
  <c r="Q37" i="68"/>
  <c r="S37" i="68"/>
  <c r="R37" i="68"/>
  <c r="S56" i="68"/>
  <c r="T56" i="68"/>
  <c r="V56" i="68"/>
  <c r="W56" i="68"/>
  <c r="W37" i="68"/>
  <c r="Y37" i="68"/>
  <c r="X37" i="68"/>
  <c r="Y56" i="68"/>
  <c r="Z56" i="68"/>
  <c r="AB56" i="68"/>
  <c r="AC56" i="68"/>
  <c r="AE56" i="68"/>
  <c r="AF56" i="68"/>
  <c r="B55" i="68"/>
  <c r="D55" i="68"/>
  <c r="E55" i="68"/>
  <c r="E37" i="68"/>
  <c r="G37" i="68"/>
  <c r="F37" i="68"/>
  <c r="G55" i="68"/>
  <c r="H55" i="68"/>
  <c r="J55" i="68"/>
  <c r="K55" i="68"/>
  <c r="K37" i="68"/>
  <c r="M37" i="68"/>
  <c r="L37" i="68"/>
  <c r="M55" i="68"/>
  <c r="N55" i="68"/>
  <c r="P55" i="68"/>
  <c r="Q55" i="68"/>
  <c r="S55" i="68"/>
  <c r="T55" i="68"/>
  <c r="V55" i="68"/>
  <c r="W55" i="68"/>
  <c r="Y55" i="68"/>
  <c r="Z55" i="68"/>
  <c r="Z37" i="68"/>
  <c r="AB37" i="68"/>
  <c r="AA37" i="68"/>
  <c r="AB55" i="68"/>
  <c r="AC55" i="68"/>
  <c r="AE55" i="68"/>
  <c r="AF55" i="68"/>
  <c r="B54" i="68"/>
  <c r="D54" i="68"/>
  <c r="E54" i="68"/>
  <c r="G54" i="68"/>
  <c r="H54" i="68"/>
  <c r="J54" i="68"/>
  <c r="K54" i="68"/>
  <c r="M54" i="68"/>
  <c r="N54" i="68"/>
  <c r="N37" i="68"/>
  <c r="P37" i="68"/>
  <c r="O37" i="68"/>
  <c r="P54" i="68"/>
  <c r="Q54" i="68"/>
  <c r="S54" i="68"/>
  <c r="T54" i="68"/>
  <c r="T37" i="68"/>
  <c r="V37" i="68"/>
  <c r="U37" i="68"/>
  <c r="V54" i="68"/>
  <c r="W54" i="68"/>
  <c r="Y54" i="68"/>
  <c r="Z54" i="68"/>
  <c r="AB54" i="68"/>
  <c r="AC54" i="68"/>
  <c r="AE54" i="68"/>
  <c r="AF54" i="68"/>
  <c r="B53" i="68"/>
  <c r="D53" i="68"/>
  <c r="E53" i="68"/>
  <c r="G53" i="68"/>
  <c r="H53" i="68"/>
  <c r="J53" i="68"/>
  <c r="K53" i="68"/>
  <c r="M53" i="68"/>
  <c r="N53" i="68"/>
  <c r="P53" i="68"/>
  <c r="Q53" i="68"/>
  <c r="S53" i="68"/>
  <c r="T53" i="68"/>
  <c r="V53" i="68"/>
  <c r="W53" i="68"/>
  <c r="Y53" i="68"/>
  <c r="Z53" i="68"/>
  <c r="AB53" i="68"/>
  <c r="AC53" i="68"/>
  <c r="AC37" i="68"/>
  <c r="AE37" i="68"/>
  <c r="AD37" i="68"/>
  <c r="AE53" i="68"/>
  <c r="AF53" i="68"/>
  <c r="B52" i="68"/>
  <c r="D52" i="68"/>
  <c r="E52" i="68"/>
  <c r="G52" i="68"/>
  <c r="H52" i="68"/>
  <c r="J52" i="68"/>
  <c r="K52" i="68"/>
  <c r="M52" i="68"/>
  <c r="N52" i="68"/>
  <c r="P52" i="68"/>
  <c r="Q52" i="68"/>
  <c r="S52" i="68"/>
  <c r="T52" i="68"/>
  <c r="V52" i="68"/>
  <c r="W52" i="68"/>
  <c r="Y52" i="68"/>
  <c r="Z52" i="68"/>
  <c r="AB52" i="68"/>
  <c r="AC52" i="68"/>
  <c r="AE52" i="68"/>
  <c r="AF52" i="68"/>
  <c r="B50" i="68"/>
  <c r="D50" i="68"/>
  <c r="E50" i="68"/>
  <c r="G50" i="68"/>
  <c r="H50" i="68"/>
  <c r="J50" i="68"/>
  <c r="K50" i="68"/>
  <c r="M50" i="68"/>
  <c r="N50" i="68"/>
  <c r="P50" i="68"/>
  <c r="Q50" i="68"/>
  <c r="S50" i="68"/>
  <c r="T50" i="68"/>
  <c r="V50" i="68"/>
  <c r="W50" i="68"/>
  <c r="Y50" i="68"/>
  <c r="Z50" i="68"/>
  <c r="AB50" i="68"/>
  <c r="AC50" i="68"/>
  <c r="AE50" i="68"/>
  <c r="AF50" i="68"/>
  <c r="AG50" i="68"/>
  <c r="B49" i="68"/>
  <c r="D49" i="68"/>
  <c r="E49" i="68"/>
  <c r="G49" i="68"/>
  <c r="H49" i="68"/>
  <c r="J49" i="68"/>
  <c r="K49" i="68"/>
  <c r="M49" i="68"/>
  <c r="N49" i="68"/>
  <c r="P49" i="68"/>
  <c r="Q49" i="68"/>
  <c r="S49" i="68"/>
  <c r="T49" i="68"/>
  <c r="V49" i="68"/>
  <c r="W49" i="68"/>
  <c r="Y49" i="68"/>
  <c r="Z49" i="68"/>
  <c r="AB49" i="68"/>
  <c r="AC49" i="68"/>
  <c r="AE49" i="68"/>
  <c r="AF49" i="68"/>
  <c r="AG49" i="68"/>
  <c r="B48" i="68"/>
  <c r="D48" i="68"/>
  <c r="E48" i="68"/>
  <c r="G48" i="68"/>
  <c r="H48" i="68"/>
  <c r="J48" i="68"/>
  <c r="K48" i="68"/>
  <c r="M48" i="68"/>
  <c r="N48" i="68"/>
  <c r="P48" i="68"/>
  <c r="Q48" i="68"/>
  <c r="S48" i="68"/>
  <c r="T48" i="68"/>
  <c r="V48" i="68"/>
  <c r="W48" i="68"/>
  <c r="Y48" i="68"/>
  <c r="Z48" i="68"/>
  <c r="AB48" i="68"/>
  <c r="AC48" i="68"/>
  <c r="AE48" i="68"/>
  <c r="AF48" i="68"/>
  <c r="AG48" i="68"/>
  <c r="B47" i="68"/>
  <c r="D47" i="68"/>
  <c r="E47" i="68"/>
  <c r="G47" i="68"/>
  <c r="H47" i="68"/>
  <c r="J47" i="68"/>
  <c r="K47" i="68"/>
  <c r="M47" i="68"/>
  <c r="N47" i="68"/>
  <c r="P47" i="68"/>
  <c r="Q47" i="68"/>
  <c r="S47" i="68"/>
  <c r="T47" i="68"/>
  <c r="V47" i="68"/>
  <c r="W47" i="68"/>
  <c r="Y47" i="68"/>
  <c r="Z47" i="68"/>
  <c r="AB47" i="68"/>
  <c r="AC47" i="68"/>
  <c r="AE47" i="68"/>
  <c r="AF47" i="68"/>
  <c r="AG47" i="68"/>
  <c r="B46" i="68"/>
  <c r="D46" i="68"/>
  <c r="E46" i="68"/>
  <c r="G46" i="68"/>
  <c r="H46" i="68"/>
  <c r="J46" i="68"/>
  <c r="K46" i="68"/>
  <c r="M46" i="68"/>
  <c r="N46" i="68"/>
  <c r="P46" i="68"/>
  <c r="Q46" i="68"/>
  <c r="S46" i="68"/>
  <c r="T46" i="68"/>
  <c r="V46" i="68"/>
  <c r="W46" i="68"/>
  <c r="Y46" i="68"/>
  <c r="Z46" i="68"/>
  <c r="AB46" i="68"/>
  <c r="AC46" i="68"/>
  <c r="AE46" i="68"/>
  <c r="AF46" i="68"/>
  <c r="AG46" i="68"/>
  <c r="AE30" i="68"/>
  <c r="AC30" i="68"/>
  <c r="AB30" i="68"/>
  <c r="Z30" i="68"/>
  <c r="Y30" i="68"/>
  <c r="W30" i="68"/>
  <c r="V30" i="68"/>
  <c r="T30" i="68"/>
  <c r="S30" i="68"/>
  <c r="Q30" i="68"/>
  <c r="P30" i="68"/>
  <c r="N30" i="68"/>
  <c r="M30" i="68"/>
  <c r="K30" i="68"/>
  <c r="J30" i="68"/>
  <c r="H30" i="68"/>
  <c r="G30" i="68"/>
  <c r="E30" i="68"/>
  <c r="D30" i="68"/>
  <c r="B30" i="68"/>
  <c r="AD29" i="68"/>
  <c r="AA29" i="68"/>
  <c r="X29" i="68"/>
  <c r="U29" i="68"/>
  <c r="R29" i="68"/>
  <c r="O29" i="68"/>
  <c r="L29" i="68"/>
  <c r="I29" i="68"/>
  <c r="F29" i="68"/>
  <c r="A29" i="68"/>
  <c r="AG28" i="68"/>
  <c r="AH28" i="68"/>
  <c r="AI28" i="68"/>
  <c r="AJ28" i="68"/>
  <c r="AK28" i="68"/>
  <c r="AL28" i="68"/>
  <c r="AM28" i="68"/>
  <c r="AN28" i="68"/>
  <c r="AO28" i="68"/>
  <c r="AP28" i="68"/>
  <c r="AQ28" i="68"/>
  <c r="AF28" i="68"/>
  <c r="AD28" i="68"/>
  <c r="AA28" i="68"/>
  <c r="X28" i="68"/>
  <c r="U28" i="68"/>
  <c r="R28" i="68"/>
  <c r="O28" i="68"/>
  <c r="L28" i="68"/>
  <c r="I28" i="68"/>
  <c r="F28" i="68"/>
  <c r="A28" i="68"/>
  <c r="AG27" i="68"/>
  <c r="AH27" i="68"/>
  <c r="AI27" i="68"/>
  <c r="AJ27" i="68"/>
  <c r="AK27" i="68"/>
  <c r="AL27" i="68"/>
  <c r="AM27" i="68"/>
  <c r="AN27" i="68"/>
  <c r="AO27" i="68"/>
  <c r="AP27" i="68"/>
  <c r="AQ27" i="68"/>
  <c r="AF27" i="68"/>
  <c r="AD27" i="68"/>
  <c r="AA27" i="68"/>
  <c r="X27" i="68"/>
  <c r="U27" i="68"/>
  <c r="R27" i="68"/>
  <c r="O27" i="68"/>
  <c r="L27" i="68"/>
  <c r="I27" i="68"/>
  <c r="F27" i="68"/>
  <c r="A27" i="68"/>
  <c r="AG26" i="68"/>
  <c r="AH26" i="68"/>
  <c r="AI26" i="68"/>
  <c r="AJ26" i="68"/>
  <c r="AK26" i="68"/>
  <c r="AL26" i="68"/>
  <c r="AM26" i="68"/>
  <c r="AN26" i="68"/>
  <c r="AO26" i="68"/>
  <c r="AP26" i="68"/>
  <c r="AQ26" i="68"/>
  <c r="AF26" i="68"/>
  <c r="AD26" i="68"/>
  <c r="AA26" i="68"/>
  <c r="X26" i="68"/>
  <c r="U26" i="68"/>
  <c r="R26" i="68"/>
  <c r="O26" i="68"/>
  <c r="L26" i="68"/>
  <c r="I26" i="68"/>
  <c r="F26" i="68"/>
  <c r="A26" i="68"/>
  <c r="AG25" i="68"/>
  <c r="AH25" i="68"/>
  <c r="AI25" i="68"/>
  <c r="AJ25" i="68"/>
  <c r="AK25" i="68"/>
  <c r="AL25" i="68"/>
  <c r="AM25" i="68"/>
  <c r="AN25" i="68"/>
  <c r="AO25" i="68"/>
  <c r="AP25" i="68"/>
  <c r="AQ25" i="68"/>
  <c r="AF25" i="68"/>
  <c r="AD25" i="68"/>
  <c r="AA25" i="68"/>
  <c r="X25" i="68"/>
  <c r="U25" i="68"/>
  <c r="R25" i="68"/>
  <c r="O25" i="68"/>
  <c r="L25" i="68"/>
  <c r="I25" i="68"/>
  <c r="F25" i="68"/>
  <c r="AG24" i="68"/>
  <c r="AH24" i="68"/>
  <c r="AI24" i="68"/>
  <c r="AJ24" i="68"/>
  <c r="AK24" i="68"/>
  <c r="AL24" i="68"/>
  <c r="AM24" i="68"/>
  <c r="AN24" i="68"/>
  <c r="AO24" i="68"/>
  <c r="AP24" i="68"/>
  <c r="AQ24" i="68"/>
  <c r="AF24" i="68"/>
  <c r="AD24" i="68"/>
  <c r="AA24" i="68"/>
  <c r="X24" i="68"/>
  <c r="U24" i="68"/>
  <c r="R24" i="68"/>
  <c r="O24" i="68"/>
  <c r="L24" i="68"/>
  <c r="I24" i="68"/>
  <c r="F24" i="68"/>
  <c r="AC22" i="68"/>
  <c r="Z22" i="68"/>
  <c r="W22" i="68"/>
  <c r="T22" i="68"/>
  <c r="Q22" i="68"/>
  <c r="N22" i="68"/>
  <c r="K22" i="68"/>
  <c r="H22" i="68"/>
  <c r="E22" i="68"/>
  <c r="E17" i="68"/>
  <c r="AC16" i="68"/>
  <c r="Z16" i="68"/>
  <c r="W16" i="68"/>
  <c r="R16" i="68"/>
  <c r="L16" i="68"/>
  <c r="A16" i="68"/>
  <c r="AC14" i="68"/>
  <c r="Z14" i="68"/>
  <c r="W14" i="68"/>
  <c r="R14" i="68"/>
  <c r="L14" i="68"/>
  <c r="A14" i="68"/>
  <c r="AY12" i="68"/>
  <c r="AC12" i="68"/>
  <c r="Z12" i="68"/>
  <c r="W12" i="68"/>
  <c r="R12" i="68"/>
  <c r="L12" i="68"/>
  <c r="A12" i="68"/>
  <c r="AX11" i="68"/>
  <c r="AY11" i="68"/>
  <c r="AY10" i="68"/>
  <c r="AC10" i="68"/>
  <c r="Z10" i="68"/>
  <c r="W10" i="68"/>
  <c r="R10" i="68"/>
  <c r="L10" i="68"/>
  <c r="A10" i="68"/>
  <c r="AY9" i="68"/>
  <c r="AY8" i="68"/>
  <c r="AC8" i="68"/>
  <c r="Z8" i="68"/>
  <c r="W8" i="68"/>
  <c r="R8" i="68"/>
  <c r="L8" i="68"/>
  <c r="A8" i="68"/>
  <c r="AY7" i="68"/>
  <c r="R7" i="68"/>
  <c r="L7" i="68"/>
  <c r="AY6" i="68"/>
  <c r="K6" i="68"/>
  <c r="AX5" i="68"/>
  <c r="AY5" i="68"/>
  <c r="AY4" i="68"/>
  <c r="AY3" i="68"/>
  <c r="W439" i="67"/>
  <c r="W440" i="67"/>
  <c r="W441" i="67"/>
  <c r="W442" i="67"/>
  <c r="Y439" i="67"/>
  <c r="Y440" i="67"/>
  <c r="Y441" i="67"/>
  <c r="Y442" i="67"/>
  <c r="AC438" i="67"/>
  <c r="Z439" i="67"/>
  <c r="Z440" i="67"/>
  <c r="Z441" i="67"/>
  <c r="Z442" i="67"/>
  <c r="AB439" i="67"/>
  <c r="AB440" i="67"/>
  <c r="AB441" i="67"/>
  <c r="AB442" i="67"/>
  <c r="AE438" i="67"/>
  <c r="E269" i="67"/>
  <c r="AF352" i="67"/>
  <c r="X433" i="67"/>
  <c r="W450" i="67"/>
  <c r="E8" i="67"/>
  <c r="B79" i="67"/>
  <c r="AT79" i="67"/>
  <c r="E10" i="67"/>
  <c r="B80" i="67"/>
  <c r="AT80" i="67"/>
  <c r="E12" i="67"/>
  <c r="B81" i="67"/>
  <c r="AT81" i="67"/>
  <c r="E14" i="67"/>
  <c r="B82" i="67"/>
  <c r="AT82" i="67"/>
  <c r="AC31" i="67"/>
  <c r="AC32" i="67"/>
  <c r="AC33" i="67"/>
  <c r="AC34" i="67"/>
  <c r="AC35" i="67"/>
  <c r="AC64" i="67"/>
  <c r="AE64" i="67"/>
  <c r="AC65" i="67"/>
  <c r="AE31" i="67"/>
  <c r="AE32" i="67"/>
  <c r="AE33" i="67"/>
  <c r="AE34" i="67"/>
  <c r="AE35" i="67"/>
  <c r="AE65" i="67"/>
  <c r="AC66" i="67"/>
  <c r="AE66" i="67"/>
  <c r="AC67" i="67"/>
  <c r="AE67" i="67"/>
  <c r="AC68" i="67"/>
  <c r="AE68" i="67"/>
  <c r="AD71" i="67"/>
  <c r="AC72" i="67"/>
  <c r="Z72" i="67"/>
  <c r="AB72" i="67"/>
  <c r="W31" i="67"/>
  <c r="W32" i="67"/>
  <c r="W33" i="67"/>
  <c r="W34" i="67"/>
  <c r="W35" i="67"/>
  <c r="W64" i="67"/>
  <c r="Y64" i="67"/>
  <c r="W65" i="67"/>
  <c r="Y65" i="67"/>
  <c r="W66" i="67"/>
  <c r="Y66" i="67"/>
  <c r="W67" i="67"/>
  <c r="Y67" i="67"/>
  <c r="W68" i="67"/>
  <c r="Y31" i="67"/>
  <c r="Y32" i="67"/>
  <c r="Y33" i="67"/>
  <c r="Y34" i="67"/>
  <c r="Y35" i="67"/>
  <c r="Y68" i="67"/>
  <c r="X71" i="67"/>
  <c r="W72" i="67"/>
  <c r="T72" i="67"/>
  <c r="V72" i="67"/>
  <c r="Q72" i="67"/>
  <c r="S72" i="67"/>
  <c r="N31" i="67"/>
  <c r="N32" i="67"/>
  <c r="N33" i="67"/>
  <c r="N34" i="67"/>
  <c r="N35" i="67"/>
  <c r="N64" i="67"/>
  <c r="P64" i="67"/>
  <c r="N65" i="67"/>
  <c r="P65" i="67"/>
  <c r="N66" i="67"/>
  <c r="P31" i="67"/>
  <c r="P32" i="67"/>
  <c r="P33" i="67"/>
  <c r="P34" i="67"/>
  <c r="P35" i="67"/>
  <c r="P66" i="67"/>
  <c r="N67" i="67"/>
  <c r="P67" i="67"/>
  <c r="N68" i="67"/>
  <c r="P68" i="67"/>
  <c r="O71" i="67"/>
  <c r="N72" i="67"/>
  <c r="K72" i="67"/>
  <c r="M72" i="67"/>
  <c r="H72" i="67"/>
  <c r="J72" i="67"/>
  <c r="E31" i="67"/>
  <c r="E32" i="67"/>
  <c r="E33" i="67"/>
  <c r="E34" i="67"/>
  <c r="E35" i="67"/>
  <c r="E64" i="67"/>
  <c r="G64" i="67"/>
  <c r="E65" i="67"/>
  <c r="G65" i="67"/>
  <c r="E66" i="67"/>
  <c r="G66" i="67"/>
  <c r="E67" i="67"/>
  <c r="G31" i="67"/>
  <c r="G32" i="67"/>
  <c r="G33" i="67"/>
  <c r="G34" i="67"/>
  <c r="G35" i="67"/>
  <c r="G67" i="67"/>
  <c r="E68" i="67"/>
  <c r="G68" i="67"/>
  <c r="F71" i="67"/>
  <c r="E72" i="67"/>
  <c r="B72" i="67"/>
  <c r="D72" i="67"/>
  <c r="E36" i="67"/>
  <c r="B75" i="67"/>
  <c r="D75" i="67"/>
  <c r="G36" i="67"/>
  <c r="N36" i="67"/>
  <c r="K74" i="67"/>
  <c r="M74" i="67"/>
  <c r="H64" i="67"/>
  <c r="J64" i="67"/>
  <c r="H65" i="67"/>
  <c r="J65" i="67"/>
  <c r="H31" i="67"/>
  <c r="H32" i="67"/>
  <c r="H33" i="67"/>
  <c r="H34" i="67"/>
  <c r="H35" i="67"/>
  <c r="H66" i="67"/>
  <c r="J66" i="67"/>
  <c r="H67" i="67"/>
  <c r="J67" i="67"/>
  <c r="H68" i="67"/>
  <c r="J31" i="67"/>
  <c r="J32" i="67"/>
  <c r="J33" i="67"/>
  <c r="J34" i="67"/>
  <c r="J35" i="67"/>
  <c r="J68" i="67"/>
  <c r="I71" i="67"/>
  <c r="H74" i="67"/>
  <c r="E74" i="67"/>
  <c r="G74" i="67"/>
  <c r="B74" i="67"/>
  <c r="D74" i="67"/>
  <c r="H36" i="67"/>
  <c r="E76" i="67"/>
  <c r="G76" i="67"/>
  <c r="B76" i="67"/>
  <c r="B64" i="67"/>
  <c r="D64" i="67"/>
  <c r="B31" i="67"/>
  <c r="B32" i="67"/>
  <c r="B33" i="67"/>
  <c r="B34" i="67"/>
  <c r="B35" i="67"/>
  <c r="B65" i="67"/>
  <c r="D65" i="67"/>
  <c r="B66" i="67"/>
  <c r="D66" i="67"/>
  <c r="B67" i="67"/>
  <c r="D67" i="67"/>
  <c r="B68" i="67"/>
  <c r="D31" i="67"/>
  <c r="D32" i="67"/>
  <c r="D33" i="67"/>
  <c r="D34" i="67"/>
  <c r="D35" i="67"/>
  <c r="D68" i="67"/>
  <c r="C71" i="67"/>
  <c r="D76" i="67"/>
  <c r="E16" i="67"/>
  <c r="B83" i="67"/>
  <c r="D36" i="67"/>
  <c r="B36" i="67"/>
  <c r="J36" i="67"/>
  <c r="P36" i="67"/>
  <c r="W36" i="67"/>
  <c r="T76" i="67"/>
  <c r="V76" i="67"/>
  <c r="Q76" i="67"/>
  <c r="Q64" i="67"/>
  <c r="S64" i="67"/>
  <c r="Q65" i="67"/>
  <c r="S65" i="67"/>
  <c r="Q66" i="67"/>
  <c r="S66" i="67"/>
  <c r="Q31" i="67"/>
  <c r="Q32" i="67"/>
  <c r="Q33" i="67"/>
  <c r="Q34" i="67"/>
  <c r="Q35" i="67"/>
  <c r="Q67" i="67"/>
  <c r="S67" i="67"/>
  <c r="Q68" i="67"/>
  <c r="S31" i="67"/>
  <c r="S32" i="67"/>
  <c r="S33" i="67"/>
  <c r="S34" i="67"/>
  <c r="S35" i="67"/>
  <c r="S68" i="67"/>
  <c r="R71" i="67"/>
  <c r="S76" i="67"/>
  <c r="N76" i="67"/>
  <c r="P76" i="67"/>
  <c r="K76" i="67"/>
  <c r="M76" i="67"/>
  <c r="H76" i="67"/>
  <c r="J76" i="67"/>
  <c r="S36" i="67"/>
  <c r="N75" i="67"/>
  <c r="P75" i="67"/>
  <c r="K75" i="67"/>
  <c r="K64" i="67"/>
  <c r="M64" i="67"/>
  <c r="K31" i="67"/>
  <c r="K32" i="67"/>
  <c r="K33" i="67"/>
  <c r="K34" i="67"/>
  <c r="K35" i="67"/>
  <c r="K65" i="67"/>
  <c r="M65" i="67"/>
  <c r="K66" i="67"/>
  <c r="M66" i="67"/>
  <c r="K67" i="67"/>
  <c r="M31" i="67"/>
  <c r="M32" i="67"/>
  <c r="M33" i="67"/>
  <c r="M34" i="67"/>
  <c r="M35" i="67"/>
  <c r="M67" i="67"/>
  <c r="K68" i="67"/>
  <c r="M68" i="67"/>
  <c r="L71" i="67"/>
  <c r="M75" i="67"/>
  <c r="H75" i="67"/>
  <c r="J75" i="67"/>
  <c r="E75" i="67"/>
  <c r="G75" i="67"/>
  <c r="M36" i="67"/>
  <c r="H73" i="67"/>
  <c r="J73" i="67"/>
  <c r="E73" i="67"/>
  <c r="G73" i="67"/>
  <c r="B73" i="67"/>
  <c r="K36" i="67"/>
  <c r="Q36" i="67"/>
  <c r="Y36" i="67"/>
  <c r="W86" i="67"/>
  <c r="W87" i="67"/>
  <c r="Y79" i="67"/>
  <c r="AB79" i="67"/>
  <c r="AC85" i="67"/>
  <c r="AC36" i="67"/>
  <c r="Z73" i="67"/>
  <c r="AB73" i="67"/>
  <c r="W73" i="67"/>
  <c r="Y73" i="67"/>
  <c r="T64" i="67"/>
  <c r="V64" i="67"/>
  <c r="T31" i="67"/>
  <c r="T32" i="67"/>
  <c r="T33" i="67"/>
  <c r="T34" i="67"/>
  <c r="T35" i="67"/>
  <c r="T65" i="67"/>
  <c r="V65" i="67"/>
  <c r="T66" i="67"/>
  <c r="V31" i="67"/>
  <c r="V32" i="67"/>
  <c r="V33" i="67"/>
  <c r="V34" i="67"/>
  <c r="V35" i="67"/>
  <c r="V66" i="67"/>
  <c r="T67" i="67"/>
  <c r="V67" i="67"/>
  <c r="T68" i="67"/>
  <c r="V68" i="67"/>
  <c r="U71" i="67"/>
  <c r="T73" i="67"/>
  <c r="Q73" i="67"/>
  <c r="S73" i="67"/>
  <c r="N73" i="67"/>
  <c r="P73" i="67"/>
  <c r="K73" i="67"/>
  <c r="T36" i="67"/>
  <c r="Q74" i="67"/>
  <c r="S74" i="67"/>
  <c r="N74" i="67"/>
  <c r="P74" i="67"/>
  <c r="V36" i="67"/>
  <c r="T86" i="67"/>
  <c r="T87" i="67"/>
  <c r="V80" i="67"/>
  <c r="Y80" i="67"/>
  <c r="AB80" i="67"/>
  <c r="AE85" i="67"/>
  <c r="AE36" i="67"/>
  <c r="AC86" i="67"/>
  <c r="AC87" i="67"/>
  <c r="AE79" i="67"/>
  <c r="AU79" i="67"/>
  <c r="AC73" i="67"/>
  <c r="AE73" i="67"/>
  <c r="AE86" i="67"/>
  <c r="AE87" i="67"/>
  <c r="AE80" i="67"/>
  <c r="AU80" i="67"/>
  <c r="AC74" i="67"/>
  <c r="AE74" i="67"/>
  <c r="Z64" i="67"/>
  <c r="AB64" i="67"/>
  <c r="Z65" i="67"/>
  <c r="AB65" i="67"/>
  <c r="Z31" i="67"/>
  <c r="Z32" i="67"/>
  <c r="Z33" i="67"/>
  <c r="Z34" i="67"/>
  <c r="Z35" i="67"/>
  <c r="Z66" i="67"/>
  <c r="AB66" i="67"/>
  <c r="Z67" i="67"/>
  <c r="AB31" i="67"/>
  <c r="AB32" i="67"/>
  <c r="AB33" i="67"/>
  <c r="AB34" i="67"/>
  <c r="AB35" i="67"/>
  <c r="AB67" i="67"/>
  <c r="Z68" i="67"/>
  <c r="AB68" i="67"/>
  <c r="AA71" i="67"/>
  <c r="Z74" i="67"/>
  <c r="W74" i="67"/>
  <c r="Y74" i="67"/>
  <c r="T74" i="67"/>
  <c r="V74" i="67"/>
  <c r="Z36" i="67"/>
  <c r="W75" i="67"/>
  <c r="Y75" i="67"/>
  <c r="T75" i="67"/>
  <c r="V75" i="67"/>
  <c r="Q75" i="67"/>
  <c r="AB36" i="67"/>
  <c r="Z86" i="67"/>
  <c r="Z87" i="67"/>
  <c r="AB81" i="67"/>
  <c r="AE81" i="67"/>
  <c r="AU81" i="67"/>
  <c r="AC75" i="67"/>
  <c r="AE75" i="67"/>
  <c r="Z75" i="67"/>
  <c r="AB75" i="67"/>
  <c r="AT83" i="67"/>
  <c r="AC76" i="67"/>
  <c r="AE76" i="67"/>
  <c r="Z76" i="67"/>
  <c r="AB76" i="67"/>
  <c r="W76" i="67"/>
  <c r="Y76" i="67"/>
  <c r="E93" i="67"/>
  <c r="B164" i="67"/>
  <c r="AT164" i="67"/>
  <c r="AC116" i="67"/>
  <c r="AC117" i="67"/>
  <c r="AC118" i="67"/>
  <c r="AC119" i="67"/>
  <c r="AC120" i="67"/>
  <c r="AC149" i="67"/>
  <c r="AE149" i="67"/>
  <c r="AC150" i="67"/>
  <c r="AE116" i="67"/>
  <c r="AE117" i="67"/>
  <c r="AE118" i="67"/>
  <c r="AE119" i="67"/>
  <c r="AE120" i="67"/>
  <c r="AE150" i="67"/>
  <c r="AC151" i="67"/>
  <c r="AE151" i="67"/>
  <c r="AC152" i="67"/>
  <c r="AE152" i="67"/>
  <c r="AC153" i="67"/>
  <c r="AE153" i="67"/>
  <c r="AD156" i="67"/>
  <c r="AC157" i="67"/>
  <c r="Z157" i="67"/>
  <c r="AB157" i="67"/>
  <c r="W116" i="67"/>
  <c r="W117" i="67"/>
  <c r="W118" i="67"/>
  <c r="W119" i="67"/>
  <c r="W120" i="67"/>
  <c r="W149" i="67"/>
  <c r="Y149" i="67"/>
  <c r="W150" i="67"/>
  <c r="Y150" i="67"/>
  <c r="W151" i="67"/>
  <c r="Y151" i="67"/>
  <c r="W152" i="67"/>
  <c r="Y152" i="67"/>
  <c r="W153" i="67"/>
  <c r="Y116" i="67"/>
  <c r="Y117" i="67"/>
  <c r="Y118" i="67"/>
  <c r="Y119" i="67"/>
  <c r="Y120" i="67"/>
  <c r="Y153" i="67"/>
  <c r="X156" i="67"/>
  <c r="W157" i="67"/>
  <c r="T157" i="67"/>
  <c r="V157" i="67"/>
  <c r="Q157" i="67"/>
  <c r="S157" i="67"/>
  <c r="N116" i="67"/>
  <c r="N117" i="67"/>
  <c r="N118" i="67"/>
  <c r="N119" i="67"/>
  <c r="N120" i="67"/>
  <c r="N149" i="67"/>
  <c r="P149" i="67"/>
  <c r="N150" i="67"/>
  <c r="P150" i="67"/>
  <c r="N151" i="67"/>
  <c r="P116" i="67"/>
  <c r="P117" i="67"/>
  <c r="P118" i="67"/>
  <c r="P119" i="67"/>
  <c r="P120" i="67"/>
  <c r="P151" i="67"/>
  <c r="N152" i="67"/>
  <c r="P152" i="67"/>
  <c r="N153" i="67"/>
  <c r="P153" i="67"/>
  <c r="O156" i="67"/>
  <c r="N157" i="67"/>
  <c r="K157" i="67"/>
  <c r="M157" i="67"/>
  <c r="H157" i="67"/>
  <c r="J157" i="67"/>
  <c r="E116" i="67"/>
  <c r="E117" i="67"/>
  <c r="E118" i="67"/>
  <c r="E119" i="67"/>
  <c r="E120" i="67"/>
  <c r="E149" i="67"/>
  <c r="G149" i="67"/>
  <c r="E150" i="67"/>
  <c r="G150" i="67"/>
  <c r="E151" i="67"/>
  <c r="G151" i="67"/>
  <c r="E152" i="67"/>
  <c r="G116" i="67"/>
  <c r="G117" i="67"/>
  <c r="G118" i="67"/>
  <c r="G119" i="67"/>
  <c r="G120" i="67"/>
  <c r="G152" i="67"/>
  <c r="E153" i="67"/>
  <c r="G153" i="67"/>
  <c r="F156" i="67"/>
  <c r="E157" i="67"/>
  <c r="B157" i="67"/>
  <c r="D157" i="67"/>
  <c r="E121" i="67"/>
  <c r="B160" i="67"/>
  <c r="D160" i="67"/>
  <c r="E99" i="67"/>
  <c r="B167" i="67"/>
  <c r="G121" i="67"/>
  <c r="N121" i="67"/>
  <c r="K159" i="67"/>
  <c r="M159" i="67"/>
  <c r="H149" i="67"/>
  <c r="J149" i="67"/>
  <c r="H150" i="67"/>
  <c r="J150" i="67"/>
  <c r="H116" i="67"/>
  <c r="H117" i="67"/>
  <c r="H118" i="67"/>
  <c r="H119" i="67"/>
  <c r="H120" i="67"/>
  <c r="H151" i="67"/>
  <c r="J151" i="67"/>
  <c r="H152" i="67"/>
  <c r="J152" i="67"/>
  <c r="H153" i="67"/>
  <c r="J116" i="67"/>
  <c r="J117" i="67"/>
  <c r="J118" i="67"/>
  <c r="J119" i="67"/>
  <c r="J120" i="67"/>
  <c r="J153" i="67"/>
  <c r="I156" i="67"/>
  <c r="H159" i="67"/>
  <c r="E159" i="67"/>
  <c r="G159" i="67"/>
  <c r="B159" i="67"/>
  <c r="D159" i="67"/>
  <c r="E97" i="67"/>
  <c r="B166" i="67"/>
  <c r="H121" i="67"/>
  <c r="E161" i="67"/>
  <c r="G161" i="67"/>
  <c r="B161" i="67"/>
  <c r="B149" i="67"/>
  <c r="D149" i="67"/>
  <c r="B116" i="67"/>
  <c r="B117" i="67"/>
  <c r="B118" i="67"/>
  <c r="B119" i="67"/>
  <c r="B120" i="67"/>
  <c r="B150" i="67"/>
  <c r="D150" i="67"/>
  <c r="B151" i="67"/>
  <c r="D151" i="67"/>
  <c r="B152" i="67"/>
  <c r="D152" i="67"/>
  <c r="B153" i="67"/>
  <c r="D116" i="67"/>
  <c r="D117" i="67"/>
  <c r="D118" i="67"/>
  <c r="D119" i="67"/>
  <c r="D120" i="67"/>
  <c r="D153" i="67"/>
  <c r="C156" i="67"/>
  <c r="D161" i="67"/>
  <c r="E101" i="67"/>
  <c r="B168" i="67"/>
  <c r="D121" i="67"/>
  <c r="E95" i="67"/>
  <c r="B165" i="67"/>
  <c r="B121" i="67"/>
  <c r="J121" i="67"/>
  <c r="P121" i="67"/>
  <c r="W121" i="67"/>
  <c r="T161" i="67"/>
  <c r="V161" i="67"/>
  <c r="Q161" i="67"/>
  <c r="Q149" i="67"/>
  <c r="S149" i="67"/>
  <c r="Q150" i="67"/>
  <c r="S150" i="67"/>
  <c r="Q151" i="67"/>
  <c r="S151" i="67"/>
  <c r="Q116" i="67"/>
  <c r="Q117" i="67"/>
  <c r="Q118" i="67"/>
  <c r="Q119" i="67"/>
  <c r="Q120" i="67"/>
  <c r="Q152" i="67"/>
  <c r="S152" i="67"/>
  <c r="Q153" i="67"/>
  <c r="S116" i="67"/>
  <c r="S117" i="67"/>
  <c r="S118" i="67"/>
  <c r="S119" i="67"/>
  <c r="S120" i="67"/>
  <c r="S153" i="67"/>
  <c r="R156" i="67"/>
  <c r="S161" i="67"/>
  <c r="N161" i="67"/>
  <c r="P161" i="67"/>
  <c r="K161" i="67"/>
  <c r="M161" i="67"/>
  <c r="H161" i="67"/>
  <c r="J161" i="67"/>
  <c r="S121" i="67"/>
  <c r="N160" i="67"/>
  <c r="P160" i="67"/>
  <c r="K160" i="67"/>
  <c r="K149" i="67"/>
  <c r="M149" i="67"/>
  <c r="K116" i="67"/>
  <c r="K117" i="67"/>
  <c r="K118" i="67"/>
  <c r="K119" i="67"/>
  <c r="K120" i="67"/>
  <c r="K150" i="67"/>
  <c r="M150" i="67"/>
  <c r="K151" i="67"/>
  <c r="M151" i="67"/>
  <c r="K152" i="67"/>
  <c r="M116" i="67"/>
  <c r="M117" i="67"/>
  <c r="M118" i="67"/>
  <c r="M119" i="67"/>
  <c r="M120" i="67"/>
  <c r="M152" i="67"/>
  <c r="K153" i="67"/>
  <c r="M153" i="67"/>
  <c r="L156" i="67"/>
  <c r="M160" i="67"/>
  <c r="H160" i="67"/>
  <c r="J160" i="67"/>
  <c r="E160" i="67"/>
  <c r="G160" i="67"/>
  <c r="M121" i="67"/>
  <c r="H158" i="67"/>
  <c r="J158" i="67"/>
  <c r="E158" i="67"/>
  <c r="G158" i="67"/>
  <c r="B158" i="67"/>
  <c r="K121" i="67"/>
  <c r="Q121" i="67"/>
  <c r="Y121" i="67"/>
  <c r="W171" i="67"/>
  <c r="W172" i="67"/>
  <c r="Y164" i="67"/>
  <c r="AB164" i="67"/>
  <c r="AC170" i="67"/>
  <c r="AC121" i="67"/>
  <c r="Z158" i="67"/>
  <c r="AB158" i="67"/>
  <c r="W158" i="67"/>
  <c r="Y158" i="67"/>
  <c r="T149" i="67"/>
  <c r="V149" i="67"/>
  <c r="T116" i="67"/>
  <c r="T117" i="67"/>
  <c r="T118" i="67"/>
  <c r="T119" i="67"/>
  <c r="T120" i="67"/>
  <c r="T150" i="67"/>
  <c r="V150" i="67"/>
  <c r="T151" i="67"/>
  <c r="V116" i="67"/>
  <c r="V117" i="67"/>
  <c r="V118" i="67"/>
  <c r="V119" i="67"/>
  <c r="V120" i="67"/>
  <c r="V151" i="67"/>
  <c r="T152" i="67"/>
  <c r="V152" i="67"/>
  <c r="T153" i="67"/>
  <c r="V153" i="67"/>
  <c r="U156" i="67"/>
  <c r="T158" i="67"/>
  <c r="Q158" i="67"/>
  <c r="S158" i="67"/>
  <c r="N158" i="67"/>
  <c r="P158" i="67"/>
  <c r="K158" i="67"/>
  <c r="K171" i="67"/>
  <c r="K172" i="67"/>
  <c r="M165" i="67"/>
  <c r="P165" i="67"/>
  <c r="S165" i="67"/>
  <c r="T170" i="67"/>
  <c r="T121" i="67"/>
  <c r="Q159" i="67"/>
  <c r="S159" i="67"/>
  <c r="N159" i="67"/>
  <c r="P159" i="67"/>
  <c r="P171" i="67"/>
  <c r="P172" i="67"/>
  <c r="P166" i="67"/>
  <c r="S166" i="67"/>
  <c r="V170" i="67"/>
  <c r="V121" i="67"/>
  <c r="T171" i="67"/>
  <c r="T172" i="67"/>
  <c r="V165" i="67"/>
  <c r="Y165" i="67"/>
  <c r="AB165" i="67"/>
  <c r="AE170" i="67"/>
  <c r="AE121" i="67"/>
  <c r="AC171" i="67"/>
  <c r="AC172" i="67"/>
  <c r="AE164" i="67"/>
  <c r="AU164" i="67"/>
  <c r="AT165" i="67"/>
  <c r="AC158" i="67"/>
  <c r="AE158" i="67"/>
  <c r="AE171" i="67"/>
  <c r="AE172" i="67"/>
  <c r="AE165" i="67"/>
  <c r="AU165" i="67"/>
  <c r="AT166" i="67"/>
  <c r="AC159" i="67"/>
  <c r="AE159" i="67"/>
  <c r="Z149" i="67"/>
  <c r="AB149" i="67"/>
  <c r="Z150" i="67"/>
  <c r="AB150" i="67"/>
  <c r="Z116" i="67"/>
  <c r="Z117" i="67"/>
  <c r="Z118" i="67"/>
  <c r="Z119" i="67"/>
  <c r="Z120" i="67"/>
  <c r="Z151" i="67"/>
  <c r="AB151" i="67"/>
  <c r="Z152" i="67"/>
  <c r="AB116" i="67"/>
  <c r="AB117" i="67"/>
  <c r="AB118" i="67"/>
  <c r="AB119" i="67"/>
  <c r="AB120" i="67"/>
  <c r="AB152" i="67"/>
  <c r="Z153" i="67"/>
  <c r="AB153" i="67"/>
  <c r="AA156" i="67"/>
  <c r="Z159" i="67"/>
  <c r="W159" i="67"/>
  <c r="Y159" i="67"/>
  <c r="T159" i="67"/>
  <c r="V159" i="67"/>
  <c r="V171" i="67"/>
  <c r="V172" i="67"/>
  <c r="V166" i="67"/>
  <c r="Y166" i="67"/>
  <c r="Z170" i="67"/>
  <c r="Z121" i="67"/>
  <c r="W160" i="67"/>
  <c r="Y160" i="67"/>
  <c r="T160" i="67"/>
  <c r="V160" i="67"/>
  <c r="Q160" i="67"/>
  <c r="Q171" i="67"/>
  <c r="Q172" i="67"/>
  <c r="S167" i="67"/>
  <c r="V167" i="67"/>
  <c r="Y167" i="67"/>
  <c r="AB170" i="67"/>
  <c r="AB121" i="67"/>
  <c r="Z171" i="67"/>
  <c r="Z172" i="67"/>
  <c r="AB166" i="67"/>
  <c r="AE166" i="67"/>
  <c r="AU166" i="67"/>
  <c r="AT167" i="67"/>
  <c r="AC160" i="67"/>
  <c r="AE160" i="67"/>
  <c r="Z160" i="67"/>
  <c r="AB160" i="67"/>
  <c r="AB171" i="67"/>
  <c r="AB172" i="67"/>
  <c r="AB167" i="67"/>
  <c r="AE167" i="67"/>
  <c r="AU167" i="67"/>
  <c r="AT168" i="67"/>
  <c r="AC161" i="67"/>
  <c r="AE161" i="67"/>
  <c r="Z161" i="67"/>
  <c r="AB161" i="67"/>
  <c r="W161" i="67"/>
  <c r="Y161" i="67"/>
  <c r="E178" i="67"/>
  <c r="B249" i="67"/>
  <c r="AT249" i="67"/>
  <c r="AC201" i="67"/>
  <c r="AC202" i="67"/>
  <c r="AC203" i="67"/>
  <c r="AC204" i="67"/>
  <c r="AC205" i="67"/>
  <c r="AC234" i="67"/>
  <c r="AE234" i="67"/>
  <c r="AC235" i="67"/>
  <c r="AE201" i="67"/>
  <c r="AE202" i="67"/>
  <c r="AE203" i="67"/>
  <c r="AE204" i="67"/>
  <c r="AE205" i="67"/>
  <c r="AE235" i="67"/>
  <c r="AC236" i="67"/>
  <c r="AE236" i="67"/>
  <c r="AC237" i="67"/>
  <c r="AE237" i="67"/>
  <c r="AC238" i="67"/>
  <c r="AE238" i="67"/>
  <c r="AD241" i="67"/>
  <c r="AC242" i="67"/>
  <c r="Z242" i="67"/>
  <c r="AB242" i="67"/>
  <c r="W201" i="67"/>
  <c r="W202" i="67"/>
  <c r="W203" i="67"/>
  <c r="W204" i="67"/>
  <c r="W205" i="67"/>
  <c r="W234" i="67"/>
  <c r="Y234" i="67"/>
  <c r="W235" i="67"/>
  <c r="Y235" i="67"/>
  <c r="W236" i="67"/>
  <c r="Y236" i="67"/>
  <c r="W237" i="67"/>
  <c r="Y237" i="67"/>
  <c r="W238" i="67"/>
  <c r="Y201" i="67"/>
  <c r="Y202" i="67"/>
  <c r="Y203" i="67"/>
  <c r="Y204" i="67"/>
  <c r="Y205" i="67"/>
  <c r="Y238" i="67"/>
  <c r="X241" i="67"/>
  <c r="W242" i="67"/>
  <c r="T242" i="67"/>
  <c r="V242" i="67"/>
  <c r="Q242" i="67"/>
  <c r="S242" i="67"/>
  <c r="N201" i="67"/>
  <c r="N202" i="67"/>
  <c r="N203" i="67"/>
  <c r="N204" i="67"/>
  <c r="N205" i="67"/>
  <c r="N234" i="67"/>
  <c r="P234" i="67"/>
  <c r="N235" i="67"/>
  <c r="P235" i="67"/>
  <c r="N236" i="67"/>
  <c r="P201" i="67"/>
  <c r="P202" i="67"/>
  <c r="P203" i="67"/>
  <c r="P204" i="67"/>
  <c r="P205" i="67"/>
  <c r="P236" i="67"/>
  <c r="N237" i="67"/>
  <c r="P237" i="67"/>
  <c r="N238" i="67"/>
  <c r="P238" i="67"/>
  <c r="O241" i="67"/>
  <c r="N242" i="67"/>
  <c r="K242" i="67"/>
  <c r="M242" i="67"/>
  <c r="H242" i="67"/>
  <c r="J242" i="67"/>
  <c r="E201" i="67"/>
  <c r="E202" i="67"/>
  <c r="E203" i="67"/>
  <c r="E204" i="67"/>
  <c r="E205" i="67"/>
  <c r="E234" i="67"/>
  <c r="G234" i="67"/>
  <c r="E235" i="67"/>
  <c r="G235" i="67"/>
  <c r="E236" i="67"/>
  <c r="G236" i="67"/>
  <c r="E237" i="67"/>
  <c r="G201" i="67"/>
  <c r="G202" i="67"/>
  <c r="G203" i="67"/>
  <c r="G204" i="67"/>
  <c r="G205" i="67"/>
  <c r="G237" i="67"/>
  <c r="E238" i="67"/>
  <c r="G238" i="67"/>
  <c r="F241" i="67"/>
  <c r="E242" i="67"/>
  <c r="B242" i="67"/>
  <c r="D242" i="67"/>
  <c r="E206" i="67"/>
  <c r="B245" i="67"/>
  <c r="D245" i="67"/>
  <c r="E184" i="67"/>
  <c r="B252" i="67"/>
  <c r="G206" i="67"/>
  <c r="N206" i="67"/>
  <c r="K244" i="67"/>
  <c r="M244" i="67"/>
  <c r="H234" i="67"/>
  <c r="J234" i="67"/>
  <c r="H235" i="67"/>
  <c r="J235" i="67"/>
  <c r="H201" i="67"/>
  <c r="H202" i="67"/>
  <c r="H203" i="67"/>
  <c r="H204" i="67"/>
  <c r="H205" i="67"/>
  <c r="H236" i="67"/>
  <c r="J236" i="67"/>
  <c r="H237" i="67"/>
  <c r="J237" i="67"/>
  <c r="H238" i="67"/>
  <c r="J201" i="67"/>
  <c r="J202" i="67"/>
  <c r="J203" i="67"/>
  <c r="J204" i="67"/>
  <c r="J205" i="67"/>
  <c r="J238" i="67"/>
  <c r="I241" i="67"/>
  <c r="H244" i="67"/>
  <c r="E244" i="67"/>
  <c r="G244" i="67"/>
  <c r="B244" i="67"/>
  <c r="D244" i="67"/>
  <c r="E182" i="67"/>
  <c r="B251" i="67"/>
  <c r="H206" i="67"/>
  <c r="E246" i="67"/>
  <c r="G246" i="67"/>
  <c r="B246" i="67"/>
  <c r="B234" i="67"/>
  <c r="D234" i="67"/>
  <c r="B201" i="67"/>
  <c r="B202" i="67"/>
  <c r="B203" i="67"/>
  <c r="B204" i="67"/>
  <c r="B205" i="67"/>
  <c r="B235" i="67"/>
  <c r="D235" i="67"/>
  <c r="B236" i="67"/>
  <c r="D236" i="67"/>
  <c r="B237" i="67"/>
  <c r="D237" i="67"/>
  <c r="B238" i="67"/>
  <c r="D201" i="67"/>
  <c r="D202" i="67"/>
  <c r="D203" i="67"/>
  <c r="D204" i="67"/>
  <c r="D205" i="67"/>
  <c r="D238" i="67"/>
  <c r="C241" i="67"/>
  <c r="D246" i="67"/>
  <c r="E186" i="67"/>
  <c r="B253" i="67"/>
  <c r="D206" i="67"/>
  <c r="E180" i="67"/>
  <c r="B250" i="67"/>
  <c r="B206" i="67"/>
  <c r="J206" i="67"/>
  <c r="P206" i="67"/>
  <c r="N256" i="67"/>
  <c r="N257" i="67"/>
  <c r="P249" i="67"/>
  <c r="S249" i="67"/>
  <c r="V249" i="67"/>
  <c r="W255" i="67"/>
  <c r="W206" i="67"/>
  <c r="T246" i="67"/>
  <c r="V246" i="67"/>
  <c r="Q246" i="67"/>
  <c r="Q234" i="67"/>
  <c r="S234" i="67"/>
  <c r="Q235" i="67"/>
  <c r="S235" i="67"/>
  <c r="Q236" i="67"/>
  <c r="S236" i="67"/>
  <c r="Q201" i="67"/>
  <c r="Q202" i="67"/>
  <c r="Q203" i="67"/>
  <c r="Q204" i="67"/>
  <c r="Q205" i="67"/>
  <c r="Q237" i="67"/>
  <c r="S237" i="67"/>
  <c r="Q238" i="67"/>
  <c r="S201" i="67"/>
  <c r="S202" i="67"/>
  <c r="S203" i="67"/>
  <c r="S204" i="67"/>
  <c r="S205" i="67"/>
  <c r="S238" i="67"/>
  <c r="R241" i="67"/>
  <c r="S246" i="67"/>
  <c r="N246" i="67"/>
  <c r="P246" i="67"/>
  <c r="K246" i="67"/>
  <c r="M246" i="67"/>
  <c r="H246" i="67"/>
  <c r="J246" i="67"/>
  <c r="S206" i="67"/>
  <c r="N245" i="67"/>
  <c r="P245" i="67"/>
  <c r="K245" i="67"/>
  <c r="K234" i="67"/>
  <c r="M234" i="67"/>
  <c r="K201" i="67"/>
  <c r="K202" i="67"/>
  <c r="K203" i="67"/>
  <c r="K204" i="67"/>
  <c r="K205" i="67"/>
  <c r="K235" i="67"/>
  <c r="M235" i="67"/>
  <c r="K236" i="67"/>
  <c r="M236" i="67"/>
  <c r="K237" i="67"/>
  <c r="M201" i="67"/>
  <c r="M202" i="67"/>
  <c r="M203" i="67"/>
  <c r="M204" i="67"/>
  <c r="M205" i="67"/>
  <c r="M237" i="67"/>
  <c r="K238" i="67"/>
  <c r="M238" i="67"/>
  <c r="L241" i="67"/>
  <c r="M245" i="67"/>
  <c r="H245" i="67"/>
  <c r="J245" i="67"/>
  <c r="E245" i="67"/>
  <c r="G245" i="67"/>
  <c r="M206" i="67"/>
  <c r="H243" i="67"/>
  <c r="J243" i="67"/>
  <c r="E243" i="67"/>
  <c r="G243" i="67"/>
  <c r="B243" i="67"/>
  <c r="K206" i="67"/>
  <c r="Q206" i="67"/>
  <c r="S256" i="67"/>
  <c r="S257" i="67"/>
  <c r="S253" i="67"/>
  <c r="V253" i="67"/>
  <c r="Y255" i="67"/>
  <c r="Y206" i="67"/>
  <c r="W256" i="67"/>
  <c r="W257" i="67"/>
  <c r="Y249" i="67"/>
  <c r="AB249" i="67"/>
  <c r="AC255" i="67"/>
  <c r="AC206" i="67"/>
  <c r="Z243" i="67"/>
  <c r="AB243" i="67"/>
  <c r="W243" i="67"/>
  <c r="Y243" i="67"/>
  <c r="T234" i="67"/>
  <c r="V234" i="67"/>
  <c r="T201" i="67"/>
  <c r="T202" i="67"/>
  <c r="T203" i="67"/>
  <c r="T204" i="67"/>
  <c r="T205" i="67"/>
  <c r="T235" i="67"/>
  <c r="V235" i="67"/>
  <c r="T236" i="67"/>
  <c r="V201" i="67"/>
  <c r="V202" i="67"/>
  <c r="V203" i="67"/>
  <c r="V204" i="67"/>
  <c r="V205" i="67"/>
  <c r="V236" i="67"/>
  <c r="T237" i="67"/>
  <c r="V237" i="67"/>
  <c r="T238" i="67"/>
  <c r="V238" i="67"/>
  <c r="U241" i="67"/>
  <c r="T243" i="67"/>
  <c r="Q243" i="67"/>
  <c r="S243" i="67"/>
  <c r="N243" i="67"/>
  <c r="P243" i="67"/>
  <c r="K243" i="67"/>
  <c r="T206" i="67"/>
  <c r="Q244" i="67"/>
  <c r="S244" i="67"/>
  <c r="N244" i="67"/>
  <c r="P244" i="67"/>
  <c r="V206" i="67"/>
  <c r="T256" i="67"/>
  <c r="T257" i="67"/>
  <c r="V250" i="67"/>
  <c r="Y250" i="67"/>
  <c r="AB250" i="67"/>
  <c r="AE255" i="67"/>
  <c r="AE206" i="67"/>
  <c r="AC256" i="67"/>
  <c r="AC257" i="67"/>
  <c r="AE249" i="67"/>
  <c r="AU249" i="67"/>
  <c r="AT250" i="67"/>
  <c r="AC243" i="67"/>
  <c r="AE243" i="67"/>
  <c r="AE256" i="67"/>
  <c r="AE257" i="67"/>
  <c r="AE250" i="67"/>
  <c r="AU250" i="67"/>
  <c r="AT251" i="67"/>
  <c r="AC244" i="67"/>
  <c r="AE244" i="67"/>
  <c r="Z234" i="67"/>
  <c r="AB234" i="67"/>
  <c r="Z235" i="67"/>
  <c r="AB235" i="67"/>
  <c r="Z201" i="67"/>
  <c r="Z202" i="67"/>
  <c r="Z203" i="67"/>
  <c r="Z204" i="67"/>
  <c r="Z205" i="67"/>
  <c r="Z236" i="67"/>
  <c r="AB236" i="67"/>
  <c r="Z237" i="67"/>
  <c r="AB201" i="67"/>
  <c r="AB202" i="67"/>
  <c r="AB203" i="67"/>
  <c r="AB204" i="67"/>
  <c r="AB205" i="67"/>
  <c r="AB237" i="67"/>
  <c r="Z238" i="67"/>
  <c r="AB238" i="67"/>
  <c r="AA241" i="67"/>
  <c r="Z244" i="67"/>
  <c r="W244" i="67"/>
  <c r="Y244" i="67"/>
  <c r="T244" i="67"/>
  <c r="V244" i="67"/>
  <c r="Z206" i="67"/>
  <c r="W245" i="67"/>
  <c r="Y245" i="67"/>
  <c r="T245" i="67"/>
  <c r="V245" i="67"/>
  <c r="Q245" i="67"/>
  <c r="AB206" i="67"/>
  <c r="Z256" i="67"/>
  <c r="Z257" i="67"/>
  <c r="AB251" i="67"/>
  <c r="AE251" i="67"/>
  <c r="AU251" i="67"/>
  <c r="AT252" i="67"/>
  <c r="AC245" i="67"/>
  <c r="AE245" i="67"/>
  <c r="Z245" i="67"/>
  <c r="AB245" i="67"/>
  <c r="AT253" i="67"/>
  <c r="AC246" i="67"/>
  <c r="AE246" i="67"/>
  <c r="Z246" i="67"/>
  <c r="AB246" i="67"/>
  <c r="W246" i="67"/>
  <c r="Y246" i="67"/>
  <c r="Y256" i="67"/>
  <c r="Y257" i="67"/>
  <c r="Y253" i="67"/>
  <c r="AB253" i="67"/>
  <c r="AE253" i="67"/>
  <c r="AU253" i="67"/>
  <c r="E263" i="67"/>
  <c r="B334" i="67"/>
  <c r="AT334" i="67"/>
  <c r="AC286" i="67"/>
  <c r="AC287" i="67"/>
  <c r="AC288" i="67"/>
  <c r="AC289" i="67"/>
  <c r="AC290" i="67"/>
  <c r="AC319" i="67"/>
  <c r="AE319" i="67"/>
  <c r="AC320" i="67"/>
  <c r="AE286" i="67"/>
  <c r="AE287" i="67"/>
  <c r="AE288" i="67"/>
  <c r="AE289" i="67"/>
  <c r="AE290" i="67"/>
  <c r="AE320" i="67"/>
  <c r="AC321" i="67"/>
  <c r="AE321" i="67"/>
  <c r="AC322" i="67"/>
  <c r="AE322" i="67"/>
  <c r="AC323" i="67"/>
  <c r="AE323" i="67"/>
  <c r="AD326" i="67"/>
  <c r="AC327" i="67"/>
  <c r="Z327" i="67"/>
  <c r="AB327" i="67"/>
  <c r="W286" i="67"/>
  <c r="W287" i="67"/>
  <c r="W288" i="67"/>
  <c r="W289" i="67"/>
  <c r="W290" i="67"/>
  <c r="W319" i="67"/>
  <c r="Y319" i="67"/>
  <c r="W320" i="67"/>
  <c r="Y320" i="67"/>
  <c r="W321" i="67"/>
  <c r="Y321" i="67"/>
  <c r="W322" i="67"/>
  <c r="Y322" i="67"/>
  <c r="W323" i="67"/>
  <c r="Y286" i="67"/>
  <c r="Y287" i="67"/>
  <c r="Y288" i="67"/>
  <c r="Y289" i="67"/>
  <c r="Y290" i="67"/>
  <c r="Y323" i="67"/>
  <c r="X326" i="67"/>
  <c r="W327" i="67"/>
  <c r="T327" i="67"/>
  <c r="V327" i="67"/>
  <c r="Q327" i="67"/>
  <c r="S327" i="67"/>
  <c r="N286" i="67"/>
  <c r="N287" i="67"/>
  <c r="N288" i="67"/>
  <c r="N289" i="67"/>
  <c r="N290" i="67"/>
  <c r="N319" i="67"/>
  <c r="P319" i="67"/>
  <c r="N320" i="67"/>
  <c r="P320" i="67"/>
  <c r="N321" i="67"/>
  <c r="P286" i="67"/>
  <c r="P287" i="67"/>
  <c r="P288" i="67"/>
  <c r="P289" i="67"/>
  <c r="P290" i="67"/>
  <c r="P321" i="67"/>
  <c r="N322" i="67"/>
  <c r="P322" i="67"/>
  <c r="N323" i="67"/>
  <c r="P323" i="67"/>
  <c r="O326" i="67"/>
  <c r="N327" i="67"/>
  <c r="K327" i="67"/>
  <c r="M327" i="67"/>
  <c r="H327" i="67"/>
  <c r="J327" i="67"/>
  <c r="E286" i="67"/>
  <c r="E287" i="67"/>
  <c r="E288" i="67"/>
  <c r="E289" i="67"/>
  <c r="E290" i="67"/>
  <c r="E319" i="67"/>
  <c r="G319" i="67"/>
  <c r="E320" i="67"/>
  <c r="G320" i="67"/>
  <c r="E321" i="67"/>
  <c r="G321" i="67"/>
  <c r="E322" i="67"/>
  <c r="G286" i="67"/>
  <c r="G287" i="67"/>
  <c r="G288" i="67"/>
  <c r="G289" i="67"/>
  <c r="G290" i="67"/>
  <c r="G322" i="67"/>
  <c r="E323" i="67"/>
  <c r="G323" i="67"/>
  <c r="F326" i="67"/>
  <c r="E327" i="67"/>
  <c r="B327" i="67"/>
  <c r="D327" i="67"/>
  <c r="E291" i="67"/>
  <c r="B330" i="67"/>
  <c r="D330" i="67"/>
  <c r="B337" i="67"/>
  <c r="G291" i="67"/>
  <c r="N291" i="67"/>
  <c r="K329" i="67"/>
  <c r="M329" i="67"/>
  <c r="H319" i="67"/>
  <c r="J319" i="67"/>
  <c r="H320" i="67"/>
  <c r="J320" i="67"/>
  <c r="H286" i="67"/>
  <c r="H287" i="67"/>
  <c r="H288" i="67"/>
  <c r="H289" i="67"/>
  <c r="H290" i="67"/>
  <c r="H321" i="67"/>
  <c r="J321" i="67"/>
  <c r="H322" i="67"/>
  <c r="J322" i="67"/>
  <c r="H323" i="67"/>
  <c r="J286" i="67"/>
  <c r="J287" i="67"/>
  <c r="J288" i="67"/>
  <c r="J289" i="67"/>
  <c r="J290" i="67"/>
  <c r="J323" i="67"/>
  <c r="I326" i="67"/>
  <c r="H329" i="67"/>
  <c r="E329" i="67"/>
  <c r="G329" i="67"/>
  <c r="B329" i="67"/>
  <c r="D329" i="67"/>
  <c r="E267" i="67"/>
  <c r="B336" i="67"/>
  <c r="H291" i="67"/>
  <c r="E331" i="67"/>
  <c r="G331" i="67"/>
  <c r="B331" i="67"/>
  <c r="B319" i="67"/>
  <c r="D319" i="67"/>
  <c r="B286" i="67"/>
  <c r="B287" i="67"/>
  <c r="B288" i="67"/>
  <c r="B289" i="67"/>
  <c r="B290" i="67"/>
  <c r="B320" i="67"/>
  <c r="D320" i="67"/>
  <c r="B321" i="67"/>
  <c r="D321" i="67"/>
  <c r="B322" i="67"/>
  <c r="D322" i="67"/>
  <c r="B323" i="67"/>
  <c r="D286" i="67"/>
  <c r="D287" i="67"/>
  <c r="D288" i="67"/>
  <c r="D289" i="67"/>
  <c r="D290" i="67"/>
  <c r="D323" i="67"/>
  <c r="C326" i="67"/>
  <c r="D331" i="67"/>
  <c r="E271" i="67"/>
  <c r="B338" i="67"/>
  <c r="D291" i="67"/>
  <c r="E265" i="67"/>
  <c r="B335" i="67"/>
  <c r="B291" i="67"/>
  <c r="J291" i="67"/>
  <c r="P291" i="67"/>
  <c r="W291" i="67"/>
  <c r="T331" i="67"/>
  <c r="V331" i="67"/>
  <c r="Q331" i="67"/>
  <c r="Q319" i="67"/>
  <c r="S319" i="67"/>
  <c r="Q320" i="67"/>
  <c r="S320" i="67"/>
  <c r="Q321" i="67"/>
  <c r="S321" i="67"/>
  <c r="Q286" i="67"/>
  <c r="Q287" i="67"/>
  <c r="Q288" i="67"/>
  <c r="Q289" i="67"/>
  <c r="Q290" i="67"/>
  <c r="Q322" i="67"/>
  <c r="S322" i="67"/>
  <c r="Q323" i="67"/>
  <c r="S286" i="67"/>
  <c r="S287" i="67"/>
  <c r="S288" i="67"/>
  <c r="S289" i="67"/>
  <c r="S290" i="67"/>
  <c r="S323" i="67"/>
  <c r="R326" i="67"/>
  <c r="S331" i="67"/>
  <c r="N331" i="67"/>
  <c r="P331" i="67"/>
  <c r="K331" i="67"/>
  <c r="M331" i="67"/>
  <c r="H331" i="67"/>
  <c r="J331" i="67"/>
  <c r="S291" i="67"/>
  <c r="N330" i="67"/>
  <c r="P330" i="67"/>
  <c r="K330" i="67"/>
  <c r="K319" i="67"/>
  <c r="M319" i="67"/>
  <c r="K286" i="67"/>
  <c r="K287" i="67"/>
  <c r="K288" i="67"/>
  <c r="K289" i="67"/>
  <c r="K290" i="67"/>
  <c r="K320" i="67"/>
  <c r="M320" i="67"/>
  <c r="K321" i="67"/>
  <c r="M321" i="67"/>
  <c r="K322" i="67"/>
  <c r="M286" i="67"/>
  <c r="M287" i="67"/>
  <c r="M288" i="67"/>
  <c r="M289" i="67"/>
  <c r="M290" i="67"/>
  <c r="M322" i="67"/>
  <c r="K323" i="67"/>
  <c r="M323" i="67"/>
  <c r="L326" i="67"/>
  <c r="M330" i="67"/>
  <c r="H330" i="67"/>
  <c r="J330" i="67"/>
  <c r="E330" i="67"/>
  <c r="G330" i="67"/>
  <c r="M291" i="67"/>
  <c r="H328" i="67"/>
  <c r="J328" i="67"/>
  <c r="E328" i="67"/>
  <c r="G328" i="67"/>
  <c r="B328" i="67"/>
  <c r="K291" i="67"/>
  <c r="Q291" i="67"/>
  <c r="Y291" i="67"/>
  <c r="AC291" i="67"/>
  <c r="Z328" i="67"/>
  <c r="AB328" i="67"/>
  <c r="W328" i="67"/>
  <c r="Y328" i="67"/>
  <c r="T319" i="67"/>
  <c r="V319" i="67"/>
  <c r="T286" i="67"/>
  <c r="T287" i="67"/>
  <c r="T288" i="67"/>
  <c r="T289" i="67"/>
  <c r="T290" i="67"/>
  <c r="T320" i="67"/>
  <c r="V320" i="67"/>
  <c r="T321" i="67"/>
  <c r="V286" i="67"/>
  <c r="V287" i="67"/>
  <c r="V288" i="67"/>
  <c r="V289" i="67"/>
  <c r="V290" i="67"/>
  <c r="V321" i="67"/>
  <c r="T322" i="67"/>
  <c r="V322" i="67"/>
  <c r="T323" i="67"/>
  <c r="V323" i="67"/>
  <c r="U326" i="67"/>
  <c r="T328" i="67"/>
  <c r="Q328" i="67"/>
  <c r="S328" i="67"/>
  <c r="N328" i="67"/>
  <c r="P328" i="67"/>
  <c r="K328" i="67"/>
  <c r="T291" i="67"/>
  <c r="Q329" i="67"/>
  <c r="S329" i="67"/>
  <c r="N329" i="67"/>
  <c r="P329" i="67"/>
  <c r="V291" i="67"/>
  <c r="AE291" i="67"/>
  <c r="AT335" i="67"/>
  <c r="AC328" i="67"/>
  <c r="AE328" i="67"/>
  <c r="AT336" i="67"/>
  <c r="AC329" i="67"/>
  <c r="AE329" i="67"/>
  <c r="Z319" i="67"/>
  <c r="AB319" i="67"/>
  <c r="Z320" i="67"/>
  <c r="AB320" i="67"/>
  <c r="Z286" i="67"/>
  <c r="Z287" i="67"/>
  <c r="Z288" i="67"/>
  <c r="Z289" i="67"/>
  <c r="Z290" i="67"/>
  <c r="Z321" i="67"/>
  <c r="AB321" i="67"/>
  <c r="Z322" i="67"/>
  <c r="AB286" i="67"/>
  <c r="AB287" i="67"/>
  <c r="AB288" i="67"/>
  <c r="AB289" i="67"/>
  <c r="AB290" i="67"/>
  <c r="AB322" i="67"/>
  <c r="Z323" i="67"/>
  <c r="AB323" i="67"/>
  <c r="AA326" i="67"/>
  <c r="Z329" i="67"/>
  <c r="W329" i="67"/>
  <c r="Y329" i="67"/>
  <c r="T329" i="67"/>
  <c r="V329" i="67"/>
  <c r="V341" i="67"/>
  <c r="V342" i="67"/>
  <c r="V336" i="67"/>
  <c r="Y336" i="67"/>
  <c r="Z340" i="67"/>
  <c r="Z291" i="67"/>
  <c r="W330" i="67"/>
  <c r="Y330" i="67"/>
  <c r="T330" i="67"/>
  <c r="V330" i="67"/>
  <c r="Q330" i="67"/>
  <c r="Q341" i="67"/>
  <c r="Q342" i="67"/>
  <c r="S337" i="67"/>
  <c r="V337" i="67"/>
  <c r="Y337" i="67"/>
  <c r="AB340" i="67"/>
  <c r="AB291" i="67"/>
  <c r="Z341" i="67"/>
  <c r="Z342" i="67"/>
  <c r="AB336" i="67"/>
  <c r="AE336" i="67"/>
  <c r="AU336" i="67"/>
  <c r="AT337" i="67"/>
  <c r="AC330" i="67"/>
  <c r="AE330" i="67"/>
  <c r="Z330" i="67"/>
  <c r="AB330" i="67"/>
  <c r="AB341" i="67"/>
  <c r="AB342" i="67"/>
  <c r="AB337" i="67"/>
  <c r="AE337" i="67"/>
  <c r="AU337" i="67"/>
  <c r="AT338" i="67"/>
  <c r="AC331" i="67"/>
  <c r="AE331" i="67"/>
  <c r="Z331" i="67"/>
  <c r="AB331" i="67"/>
  <c r="W331" i="67"/>
  <c r="Y331" i="67"/>
  <c r="Y341" i="67"/>
  <c r="Y342" i="67"/>
  <c r="Y338" i="67"/>
  <c r="AB338" i="67"/>
  <c r="AE338" i="67"/>
  <c r="AU338" i="67"/>
  <c r="AX15" i="67"/>
  <c r="X450" i="67"/>
  <c r="Y451" i="67"/>
  <c r="AF349" i="67"/>
  <c r="X430" i="67"/>
  <c r="W447" i="67"/>
  <c r="AX10" i="67"/>
  <c r="X447" i="67"/>
  <c r="W451" i="67"/>
  <c r="Y452" i="67"/>
  <c r="Y453" i="67"/>
  <c r="Y450" i="67"/>
  <c r="AB450" i="67"/>
  <c r="AE450" i="67"/>
  <c r="AU453" i="67"/>
  <c r="AT453" i="67"/>
  <c r="AF350" i="67"/>
  <c r="X431" i="67"/>
  <c r="W448" i="67"/>
  <c r="AX12" i="67"/>
  <c r="X448" i="67"/>
  <c r="Y448" i="67"/>
  <c r="Z451" i="67"/>
  <c r="AF351" i="67"/>
  <c r="X432" i="67"/>
  <c r="W449" i="67"/>
  <c r="AX13" i="67"/>
  <c r="X449" i="67"/>
  <c r="Y449" i="67"/>
  <c r="AB451" i="67"/>
  <c r="Z452" i="67"/>
  <c r="Z453" i="67"/>
  <c r="AB448" i="67"/>
  <c r="AE451" i="67"/>
  <c r="AE439" i="67"/>
  <c r="AE440" i="67"/>
  <c r="AE441" i="67"/>
  <c r="AE442" i="67"/>
  <c r="W452" i="67"/>
  <c r="W453" i="67"/>
  <c r="Y447" i="67"/>
  <c r="AB447" i="67"/>
  <c r="AC451" i="67"/>
  <c r="AC439" i="67"/>
  <c r="AC440" i="67"/>
  <c r="AC441" i="67"/>
  <c r="AC442" i="67"/>
  <c r="AE452" i="67"/>
  <c r="AE453" i="67"/>
  <c r="AC452" i="67"/>
  <c r="AC453" i="67"/>
  <c r="AB452" i="67"/>
  <c r="AB453" i="67"/>
  <c r="E439" i="67"/>
  <c r="E440" i="67"/>
  <c r="E441" i="67"/>
  <c r="E442" i="67"/>
  <c r="G439" i="67"/>
  <c r="G440" i="67"/>
  <c r="G441" i="67"/>
  <c r="G442" i="67"/>
  <c r="J438" i="67"/>
  <c r="V350" i="67"/>
  <c r="B431" i="67"/>
  <c r="B448" i="67"/>
  <c r="AX17" i="67"/>
  <c r="C448" i="67"/>
  <c r="D448" i="67"/>
  <c r="E451" i="67"/>
  <c r="V351" i="67"/>
  <c r="B432" i="67"/>
  <c r="B449" i="67"/>
  <c r="AX5" i="67"/>
  <c r="C449" i="67"/>
  <c r="D449" i="67"/>
  <c r="G451" i="67"/>
  <c r="E452" i="67"/>
  <c r="E453" i="67"/>
  <c r="G448" i="67"/>
  <c r="J451" i="67"/>
  <c r="J439" i="67"/>
  <c r="J440" i="67"/>
  <c r="J441" i="67"/>
  <c r="J442" i="67"/>
  <c r="B439" i="67"/>
  <c r="B440" i="67"/>
  <c r="B441" i="67"/>
  <c r="B442" i="67"/>
  <c r="D439" i="67"/>
  <c r="D440" i="67"/>
  <c r="D441" i="67"/>
  <c r="D442" i="67"/>
  <c r="H438" i="67"/>
  <c r="V349" i="67"/>
  <c r="B430" i="67"/>
  <c r="B447" i="67"/>
  <c r="AX3" i="67"/>
  <c r="C447" i="67"/>
  <c r="B451" i="67"/>
  <c r="V352" i="67"/>
  <c r="B433" i="67"/>
  <c r="B450" i="67"/>
  <c r="AX14" i="67"/>
  <c r="C450" i="67"/>
  <c r="D451" i="67"/>
  <c r="B452" i="67"/>
  <c r="B453" i="67"/>
  <c r="D447" i="67"/>
  <c r="G447" i="67"/>
  <c r="H451" i="67"/>
  <c r="H439" i="67"/>
  <c r="H440" i="67"/>
  <c r="H441" i="67"/>
  <c r="H442" i="67"/>
  <c r="J452" i="67"/>
  <c r="J453" i="67"/>
  <c r="H452" i="67"/>
  <c r="H453" i="67"/>
  <c r="G452" i="67"/>
  <c r="G453" i="67"/>
  <c r="D452" i="67"/>
  <c r="D453" i="67"/>
  <c r="AB449" i="67"/>
  <c r="AE449" i="67"/>
  <c r="AU452" i="67"/>
  <c r="AT452" i="67"/>
  <c r="AE448" i="67"/>
  <c r="AU451" i="67"/>
  <c r="AT451" i="67"/>
  <c r="AE447" i="67"/>
  <c r="AU450" i="67"/>
  <c r="AT450" i="67"/>
  <c r="D450" i="67"/>
  <c r="G450" i="67"/>
  <c r="J450" i="67"/>
  <c r="AU449" i="67"/>
  <c r="AT449" i="67"/>
  <c r="G449" i="67"/>
  <c r="J449" i="67"/>
  <c r="AU448" i="67"/>
  <c r="AT448" i="67"/>
  <c r="J448" i="67"/>
  <c r="AU447" i="67"/>
  <c r="AT447" i="67"/>
  <c r="J447" i="67"/>
  <c r="AU446" i="67"/>
  <c r="AT446" i="67"/>
  <c r="AF443" i="67"/>
  <c r="K443" i="67"/>
  <c r="E270" i="67"/>
  <c r="AL352" i="67"/>
  <c r="AG433" i="67"/>
  <c r="E268" i="67"/>
  <c r="AB352" i="67"/>
  <c r="K433" i="67"/>
  <c r="E183" i="67"/>
  <c r="AL351" i="67"/>
  <c r="AG432" i="67"/>
  <c r="E179" i="67"/>
  <c r="AB351" i="67"/>
  <c r="K432" i="67"/>
  <c r="E98" i="67"/>
  <c r="AL350" i="67"/>
  <c r="AG431" i="67"/>
  <c r="E100" i="67"/>
  <c r="AB350" i="67"/>
  <c r="K431" i="67"/>
  <c r="E11" i="67"/>
  <c r="AL349" i="67"/>
  <c r="AG430" i="67"/>
  <c r="E9" i="67"/>
  <c r="AB349" i="67"/>
  <c r="K430" i="67"/>
  <c r="U424" i="67"/>
  <c r="A424" i="67"/>
  <c r="AB423" i="67"/>
  <c r="F423" i="67"/>
  <c r="U419" i="67"/>
  <c r="A419" i="67"/>
  <c r="AF418" i="67"/>
  <c r="J418" i="67"/>
  <c r="U415" i="67"/>
  <c r="A415" i="67"/>
  <c r="AB413" i="67"/>
  <c r="T413" i="67"/>
  <c r="F413" i="67"/>
  <c r="A413" i="67"/>
  <c r="U410" i="67"/>
  <c r="A410" i="67"/>
  <c r="W391" i="67"/>
  <c r="W392" i="67"/>
  <c r="W393" i="67"/>
  <c r="W394" i="67"/>
  <c r="Y391" i="67"/>
  <c r="Y392" i="67"/>
  <c r="Y393" i="67"/>
  <c r="Y394" i="67"/>
  <c r="AC390" i="67"/>
  <c r="L352" i="67"/>
  <c r="X385" i="67"/>
  <c r="W402" i="67"/>
  <c r="L349" i="67"/>
  <c r="X382" i="67"/>
  <c r="W399" i="67"/>
  <c r="Y404" i="67"/>
  <c r="Y405" i="67"/>
  <c r="Y402" i="67"/>
  <c r="AB402" i="67"/>
  <c r="AC403" i="67"/>
  <c r="AC391" i="67"/>
  <c r="AC392" i="67"/>
  <c r="AC393" i="67"/>
  <c r="AC394" i="67"/>
  <c r="Z391" i="67"/>
  <c r="Z392" i="67"/>
  <c r="Z393" i="67"/>
  <c r="Z394" i="67"/>
  <c r="AB391" i="67"/>
  <c r="AB392" i="67"/>
  <c r="AB393" i="67"/>
  <c r="AB394" i="67"/>
  <c r="AE390" i="67"/>
  <c r="L350" i="67"/>
  <c r="X383" i="67"/>
  <c r="W400" i="67"/>
  <c r="AX4" i="67"/>
  <c r="X400" i="67"/>
  <c r="Y400" i="67"/>
  <c r="Z403" i="67"/>
  <c r="L351" i="67"/>
  <c r="X384" i="67"/>
  <c r="W401" i="67"/>
  <c r="AX8" i="67"/>
  <c r="X401" i="67"/>
  <c r="Y401" i="67"/>
  <c r="AB403" i="67"/>
  <c r="Z404" i="67"/>
  <c r="Z405" i="67"/>
  <c r="AB400" i="67"/>
  <c r="AE403" i="67"/>
  <c r="AE391" i="67"/>
  <c r="AE392" i="67"/>
  <c r="AE393" i="67"/>
  <c r="AE394" i="67"/>
  <c r="AC404" i="67"/>
  <c r="AC405" i="67"/>
  <c r="AE402" i="67"/>
  <c r="AU405" i="67"/>
  <c r="AT405" i="67"/>
  <c r="AE404" i="67"/>
  <c r="AE405" i="67"/>
  <c r="AB404" i="67"/>
  <c r="AB405" i="67"/>
  <c r="E391" i="67"/>
  <c r="E392" i="67"/>
  <c r="E393" i="67"/>
  <c r="E394" i="67"/>
  <c r="G391" i="67"/>
  <c r="G392" i="67"/>
  <c r="G393" i="67"/>
  <c r="G394" i="67"/>
  <c r="J390" i="67"/>
  <c r="B350" i="67"/>
  <c r="B383" i="67"/>
  <c r="B400" i="67"/>
  <c r="B351" i="67"/>
  <c r="B384" i="67"/>
  <c r="B401" i="67"/>
  <c r="J391" i="67"/>
  <c r="J392" i="67"/>
  <c r="J393" i="67"/>
  <c r="J394" i="67"/>
  <c r="B391" i="67"/>
  <c r="B392" i="67"/>
  <c r="B393" i="67"/>
  <c r="B394" i="67"/>
  <c r="D391" i="67"/>
  <c r="D392" i="67"/>
  <c r="D393" i="67"/>
  <c r="D394" i="67"/>
  <c r="H390" i="67"/>
  <c r="B349" i="67"/>
  <c r="B382" i="67"/>
  <c r="B399" i="67"/>
  <c r="B352" i="67"/>
  <c r="B385" i="67"/>
  <c r="B402" i="67"/>
  <c r="H391" i="67"/>
  <c r="H392" i="67"/>
  <c r="H393" i="67"/>
  <c r="H394" i="67"/>
  <c r="J404" i="67"/>
  <c r="J405" i="67"/>
  <c r="D404" i="67"/>
  <c r="D405" i="67"/>
  <c r="AB401" i="67"/>
  <c r="AE401" i="67"/>
  <c r="AU404" i="67"/>
  <c r="AT404" i="67"/>
  <c r="AE400" i="67"/>
  <c r="AU403" i="67"/>
  <c r="AT403" i="67"/>
  <c r="AT402" i="67"/>
  <c r="D402" i="67"/>
  <c r="G402" i="67"/>
  <c r="J402" i="67"/>
  <c r="AU401" i="67"/>
  <c r="AT401" i="67"/>
  <c r="AT400" i="67"/>
  <c r="J400" i="67"/>
  <c r="AU399" i="67"/>
  <c r="AT399" i="67"/>
  <c r="AT398" i="67"/>
  <c r="AF395" i="67"/>
  <c r="K395" i="67"/>
  <c r="E264" i="67"/>
  <c r="R352" i="67"/>
  <c r="AG385" i="67"/>
  <c r="E266" i="67"/>
  <c r="H352" i="67"/>
  <c r="K385" i="67"/>
  <c r="E181" i="67"/>
  <c r="R351" i="67"/>
  <c r="AG384" i="67"/>
  <c r="E185" i="67"/>
  <c r="H351" i="67"/>
  <c r="K384" i="67"/>
  <c r="E94" i="67"/>
  <c r="R350" i="67"/>
  <c r="AG383" i="67"/>
  <c r="E102" i="67"/>
  <c r="H350" i="67"/>
  <c r="K383" i="67"/>
  <c r="E17" i="67"/>
  <c r="R349" i="67"/>
  <c r="AG382" i="67"/>
  <c r="E15" i="67"/>
  <c r="H349" i="67"/>
  <c r="K382" i="67"/>
  <c r="U376" i="67"/>
  <c r="A376" i="67"/>
  <c r="AB375" i="67"/>
  <c r="F375" i="67"/>
  <c r="U371" i="67"/>
  <c r="A371" i="67"/>
  <c r="AF370" i="67"/>
  <c r="J370" i="67"/>
  <c r="U367" i="67"/>
  <c r="A367" i="67"/>
  <c r="AB365" i="67"/>
  <c r="U365" i="67"/>
  <c r="F365" i="67"/>
  <c r="A365" i="67"/>
  <c r="U362" i="67"/>
  <c r="A362" i="67"/>
  <c r="A344" i="67"/>
  <c r="AF331" i="67"/>
  <c r="S330" i="67"/>
  <c r="AF330" i="67"/>
  <c r="J329" i="67"/>
  <c r="AB329" i="67"/>
  <c r="AF329" i="67"/>
  <c r="D328" i="67"/>
  <c r="M328" i="67"/>
  <c r="V328" i="67"/>
  <c r="AF328" i="67"/>
  <c r="G327" i="67"/>
  <c r="P327" i="67"/>
  <c r="Y327" i="67"/>
  <c r="AE327" i="67"/>
  <c r="AF327" i="67"/>
  <c r="AF323" i="67"/>
  <c r="AG323" i="67"/>
  <c r="AF322" i="67"/>
  <c r="AG322" i="67"/>
  <c r="AF321" i="67"/>
  <c r="AG321" i="67"/>
  <c r="AF320" i="67"/>
  <c r="AG320" i="67"/>
  <c r="AF319" i="67"/>
  <c r="AG319" i="67"/>
  <c r="B317" i="67"/>
  <c r="B294" i="67"/>
  <c r="D294" i="67"/>
  <c r="B295" i="67"/>
  <c r="D295" i="67"/>
  <c r="B296" i="67"/>
  <c r="D296" i="67"/>
  <c r="B297" i="67"/>
  <c r="D297" i="67"/>
  <c r="B298" i="67"/>
  <c r="D298" i="67"/>
  <c r="B299" i="67"/>
  <c r="D317" i="67"/>
  <c r="E317" i="67"/>
  <c r="G317" i="67"/>
  <c r="H317" i="67"/>
  <c r="H294" i="67"/>
  <c r="J294" i="67"/>
  <c r="H295" i="67"/>
  <c r="J295" i="67"/>
  <c r="H296" i="67"/>
  <c r="J296" i="67"/>
  <c r="H297" i="67"/>
  <c r="J297" i="67"/>
  <c r="H298" i="67"/>
  <c r="J298" i="67"/>
  <c r="H299" i="67"/>
  <c r="J317" i="67"/>
  <c r="K317" i="67"/>
  <c r="M317" i="67"/>
  <c r="N317" i="67"/>
  <c r="P317" i="67"/>
  <c r="Q317" i="67"/>
  <c r="Q294" i="67"/>
  <c r="S294" i="67"/>
  <c r="Q295" i="67"/>
  <c r="S295" i="67"/>
  <c r="Q296" i="67"/>
  <c r="S296" i="67"/>
  <c r="Q297" i="67"/>
  <c r="S297" i="67"/>
  <c r="Q298" i="67"/>
  <c r="S298" i="67"/>
  <c r="Q299" i="67"/>
  <c r="S317" i="67"/>
  <c r="T317" i="67"/>
  <c r="V317" i="67"/>
  <c r="W317" i="67"/>
  <c r="W294" i="67"/>
  <c r="Y294" i="67"/>
  <c r="W295" i="67"/>
  <c r="Y295" i="67"/>
  <c r="W296" i="67"/>
  <c r="Y296" i="67"/>
  <c r="W297" i="67"/>
  <c r="Y297" i="67"/>
  <c r="W298" i="67"/>
  <c r="Y298" i="67"/>
  <c r="W299" i="67"/>
  <c r="Y317" i="67"/>
  <c r="Z317" i="67"/>
  <c r="AB317" i="67"/>
  <c r="AC317" i="67"/>
  <c r="AE317" i="67"/>
  <c r="AF317" i="67"/>
  <c r="B316" i="67"/>
  <c r="D316" i="67"/>
  <c r="E316" i="67"/>
  <c r="E294" i="67"/>
  <c r="G294" i="67"/>
  <c r="E295" i="67"/>
  <c r="G295" i="67"/>
  <c r="E296" i="67"/>
  <c r="G296" i="67"/>
  <c r="E297" i="67"/>
  <c r="G297" i="67"/>
  <c r="E298" i="67"/>
  <c r="G298" i="67"/>
  <c r="E299" i="67"/>
  <c r="G316" i="67"/>
  <c r="H316" i="67"/>
  <c r="J316" i="67"/>
  <c r="K316" i="67"/>
  <c r="K294" i="67"/>
  <c r="M294" i="67"/>
  <c r="K295" i="67"/>
  <c r="M295" i="67"/>
  <c r="K296" i="67"/>
  <c r="M296" i="67"/>
  <c r="K297" i="67"/>
  <c r="M297" i="67"/>
  <c r="K298" i="67"/>
  <c r="M298" i="67"/>
  <c r="K299" i="67"/>
  <c r="M316" i="67"/>
  <c r="N316" i="67"/>
  <c r="P316" i="67"/>
  <c r="Q316" i="67"/>
  <c r="S316" i="67"/>
  <c r="T316" i="67"/>
  <c r="V316" i="67"/>
  <c r="W316" i="67"/>
  <c r="Y316" i="67"/>
  <c r="Z316" i="67"/>
  <c r="Z294" i="67"/>
  <c r="AB294" i="67"/>
  <c r="Z295" i="67"/>
  <c r="AB295" i="67"/>
  <c r="Z296" i="67"/>
  <c r="AB296" i="67"/>
  <c r="Z297" i="67"/>
  <c r="AB297" i="67"/>
  <c r="Z298" i="67"/>
  <c r="AB298" i="67"/>
  <c r="Z299" i="67"/>
  <c r="AB316" i="67"/>
  <c r="AC316" i="67"/>
  <c r="AE316" i="67"/>
  <c r="AF316" i="67"/>
  <c r="B315" i="67"/>
  <c r="D315" i="67"/>
  <c r="E315" i="67"/>
  <c r="G315" i="67"/>
  <c r="H315" i="67"/>
  <c r="J315" i="67"/>
  <c r="K315" i="67"/>
  <c r="M315" i="67"/>
  <c r="N315" i="67"/>
  <c r="N294" i="67"/>
  <c r="P294" i="67"/>
  <c r="N295" i="67"/>
  <c r="P295" i="67"/>
  <c r="N296" i="67"/>
  <c r="P296" i="67"/>
  <c r="N297" i="67"/>
  <c r="P297" i="67"/>
  <c r="N298" i="67"/>
  <c r="P298" i="67"/>
  <c r="N299" i="67"/>
  <c r="P315" i="67"/>
  <c r="Q315" i="67"/>
  <c r="S315" i="67"/>
  <c r="T315" i="67"/>
  <c r="T294" i="67"/>
  <c r="V294" i="67"/>
  <c r="T295" i="67"/>
  <c r="V295" i="67"/>
  <c r="T296" i="67"/>
  <c r="V296" i="67"/>
  <c r="T297" i="67"/>
  <c r="V297" i="67"/>
  <c r="T298" i="67"/>
  <c r="V298" i="67"/>
  <c r="T299" i="67"/>
  <c r="V315" i="67"/>
  <c r="W315" i="67"/>
  <c r="Y315" i="67"/>
  <c r="Z315" i="67"/>
  <c r="AB315" i="67"/>
  <c r="AC315" i="67"/>
  <c r="AE315" i="67"/>
  <c r="AF315" i="67"/>
  <c r="B314" i="67"/>
  <c r="D314" i="67"/>
  <c r="E314" i="67"/>
  <c r="G314" i="67"/>
  <c r="H314" i="67"/>
  <c r="J314" i="67"/>
  <c r="K314" i="67"/>
  <c r="M314" i="67"/>
  <c r="N314" i="67"/>
  <c r="P314" i="67"/>
  <c r="Q314" i="67"/>
  <c r="S314" i="67"/>
  <c r="T314" i="67"/>
  <c r="V314" i="67"/>
  <c r="W314" i="67"/>
  <c r="Y314" i="67"/>
  <c r="Z314" i="67"/>
  <c r="AB314" i="67"/>
  <c r="AC314" i="67"/>
  <c r="AC294" i="67"/>
  <c r="AE294" i="67"/>
  <c r="AC295" i="67"/>
  <c r="AE295" i="67"/>
  <c r="AC296" i="67"/>
  <c r="AE296" i="67"/>
  <c r="AC297" i="67"/>
  <c r="AE297" i="67"/>
  <c r="AC298" i="67"/>
  <c r="AE298" i="67"/>
  <c r="AC299" i="67"/>
  <c r="AE314" i="67"/>
  <c r="AF314" i="67"/>
  <c r="B313" i="67"/>
  <c r="D313" i="67"/>
  <c r="E313" i="67"/>
  <c r="G313" i="67"/>
  <c r="H313" i="67"/>
  <c r="J313" i="67"/>
  <c r="K313" i="67"/>
  <c r="M313" i="67"/>
  <c r="N313" i="67"/>
  <c r="P313" i="67"/>
  <c r="Q313" i="67"/>
  <c r="S313" i="67"/>
  <c r="T313" i="67"/>
  <c r="V313" i="67"/>
  <c r="W313" i="67"/>
  <c r="Y313" i="67"/>
  <c r="Z313" i="67"/>
  <c r="AB313" i="67"/>
  <c r="AC313" i="67"/>
  <c r="AE313" i="67"/>
  <c r="AF313" i="67"/>
  <c r="B311" i="67"/>
  <c r="B292" i="67"/>
  <c r="D292" i="67"/>
  <c r="C292" i="67"/>
  <c r="D311" i="67"/>
  <c r="E311" i="67"/>
  <c r="G311" i="67"/>
  <c r="H311" i="67"/>
  <c r="H292" i="67"/>
  <c r="J292" i="67"/>
  <c r="I292" i="67"/>
  <c r="J311" i="67"/>
  <c r="K311" i="67"/>
  <c r="M311" i="67"/>
  <c r="N311" i="67"/>
  <c r="P311" i="67"/>
  <c r="Q311" i="67"/>
  <c r="Q292" i="67"/>
  <c r="S292" i="67"/>
  <c r="R292" i="67"/>
  <c r="S311" i="67"/>
  <c r="T311" i="67"/>
  <c r="V311" i="67"/>
  <c r="W311" i="67"/>
  <c r="W292" i="67"/>
  <c r="Y292" i="67"/>
  <c r="X292" i="67"/>
  <c r="Y311" i="67"/>
  <c r="Z311" i="67"/>
  <c r="AB311" i="67"/>
  <c r="AC311" i="67"/>
  <c r="AE311" i="67"/>
  <c r="AF311" i="67"/>
  <c r="B310" i="67"/>
  <c r="D310" i="67"/>
  <c r="E310" i="67"/>
  <c r="E292" i="67"/>
  <c r="G292" i="67"/>
  <c r="F292" i="67"/>
  <c r="G310" i="67"/>
  <c r="H310" i="67"/>
  <c r="J310" i="67"/>
  <c r="K310" i="67"/>
  <c r="K292" i="67"/>
  <c r="M292" i="67"/>
  <c r="L292" i="67"/>
  <c r="M310" i="67"/>
  <c r="N310" i="67"/>
  <c r="P310" i="67"/>
  <c r="Q310" i="67"/>
  <c r="S310" i="67"/>
  <c r="T310" i="67"/>
  <c r="V310" i="67"/>
  <c r="W310" i="67"/>
  <c r="Y310" i="67"/>
  <c r="Z310" i="67"/>
  <c r="Z292" i="67"/>
  <c r="AB292" i="67"/>
  <c r="AA292" i="67"/>
  <c r="AB310" i="67"/>
  <c r="AC310" i="67"/>
  <c r="AE310" i="67"/>
  <c r="AF310" i="67"/>
  <c r="B309" i="67"/>
  <c r="D309" i="67"/>
  <c r="E309" i="67"/>
  <c r="G309" i="67"/>
  <c r="H309" i="67"/>
  <c r="J309" i="67"/>
  <c r="K309" i="67"/>
  <c r="M309" i="67"/>
  <c r="N309" i="67"/>
  <c r="N292" i="67"/>
  <c r="P292" i="67"/>
  <c r="O292" i="67"/>
  <c r="P309" i="67"/>
  <c r="Q309" i="67"/>
  <c r="S309" i="67"/>
  <c r="T309" i="67"/>
  <c r="T292" i="67"/>
  <c r="V292" i="67"/>
  <c r="U292" i="67"/>
  <c r="V309" i="67"/>
  <c r="W309" i="67"/>
  <c r="Y309" i="67"/>
  <c r="Z309" i="67"/>
  <c r="AB309" i="67"/>
  <c r="AC309" i="67"/>
  <c r="AE309" i="67"/>
  <c r="AF309" i="67"/>
  <c r="B308" i="67"/>
  <c r="D308" i="67"/>
  <c r="E308" i="67"/>
  <c r="G308" i="67"/>
  <c r="H308" i="67"/>
  <c r="J308" i="67"/>
  <c r="K308" i="67"/>
  <c r="M308" i="67"/>
  <c r="N308" i="67"/>
  <c r="P308" i="67"/>
  <c r="Q308" i="67"/>
  <c r="S308" i="67"/>
  <c r="T308" i="67"/>
  <c r="V308" i="67"/>
  <c r="W308" i="67"/>
  <c r="Y308" i="67"/>
  <c r="Z308" i="67"/>
  <c r="AB308" i="67"/>
  <c r="AC308" i="67"/>
  <c r="AC292" i="67"/>
  <c r="AE292" i="67"/>
  <c r="AD292" i="67"/>
  <c r="AE308" i="67"/>
  <c r="AF308" i="67"/>
  <c r="B307" i="67"/>
  <c r="D307" i="67"/>
  <c r="E307" i="67"/>
  <c r="G307" i="67"/>
  <c r="H307" i="67"/>
  <c r="J307" i="67"/>
  <c r="K307" i="67"/>
  <c r="M307" i="67"/>
  <c r="N307" i="67"/>
  <c r="P307" i="67"/>
  <c r="Q307" i="67"/>
  <c r="S307" i="67"/>
  <c r="T307" i="67"/>
  <c r="V307" i="67"/>
  <c r="W307" i="67"/>
  <c r="Y307" i="67"/>
  <c r="Z307" i="67"/>
  <c r="AB307" i="67"/>
  <c r="AC307" i="67"/>
  <c r="AE307" i="67"/>
  <c r="AF307" i="67"/>
  <c r="B305" i="67"/>
  <c r="D305" i="67"/>
  <c r="E305" i="67"/>
  <c r="G305" i="67"/>
  <c r="H305" i="67"/>
  <c r="J305" i="67"/>
  <c r="K305" i="67"/>
  <c r="M305" i="67"/>
  <c r="N305" i="67"/>
  <c r="P305" i="67"/>
  <c r="Q305" i="67"/>
  <c r="S305" i="67"/>
  <c r="T305" i="67"/>
  <c r="V305" i="67"/>
  <c r="W305" i="67"/>
  <c r="Y305" i="67"/>
  <c r="Z305" i="67"/>
  <c r="AB305" i="67"/>
  <c r="AC305" i="67"/>
  <c r="AE305" i="67"/>
  <c r="AF305" i="67"/>
  <c r="AG305" i="67"/>
  <c r="B304" i="67"/>
  <c r="D304" i="67"/>
  <c r="E304" i="67"/>
  <c r="G304" i="67"/>
  <c r="H304" i="67"/>
  <c r="J304" i="67"/>
  <c r="K304" i="67"/>
  <c r="M304" i="67"/>
  <c r="N304" i="67"/>
  <c r="P304" i="67"/>
  <c r="Q304" i="67"/>
  <c r="S304" i="67"/>
  <c r="T304" i="67"/>
  <c r="V304" i="67"/>
  <c r="W304" i="67"/>
  <c r="Y304" i="67"/>
  <c r="Z304" i="67"/>
  <c r="AB304" i="67"/>
  <c r="AC304" i="67"/>
  <c r="AE304" i="67"/>
  <c r="AF304" i="67"/>
  <c r="AG304" i="67"/>
  <c r="B303" i="67"/>
  <c r="D303" i="67"/>
  <c r="E303" i="67"/>
  <c r="G303" i="67"/>
  <c r="H303" i="67"/>
  <c r="J303" i="67"/>
  <c r="K303" i="67"/>
  <c r="M303" i="67"/>
  <c r="N303" i="67"/>
  <c r="P303" i="67"/>
  <c r="Q303" i="67"/>
  <c r="S303" i="67"/>
  <c r="T303" i="67"/>
  <c r="V303" i="67"/>
  <c r="W303" i="67"/>
  <c r="Y303" i="67"/>
  <c r="Z303" i="67"/>
  <c r="AB303" i="67"/>
  <c r="AC303" i="67"/>
  <c r="AE303" i="67"/>
  <c r="AF303" i="67"/>
  <c r="AG303" i="67"/>
  <c r="B302" i="67"/>
  <c r="D302" i="67"/>
  <c r="E302" i="67"/>
  <c r="G302" i="67"/>
  <c r="H302" i="67"/>
  <c r="J302" i="67"/>
  <c r="K302" i="67"/>
  <c r="M302" i="67"/>
  <c r="N302" i="67"/>
  <c r="P302" i="67"/>
  <c r="Q302" i="67"/>
  <c r="S302" i="67"/>
  <c r="T302" i="67"/>
  <c r="V302" i="67"/>
  <c r="W302" i="67"/>
  <c r="Y302" i="67"/>
  <c r="Z302" i="67"/>
  <c r="AB302" i="67"/>
  <c r="AC302" i="67"/>
  <c r="AE302" i="67"/>
  <c r="AF302" i="67"/>
  <c r="AG302" i="67"/>
  <c r="B301" i="67"/>
  <c r="D301" i="67"/>
  <c r="E301" i="67"/>
  <c r="G301" i="67"/>
  <c r="H301" i="67"/>
  <c r="J301" i="67"/>
  <c r="K301" i="67"/>
  <c r="M301" i="67"/>
  <c r="N301" i="67"/>
  <c r="P301" i="67"/>
  <c r="Q301" i="67"/>
  <c r="S301" i="67"/>
  <c r="T301" i="67"/>
  <c r="V301" i="67"/>
  <c r="W301" i="67"/>
  <c r="Y301" i="67"/>
  <c r="Z301" i="67"/>
  <c r="AB301" i="67"/>
  <c r="AC301" i="67"/>
  <c r="AE301" i="67"/>
  <c r="AF301" i="67"/>
  <c r="AG301" i="67"/>
  <c r="AE285" i="67"/>
  <c r="AC285" i="67"/>
  <c r="AB285" i="67"/>
  <c r="Z285" i="67"/>
  <c r="Y285" i="67"/>
  <c r="W285" i="67"/>
  <c r="V285" i="67"/>
  <c r="T285" i="67"/>
  <c r="S285" i="67"/>
  <c r="Q285" i="67"/>
  <c r="P285" i="67"/>
  <c r="N285" i="67"/>
  <c r="M285" i="67"/>
  <c r="K285" i="67"/>
  <c r="J285" i="67"/>
  <c r="H285" i="67"/>
  <c r="G285" i="67"/>
  <c r="E285" i="67"/>
  <c r="D285" i="67"/>
  <c r="B285" i="67"/>
  <c r="AD284" i="67"/>
  <c r="AA284" i="67"/>
  <c r="X284" i="67"/>
  <c r="U284" i="67"/>
  <c r="R284" i="67"/>
  <c r="O284" i="67"/>
  <c r="L284" i="67"/>
  <c r="I284" i="67"/>
  <c r="F284" i="67"/>
  <c r="A284" i="67"/>
  <c r="AG283" i="67"/>
  <c r="AH283" i="67"/>
  <c r="AI283" i="67"/>
  <c r="AJ283" i="67"/>
  <c r="AK283" i="67"/>
  <c r="AL283" i="67"/>
  <c r="AM283" i="67"/>
  <c r="AN283" i="67"/>
  <c r="AO283" i="67"/>
  <c r="AP283" i="67"/>
  <c r="AQ283" i="67"/>
  <c r="AF283" i="67"/>
  <c r="AD283" i="67"/>
  <c r="AA283" i="67"/>
  <c r="X283" i="67"/>
  <c r="U283" i="67"/>
  <c r="R283" i="67"/>
  <c r="O283" i="67"/>
  <c r="L283" i="67"/>
  <c r="I283" i="67"/>
  <c r="F283" i="67"/>
  <c r="A283" i="67"/>
  <c r="AG282" i="67"/>
  <c r="AH282" i="67"/>
  <c r="AI282" i="67"/>
  <c r="AJ282" i="67"/>
  <c r="AK282" i="67"/>
  <c r="AL282" i="67"/>
  <c r="AM282" i="67"/>
  <c r="AN282" i="67"/>
  <c r="AO282" i="67"/>
  <c r="AP282" i="67"/>
  <c r="AQ282" i="67"/>
  <c r="AF282" i="67"/>
  <c r="AD282" i="67"/>
  <c r="AA282" i="67"/>
  <c r="X282" i="67"/>
  <c r="U282" i="67"/>
  <c r="R282" i="67"/>
  <c r="O282" i="67"/>
  <c r="L282" i="67"/>
  <c r="I282" i="67"/>
  <c r="F282" i="67"/>
  <c r="A282" i="67"/>
  <c r="AG281" i="67"/>
  <c r="AH281" i="67"/>
  <c r="AI281" i="67"/>
  <c r="AJ281" i="67"/>
  <c r="AK281" i="67"/>
  <c r="AL281" i="67"/>
  <c r="AM281" i="67"/>
  <c r="AN281" i="67"/>
  <c r="AO281" i="67"/>
  <c r="AP281" i="67"/>
  <c r="AQ281" i="67"/>
  <c r="AF281" i="67"/>
  <c r="AD281" i="67"/>
  <c r="AA281" i="67"/>
  <c r="X281" i="67"/>
  <c r="U281" i="67"/>
  <c r="R281" i="67"/>
  <c r="O281" i="67"/>
  <c r="L281" i="67"/>
  <c r="I281" i="67"/>
  <c r="F281" i="67"/>
  <c r="A281" i="67"/>
  <c r="AG280" i="67"/>
  <c r="AH280" i="67"/>
  <c r="AI280" i="67"/>
  <c r="AJ280" i="67"/>
  <c r="AK280" i="67"/>
  <c r="AL280" i="67"/>
  <c r="AM280" i="67"/>
  <c r="AN280" i="67"/>
  <c r="AO280" i="67"/>
  <c r="AP280" i="67"/>
  <c r="AQ280" i="67"/>
  <c r="AF280" i="67"/>
  <c r="AD280" i="67"/>
  <c r="AA280" i="67"/>
  <c r="X280" i="67"/>
  <c r="U280" i="67"/>
  <c r="R280" i="67"/>
  <c r="O280" i="67"/>
  <c r="L280" i="67"/>
  <c r="I280" i="67"/>
  <c r="F280" i="67"/>
  <c r="AG279" i="67"/>
  <c r="AH279" i="67"/>
  <c r="AI279" i="67"/>
  <c r="AJ279" i="67"/>
  <c r="AK279" i="67"/>
  <c r="AL279" i="67"/>
  <c r="AM279" i="67"/>
  <c r="AN279" i="67"/>
  <c r="AO279" i="67"/>
  <c r="AP279" i="67"/>
  <c r="AQ279" i="67"/>
  <c r="AF279" i="67"/>
  <c r="AD279" i="67"/>
  <c r="AA279" i="67"/>
  <c r="X279" i="67"/>
  <c r="U279" i="67"/>
  <c r="R279" i="67"/>
  <c r="O279" i="67"/>
  <c r="L279" i="67"/>
  <c r="I279" i="67"/>
  <c r="F279" i="67"/>
  <c r="AC277" i="67"/>
  <c r="Z277" i="67"/>
  <c r="W277" i="67"/>
  <c r="T277" i="67"/>
  <c r="Q277" i="67"/>
  <c r="N277" i="67"/>
  <c r="K277" i="67"/>
  <c r="H277" i="67"/>
  <c r="E277" i="67"/>
  <c r="E272" i="67"/>
  <c r="AC271" i="67"/>
  <c r="Z271" i="67"/>
  <c r="W271" i="67"/>
  <c r="R271" i="67"/>
  <c r="L271" i="67"/>
  <c r="A271" i="67"/>
  <c r="AC269" i="67"/>
  <c r="Z269" i="67"/>
  <c r="W269" i="67"/>
  <c r="R269" i="67"/>
  <c r="L269" i="67"/>
  <c r="A269" i="67"/>
  <c r="AC267" i="67"/>
  <c r="Z267" i="67"/>
  <c r="W267" i="67"/>
  <c r="R267" i="67"/>
  <c r="L267" i="67"/>
  <c r="A267" i="67"/>
  <c r="AC265" i="67"/>
  <c r="Z265" i="67"/>
  <c r="W265" i="67"/>
  <c r="R265" i="67"/>
  <c r="L265" i="67"/>
  <c r="A265" i="67"/>
  <c r="AC263" i="67"/>
  <c r="Z263" i="67"/>
  <c r="W263" i="67"/>
  <c r="R263" i="67"/>
  <c r="L263" i="67"/>
  <c r="A263" i="67"/>
  <c r="R262" i="67"/>
  <c r="L262" i="67"/>
  <c r="K261" i="67"/>
  <c r="A259" i="67"/>
  <c r="AF246" i="67"/>
  <c r="S245" i="67"/>
  <c r="AF245" i="67"/>
  <c r="J244" i="67"/>
  <c r="AB244" i="67"/>
  <c r="AF244" i="67"/>
  <c r="D243" i="67"/>
  <c r="M243" i="67"/>
  <c r="V243" i="67"/>
  <c r="AF243" i="67"/>
  <c r="G242" i="67"/>
  <c r="P242" i="67"/>
  <c r="Y242" i="67"/>
  <c r="AE242" i="67"/>
  <c r="AF242" i="67"/>
  <c r="AF238" i="67"/>
  <c r="AG238" i="67"/>
  <c r="AF237" i="67"/>
  <c r="AG237" i="67"/>
  <c r="AF236" i="67"/>
  <c r="AG236" i="67"/>
  <c r="AF235" i="67"/>
  <c r="AG235" i="67"/>
  <c r="AF234" i="67"/>
  <c r="AG234" i="67"/>
  <c r="B232" i="67"/>
  <c r="B209" i="67"/>
  <c r="D209" i="67"/>
  <c r="B210" i="67"/>
  <c r="D210" i="67"/>
  <c r="B211" i="67"/>
  <c r="D211" i="67"/>
  <c r="B212" i="67"/>
  <c r="D212" i="67"/>
  <c r="B213" i="67"/>
  <c r="D213" i="67"/>
  <c r="B214" i="67"/>
  <c r="D232" i="67"/>
  <c r="E232" i="67"/>
  <c r="G232" i="67"/>
  <c r="H232" i="67"/>
  <c r="H209" i="67"/>
  <c r="J209" i="67"/>
  <c r="H210" i="67"/>
  <c r="J210" i="67"/>
  <c r="H211" i="67"/>
  <c r="J211" i="67"/>
  <c r="H212" i="67"/>
  <c r="J212" i="67"/>
  <c r="H213" i="67"/>
  <c r="J213" i="67"/>
  <c r="H214" i="67"/>
  <c r="J232" i="67"/>
  <c r="K232" i="67"/>
  <c r="M232" i="67"/>
  <c r="N232" i="67"/>
  <c r="P232" i="67"/>
  <c r="Q232" i="67"/>
  <c r="Q209" i="67"/>
  <c r="S209" i="67"/>
  <c r="Q210" i="67"/>
  <c r="S210" i="67"/>
  <c r="Q211" i="67"/>
  <c r="S211" i="67"/>
  <c r="Q212" i="67"/>
  <c r="S212" i="67"/>
  <c r="Q213" i="67"/>
  <c r="S213" i="67"/>
  <c r="Q214" i="67"/>
  <c r="S232" i="67"/>
  <c r="T232" i="67"/>
  <c r="V232" i="67"/>
  <c r="W232" i="67"/>
  <c r="W209" i="67"/>
  <c r="Y209" i="67"/>
  <c r="W210" i="67"/>
  <c r="Y210" i="67"/>
  <c r="W211" i="67"/>
  <c r="Y211" i="67"/>
  <c r="W212" i="67"/>
  <c r="Y212" i="67"/>
  <c r="W213" i="67"/>
  <c r="Y213" i="67"/>
  <c r="W214" i="67"/>
  <c r="Y232" i="67"/>
  <c r="Z232" i="67"/>
  <c r="AB232" i="67"/>
  <c r="AC232" i="67"/>
  <c r="AE232" i="67"/>
  <c r="AF232" i="67"/>
  <c r="B231" i="67"/>
  <c r="D231" i="67"/>
  <c r="E231" i="67"/>
  <c r="E209" i="67"/>
  <c r="G209" i="67"/>
  <c r="E210" i="67"/>
  <c r="G210" i="67"/>
  <c r="E211" i="67"/>
  <c r="G211" i="67"/>
  <c r="E212" i="67"/>
  <c r="G212" i="67"/>
  <c r="E213" i="67"/>
  <c r="G213" i="67"/>
  <c r="E214" i="67"/>
  <c r="G231" i="67"/>
  <c r="H231" i="67"/>
  <c r="J231" i="67"/>
  <c r="K231" i="67"/>
  <c r="K209" i="67"/>
  <c r="M209" i="67"/>
  <c r="K210" i="67"/>
  <c r="M210" i="67"/>
  <c r="K211" i="67"/>
  <c r="M211" i="67"/>
  <c r="K212" i="67"/>
  <c r="M212" i="67"/>
  <c r="K213" i="67"/>
  <c r="M213" i="67"/>
  <c r="K214" i="67"/>
  <c r="M231" i="67"/>
  <c r="N231" i="67"/>
  <c r="P231" i="67"/>
  <c r="Q231" i="67"/>
  <c r="S231" i="67"/>
  <c r="T231" i="67"/>
  <c r="V231" i="67"/>
  <c r="W231" i="67"/>
  <c r="Y231" i="67"/>
  <c r="Z231" i="67"/>
  <c r="Z209" i="67"/>
  <c r="AB209" i="67"/>
  <c r="Z210" i="67"/>
  <c r="AB210" i="67"/>
  <c r="Z211" i="67"/>
  <c r="AB211" i="67"/>
  <c r="Z212" i="67"/>
  <c r="AB212" i="67"/>
  <c r="Z213" i="67"/>
  <c r="AB213" i="67"/>
  <c r="Z214" i="67"/>
  <c r="AB231" i="67"/>
  <c r="AC231" i="67"/>
  <c r="AE231" i="67"/>
  <c r="AF231" i="67"/>
  <c r="B230" i="67"/>
  <c r="D230" i="67"/>
  <c r="E230" i="67"/>
  <c r="G230" i="67"/>
  <c r="H230" i="67"/>
  <c r="J230" i="67"/>
  <c r="K230" i="67"/>
  <c r="M230" i="67"/>
  <c r="N230" i="67"/>
  <c r="N209" i="67"/>
  <c r="P209" i="67"/>
  <c r="N210" i="67"/>
  <c r="P210" i="67"/>
  <c r="N211" i="67"/>
  <c r="P211" i="67"/>
  <c r="N212" i="67"/>
  <c r="P212" i="67"/>
  <c r="N213" i="67"/>
  <c r="P213" i="67"/>
  <c r="N214" i="67"/>
  <c r="P230" i="67"/>
  <c r="Q230" i="67"/>
  <c r="S230" i="67"/>
  <c r="T230" i="67"/>
  <c r="T209" i="67"/>
  <c r="V209" i="67"/>
  <c r="T210" i="67"/>
  <c r="V210" i="67"/>
  <c r="T211" i="67"/>
  <c r="V211" i="67"/>
  <c r="T212" i="67"/>
  <c r="V212" i="67"/>
  <c r="T213" i="67"/>
  <c r="V213" i="67"/>
  <c r="T214" i="67"/>
  <c r="V230" i="67"/>
  <c r="W230" i="67"/>
  <c r="Y230" i="67"/>
  <c r="Z230" i="67"/>
  <c r="AB230" i="67"/>
  <c r="AC230" i="67"/>
  <c r="AE230" i="67"/>
  <c r="AF230" i="67"/>
  <c r="B229" i="67"/>
  <c r="D229" i="67"/>
  <c r="E229" i="67"/>
  <c r="G229" i="67"/>
  <c r="H229" i="67"/>
  <c r="J229" i="67"/>
  <c r="K229" i="67"/>
  <c r="M229" i="67"/>
  <c r="N229" i="67"/>
  <c r="P229" i="67"/>
  <c r="Q229" i="67"/>
  <c r="S229" i="67"/>
  <c r="T229" i="67"/>
  <c r="V229" i="67"/>
  <c r="W229" i="67"/>
  <c r="Y229" i="67"/>
  <c r="Z229" i="67"/>
  <c r="AB229" i="67"/>
  <c r="AC229" i="67"/>
  <c r="AC209" i="67"/>
  <c r="AE209" i="67"/>
  <c r="AC210" i="67"/>
  <c r="AE210" i="67"/>
  <c r="AC211" i="67"/>
  <c r="AE211" i="67"/>
  <c r="AC212" i="67"/>
  <c r="AE212" i="67"/>
  <c r="AC213" i="67"/>
  <c r="AE213" i="67"/>
  <c r="AC214" i="67"/>
  <c r="AE229" i="67"/>
  <c r="AF229" i="67"/>
  <c r="B228" i="67"/>
  <c r="D228" i="67"/>
  <c r="E228" i="67"/>
  <c r="G228" i="67"/>
  <c r="H228" i="67"/>
  <c r="J228" i="67"/>
  <c r="K228" i="67"/>
  <c r="M228" i="67"/>
  <c r="N228" i="67"/>
  <c r="P228" i="67"/>
  <c r="Q228" i="67"/>
  <c r="S228" i="67"/>
  <c r="T228" i="67"/>
  <c r="V228" i="67"/>
  <c r="W228" i="67"/>
  <c r="Y228" i="67"/>
  <c r="Z228" i="67"/>
  <c r="AB228" i="67"/>
  <c r="AC228" i="67"/>
  <c r="AE228" i="67"/>
  <c r="AF228" i="67"/>
  <c r="B226" i="67"/>
  <c r="B207" i="67"/>
  <c r="D207" i="67"/>
  <c r="C207" i="67"/>
  <c r="D226" i="67"/>
  <c r="E226" i="67"/>
  <c r="G226" i="67"/>
  <c r="H226" i="67"/>
  <c r="H207" i="67"/>
  <c r="J207" i="67"/>
  <c r="I207" i="67"/>
  <c r="J226" i="67"/>
  <c r="K226" i="67"/>
  <c r="M226" i="67"/>
  <c r="N226" i="67"/>
  <c r="P226" i="67"/>
  <c r="Q226" i="67"/>
  <c r="Q207" i="67"/>
  <c r="S207" i="67"/>
  <c r="R207" i="67"/>
  <c r="S226" i="67"/>
  <c r="T226" i="67"/>
  <c r="V226" i="67"/>
  <c r="W226" i="67"/>
  <c r="W207" i="67"/>
  <c r="Y207" i="67"/>
  <c r="X207" i="67"/>
  <c r="Y226" i="67"/>
  <c r="Z226" i="67"/>
  <c r="AB226" i="67"/>
  <c r="AC226" i="67"/>
  <c r="AE226" i="67"/>
  <c r="AF226" i="67"/>
  <c r="B225" i="67"/>
  <c r="D225" i="67"/>
  <c r="E225" i="67"/>
  <c r="E207" i="67"/>
  <c r="G207" i="67"/>
  <c r="F207" i="67"/>
  <c r="G225" i="67"/>
  <c r="H225" i="67"/>
  <c r="J225" i="67"/>
  <c r="K225" i="67"/>
  <c r="K207" i="67"/>
  <c r="M207" i="67"/>
  <c r="L207" i="67"/>
  <c r="M225" i="67"/>
  <c r="N225" i="67"/>
  <c r="P225" i="67"/>
  <c r="Q225" i="67"/>
  <c r="S225" i="67"/>
  <c r="T225" i="67"/>
  <c r="V225" i="67"/>
  <c r="W225" i="67"/>
  <c r="Y225" i="67"/>
  <c r="Z225" i="67"/>
  <c r="Z207" i="67"/>
  <c r="AB207" i="67"/>
  <c r="AA207" i="67"/>
  <c r="AB225" i="67"/>
  <c r="AC225" i="67"/>
  <c r="AE225" i="67"/>
  <c r="AF225" i="67"/>
  <c r="B224" i="67"/>
  <c r="D224" i="67"/>
  <c r="E224" i="67"/>
  <c r="G224" i="67"/>
  <c r="H224" i="67"/>
  <c r="J224" i="67"/>
  <c r="K224" i="67"/>
  <c r="M224" i="67"/>
  <c r="N224" i="67"/>
  <c r="N207" i="67"/>
  <c r="P207" i="67"/>
  <c r="O207" i="67"/>
  <c r="P224" i="67"/>
  <c r="Q224" i="67"/>
  <c r="S224" i="67"/>
  <c r="T224" i="67"/>
  <c r="T207" i="67"/>
  <c r="V207" i="67"/>
  <c r="U207" i="67"/>
  <c r="V224" i="67"/>
  <c r="W224" i="67"/>
  <c r="Y224" i="67"/>
  <c r="Z224" i="67"/>
  <c r="AB224" i="67"/>
  <c r="AC224" i="67"/>
  <c r="AE224" i="67"/>
  <c r="AF224" i="67"/>
  <c r="B223" i="67"/>
  <c r="D223" i="67"/>
  <c r="E223" i="67"/>
  <c r="G223" i="67"/>
  <c r="H223" i="67"/>
  <c r="J223" i="67"/>
  <c r="K223" i="67"/>
  <c r="M223" i="67"/>
  <c r="N223" i="67"/>
  <c r="P223" i="67"/>
  <c r="Q223" i="67"/>
  <c r="S223" i="67"/>
  <c r="T223" i="67"/>
  <c r="V223" i="67"/>
  <c r="W223" i="67"/>
  <c r="Y223" i="67"/>
  <c r="Z223" i="67"/>
  <c r="AB223" i="67"/>
  <c r="AC223" i="67"/>
  <c r="AC207" i="67"/>
  <c r="AE207" i="67"/>
  <c r="AD207" i="67"/>
  <c r="AE223" i="67"/>
  <c r="AF223" i="67"/>
  <c r="B222" i="67"/>
  <c r="D222" i="67"/>
  <c r="E222" i="67"/>
  <c r="G222" i="67"/>
  <c r="H222" i="67"/>
  <c r="J222" i="67"/>
  <c r="K222" i="67"/>
  <c r="M222" i="67"/>
  <c r="N222" i="67"/>
  <c r="P222" i="67"/>
  <c r="Q222" i="67"/>
  <c r="S222" i="67"/>
  <c r="T222" i="67"/>
  <c r="V222" i="67"/>
  <c r="W222" i="67"/>
  <c r="Y222" i="67"/>
  <c r="Z222" i="67"/>
  <c r="AB222" i="67"/>
  <c r="AC222" i="67"/>
  <c r="AE222" i="67"/>
  <c r="AF222" i="67"/>
  <c r="B220" i="67"/>
  <c r="D220" i="67"/>
  <c r="E220" i="67"/>
  <c r="G220" i="67"/>
  <c r="H220" i="67"/>
  <c r="J220" i="67"/>
  <c r="K220" i="67"/>
  <c r="M220" i="67"/>
  <c r="N220" i="67"/>
  <c r="P220" i="67"/>
  <c r="Q220" i="67"/>
  <c r="S220" i="67"/>
  <c r="T220" i="67"/>
  <c r="V220" i="67"/>
  <c r="W220" i="67"/>
  <c r="Y220" i="67"/>
  <c r="Z220" i="67"/>
  <c r="AB220" i="67"/>
  <c r="AC220" i="67"/>
  <c r="AE220" i="67"/>
  <c r="AF220" i="67"/>
  <c r="AG220" i="67"/>
  <c r="B219" i="67"/>
  <c r="D219" i="67"/>
  <c r="E219" i="67"/>
  <c r="G219" i="67"/>
  <c r="H219" i="67"/>
  <c r="J219" i="67"/>
  <c r="K219" i="67"/>
  <c r="M219" i="67"/>
  <c r="N219" i="67"/>
  <c r="P219" i="67"/>
  <c r="Q219" i="67"/>
  <c r="S219" i="67"/>
  <c r="T219" i="67"/>
  <c r="V219" i="67"/>
  <c r="W219" i="67"/>
  <c r="Y219" i="67"/>
  <c r="Z219" i="67"/>
  <c r="AB219" i="67"/>
  <c r="AC219" i="67"/>
  <c r="AE219" i="67"/>
  <c r="AF219" i="67"/>
  <c r="AG219" i="67"/>
  <c r="B218" i="67"/>
  <c r="D218" i="67"/>
  <c r="E218" i="67"/>
  <c r="G218" i="67"/>
  <c r="H218" i="67"/>
  <c r="J218" i="67"/>
  <c r="K218" i="67"/>
  <c r="M218" i="67"/>
  <c r="N218" i="67"/>
  <c r="P218" i="67"/>
  <c r="Q218" i="67"/>
  <c r="S218" i="67"/>
  <c r="T218" i="67"/>
  <c r="V218" i="67"/>
  <c r="W218" i="67"/>
  <c r="Y218" i="67"/>
  <c r="Z218" i="67"/>
  <c r="AB218" i="67"/>
  <c r="AC218" i="67"/>
  <c r="AE218" i="67"/>
  <c r="AF218" i="67"/>
  <c r="AG218" i="67"/>
  <c r="B217" i="67"/>
  <c r="D217" i="67"/>
  <c r="E217" i="67"/>
  <c r="G217" i="67"/>
  <c r="H217" i="67"/>
  <c r="J217" i="67"/>
  <c r="K217" i="67"/>
  <c r="M217" i="67"/>
  <c r="N217" i="67"/>
  <c r="P217" i="67"/>
  <c r="Q217" i="67"/>
  <c r="S217" i="67"/>
  <c r="T217" i="67"/>
  <c r="V217" i="67"/>
  <c r="W217" i="67"/>
  <c r="Y217" i="67"/>
  <c r="Z217" i="67"/>
  <c r="AB217" i="67"/>
  <c r="AC217" i="67"/>
  <c r="AE217" i="67"/>
  <c r="AF217" i="67"/>
  <c r="AG217" i="67"/>
  <c r="B216" i="67"/>
  <c r="D216" i="67"/>
  <c r="E216" i="67"/>
  <c r="G216" i="67"/>
  <c r="H216" i="67"/>
  <c r="J216" i="67"/>
  <c r="K216" i="67"/>
  <c r="M216" i="67"/>
  <c r="N216" i="67"/>
  <c r="P216" i="67"/>
  <c r="Q216" i="67"/>
  <c r="S216" i="67"/>
  <c r="T216" i="67"/>
  <c r="V216" i="67"/>
  <c r="W216" i="67"/>
  <c r="Y216" i="67"/>
  <c r="Z216" i="67"/>
  <c r="AB216" i="67"/>
  <c r="AC216" i="67"/>
  <c r="AE216" i="67"/>
  <c r="AF216" i="67"/>
  <c r="AG216" i="67"/>
  <c r="AE200" i="67"/>
  <c r="AC200" i="67"/>
  <c r="AB200" i="67"/>
  <c r="Z200" i="67"/>
  <c r="Y200" i="67"/>
  <c r="W200" i="67"/>
  <c r="V200" i="67"/>
  <c r="T200" i="67"/>
  <c r="S200" i="67"/>
  <c r="Q200" i="67"/>
  <c r="P200" i="67"/>
  <c r="N200" i="67"/>
  <c r="M200" i="67"/>
  <c r="K200" i="67"/>
  <c r="J200" i="67"/>
  <c r="H200" i="67"/>
  <c r="G200" i="67"/>
  <c r="E200" i="67"/>
  <c r="D200" i="67"/>
  <c r="B200" i="67"/>
  <c r="AD199" i="67"/>
  <c r="AA199" i="67"/>
  <c r="X199" i="67"/>
  <c r="U199" i="67"/>
  <c r="R199" i="67"/>
  <c r="O199" i="67"/>
  <c r="L199" i="67"/>
  <c r="I199" i="67"/>
  <c r="F199" i="67"/>
  <c r="A199" i="67"/>
  <c r="AG198" i="67"/>
  <c r="AH198" i="67"/>
  <c r="AI198" i="67"/>
  <c r="AJ198" i="67"/>
  <c r="AK198" i="67"/>
  <c r="AL198" i="67"/>
  <c r="AM198" i="67"/>
  <c r="AN198" i="67"/>
  <c r="AO198" i="67"/>
  <c r="AP198" i="67"/>
  <c r="AQ198" i="67"/>
  <c r="AF198" i="67"/>
  <c r="AD198" i="67"/>
  <c r="AA198" i="67"/>
  <c r="X198" i="67"/>
  <c r="U198" i="67"/>
  <c r="R198" i="67"/>
  <c r="O198" i="67"/>
  <c r="L198" i="67"/>
  <c r="I198" i="67"/>
  <c r="F198" i="67"/>
  <c r="A198" i="67"/>
  <c r="AG197" i="67"/>
  <c r="AH197" i="67"/>
  <c r="AI197" i="67"/>
  <c r="AJ197" i="67"/>
  <c r="AK197" i="67"/>
  <c r="AL197" i="67"/>
  <c r="AM197" i="67"/>
  <c r="AN197" i="67"/>
  <c r="AO197" i="67"/>
  <c r="AP197" i="67"/>
  <c r="AQ197" i="67"/>
  <c r="AF197" i="67"/>
  <c r="AD197" i="67"/>
  <c r="AA197" i="67"/>
  <c r="X197" i="67"/>
  <c r="U197" i="67"/>
  <c r="R197" i="67"/>
  <c r="O197" i="67"/>
  <c r="L197" i="67"/>
  <c r="I197" i="67"/>
  <c r="F197" i="67"/>
  <c r="A197" i="67"/>
  <c r="AG196" i="67"/>
  <c r="AH196" i="67"/>
  <c r="AI196" i="67"/>
  <c r="AJ196" i="67"/>
  <c r="AK196" i="67"/>
  <c r="AL196" i="67"/>
  <c r="AM196" i="67"/>
  <c r="AN196" i="67"/>
  <c r="AO196" i="67"/>
  <c r="AP196" i="67"/>
  <c r="AQ196" i="67"/>
  <c r="AF196" i="67"/>
  <c r="AD196" i="67"/>
  <c r="AA196" i="67"/>
  <c r="X196" i="67"/>
  <c r="U196" i="67"/>
  <c r="R196" i="67"/>
  <c r="O196" i="67"/>
  <c r="L196" i="67"/>
  <c r="I196" i="67"/>
  <c r="F196" i="67"/>
  <c r="A196" i="67"/>
  <c r="AG195" i="67"/>
  <c r="AH195" i="67"/>
  <c r="AI195" i="67"/>
  <c r="AJ195" i="67"/>
  <c r="AK195" i="67"/>
  <c r="AL195" i="67"/>
  <c r="AM195" i="67"/>
  <c r="AN195" i="67"/>
  <c r="AO195" i="67"/>
  <c r="AP195" i="67"/>
  <c r="AQ195" i="67"/>
  <c r="AF195" i="67"/>
  <c r="AD195" i="67"/>
  <c r="AA195" i="67"/>
  <c r="X195" i="67"/>
  <c r="U195" i="67"/>
  <c r="R195" i="67"/>
  <c r="O195" i="67"/>
  <c r="L195" i="67"/>
  <c r="I195" i="67"/>
  <c r="F195" i="67"/>
  <c r="AG194" i="67"/>
  <c r="AH194" i="67"/>
  <c r="AI194" i="67"/>
  <c r="AJ194" i="67"/>
  <c r="AK194" i="67"/>
  <c r="AL194" i="67"/>
  <c r="AM194" i="67"/>
  <c r="AN194" i="67"/>
  <c r="AO194" i="67"/>
  <c r="AP194" i="67"/>
  <c r="AQ194" i="67"/>
  <c r="AF194" i="67"/>
  <c r="AD194" i="67"/>
  <c r="AA194" i="67"/>
  <c r="X194" i="67"/>
  <c r="U194" i="67"/>
  <c r="R194" i="67"/>
  <c r="O194" i="67"/>
  <c r="L194" i="67"/>
  <c r="I194" i="67"/>
  <c r="F194" i="67"/>
  <c r="AC192" i="67"/>
  <c r="Z192" i="67"/>
  <c r="W192" i="67"/>
  <c r="T192" i="67"/>
  <c r="Q192" i="67"/>
  <c r="N192" i="67"/>
  <c r="K192" i="67"/>
  <c r="H192" i="67"/>
  <c r="E192" i="67"/>
  <c r="E187" i="67"/>
  <c r="AC186" i="67"/>
  <c r="Z186" i="67"/>
  <c r="W186" i="67"/>
  <c r="R186" i="67"/>
  <c r="L186" i="67"/>
  <c r="A186" i="67"/>
  <c r="AC184" i="67"/>
  <c r="Z184" i="67"/>
  <c r="W184" i="67"/>
  <c r="R184" i="67"/>
  <c r="L184" i="67"/>
  <c r="A184" i="67"/>
  <c r="AC182" i="67"/>
  <c r="Z182" i="67"/>
  <c r="W182" i="67"/>
  <c r="R182" i="67"/>
  <c r="L182" i="67"/>
  <c r="A182" i="67"/>
  <c r="AC180" i="67"/>
  <c r="Z180" i="67"/>
  <c r="W180" i="67"/>
  <c r="R180" i="67"/>
  <c r="L180" i="67"/>
  <c r="A180" i="67"/>
  <c r="AC178" i="67"/>
  <c r="Z178" i="67"/>
  <c r="W178" i="67"/>
  <c r="R178" i="67"/>
  <c r="L178" i="67"/>
  <c r="A178" i="67"/>
  <c r="R177" i="67"/>
  <c r="L177" i="67"/>
  <c r="K176" i="67"/>
  <c r="A174" i="67"/>
  <c r="AF161" i="67"/>
  <c r="S160" i="67"/>
  <c r="AF160" i="67"/>
  <c r="J159" i="67"/>
  <c r="AB159" i="67"/>
  <c r="AF159" i="67"/>
  <c r="D158" i="67"/>
  <c r="M158" i="67"/>
  <c r="V158" i="67"/>
  <c r="AF158" i="67"/>
  <c r="G157" i="67"/>
  <c r="P157" i="67"/>
  <c r="Y157" i="67"/>
  <c r="AE157" i="67"/>
  <c r="AF157" i="67"/>
  <c r="AF153" i="67"/>
  <c r="AG153" i="67"/>
  <c r="AF152" i="67"/>
  <c r="AG152" i="67"/>
  <c r="AF151" i="67"/>
  <c r="AG151" i="67"/>
  <c r="AF150" i="67"/>
  <c r="AG150" i="67"/>
  <c r="AF149" i="67"/>
  <c r="AG149" i="67"/>
  <c r="B147" i="67"/>
  <c r="B124" i="67"/>
  <c r="D124" i="67"/>
  <c r="B125" i="67"/>
  <c r="D125" i="67"/>
  <c r="B126" i="67"/>
  <c r="D126" i="67"/>
  <c r="B127" i="67"/>
  <c r="D127" i="67"/>
  <c r="B128" i="67"/>
  <c r="D128" i="67"/>
  <c r="B129" i="67"/>
  <c r="D147" i="67"/>
  <c r="E147" i="67"/>
  <c r="G147" i="67"/>
  <c r="H147" i="67"/>
  <c r="H124" i="67"/>
  <c r="J124" i="67"/>
  <c r="H125" i="67"/>
  <c r="J125" i="67"/>
  <c r="H126" i="67"/>
  <c r="J126" i="67"/>
  <c r="H127" i="67"/>
  <c r="J127" i="67"/>
  <c r="H128" i="67"/>
  <c r="J128" i="67"/>
  <c r="H129" i="67"/>
  <c r="J147" i="67"/>
  <c r="K147" i="67"/>
  <c r="M147" i="67"/>
  <c r="N147" i="67"/>
  <c r="P147" i="67"/>
  <c r="Q147" i="67"/>
  <c r="Q124" i="67"/>
  <c r="S124" i="67"/>
  <c r="Q125" i="67"/>
  <c r="S125" i="67"/>
  <c r="Q126" i="67"/>
  <c r="S126" i="67"/>
  <c r="Q127" i="67"/>
  <c r="S127" i="67"/>
  <c r="Q128" i="67"/>
  <c r="S128" i="67"/>
  <c r="Q129" i="67"/>
  <c r="S147" i="67"/>
  <c r="T147" i="67"/>
  <c r="V147" i="67"/>
  <c r="W147" i="67"/>
  <c r="W124" i="67"/>
  <c r="Y124" i="67"/>
  <c r="W125" i="67"/>
  <c r="Y125" i="67"/>
  <c r="W126" i="67"/>
  <c r="Y126" i="67"/>
  <c r="W127" i="67"/>
  <c r="Y127" i="67"/>
  <c r="W128" i="67"/>
  <c r="Y128" i="67"/>
  <c r="W129" i="67"/>
  <c r="Y147" i="67"/>
  <c r="Z147" i="67"/>
  <c r="AB147" i="67"/>
  <c r="AC147" i="67"/>
  <c r="AE147" i="67"/>
  <c r="AF147" i="67"/>
  <c r="B146" i="67"/>
  <c r="D146" i="67"/>
  <c r="E146" i="67"/>
  <c r="E124" i="67"/>
  <c r="G124" i="67"/>
  <c r="E125" i="67"/>
  <c r="G125" i="67"/>
  <c r="E126" i="67"/>
  <c r="G126" i="67"/>
  <c r="E127" i="67"/>
  <c r="G127" i="67"/>
  <c r="E128" i="67"/>
  <c r="G128" i="67"/>
  <c r="E129" i="67"/>
  <c r="G146" i="67"/>
  <c r="H146" i="67"/>
  <c r="J146" i="67"/>
  <c r="K146" i="67"/>
  <c r="K124" i="67"/>
  <c r="M124" i="67"/>
  <c r="K125" i="67"/>
  <c r="M125" i="67"/>
  <c r="K126" i="67"/>
  <c r="M126" i="67"/>
  <c r="K127" i="67"/>
  <c r="M127" i="67"/>
  <c r="K128" i="67"/>
  <c r="M128" i="67"/>
  <c r="K129" i="67"/>
  <c r="M146" i="67"/>
  <c r="N146" i="67"/>
  <c r="P146" i="67"/>
  <c r="Q146" i="67"/>
  <c r="S146" i="67"/>
  <c r="T146" i="67"/>
  <c r="V146" i="67"/>
  <c r="W146" i="67"/>
  <c r="Y146" i="67"/>
  <c r="Z146" i="67"/>
  <c r="Z124" i="67"/>
  <c r="AB124" i="67"/>
  <c r="Z125" i="67"/>
  <c r="AB125" i="67"/>
  <c r="Z126" i="67"/>
  <c r="AB126" i="67"/>
  <c r="Z127" i="67"/>
  <c r="AB127" i="67"/>
  <c r="Z128" i="67"/>
  <c r="AB128" i="67"/>
  <c r="Z129" i="67"/>
  <c r="AB146" i="67"/>
  <c r="AC146" i="67"/>
  <c r="AE146" i="67"/>
  <c r="AF146" i="67"/>
  <c r="B145" i="67"/>
  <c r="D145" i="67"/>
  <c r="E145" i="67"/>
  <c r="G145" i="67"/>
  <c r="H145" i="67"/>
  <c r="J145" i="67"/>
  <c r="K145" i="67"/>
  <c r="M145" i="67"/>
  <c r="N145" i="67"/>
  <c r="N124" i="67"/>
  <c r="P124" i="67"/>
  <c r="N125" i="67"/>
  <c r="P125" i="67"/>
  <c r="N126" i="67"/>
  <c r="P126" i="67"/>
  <c r="N127" i="67"/>
  <c r="P127" i="67"/>
  <c r="N128" i="67"/>
  <c r="P128" i="67"/>
  <c r="N129" i="67"/>
  <c r="P145" i="67"/>
  <c r="Q145" i="67"/>
  <c r="S145" i="67"/>
  <c r="T145" i="67"/>
  <c r="T124" i="67"/>
  <c r="V124" i="67"/>
  <c r="T125" i="67"/>
  <c r="V125" i="67"/>
  <c r="T126" i="67"/>
  <c r="V126" i="67"/>
  <c r="T127" i="67"/>
  <c r="V127" i="67"/>
  <c r="T128" i="67"/>
  <c r="V128" i="67"/>
  <c r="T129" i="67"/>
  <c r="V145" i="67"/>
  <c r="W145" i="67"/>
  <c r="Y145" i="67"/>
  <c r="Z145" i="67"/>
  <c r="AB145" i="67"/>
  <c r="AC145" i="67"/>
  <c r="AE145" i="67"/>
  <c r="AF145" i="67"/>
  <c r="B144" i="67"/>
  <c r="D144" i="67"/>
  <c r="E144" i="67"/>
  <c r="G144" i="67"/>
  <c r="H144" i="67"/>
  <c r="J144" i="67"/>
  <c r="K144" i="67"/>
  <c r="M144" i="67"/>
  <c r="N144" i="67"/>
  <c r="P144" i="67"/>
  <c r="Q144" i="67"/>
  <c r="S144" i="67"/>
  <c r="T144" i="67"/>
  <c r="V144" i="67"/>
  <c r="W144" i="67"/>
  <c r="Y144" i="67"/>
  <c r="Z144" i="67"/>
  <c r="AB144" i="67"/>
  <c r="AC144" i="67"/>
  <c r="AC124" i="67"/>
  <c r="AE124" i="67"/>
  <c r="AC125" i="67"/>
  <c r="AE125" i="67"/>
  <c r="AC126" i="67"/>
  <c r="AE126" i="67"/>
  <c r="AC127" i="67"/>
  <c r="AE127" i="67"/>
  <c r="AC128" i="67"/>
  <c r="AE128" i="67"/>
  <c r="AC129" i="67"/>
  <c r="AE144" i="67"/>
  <c r="AF144" i="67"/>
  <c r="B143" i="67"/>
  <c r="D143" i="67"/>
  <c r="E143" i="67"/>
  <c r="G143" i="67"/>
  <c r="H143" i="67"/>
  <c r="J143" i="67"/>
  <c r="K143" i="67"/>
  <c r="M143" i="67"/>
  <c r="N143" i="67"/>
  <c r="P143" i="67"/>
  <c r="Q143" i="67"/>
  <c r="S143" i="67"/>
  <c r="T143" i="67"/>
  <c r="V143" i="67"/>
  <c r="W143" i="67"/>
  <c r="Y143" i="67"/>
  <c r="Z143" i="67"/>
  <c r="AB143" i="67"/>
  <c r="AC143" i="67"/>
  <c r="AE143" i="67"/>
  <c r="AF143" i="67"/>
  <c r="B141" i="67"/>
  <c r="B122" i="67"/>
  <c r="D122" i="67"/>
  <c r="C122" i="67"/>
  <c r="D141" i="67"/>
  <c r="E141" i="67"/>
  <c r="G141" i="67"/>
  <c r="H141" i="67"/>
  <c r="H122" i="67"/>
  <c r="J122" i="67"/>
  <c r="I122" i="67"/>
  <c r="J141" i="67"/>
  <c r="K141" i="67"/>
  <c r="M141" i="67"/>
  <c r="N141" i="67"/>
  <c r="P141" i="67"/>
  <c r="Q141" i="67"/>
  <c r="Q122" i="67"/>
  <c r="S122" i="67"/>
  <c r="R122" i="67"/>
  <c r="S141" i="67"/>
  <c r="T141" i="67"/>
  <c r="V141" i="67"/>
  <c r="W141" i="67"/>
  <c r="W122" i="67"/>
  <c r="Y122" i="67"/>
  <c r="X122" i="67"/>
  <c r="Y141" i="67"/>
  <c r="Z141" i="67"/>
  <c r="AB141" i="67"/>
  <c r="AC141" i="67"/>
  <c r="AE141" i="67"/>
  <c r="AF141" i="67"/>
  <c r="B140" i="67"/>
  <c r="D140" i="67"/>
  <c r="E140" i="67"/>
  <c r="E122" i="67"/>
  <c r="G122" i="67"/>
  <c r="F122" i="67"/>
  <c r="G140" i="67"/>
  <c r="H140" i="67"/>
  <c r="J140" i="67"/>
  <c r="K140" i="67"/>
  <c r="K122" i="67"/>
  <c r="M122" i="67"/>
  <c r="L122" i="67"/>
  <c r="M140" i="67"/>
  <c r="N140" i="67"/>
  <c r="P140" i="67"/>
  <c r="Q140" i="67"/>
  <c r="S140" i="67"/>
  <c r="T140" i="67"/>
  <c r="V140" i="67"/>
  <c r="W140" i="67"/>
  <c r="Y140" i="67"/>
  <c r="Z140" i="67"/>
  <c r="Z122" i="67"/>
  <c r="AB122" i="67"/>
  <c r="AA122" i="67"/>
  <c r="AB140" i="67"/>
  <c r="AC140" i="67"/>
  <c r="AE140" i="67"/>
  <c r="AF140" i="67"/>
  <c r="B139" i="67"/>
  <c r="D139" i="67"/>
  <c r="E139" i="67"/>
  <c r="G139" i="67"/>
  <c r="H139" i="67"/>
  <c r="J139" i="67"/>
  <c r="K139" i="67"/>
  <c r="M139" i="67"/>
  <c r="N139" i="67"/>
  <c r="N122" i="67"/>
  <c r="P122" i="67"/>
  <c r="O122" i="67"/>
  <c r="P139" i="67"/>
  <c r="Q139" i="67"/>
  <c r="S139" i="67"/>
  <c r="T139" i="67"/>
  <c r="T122" i="67"/>
  <c r="V122" i="67"/>
  <c r="U122" i="67"/>
  <c r="V139" i="67"/>
  <c r="W139" i="67"/>
  <c r="Y139" i="67"/>
  <c r="Z139" i="67"/>
  <c r="AB139" i="67"/>
  <c r="AC139" i="67"/>
  <c r="AE139" i="67"/>
  <c r="AF139" i="67"/>
  <c r="B138" i="67"/>
  <c r="D138" i="67"/>
  <c r="E138" i="67"/>
  <c r="G138" i="67"/>
  <c r="H138" i="67"/>
  <c r="J138" i="67"/>
  <c r="K138" i="67"/>
  <c r="M138" i="67"/>
  <c r="N138" i="67"/>
  <c r="P138" i="67"/>
  <c r="Q138" i="67"/>
  <c r="S138" i="67"/>
  <c r="T138" i="67"/>
  <c r="V138" i="67"/>
  <c r="W138" i="67"/>
  <c r="Y138" i="67"/>
  <c r="Z138" i="67"/>
  <c r="AB138" i="67"/>
  <c r="AC138" i="67"/>
  <c r="AC122" i="67"/>
  <c r="AE122" i="67"/>
  <c r="AD122" i="67"/>
  <c r="AE138" i="67"/>
  <c r="AF138" i="67"/>
  <c r="B137" i="67"/>
  <c r="D137" i="67"/>
  <c r="E137" i="67"/>
  <c r="G137" i="67"/>
  <c r="H137" i="67"/>
  <c r="J137" i="67"/>
  <c r="K137" i="67"/>
  <c r="M137" i="67"/>
  <c r="N137" i="67"/>
  <c r="P137" i="67"/>
  <c r="Q137" i="67"/>
  <c r="S137" i="67"/>
  <c r="T137" i="67"/>
  <c r="V137" i="67"/>
  <c r="W137" i="67"/>
  <c r="Y137" i="67"/>
  <c r="Z137" i="67"/>
  <c r="AB137" i="67"/>
  <c r="AC137" i="67"/>
  <c r="AE137" i="67"/>
  <c r="AF137" i="67"/>
  <c r="B135" i="67"/>
  <c r="D135" i="67"/>
  <c r="E135" i="67"/>
  <c r="G135" i="67"/>
  <c r="H135" i="67"/>
  <c r="J135" i="67"/>
  <c r="K135" i="67"/>
  <c r="M135" i="67"/>
  <c r="N135" i="67"/>
  <c r="P135" i="67"/>
  <c r="Q135" i="67"/>
  <c r="S135" i="67"/>
  <c r="T135" i="67"/>
  <c r="V135" i="67"/>
  <c r="W135" i="67"/>
  <c r="Y135" i="67"/>
  <c r="Z135" i="67"/>
  <c r="AB135" i="67"/>
  <c r="AC135" i="67"/>
  <c r="AE135" i="67"/>
  <c r="AF135" i="67"/>
  <c r="AG135" i="67"/>
  <c r="B134" i="67"/>
  <c r="D134" i="67"/>
  <c r="E134" i="67"/>
  <c r="G134" i="67"/>
  <c r="H134" i="67"/>
  <c r="J134" i="67"/>
  <c r="K134" i="67"/>
  <c r="M134" i="67"/>
  <c r="N134" i="67"/>
  <c r="P134" i="67"/>
  <c r="Q134" i="67"/>
  <c r="S134" i="67"/>
  <c r="T134" i="67"/>
  <c r="V134" i="67"/>
  <c r="W134" i="67"/>
  <c r="Y134" i="67"/>
  <c r="Z134" i="67"/>
  <c r="AB134" i="67"/>
  <c r="AC134" i="67"/>
  <c r="AE134" i="67"/>
  <c r="AF134" i="67"/>
  <c r="AG134" i="67"/>
  <c r="B133" i="67"/>
  <c r="D133" i="67"/>
  <c r="E133" i="67"/>
  <c r="G133" i="67"/>
  <c r="H133" i="67"/>
  <c r="J133" i="67"/>
  <c r="K133" i="67"/>
  <c r="M133" i="67"/>
  <c r="N133" i="67"/>
  <c r="P133" i="67"/>
  <c r="Q133" i="67"/>
  <c r="S133" i="67"/>
  <c r="T133" i="67"/>
  <c r="V133" i="67"/>
  <c r="W133" i="67"/>
  <c r="Y133" i="67"/>
  <c r="Z133" i="67"/>
  <c r="AB133" i="67"/>
  <c r="AC133" i="67"/>
  <c r="AE133" i="67"/>
  <c r="AF133" i="67"/>
  <c r="AG133" i="67"/>
  <c r="B132" i="67"/>
  <c r="D132" i="67"/>
  <c r="E132" i="67"/>
  <c r="G132" i="67"/>
  <c r="H132" i="67"/>
  <c r="J132" i="67"/>
  <c r="K132" i="67"/>
  <c r="M132" i="67"/>
  <c r="N132" i="67"/>
  <c r="P132" i="67"/>
  <c r="Q132" i="67"/>
  <c r="S132" i="67"/>
  <c r="T132" i="67"/>
  <c r="V132" i="67"/>
  <c r="W132" i="67"/>
  <c r="Y132" i="67"/>
  <c r="Z132" i="67"/>
  <c r="AB132" i="67"/>
  <c r="AC132" i="67"/>
  <c r="AE132" i="67"/>
  <c r="AF132" i="67"/>
  <c r="AG132" i="67"/>
  <c r="B131" i="67"/>
  <c r="D131" i="67"/>
  <c r="E131" i="67"/>
  <c r="G131" i="67"/>
  <c r="H131" i="67"/>
  <c r="J131" i="67"/>
  <c r="K131" i="67"/>
  <c r="M131" i="67"/>
  <c r="N131" i="67"/>
  <c r="P131" i="67"/>
  <c r="Q131" i="67"/>
  <c r="S131" i="67"/>
  <c r="T131" i="67"/>
  <c r="V131" i="67"/>
  <c r="W131" i="67"/>
  <c r="Y131" i="67"/>
  <c r="Z131" i="67"/>
  <c r="AB131" i="67"/>
  <c r="AC131" i="67"/>
  <c r="AE131" i="67"/>
  <c r="AF131" i="67"/>
  <c r="AG131" i="67"/>
  <c r="AE115" i="67"/>
  <c r="AC115" i="67"/>
  <c r="AB115" i="67"/>
  <c r="Z115" i="67"/>
  <c r="Y115" i="67"/>
  <c r="W115" i="67"/>
  <c r="V115" i="67"/>
  <c r="T115" i="67"/>
  <c r="S115" i="67"/>
  <c r="Q115" i="67"/>
  <c r="P115" i="67"/>
  <c r="N115" i="67"/>
  <c r="M115" i="67"/>
  <c r="K115" i="67"/>
  <c r="J115" i="67"/>
  <c r="H115" i="67"/>
  <c r="G115" i="67"/>
  <c r="E115" i="67"/>
  <c r="D115" i="67"/>
  <c r="B115" i="67"/>
  <c r="AD114" i="67"/>
  <c r="AA114" i="67"/>
  <c r="X114" i="67"/>
  <c r="U114" i="67"/>
  <c r="R114" i="67"/>
  <c r="O114" i="67"/>
  <c r="L114" i="67"/>
  <c r="I114" i="67"/>
  <c r="F114" i="67"/>
  <c r="A114" i="67"/>
  <c r="AG113" i="67"/>
  <c r="AH113" i="67"/>
  <c r="AI113" i="67"/>
  <c r="AJ113" i="67"/>
  <c r="AK113" i="67"/>
  <c r="AL113" i="67"/>
  <c r="AM113" i="67"/>
  <c r="AN113" i="67"/>
  <c r="AO113" i="67"/>
  <c r="AP113" i="67"/>
  <c r="AQ113" i="67"/>
  <c r="AF113" i="67"/>
  <c r="AD113" i="67"/>
  <c r="AA113" i="67"/>
  <c r="X113" i="67"/>
  <c r="U113" i="67"/>
  <c r="R113" i="67"/>
  <c r="O113" i="67"/>
  <c r="L113" i="67"/>
  <c r="I113" i="67"/>
  <c r="F113" i="67"/>
  <c r="A113" i="67"/>
  <c r="AG112" i="67"/>
  <c r="AH112" i="67"/>
  <c r="AI112" i="67"/>
  <c r="AJ112" i="67"/>
  <c r="AK112" i="67"/>
  <c r="AL112" i="67"/>
  <c r="AM112" i="67"/>
  <c r="AN112" i="67"/>
  <c r="AO112" i="67"/>
  <c r="AP112" i="67"/>
  <c r="AQ112" i="67"/>
  <c r="AF112" i="67"/>
  <c r="AD112" i="67"/>
  <c r="AA112" i="67"/>
  <c r="X112" i="67"/>
  <c r="U112" i="67"/>
  <c r="R112" i="67"/>
  <c r="O112" i="67"/>
  <c r="L112" i="67"/>
  <c r="I112" i="67"/>
  <c r="F112" i="67"/>
  <c r="A112" i="67"/>
  <c r="AG111" i="67"/>
  <c r="AH111" i="67"/>
  <c r="AI111" i="67"/>
  <c r="AJ111" i="67"/>
  <c r="AK111" i="67"/>
  <c r="AL111" i="67"/>
  <c r="AM111" i="67"/>
  <c r="AN111" i="67"/>
  <c r="AO111" i="67"/>
  <c r="AP111" i="67"/>
  <c r="AQ111" i="67"/>
  <c r="AF111" i="67"/>
  <c r="AD111" i="67"/>
  <c r="AA111" i="67"/>
  <c r="X111" i="67"/>
  <c r="U111" i="67"/>
  <c r="R111" i="67"/>
  <c r="O111" i="67"/>
  <c r="L111" i="67"/>
  <c r="I111" i="67"/>
  <c r="F111" i="67"/>
  <c r="A111" i="67"/>
  <c r="AG110" i="67"/>
  <c r="AH110" i="67"/>
  <c r="AI110" i="67"/>
  <c r="AJ110" i="67"/>
  <c r="AK110" i="67"/>
  <c r="AL110" i="67"/>
  <c r="AM110" i="67"/>
  <c r="AN110" i="67"/>
  <c r="AO110" i="67"/>
  <c r="AP110" i="67"/>
  <c r="AQ110" i="67"/>
  <c r="AF110" i="67"/>
  <c r="AD110" i="67"/>
  <c r="AA110" i="67"/>
  <c r="X110" i="67"/>
  <c r="U110" i="67"/>
  <c r="R110" i="67"/>
  <c r="O110" i="67"/>
  <c r="L110" i="67"/>
  <c r="I110" i="67"/>
  <c r="F110" i="67"/>
  <c r="AG109" i="67"/>
  <c r="AH109" i="67"/>
  <c r="AI109" i="67"/>
  <c r="AJ109" i="67"/>
  <c r="AK109" i="67"/>
  <c r="AL109" i="67"/>
  <c r="AM109" i="67"/>
  <c r="AN109" i="67"/>
  <c r="AO109" i="67"/>
  <c r="AP109" i="67"/>
  <c r="AQ109" i="67"/>
  <c r="AF109" i="67"/>
  <c r="AD109" i="67"/>
  <c r="AA109" i="67"/>
  <c r="X109" i="67"/>
  <c r="U109" i="67"/>
  <c r="R109" i="67"/>
  <c r="O109" i="67"/>
  <c r="L109" i="67"/>
  <c r="I109" i="67"/>
  <c r="F109" i="67"/>
  <c r="AC107" i="67"/>
  <c r="Z107" i="67"/>
  <c r="W107" i="67"/>
  <c r="T107" i="67"/>
  <c r="Q107" i="67"/>
  <c r="N107" i="67"/>
  <c r="K107" i="67"/>
  <c r="H107" i="67"/>
  <c r="E107" i="67"/>
  <c r="AC101" i="67"/>
  <c r="Z101" i="67"/>
  <c r="W101" i="67"/>
  <c r="R101" i="67"/>
  <c r="L101" i="67"/>
  <c r="A101" i="67"/>
  <c r="AC99" i="67"/>
  <c r="Z99" i="67"/>
  <c r="W99" i="67"/>
  <c r="R99" i="67"/>
  <c r="L99" i="67"/>
  <c r="A99" i="67"/>
  <c r="AC97" i="67"/>
  <c r="Z97" i="67"/>
  <c r="W97" i="67"/>
  <c r="R97" i="67"/>
  <c r="L97" i="67"/>
  <c r="A97" i="67"/>
  <c r="E96" i="67"/>
  <c r="AC95" i="67"/>
  <c r="Z95" i="67"/>
  <c r="W95" i="67"/>
  <c r="R95" i="67"/>
  <c r="L95" i="67"/>
  <c r="A95" i="67"/>
  <c r="AC93" i="67"/>
  <c r="Z93" i="67"/>
  <c r="W93" i="67"/>
  <c r="R93" i="67"/>
  <c r="L93" i="67"/>
  <c r="A93" i="67"/>
  <c r="R92" i="67"/>
  <c r="L92" i="67"/>
  <c r="K91" i="67"/>
  <c r="A89" i="67"/>
  <c r="AF76" i="67"/>
  <c r="S75" i="67"/>
  <c r="AF75" i="67"/>
  <c r="J74" i="67"/>
  <c r="AB74" i="67"/>
  <c r="AF74" i="67"/>
  <c r="D73" i="67"/>
  <c r="M73" i="67"/>
  <c r="V73" i="67"/>
  <c r="AF73" i="67"/>
  <c r="G72" i="67"/>
  <c r="P72" i="67"/>
  <c r="Y72" i="67"/>
  <c r="AE72" i="67"/>
  <c r="AF72" i="67"/>
  <c r="AF68" i="67"/>
  <c r="AG68" i="67"/>
  <c r="AF67" i="67"/>
  <c r="AG67" i="67"/>
  <c r="AF66" i="67"/>
  <c r="AG66" i="67"/>
  <c r="AF65" i="67"/>
  <c r="AG65" i="67"/>
  <c r="AF64" i="67"/>
  <c r="AG64" i="67"/>
  <c r="B62" i="67"/>
  <c r="B39" i="67"/>
  <c r="D39" i="67"/>
  <c r="B40" i="67"/>
  <c r="D40" i="67"/>
  <c r="B41" i="67"/>
  <c r="D41" i="67"/>
  <c r="B42" i="67"/>
  <c r="D42" i="67"/>
  <c r="B43" i="67"/>
  <c r="D43" i="67"/>
  <c r="B44" i="67"/>
  <c r="D62" i="67"/>
  <c r="E62" i="67"/>
  <c r="G62" i="67"/>
  <c r="H62" i="67"/>
  <c r="H39" i="67"/>
  <c r="J39" i="67"/>
  <c r="H40" i="67"/>
  <c r="J40" i="67"/>
  <c r="H41" i="67"/>
  <c r="J41" i="67"/>
  <c r="H42" i="67"/>
  <c r="J42" i="67"/>
  <c r="H43" i="67"/>
  <c r="J43" i="67"/>
  <c r="H44" i="67"/>
  <c r="J62" i="67"/>
  <c r="K62" i="67"/>
  <c r="M62" i="67"/>
  <c r="N62" i="67"/>
  <c r="P62" i="67"/>
  <c r="Q62" i="67"/>
  <c r="Q39" i="67"/>
  <c r="S39" i="67"/>
  <c r="Q40" i="67"/>
  <c r="S40" i="67"/>
  <c r="Q41" i="67"/>
  <c r="S41" i="67"/>
  <c r="Q42" i="67"/>
  <c r="S42" i="67"/>
  <c r="Q43" i="67"/>
  <c r="S43" i="67"/>
  <c r="Q44" i="67"/>
  <c r="S62" i="67"/>
  <c r="T62" i="67"/>
  <c r="V62" i="67"/>
  <c r="W62" i="67"/>
  <c r="W39" i="67"/>
  <c r="Y39" i="67"/>
  <c r="W40" i="67"/>
  <c r="Y40" i="67"/>
  <c r="W41" i="67"/>
  <c r="Y41" i="67"/>
  <c r="W42" i="67"/>
  <c r="Y42" i="67"/>
  <c r="W43" i="67"/>
  <c r="Y43" i="67"/>
  <c r="W44" i="67"/>
  <c r="Y62" i="67"/>
  <c r="Z62" i="67"/>
  <c r="AB62" i="67"/>
  <c r="AC62" i="67"/>
  <c r="AE62" i="67"/>
  <c r="AF62" i="67"/>
  <c r="B61" i="67"/>
  <c r="D61" i="67"/>
  <c r="E61" i="67"/>
  <c r="E39" i="67"/>
  <c r="G39" i="67"/>
  <c r="E40" i="67"/>
  <c r="G40" i="67"/>
  <c r="E41" i="67"/>
  <c r="G41" i="67"/>
  <c r="E42" i="67"/>
  <c r="G42" i="67"/>
  <c r="E43" i="67"/>
  <c r="G43" i="67"/>
  <c r="E44" i="67"/>
  <c r="G61" i="67"/>
  <c r="H61" i="67"/>
  <c r="J61" i="67"/>
  <c r="K61" i="67"/>
  <c r="K39" i="67"/>
  <c r="M39" i="67"/>
  <c r="K40" i="67"/>
  <c r="M40" i="67"/>
  <c r="K41" i="67"/>
  <c r="M41" i="67"/>
  <c r="K42" i="67"/>
  <c r="M42" i="67"/>
  <c r="K43" i="67"/>
  <c r="M43" i="67"/>
  <c r="K44" i="67"/>
  <c r="M61" i="67"/>
  <c r="N61" i="67"/>
  <c r="P61" i="67"/>
  <c r="Q61" i="67"/>
  <c r="S61" i="67"/>
  <c r="T61" i="67"/>
  <c r="V61" i="67"/>
  <c r="W61" i="67"/>
  <c r="Y61" i="67"/>
  <c r="Z61" i="67"/>
  <c r="Z39" i="67"/>
  <c r="AB39" i="67"/>
  <c r="Z40" i="67"/>
  <c r="AB40" i="67"/>
  <c r="Z41" i="67"/>
  <c r="AB41" i="67"/>
  <c r="Z42" i="67"/>
  <c r="AB42" i="67"/>
  <c r="Z43" i="67"/>
  <c r="AB43" i="67"/>
  <c r="Z44" i="67"/>
  <c r="AB61" i="67"/>
  <c r="AC61" i="67"/>
  <c r="AE61" i="67"/>
  <c r="AF61" i="67"/>
  <c r="B60" i="67"/>
  <c r="D60" i="67"/>
  <c r="E60" i="67"/>
  <c r="G60" i="67"/>
  <c r="H60" i="67"/>
  <c r="J60" i="67"/>
  <c r="K60" i="67"/>
  <c r="M60" i="67"/>
  <c r="N60" i="67"/>
  <c r="N39" i="67"/>
  <c r="P39" i="67"/>
  <c r="N40" i="67"/>
  <c r="P40" i="67"/>
  <c r="N41" i="67"/>
  <c r="P41" i="67"/>
  <c r="N42" i="67"/>
  <c r="P42" i="67"/>
  <c r="N43" i="67"/>
  <c r="P43" i="67"/>
  <c r="N44" i="67"/>
  <c r="P60" i="67"/>
  <c r="Q60" i="67"/>
  <c r="S60" i="67"/>
  <c r="T60" i="67"/>
  <c r="T39" i="67"/>
  <c r="V39" i="67"/>
  <c r="T40" i="67"/>
  <c r="V40" i="67"/>
  <c r="T41" i="67"/>
  <c r="V41" i="67"/>
  <c r="T42" i="67"/>
  <c r="V42" i="67"/>
  <c r="T43" i="67"/>
  <c r="V43" i="67"/>
  <c r="T44" i="67"/>
  <c r="V60" i="67"/>
  <c r="W60" i="67"/>
  <c r="Y60" i="67"/>
  <c r="Z60" i="67"/>
  <c r="AB60" i="67"/>
  <c r="AC60" i="67"/>
  <c r="AE60" i="67"/>
  <c r="AF60" i="67"/>
  <c r="B59" i="67"/>
  <c r="D59" i="67"/>
  <c r="E59" i="67"/>
  <c r="G59" i="67"/>
  <c r="H59" i="67"/>
  <c r="J59" i="67"/>
  <c r="K59" i="67"/>
  <c r="M59" i="67"/>
  <c r="N59" i="67"/>
  <c r="P59" i="67"/>
  <c r="Q59" i="67"/>
  <c r="S59" i="67"/>
  <c r="T59" i="67"/>
  <c r="V59" i="67"/>
  <c r="W59" i="67"/>
  <c r="Y59" i="67"/>
  <c r="Z59" i="67"/>
  <c r="AB59" i="67"/>
  <c r="AC59" i="67"/>
  <c r="AC39" i="67"/>
  <c r="AE39" i="67"/>
  <c r="AC40" i="67"/>
  <c r="AE40" i="67"/>
  <c r="AC41" i="67"/>
  <c r="AE41" i="67"/>
  <c r="AC42" i="67"/>
  <c r="AE42" i="67"/>
  <c r="AC43" i="67"/>
  <c r="AE43" i="67"/>
  <c r="AC44" i="67"/>
  <c r="AE59" i="67"/>
  <c r="AF59" i="67"/>
  <c r="B58" i="67"/>
  <c r="D58" i="67"/>
  <c r="E58" i="67"/>
  <c r="G58" i="67"/>
  <c r="H58" i="67"/>
  <c r="J58" i="67"/>
  <c r="K58" i="67"/>
  <c r="M58" i="67"/>
  <c r="N58" i="67"/>
  <c r="P58" i="67"/>
  <c r="Q58" i="67"/>
  <c r="S58" i="67"/>
  <c r="T58" i="67"/>
  <c r="V58" i="67"/>
  <c r="W58" i="67"/>
  <c r="Y58" i="67"/>
  <c r="Z58" i="67"/>
  <c r="AB58" i="67"/>
  <c r="AC58" i="67"/>
  <c r="AE58" i="67"/>
  <c r="AF58" i="67"/>
  <c r="B56" i="67"/>
  <c r="B37" i="67"/>
  <c r="D37" i="67"/>
  <c r="C37" i="67"/>
  <c r="D56" i="67"/>
  <c r="E56" i="67"/>
  <c r="G56" i="67"/>
  <c r="H56" i="67"/>
  <c r="H37" i="67"/>
  <c r="J37" i="67"/>
  <c r="I37" i="67"/>
  <c r="J56" i="67"/>
  <c r="K56" i="67"/>
  <c r="M56" i="67"/>
  <c r="N56" i="67"/>
  <c r="P56" i="67"/>
  <c r="Q56" i="67"/>
  <c r="Q37" i="67"/>
  <c r="S37" i="67"/>
  <c r="R37" i="67"/>
  <c r="S56" i="67"/>
  <c r="T56" i="67"/>
  <c r="V56" i="67"/>
  <c r="W56" i="67"/>
  <c r="W37" i="67"/>
  <c r="Y37" i="67"/>
  <c r="X37" i="67"/>
  <c r="Y56" i="67"/>
  <c r="Z56" i="67"/>
  <c r="AB56" i="67"/>
  <c r="AC56" i="67"/>
  <c r="AE56" i="67"/>
  <c r="AF56" i="67"/>
  <c r="B55" i="67"/>
  <c r="D55" i="67"/>
  <c r="E55" i="67"/>
  <c r="E37" i="67"/>
  <c r="G37" i="67"/>
  <c r="F37" i="67"/>
  <c r="G55" i="67"/>
  <c r="H55" i="67"/>
  <c r="J55" i="67"/>
  <c r="K55" i="67"/>
  <c r="K37" i="67"/>
  <c r="M37" i="67"/>
  <c r="L37" i="67"/>
  <c r="M55" i="67"/>
  <c r="N55" i="67"/>
  <c r="P55" i="67"/>
  <c r="Q55" i="67"/>
  <c r="S55" i="67"/>
  <c r="T55" i="67"/>
  <c r="V55" i="67"/>
  <c r="W55" i="67"/>
  <c r="Y55" i="67"/>
  <c r="Z55" i="67"/>
  <c r="Z37" i="67"/>
  <c r="AB37" i="67"/>
  <c r="AA37" i="67"/>
  <c r="AB55" i="67"/>
  <c r="AC55" i="67"/>
  <c r="AE55" i="67"/>
  <c r="AF55" i="67"/>
  <c r="B54" i="67"/>
  <c r="D54" i="67"/>
  <c r="E54" i="67"/>
  <c r="G54" i="67"/>
  <c r="H54" i="67"/>
  <c r="J54" i="67"/>
  <c r="K54" i="67"/>
  <c r="M54" i="67"/>
  <c r="N54" i="67"/>
  <c r="N37" i="67"/>
  <c r="P37" i="67"/>
  <c r="O37" i="67"/>
  <c r="P54" i="67"/>
  <c r="Q54" i="67"/>
  <c r="S54" i="67"/>
  <c r="T54" i="67"/>
  <c r="T37" i="67"/>
  <c r="V37" i="67"/>
  <c r="U37" i="67"/>
  <c r="V54" i="67"/>
  <c r="W54" i="67"/>
  <c r="Y54" i="67"/>
  <c r="Z54" i="67"/>
  <c r="AB54" i="67"/>
  <c r="AC54" i="67"/>
  <c r="AE54" i="67"/>
  <c r="AF54" i="67"/>
  <c r="B53" i="67"/>
  <c r="D53" i="67"/>
  <c r="E53" i="67"/>
  <c r="G53" i="67"/>
  <c r="H53" i="67"/>
  <c r="J53" i="67"/>
  <c r="K53" i="67"/>
  <c r="M53" i="67"/>
  <c r="N53" i="67"/>
  <c r="P53" i="67"/>
  <c r="Q53" i="67"/>
  <c r="S53" i="67"/>
  <c r="T53" i="67"/>
  <c r="V53" i="67"/>
  <c r="W53" i="67"/>
  <c r="Y53" i="67"/>
  <c r="Z53" i="67"/>
  <c r="AB53" i="67"/>
  <c r="AC53" i="67"/>
  <c r="AC37" i="67"/>
  <c r="AE37" i="67"/>
  <c r="AD37" i="67"/>
  <c r="AE53" i="67"/>
  <c r="AF53" i="67"/>
  <c r="B52" i="67"/>
  <c r="D52" i="67"/>
  <c r="E52" i="67"/>
  <c r="G52" i="67"/>
  <c r="H52" i="67"/>
  <c r="J52" i="67"/>
  <c r="K52" i="67"/>
  <c r="M52" i="67"/>
  <c r="N52" i="67"/>
  <c r="P52" i="67"/>
  <c r="Q52" i="67"/>
  <c r="S52" i="67"/>
  <c r="T52" i="67"/>
  <c r="V52" i="67"/>
  <c r="W52" i="67"/>
  <c r="Y52" i="67"/>
  <c r="Z52" i="67"/>
  <c r="AB52" i="67"/>
  <c r="AC52" i="67"/>
  <c r="AE52" i="67"/>
  <c r="AF52" i="67"/>
  <c r="B50" i="67"/>
  <c r="D50" i="67"/>
  <c r="E50" i="67"/>
  <c r="G50" i="67"/>
  <c r="H50" i="67"/>
  <c r="J50" i="67"/>
  <c r="K50" i="67"/>
  <c r="M50" i="67"/>
  <c r="N50" i="67"/>
  <c r="P50" i="67"/>
  <c r="Q50" i="67"/>
  <c r="S50" i="67"/>
  <c r="T50" i="67"/>
  <c r="V50" i="67"/>
  <c r="W50" i="67"/>
  <c r="Y50" i="67"/>
  <c r="Z50" i="67"/>
  <c r="AB50" i="67"/>
  <c r="AC50" i="67"/>
  <c r="AE50" i="67"/>
  <c r="AF50" i="67"/>
  <c r="AG50" i="67"/>
  <c r="B49" i="67"/>
  <c r="D49" i="67"/>
  <c r="E49" i="67"/>
  <c r="G49" i="67"/>
  <c r="H49" i="67"/>
  <c r="J49" i="67"/>
  <c r="K49" i="67"/>
  <c r="M49" i="67"/>
  <c r="N49" i="67"/>
  <c r="P49" i="67"/>
  <c r="Q49" i="67"/>
  <c r="S49" i="67"/>
  <c r="T49" i="67"/>
  <c r="V49" i="67"/>
  <c r="W49" i="67"/>
  <c r="Y49" i="67"/>
  <c r="Z49" i="67"/>
  <c r="AB49" i="67"/>
  <c r="AC49" i="67"/>
  <c r="AE49" i="67"/>
  <c r="AF49" i="67"/>
  <c r="AG49" i="67"/>
  <c r="B48" i="67"/>
  <c r="D48" i="67"/>
  <c r="E48" i="67"/>
  <c r="G48" i="67"/>
  <c r="H48" i="67"/>
  <c r="J48" i="67"/>
  <c r="K48" i="67"/>
  <c r="M48" i="67"/>
  <c r="N48" i="67"/>
  <c r="P48" i="67"/>
  <c r="Q48" i="67"/>
  <c r="S48" i="67"/>
  <c r="T48" i="67"/>
  <c r="V48" i="67"/>
  <c r="W48" i="67"/>
  <c r="Y48" i="67"/>
  <c r="Z48" i="67"/>
  <c r="AB48" i="67"/>
  <c r="AC48" i="67"/>
  <c r="AE48" i="67"/>
  <c r="AF48" i="67"/>
  <c r="AG48" i="67"/>
  <c r="B47" i="67"/>
  <c r="D47" i="67"/>
  <c r="E47" i="67"/>
  <c r="G47" i="67"/>
  <c r="H47" i="67"/>
  <c r="J47" i="67"/>
  <c r="K47" i="67"/>
  <c r="M47" i="67"/>
  <c r="N47" i="67"/>
  <c r="P47" i="67"/>
  <c r="Q47" i="67"/>
  <c r="S47" i="67"/>
  <c r="T47" i="67"/>
  <c r="V47" i="67"/>
  <c r="W47" i="67"/>
  <c r="Y47" i="67"/>
  <c r="Z47" i="67"/>
  <c r="AB47" i="67"/>
  <c r="AC47" i="67"/>
  <c r="AE47" i="67"/>
  <c r="AF47" i="67"/>
  <c r="AG47" i="67"/>
  <c r="B46" i="67"/>
  <c r="D46" i="67"/>
  <c r="E46" i="67"/>
  <c r="G46" i="67"/>
  <c r="H46" i="67"/>
  <c r="J46" i="67"/>
  <c r="K46" i="67"/>
  <c r="M46" i="67"/>
  <c r="N46" i="67"/>
  <c r="P46" i="67"/>
  <c r="Q46" i="67"/>
  <c r="S46" i="67"/>
  <c r="T46" i="67"/>
  <c r="V46" i="67"/>
  <c r="W46" i="67"/>
  <c r="Y46" i="67"/>
  <c r="Z46" i="67"/>
  <c r="AB46" i="67"/>
  <c r="AC46" i="67"/>
  <c r="AE46" i="67"/>
  <c r="AF46" i="67"/>
  <c r="AG46" i="67"/>
  <c r="AE30" i="67"/>
  <c r="AC30" i="67"/>
  <c r="AB30" i="67"/>
  <c r="Z30" i="67"/>
  <c r="Y30" i="67"/>
  <c r="W30" i="67"/>
  <c r="V30" i="67"/>
  <c r="T30" i="67"/>
  <c r="S30" i="67"/>
  <c r="Q30" i="67"/>
  <c r="P30" i="67"/>
  <c r="N30" i="67"/>
  <c r="M30" i="67"/>
  <c r="K30" i="67"/>
  <c r="J30" i="67"/>
  <c r="H30" i="67"/>
  <c r="G30" i="67"/>
  <c r="E30" i="67"/>
  <c r="D30" i="67"/>
  <c r="B30" i="67"/>
  <c r="AD29" i="67"/>
  <c r="AA29" i="67"/>
  <c r="X29" i="67"/>
  <c r="U29" i="67"/>
  <c r="R29" i="67"/>
  <c r="O29" i="67"/>
  <c r="L29" i="67"/>
  <c r="I29" i="67"/>
  <c r="F29" i="67"/>
  <c r="A29" i="67"/>
  <c r="AG28" i="67"/>
  <c r="AH28" i="67"/>
  <c r="AI28" i="67"/>
  <c r="AJ28" i="67"/>
  <c r="AK28" i="67"/>
  <c r="AL28" i="67"/>
  <c r="AM28" i="67"/>
  <c r="AN28" i="67"/>
  <c r="AO28" i="67"/>
  <c r="AP28" i="67"/>
  <c r="AQ28" i="67"/>
  <c r="AF28" i="67"/>
  <c r="AD28" i="67"/>
  <c r="AA28" i="67"/>
  <c r="X28" i="67"/>
  <c r="U28" i="67"/>
  <c r="R28" i="67"/>
  <c r="O28" i="67"/>
  <c r="L28" i="67"/>
  <c r="I28" i="67"/>
  <c r="F28" i="67"/>
  <c r="A28" i="67"/>
  <c r="AG27" i="67"/>
  <c r="AH27" i="67"/>
  <c r="AI27" i="67"/>
  <c r="AJ27" i="67"/>
  <c r="AK27" i="67"/>
  <c r="AL27" i="67"/>
  <c r="AM27" i="67"/>
  <c r="AN27" i="67"/>
  <c r="AO27" i="67"/>
  <c r="AP27" i="67"/>
  <c r="AQ27" i="67"/>
  <c r="AF27" i="67"/>
  <c r="AD27" i="67"/>
  <c r="AA27" i="67"/>
  <c r="X27" i="67"/>
  <c r="U27" i="67"/>
  <c r="R27" i="67"/>
  <c r="O27" i="67"/>
  <c r="L27" i="67"/>
  <c r="I27" i="67"/>
  <c r="F27" i="67"/>
  <c r="A27" i="67"/>
  <c r="AG26" i="67"/>
  <c r="AH26" i="67"/>
  <c r="AI26" i="67"/>
  <c r="AJ26" i="67"/>
  <c r="AK26" i="67"/>
  <c r="AL26" i="67"/>
  <c r="AM26" i="67"/>
  <c r="AN26" i="67"/>
  <c r="AO26" i="67"/>
  <c r="AP26" i="67"/>
  <c r="AQ26" i="67"/>
  <c r="AF26" i="67"/>
  <c r="AD26" i="67"/>
  <c r="AA26" i="67"/>
  <c r="X26" i="67"/>
  <c r="U26" i="67"/>
  <c r="R26" i="67"/>
  <c r="O26" i="67"/>
  <c r="L26" i="67"/>
  <c r="I26" i="67"/>
  <c r="F26" i="67"/>
  <c r="A26" i="67"/>
  <c r="AG25" i="67"/>
  <c r="AH25" i="67"/>
  <c r="AI25" i="67"/>
  <c r="AJ25" i="67"/>
  <c r="AK25" i="67"/>
  <c r="AL25" i="67"/>
  <c r="AM25" i="67"/>
  <c r="AN25" i="67"/>
  <c r="AO25" i="67"/>
  <c r="AP25" i="67"/>
  <c r="AQ25" i="67"/>
  <c r="AF25" i="67"/>
  <c r="AD25" i="67"/>
  <c r="AA25" i="67"/>
  <c r="X25" i="67"/>
  <c r="U25" i="67"/>
  <c r="R25" i="67"/>
  <c r="O25" i="67"/>
  <c r="L25" i="67"/>
  <c r="I25" i="67"/>
  <c r="F25" i="67"/>
  <c r="AG24" i="67"/>
  <c r="AH24" i="67"/>
  <c r="AI24" i="67"/>
  <c r="AJ24" i="67"/>
  <c r="AK24" i="67"/>
  <c r="AL24" i="67"/>
  <c r="AM24" i="67"/>
  <c r="AN24" i="67"/>
  <c r="AO24" i="67"/>
  <c r="AP24" i="67"/>
  <c r="AQ24" i="67"/>
  <c r="AF24" i="67"/>
  <c r="AD24" i="67"/>
  <c r="AA24" i="67"/>
  <c r="X24" i="67"/>
  <c r="U24" i="67"/>
  <c r="R24" i="67"/>
  <c r="O24" i="67"/>
  <c r="L24" i="67"/>
  <c r="I24" i="67"/>
  <c r="F24" i="67"/>
  <c r="AX22" i="67"/>
  <c r="AY22" i="67"/>
  <c r="AC22" i="67"/>
  <c r="Z22" i="67"/>
  <c r="W22" i="67"/>
  <c r="T22" i="67"/>
  <c r="Q22" i="67"/>
  <c r="N22" i="67"/>
  <c r="K22" i="67"/>
  <c r="H22" i="67"/>
  <c r="E22" i="67"/>
  <c r="AX21" i="67"/>
  <c r="AY21" i="67"/>
  <c r="AY20" i="67"/>
  <c r="AY17" i="67"/>
  <c r="AC16" i="67"/>
  <c r="Z16" i="67"/>
  <c r="W16" i="67"/>
  <c r="R16" i="67"/>
  <c r="L16" i="67"/>
  <c r="A16" i="67"/>
  <c r="AY15" i="67"/>
  <c r="AY14" i="67"/>
  <c r="AC14" i="67"/>
  <c r="Z14" i="67"/>
  <c r="W14" i="67"/>
  <c r="R14" i="67"/>
  <c r="L14" i="67"/>
  <c r="A14" i="67"/>
  <c r="AY13" i="67"/>
  <c r="E13" i="67"/>
  <c r="AY12" i="67"/>
  <c r="AC12" i="67"/>
  <c r="Z12" i="67"/>
  <c r="W12" i="67"/>
  <c r="R12" i="67"/>
  <c r="L12" i="67"/>
  <c r="A12" i="67"/>
  <c r="AX11" i="67"/>
  <c r="AY11" i="67"/>
  <c r="AY10" i="67"/>
  <c r="AC10" i="67"/>
  <c r="Z10" i="67"/>
  <c r="W10" i="67"/>
  <c r="R10" i="67"/>
  <c r="L10" i="67"/>
  <c r="A10" i="67"/>
  <c r="AX9" i="67"/>
  <c r="AY9" i="67"/>
  <c r="AY8" i="67"/>
  <c r="AC8" i="67"/>
  <c r="Z8" i="67"/>
  <c r="W8" i="67"/>
  <c r="R8" i="67"/>
  <c r="L8" i="67"/>
  <c r="A8" i="67"/>
  <c r="AY7" i="67"/>
  <c r="R7" i="67"/>
  <c r="L7" i="67"/>
  <c r="AY6" i="67"/>
  <c r="K6" i="67"/>
  <c r="AY5" i="67"/>
  <c r="AY4" i="67"/>
  <c r="AY3" i="67"/>
  <c r="AU372" i="66"/>
  <c r="AT372" i="66"/>
  <c r="E358" i="66"/>
  <c r="E359" i="66"/>
  <c r="E360" i="66"/>
  <c r="E361" i="66"/>
  <c r="G358" i="66"/>
  <c r="G359" i="66"/>
  <c r="G360" i="66"/>
  <c r="G361" i="66"/>
  <c r="J357" i="66"/>
  <c r="E16" i="66"/>
  <c r="AH264" i="66"/>
  <c r="B350" i="66"/>
  <c r="B367" i="66"/>
  <c r="E8" i="66"/>
  <c r="B79" i="66"/>
  <c r="AT79" i="66"/>
  <c r="E10" i="66"/>
  <c r="B80" i="66"/>
  <c r="AT80" i="66"/>
  <c r="E12" i="66"/>
  <c r="B81" i="66"/>
  <c r="AT81" i="66"/>
  <c r="E14" i="66"/>
  <c r="B82" i="66"/>
  <c r="AT82" i="66"/>
  <c r="AC31" i="66"/>
  <c r="AC32" i="66"/>
  <c r="AC33" i="66"/>
  <c r="AC34" i="66"/>
  <c r="AC35" i="66"/>
  <c r="AC64" i="66"/>
  <c r="AE64" i="66"/>
  <c r="AC65" i="66"/>
  <c r="AE31" i="66"/>
  <c r="AE32" i="66"/>
  <c r="AE33" i="66"/>
  <c r="AE34" i="66"/>
  <c r="AE35" i="66"/>
  <c r="AE65" i="66"/>
  <c r="AC66" i="66"/>
  <c r="AE66" i="66"/>
  <c r="AC67" i="66"/>
  <c r="AE67" i="66"/>
  <c r="AC68" i="66"/>
  <c r="AE68" i="66"/>
  <c r="AD71" i="66"/>
  <c r="AC72" i="66"/>
  <c r="Z72" i="66"/>
  <c r="AB72" i="66"/>
  <c r="W31" i="66"/>
  <c r="W32" i="66"/>
  <c r="W33" i="66"/>
  <c r="W34" i="66"/>
  <c r="W35" i="66"/>
  <c r="W64" i="66"/>
  <c r="Y64" i="66"/>
  <c r="W65" i="66"/>
  <c r="Y65" i="66"/>
  <c r="W66" i="66"/>
  <c r="Y66" i="66"/>
  <c r="W67" i="66"/>
  <c r="Y67" i="66"/>
  <c r="W68" i="66"/>
  <c r="Y31" i="66"/>
  <c r="Y32" i="66"/>
  <c r="Y33" i="66"/>
  <c r="Y34" i="66"/>
  <c r="Y35" i="66"/>
  <c r="Y68" i="66"/>
  <c r="X71" i="66"/>
  <c r="W72" i="66"/>
  <c r="T72" i="66"/>
  <c r="V72" i="66"/>
  <c r="Q72" i="66"/>
  <c r="S72" i="66"/>
  <c r="N31" i="66"/>
  <c r="N32" i="66"/>
  <c r="N33" i="66"/>
  <c r="N34" i="66"/>
  <c r="N35" i="66"/>
  <c r="N64" i="66"/>
  <c r="P64" i="66"/>
  <c r="N65" i="66"/>
  <c r="P65" i="66"/>
  <c r="N66" i="66"/>
  <c r="P31" i="66"/>
  <c r="P32" i="66"/>
  <c r="P33" i="66"/>
  <c r="P34" i="66"/>
  <c r="P35" i="66"/>
  <c r="P66" i="66"/>
  <c r="N67" i="66"/>
  <c r="P67" i="66"/>
  <c r="N68" i="66"/>
  <c r="P68" i="66"/>
  <c r="O71" i="66"/>
  <c r="N72" i="66"/>
  <c r="K72" i="66"/>
  <c r="M72" i="66"/>
  <c r="H72" i="66"/>
  <c r="J72" i="66"/>
  <c r="E31" i="66"/>
  <c r="E32" i="66"/>
  <c r="E33" i="66"/>
  <c r="E34" i="66"/>
  <c r="E35" i="66"/>
  <c r="E64" i="66"/>
  <c r="G64" i="66"/>
  <c r="E65" i="66"/>
  <c r="G65" i="66"/>
  <c r="E66" i="66"/>
  <c r="G66" i="66"/>
  <c r="E67" i="66"/>
  <c r="G31" i="66"/>
  <c r="G32" i="66"/>
  <c r="G33" i="66"/>
  <c r="G34" i="66"/>
  <c r="G35" i="66"/>
  <c r="G67" i="66"/>
  <c r="E68" i="66"/>
  <c r="G68" i="66"/>
  <c r="F71" i="66"/>
  <c r="E72" i="66"/>
  <c r="B72" i="66"/>
  <c r="D72" i="66"/>
  <c r="E36" i="66"/>
  <c r="B75" i="66"/>
  <c r="D75" i="66"/>
  <c r="G36" i="66"/>
  <c r="N36" i="66"/>
  <c r="K74" i="66"/>
  <c r="M74" i="66"/>
  <c r="H64" i="66"/>
  <c r="J64" i="66"/>
  <c r="H65" i="66"/>
  <c r="J65" i="66"/>
  <c r="H31" i="66"/>
  <c r="H32" i="66"/>
  <c r="H33" i="66"/>
  <c r="H34" i="66"/>
  <c r="H35" i="66"/>
  <c r="H66" i="66"/>
  <c r="J66" i="66"/>
  <c r="H67" i="66"/>
  <c r="J67" i="66"/>
  <c r="H68" i="66"/>
  <c r="J31" i="66"/>
  <c r="J32" i="66"/>
  <c r="J33" i="66"/>
  <c r="J34" i="66"/>
  <c r="J35" i="66"/>
  <c r="J68" i="66"/>
  <c r="I71" i="66"/>
  <c r="H74" i="66"/>
  <c r="E74" i="66"/>
  <c r="G74" i="66"/>
  <c r="B74" i="66"/>
  <c r="D74" i="66"/>
  <c r="H36" i="66"/>
  <c r="E76" i="66"/>
  <c r="G76" i="66"/>
  <c r="B76" i="66"/>
  <c r="B64" i="66"/>
  <c r="D64" i="66"/>
  <c r="B31" i="66"/>
  <c r="B32" i="66"/>
  <c r="B33" i="66"/>
  <c r="B34" i="66"/>
  <c r="B35" i="66"/>
  <c r="B65" i="66"/>
  <c r="D65" i="66"/>
  <c r="B66" i="66"/>
  <c r="D66" i="66"/>
  <c r="B67" i="66"/>
  <c r="D67" i="66"/>
  <c r="B68" i="66"/>
  <c r="D31" i="66"/>
  <c r="D32" i="66"/>
  <c r="D33" i="66"/>
  <c r="D34" i="66"/>
  <c r="D35" i="66"/>
  <c r="D68" i="66"/>
  <c r="C71" i="66"/>
  <c r="D76" i="66"/>
  <c r="B83" i="66"/>
  <c r="D36" i="66"/>
  <c r="B36" i="66"/>
  <c r="J36" i="66"/>
  <c r="P36" i="66"/>
  <c r="W36" i="66"/>
  <c r="T76" i="66"/>
  <c r="V76" i="66"/>
  <c r="Q76" i="66"/>
  <c r="Q64" i="66"/>
  <c r="S64" i="66"/>
  <c r="Q65" i="66"/>
  <c r="S65" i="66"/>
  <c r="Q66" i="66"/>
  <c r="S66" i="66"/>
  <c r="Q31" i="66"/>
  <c r="Q32" i="66"/>
  <c r="Q33" i="66"/>
  <c r="Q34" i="66"/>
  <c r="Q35" i="66"/>
  <c r="Q67" i="66"/>
  <c r="S67" i="66"/>
  <c r="Q68" i="66"/>
  <c r="S31" i="66"/>
  <c r="S32" i="66"/>
  <c r="S33" i="66"/>
  <c r="S34" i="66"/>
  <c r="S35" i="66"/>
  <c r="S68" i="66"/>
  <c r="R71" i="66"/>
  <c r="S76" i="66"/>
  <c r="N76" i="66"/>
  <c r="P76" i="66"/>
  <c r="K76" i="66"/>
  <c r="M76" i="66"/>
  <c r="H76" i="66"/>
  <c r="J76" i="66"/>
  <c r="S36" i="66"/>
  <c r="N75" i="66"/>
  <c r="P75" i="66"/>
  <c r="K75" i="66"/>
  <c r="K64" i="66"/>
  <c r="M64" i="66"/>
  <c r="K31" i="66"/>
  <c r="K32" i="66"/>
  <c r="K33" i="66"/>
  <c r="K34" i="66"/>
  <c r="K35" i="66"/>
  <c r="K65" i="66"/>
  <c r="M65" i="66"/>
  <c r="K66" i="66"/>
  <c r="M66" i="66"/>
  <c r="K67" i="66"/>
  <c r="M31" i="66"/>
  <c r="M32" i="66"/>
  <c r="M33" i="66"/>
  <c r="M34" i="66"/>
  <c r="M35" i="66"/>
  <c r="M67" i="66"/>
  <c r="K68" i="66"/>
  <c r="M68" i="66"/>
  <c r="L71" i="66"/>
  <c r="M75" i="66"/>
  <c r="H75" i="66"/>
  <c r="J75" i="66"/>
  <c r="E75" i="66"/>
  <c r="G75" i="66"/>
  <c r="M36" i="66"/>
  <c r="H73" i="66"/>
  <c r="J73" i="66"/>
  <c r="E73" i="66"/>
  <c r="G73" i="66"/>
  <c r="B73" i="66"/>
  <c r="K36" i="66"/>
  <c r="Q36" i="66"/>
  <c r="Y36" i="66"/>
  <c r="W86" i="66"/>
  <c r="W87" i="66"/>
  <c r="Y79" i="66"/>
  <c r="AB79" i="66"/>
  <c r="AC85" i="66"/>
  <c r="AC36" i="66"/>
  <c r="Z73" i="66"/>
  <c r="AB73" i="66"/>
  <c r="W73" i="66"/>
  <c r="Y73" i="66"/>
  <c r="T64" i="66"/>
  <c r="V64" i="66"/>
  <c r="T31" i="66"/>
  <c r="T32" i="66"/>
  <c r="T33" i="66"/>
  <c r="T34" i="66"/>
  <c r="T35" i="66"/>
  <c r="T65" i="66"/>
  <c r="V65" i="66"/>
  <c r="T66" i="66"/>
  <c r="V31" i="66"/>
  <c r="V32" i="66"/>
  <c r="V33" i="66"/>
  <c r="V34" i="66"/>
  <c r="V35" i="66"/>
  <c r="V66" i="66"/>
  <c r="T67" i="66"/>
  <c r="V67" i="66"/>
  <c r="T68" i="66"/>
  <c r="V68" i="66"/>
  <c r="U71" i="66"/>
  <c r="T73" i="66"/>
  <c r="Q73" i="66"/>
  <c r="S73" i="66"/>
  <c r="N73" i="66"/>
  <c r="P73" i="66"/>
  <c r="K73" i="66"/>
  <c r="K86" i="66"/>
  <c r="K87" i="66"/>
  <c r="M80" i="66"/>
  <c r="P80" i="66"/>
  <c r="S80" i="66"/>
  <c r="T85" i="66"/>
  <c r="T36" i="66"/>
  <c r="Q74" i="66"/>
  <c r="S74" i="66"/>
  <c r="N74" i="66"/>
  <c r="P74" i="66"/>
  <c r="P86" i="66"/>
  <c r="P87" i="66"/>
  <c r="P81" i="66"/>
  <c r="S81" i="66"/>
  <c r="V85" i="66"/>
  <c r="V36" i="66"/>
  <c r="T86" i="66"/>
  <c r="T87" i="66"/>
  <c r="V80" i="66"/>
  <c r="Y80" i="66"/>
  <c r="AB80" i="66"/>
  <c r="AE85" i="66"/>
  <c r="AE36" i="66"/>
  <c r="AC86" i="66"/>
  <c r="AC87" i="66"/>
  <c r="AE79" i="66"/>
  <c r="AU79" i="66"/>
  <c r="AC73" i="66"/>
  <c r="AE73" i="66"/>
  <c r="AE86" i="66"/>
  <c r="AE87" i="66"/>
  <c r="AE80" i="66"/>
  <c r="AU80" i="66"/>
  <c r="AC74" i="66"/>
  <c r="AE74" i="66"/>
  <c r="Z64" i="66"/>
  <c r="AB64" i="66"/>
  <c r="Z65" i="66"/>
  <c r="AB65" i="66"/>
  <c r="Z31" i="66"/>
  <c r="Z32" i="66"/>
  <c r="Z33" i="66"/>
  <c r="Z34" i="66"/>
  <c r="Z35" i="66"/>
  <c r="Z66" i="66"/>
  <c r="AB66" i="66"/>
  <c r="Z67" i="66"/>
  <c r="AB31" i="66"/>
  <c r="AB32" i="66"/>
  <c r="AB33" i="66"/>
  <c r="AB34" i="66"/>
  <c r="AB35" i="66"/>
  <c r="AB67" i="66"/>
  <c r="Z68" i="66"/>
  <c r="AB68" i="66"/>
  <c r="AA71" i="66"/>
  <c r="Z74" i="66"/>
  <c r="W74" i="66"/>
  <c r="Y74" i="66"/>
  <c r="T74" i="66"/>
  <c r="V74" i="66"/>
  <c r="V86" i="66"/>
  <c r="V87" i="66"/>
  <c r="V81" i="66"/>
  <c r="Y81" i="66"/>
  <c r="Z85" i="66"/>
  <c r="Z36" i="66"/>
  <c r="W75" i="66"/>
  <c r="Y75" i="66"/>
  <c r="T75" i="66"/>
  <c r="V75" i="66"/>
  <c r="Q75" i="66"/>
  <c r="Q86" i="66"/>
  <c r="Q87" i="66"/>
  <c r="S82" i="66"/>
  <c r="V82" i="66"/>
  <c r="Y82" i="66"/>
  <c r="AB85" i="66"/>
  <c r="AB36" i="66"/>
  <c r="Z86" i="66"/>
  <c r="Z87" i="66"/>
  <c r="AB81" i="66"/>
  <c r="AE81" i="66"/>
  <c r="AU81" i="66"/>
  <c r="AC75" i="66"/>
  <c r="AE75" i="66"/>
  <c r="Z75" i="66"/>
  <c r="AB75" i="66"/>
  <c r="AB86" i="66"/>
  <c r="AB87" i="66"/>
  <c r="AB82" i="66"/>
  <c r="AE82" i="66"/>
  <c r="AU82" i="66"/>
  <c r="AT83" i="66"/>
  <c r="AC76" i="66"/>
  <c r="AE76" i="66"/>
  <c r="Z76" i="66"/>
  <c r="AB76" i="66"/>
  <c r="W76" i="66"/>
  <c r="Y76" i="66"/>
  <c r="E93" i="66"/>
  <c r="B164" i="66"/>
  <c r="AT164" i="66"/>
  <c r="AC116" i="66"/>
  <c r="AC117" i="66"/>
  <c r="AC118" i="66"/>
  <c r="AC119" i="66"/>
  <c r="AC120" i="66"/>
  <c r="AC149" i="66"/>
  <c r="AE149" i="66"/>
  <c r="AC150" i="66"/>
  <c r="AE116" i="66"/>
  <c r="AE117" i="66"/>
  <c r="AE118" i="66"/>
  <c r="AE119" i="66"/>
  <c r="AE120" i="66"/>
  <c r="AE150" i="66"/>
  <c r="AC151" i="66"/>
  <c r="AE151" i="66"/>
  <c r="AC152" i="66"/>
  <c r="AE152" i="66"/>
  <c r="AC153" i="66"/>
  <c r="AE153" i="66"/>
  <c r="AD156" i="66"/>
  <c r="AC157" i="66"/>
  <c r="Z157" i="66"/>
  <c r="AB157" i="66"/>
  <c r="W116" i="66"/>
  <c r="W117" i="66"/>
  <c r="W118" i="66"/>
  <c r="W119" i="66"/>
  <c r="W120" i="66"/>
  <c r="W149" i="66"/>
  <c r="Y149" i="66"/>
  <c r="W150" i="66"/>
  <c r="Y150" i="66"/>
  <c r="W151" i="66"/>
  <c r="Y151" i="66"/>
  <c r="W152" i="66"/>
  <c r="Y152" i="66"/>
  <c r="W153" i="66"/>
  <c r="Y116" i="66"/>
  <c r="Y117" i="66"/>
  <c r="Y118" i="66"/>
  <c r="Y119" i="66"/>
  <c r="Y120" i="66"/>
  <c r="Y153" i="66"/>
  <c r="X156" i="66"/>
  <c r="W157" i="66"/>
  <c r="T157" i="66"/>
  <c r="V157" i="66"/>
  <c r="Q157" i="66"/>
  <c r="S157" i="66"/>
  <c r="N116" i="66"/>
  <c r="N117" i="66"/>
  <c r="N118" i="66"/>
  <c r="N119" i="66"/>
  <c r="N120" i="66"/>
  <c r="N149" i="66"/>
  <c r="P149" i="66"/>
  <c r="N150" i="66"/>
  <c r="P150" i="66"/>
  <c r="N151" i="66"/>
  <c r="P116" i="66"/>
  <c r="P117" i="66"/>
  <c r="P118" i="66"/>
  <c r="P119" i="66"/>
  <c r="P120" i="66"/>
  <c r="P151" i="66"/>
  <c r="N152" i="66"/>
  <c r="P152" i="66"/>
  <c r="N153" i="66"/>
  <c r="P153" i="66"/>
  <c r="O156" i="66"/>
  <c r="N157" i="66"/>
  <c r="K157" i="66"/>
  <c r="M157" i="66"/>
  <c r="H157" i="66"/>
  <c r="J157" i="66"/>
  <c r="E116" i="66"/>
  <c r="E117" i="66"/>
  <c r="E118" i="66"/>
  <c r="E119" i="66"/>
  <c r="E120" i="66"/>
  <c r="E149" i="66"/>
  <c r="G149" i="66"/>
  <c r="E150" i="66"/>
  <c r="G150" i="66"/>
  <c r="E151" i="66"/>
  <c r="G151" i="66"/>
  <c r="E152" i="66"/>
  <c r="G116" i="66"/>
  <c r="G117" i="66"/>
  <c r="G118" i="66"/>
  <c r="G119" i="66"/>
  <c r="G120" i="66"/>
  <c r="G152" i="66"/>
  <c r="E153" i="66"/>
  <c r="G153" i="66"/>
  <c r="F156" i="66"/>
  <c r="E157" i="66"/>
  <c r="B157" i="66"/>
  <c r="D157" i="66"/>
  <c r="E121" i="66"/>
  <c r="B160" i="66"/>
  <c r="D160" i="66"/>
  <c r="E99" i="66"/>
  <c r="B167" i="66"/>
  <c r="G121" i="66"/>
  <c r="N121" i="66"/>
  <c r="K159" i="66"/>
  <c r="M159" i="66"/>
  <c r="H149" i="66"/>
  <c r="J149" i="66"/>
  <c r="H150" i="66"/>
  <c r="J150" i="66"/>
  <c r="H116" i="66"/>
  <c r="H117" i="66"/>
  <c r="H118" i="66"/>
  <c r="H119" i="66"/>
  <c r="H120" i="66"/>
  <c r="H151" i="66"/>
  <c r="J151" i="66"/>
  <c r="H152" i="66"/>
  <c r="J152" i="66"/>
  <c r="H153" i="66"/>
  <c r="J116" i="66"/>
  <c r="J117" i="66"/>
  <c r="J118" i="66"/>
  <c r="J119" i="66"/>
  <c r="J120" i="66"/>
  <c r="J153" i="66"/>
  <c r="I156" i="66"/>
  <c r="H159" i="66"/>
  <c r="E159" i="66"/>
  <c r="G159" i="66"/>
  <c r="B159" i="66"/>
  <c r="D159" i="66"/>
  <c r="E97" i="66"/>
  <c r="B166" i="66"/>
  <c r="H121" i="66"/>
  <c r="E161" i="66"/>
  <c r="G161" i="66"/>
  <c r="B161" i="66"/>
  <c r="B149" i="66"/>
  <c r="D149" i="66"/>
  <c r="B116" i="66"/>
  <c r="B117" i="66"/>
  <c r="B118" i="66"/>
  <c r="B119" i="66"/>
  <c r="B120" i="66"/>
  <c r="B150" i="66"/>
  <c r="D150" i="66"/>
  <c r="B151" i="66"/>
  <c r="D151" i="66"/>
  <c r="B152" i="66"/>
  <c r="D152" i="66"/>
  <c r="B153" i="66"/>
  <c r="D116" i="66"/>
  <c r="D117" i="66"/>
  <c r="D118" i="66"/>
  <c r="D119" i="66"/>
  <c r="D120" i="66"/>
  <c r="D153" i="66"/>
  <c r="C156" i="66"/>
  <c r="D161" i="66"/>
  <c r="E101" i="66"/>
  <c r="B168" i="66"/>
  <c r="D121" i="66"/>
  <c r="E95" i="66"/>
  <c r="B165" i="66"/>
  <c r="B121" i="66"/>
  <c r="J121" i="66"/>
  <c r="P121" i="66"/>
  <c r="N171" i="66"/>
  <c r="N172" i="66"/>
  <c r="P164" i="66"/>
  <c r="S164" i="66"/>
  <c r="V164" i="66"/>
  <c r="W170" i="66"/>
  <c r="W121" i="66"/>
  <c r="T161" i="66"/>
  <c r="V161" i="66"/>
  <c r="Q161" i="66"/>
  <c r="Q149" i="66"/>
  <c r="S149" i="66"/>
  <c r="Q150" i="66"/>
  <c r="S150" i="66"/>
  <c r="Q151" i="66"/>
  <c r="S151" i="66"/>
  <c r="Q116" i="66"/>
  <c r="Q117" i="66"/>
  <c r="Q118" i="66"/>
  <c r="Q119" i="66"/>
  <c r="Q120" i="66"/>
  <c r="Q152" i="66"/>
  <c r="S152" i="66"/>
  <c r="Q153" i="66"/>
  <c r="S116" i="66"/>
  <c r="S117" i="66"/>
  <c r="S118" i="66"/>
  <c r="S119" i="66"/>
  <c r="S120" i="66"/>
  <c r="S153" i="66"/>
  <c r="R156" i="66"/>
  <c r="S161" i="66"/>
  <c r="N161" i="66"/>
  <c r="P161" i="66"/>
  <c r="K161" i="66"/>
  <c r="M161" i="66"/>
  <c r="H161" i="66"/>
  <c r="J161" i="66"/>
  <c r="S121" i="66"/>
  <c r="N160" i="66"/>
  <c r="P160" i="66"/>
  <c r="K160" i="66"/>
  <c r="K149" i="66"/>
  <c r="M149" i="66"/>
  <c r="K116" i="66"/>
  <c r="K117" i="66"/>
  <c r="K118" i="66"/>
  <c r="K119" i="66"/>
  <c r="K120" i="66"/>
  <c r="K150" i="66"/>
  <c r="M150" i="66"/>
  <c r="K151" i="66"/>
  <c r="M151" i="66"/>
  <c r="K152" i="66"/>
  <c r="M116" i="66"/>
  <c r="M117" i="66"/>
  <c r="M118" i="66"/>
  <c r="M119" i="66"/>
  <c r="M120" i="66"/>
  <c r="M152" i="66"/>
  <c r="K153" i="66"/>
  <c r="M153" i="66"/>
  <c r="L156" i="66"/>
  <c r="M160" i="66"/>
  <c r="H160" i="66"/>
  <c r="J160" i="66"/>
  <c r="E160" i="66"/>
  <c r="G160" i="66"/>
  <c r="M121" i="66"/>
  <c r="H158" i="66"/>
  <c r="J158" i="66"/>
  <c r="E158" i="66"/>
  <c r="G158" i="66"/>
  <c r="B158" i="66"/>
  <c r="K121" i="66"/>
  <c r="Q121" i="66"/>
  <c r="S171" i="66"/>
  <c r="S172" i="66"/>
  <c r="S168" i="66"/>
  <c r="V168" i="66"/>
  <c r="Y170" i="66"/>
  <c r="Y121" i="66"/>
  <c r="W171" i="66"/>
  <c r="W172" i="66"/>
  <c r="Y164" i="66"/>
  <c r="AB164" i="66"/>
  <c r="AC170" i="66"/>
  <c r="AC121" i="66"/>
  <c r="Z158" i="66"/>
  <c r="AB158" i="66"/>
  <c r="W158" i="66"/>
  <c r="Y158" i="66"/>
  <c r="T149" i="66"/>
  <c r="V149" i="66"/>
  <c r="T116" i="66"/>
  <c r="T117" i="66"/>
  <c r="T118" i="66"/>
  <c r="T119" i="66"/>
  <c r="T120" i="66"/>
  <c r="T150" i="66"/>
  <c r="V150" i="66"/>
  <c r="T151" i="66"/>
  <c r="V116" i="66"/>
  <c r="V117" i="66"/>
  <c r="V118" i="66"/>
  <c r="V119" i="66"/>
  <c r="V120" i="66"/>
  <c r="V151" i="66"/>
  <c r="T152" i="66"/>
  <c r="V152" i="66"/>
  <c r="T153" i="66"/>
  <c r="V153" i="66"/>
  <c r="U156" i="66"/>
  <c r="T158" i="66"/>
  <c r="Q158" i="66"/>
  <c r="S158" i="66"/>
  <c r="N158" i="66"/>
  <c r="P158" i="66"/>
  <c r="K158" i="66"/>
  <c r="T121" i="66"/>
  <c r="Q159" i="66"/>
  <c r="S159" i="66"/>
  <c r="N159" i="66"/>
  <c r="P159" i="66"/>
  <c r="V121" i="66"/>
  <c r="T171" i="66"/>
  <c r="T172" i="66"/>
  <c r="V165" i="66"/>
  <c r="Y165" i="66"/>
  <c r="AB165" i="66"/>
  <c r="AE170" i="66"/>
  <c r="AE121" i="66"/>
  <c r="AC171" i="66"/>
  <c r="AC172" i="66"/>
  <c r="AE164" i="66"/>
  <c r="AU164" i="66"/>
  <c r="AT165" i="66"/>
  <c r="AC158" i="66"/>
  <c r="AE158" i="66"/>
  <c r="AE171" i="66"/>
  <c r="AE172" i="66"/>
  <c r="AE165" i="66"/>
  <c r="AU165" i="66"/>
  <c r="AT166" i="66"/>
  <c r="AC159" i="66"/>
  <c r="AE159" i="66"/>
  <c r="Z149" i="66"/>
  <c r="AB149" i="66"/>
  <c r="Z150" i="66"/>
  <c r="AB150" i="66"/>
  <c r="Z116" i="66"/>
  <c r="Z117" i="66"/>
  <c r="Z118" i="66"/>
  <c r="Z119" i="66"/>
  <c r="Z120" i="66"/>
  <c r="Z151" i="66"/>
  <c r="AB151" i="66"/>
  <c r="Z152" i="66"/>
  <c r="AB116" i="66"/>
  <c r="AB117" i="66"/>
  <c r="AB118" i="66"/>
  <c r="AB119" i="66"/>
  <c r="AB120" i="66"/>
  <c r="AB152" i="66"/>
  <c r="Z153" i="66"/>
  <c r="AB153" i="66"/>
  <c r="AA156" i="66"/>
  <c r="Z159" i="66"/>
  <c r="W159" i="66"/>
  <c r="Y159" i="66"/>
  <c r="T159" i="66"/>
  <c r="V159" i="66"/>
  <c r="Z121" i="66"/>
  <c r="W160" i="66"/>
  <c r="Y160" i="66"/>
  <c r="T160" i="66"/>
  <c r="V160" i="66"/>
  <c r="Q160" i="66"/>
  <c r="AB121" i="66"/>
  <c r="Z171" i="66"/>
  <c r="Z172" i="66"/>
  <c r="AB166" i="66"/>
  <c r="AE166" i="66"/>
  <c r="AU166" i="66"/>
  <c r="AT167" i="66"/>
  <c r="AC160" i="66"/>
  <c r="AE160" i="66"/>
  <c r="Z160" i="66"/>
  <c r="AB160" i="66"/>
  <c r="AT168" i="66"/>
  <c r="AC161" i="66"/>
  <c r="AE161" i="66"/>
  <c r="Z161" i="66"/>
  <c r="AB161" i="66"/>
  <c r="W161" i="66"/>
  <c r="Y161" i="66"/>
  <c r="Y171" i="66"/>
  <c r="Y172" i="66"/>
  <c r="Y168" i="66"/>
  <c r="AB168" i="66"/>
  <c r="AE168" i="66"/>
  <c r="AU168" i="66"/>
  <c r="E178" i="66"/>
  <c r="B249" i="66"/>
  <c r="AT249" i="66"/>
  <c r="AC242" i="66"/>
  <c r="AE242" i="66"/>
  <c r="Z242" i="66"/>
  <c r="AB242" i="66"/>
  <c r="W242" i="66"/>
  <c r="Y242" i="66"/>
  <c r="T242" i="66"/>
  <c r="V242" i="66"/>
  <c r="Q201" i="66"/>
  <c r="Q202" i="66"/>
  <c r="Q203" i="66"/>
  <c r="Q204" i="66"/>
  <c r="Q205" i="66"/>
  <c r="Q234" i="66"/>
  <c r="S234" i="66"/>
  <c r="Q235" i="66"/>
  <c r="S201" i="66"/>
  <c r="S202" i="66"/>
  <c r="S203" i="66"/>
  <c r="S204" i="66"/>
  <c r="S205" i="66"/>
  <c r="S235" i="66"/>
  <c r="Q236" i="66"/>
  <c r="S236" i="66"/>
  <c r="Q237" i="66"/>
  <c r="S237" i="66"/>
  <c r="Q238" i="66"/>
  <c r="S238" i="66"/>
  <c r="R241" i="66"/>
  <c r="Q242" i="66"/>
  <c r="N242" i="66"/>
  <c r="P242" i="66"/>
  <c r="K201" i="66"/>
  <c r="K202" i="66"/>
  <c r="K203" i="66"/>
  <c r="K204" i="66"/>
  <c r="K205" i="66"/>
  <c r="K234" i="66"/>
  <c r="M234" i="66"/>
  <c r="K235" i="66"/>
  <c r="M235" i="66"/>
  <c r="K236" i="66"/>
  <c r="M201" i="66"/>
  <c r="M202" i="66"/>
  <c r="M203" i="66"/>
  <c r="M204" i="66"/>
  <c r="M205" i="66"/>
  <c r="M236" i="66"/>
  <c r="K237" i="66"/>
  <c r="M237" i="66"/>
  <c r="K238" i="66"/>
  <c r="M238" i="66"/>
  <c r="L241" i="66"/>
  <c r="K242" i="66"/>
  <c r="H242" i="66"/>
  <c r="J242" i="66"/>
  <c r="E201" i="66"/>
  <c r="E202" i="66"/>
  <c r="E203" i="66"/>
  <c r="E204" i="66"/>
  <c r="E205" i="66"/>
  <c r="E234" i="66"/>
  <c r="G234" i="66"/>
  <c r="E235" i="66"/>
  <c r="G235" i="66"/>
  <c r="E236" i="66"/>
  <c r="G236" i="66"/>
  <c r="E237" i="66"/>
  <c r="G201" i="66"/>
  <c r="G202" i="66"/>
  <c r="G203" i="66"/>
  <c r="G204" i="66"/>
  <c r="G205" i="66"/>
  <c r="G237" i="66"/>
  <c r="E238" i="66"/>
  <c r="G238" i="66"/>
  <c r="F241" i="66"/>
  <c r="E242" i="66"/>
  <c r="B242" i="66"/>
  <c r="D242" i="66"/>
  <c r="C249" i="66"/>
  <c r="D249" i="66"/>
  <c r="E255" i="66"/>
  <c r="E206" i="66"/>
  <c r="B245" i="66"/>
  <c r="D245" i="66"/>
  <c r="E184" i="66"/>
  <c r="B252" i="66"/>
  <c r="C252" i="66"/>
  <c r="D252" i="66"/>
  <c r="G255" i="66"/>
  <c r="G206" i="66"/>
  <c r="E256" i="66"/>
  <c r="E257" i="66"/>
  <c r="G249" i="66"/>
  <c r="J249" i="66"/>
  <c r="K255" i="66"/>
  <c r="K206" i="66"/>
  <c r="H244" i="66"/>
  <c r="J244" i="66"/>
  <c r="E244" i="66"/>
  <c r="G244" i="66"/>
  <c r="B244" i="66"/>
  <c r="B234" i="66"/>
  <c r="D234" i="66"/>
  <c r="B201" i="66"/>
  <c r="B202" i="66"/>
  <c r="B203" i="66"/>
  <c r="B204" i="66"/>
  <c r="B205" i="66"/>
  <c r="B235" i="66"/>
  <c r="D235" i="66"/>
  <c r="B236" i="66"/>
  <c r="D201" i="66"/>
  <c r="D202" i="66"/>
  <c r="D203" i="66"/>
  <c r="D204" i="66"/>
  <c r="D205" i="66"/>
  <c r="D236" i="66"/>
  <c r="B237" i="66"/>
  <c r="D237" i="66"/>
  <c r="B238" i="66"/>
  <c r="D238" i="66"/>
  <c r="C241" i="66"/>
  <c r="D244" i="66"/>
  <c r="E182" i="66"/>
  <c r="B251" i="66"/>
  <c r="C251" i="66"/>
  <c r="D255" i="66"/>
  <c r="D206" i="66"/>
  <c r="E180" i="66"/>
  <c r="B250" i="66"/>
  <c r="C250" i="66"/>
  <c r="B255" i="66"/>
  <c r="B206" i="66"/>
  <c r="D256" i="66"/>
  <c r="D257" i="66"/>
  <c r="D251" i="66"/>
  <c r="G251" i="66"/>
  <c r="J251" i="66"/>
  <c r="M255" i="66"/>
  <c r="M206" i="66"/>
  <c r="K256" i="66"/>
  <c r="K257" i="66"/>
  <c r="M249" i="66"/>
  <c r="P249" i="66"/>
  <c r="Q255" i="66"/>
  <c r="Q206" i="66"/>
  <c r="N243" i="66"/>
  <c r="P243" i="66"/>
  <c r="K243" i="66"/>
  <c r="M243" i="66"/>
  <c r="H234" i="66"/>
  <c r="J234" i="66"/>
  <c r="H201" i="66"/>
  <c r="H202" i="66"/>
  <c r="H203" i="66"/>
  <c r="H204" i="66"/>
  <c r="H205" i="66"/>
  <c r="H235" i="66"/>
  <c r="J235" i="66"/>
  <c r="H236" i="66"/>
  <c r="J236" i="66"/>
  <c r="H237" i="66"/>
  <c r="J201" i="66"/>
  <c r="J202" i="66"/>
  <c r="J203" i="66"/>
  <c r="J204" i="66"/>
  <c r="J205" i="66"/>
  <c r="J237" i="66"/>
  <c r="H238" i="66"/>
  <c r="J238" i="66"/>
  <c r="I241" i="66"/>
  <c r="H243" i="66"/>
  <c r="E243" i="66"/>
  <c r="G243" i="66"/>
  <c r="B243" i="66"/>
  <c r="B256" i="66"/>
  <c r="B257" i="66"/>
  <c r="D250" i="66"/>
  <c r="G250" i="66"/>
  <c r="H255" i="66"/>
  <c r="H206" i="66"/>
  <c r="E245" i="66"/>
  <c r="G245" i="66"/>
  <c r="G256" i="66"/>
  <c r="G257" i="66"/>
  <c r="G252" i="66"/>
  <c r="J255" i="66"/>
  <c r="J206" i="66"/>
  <c r="H256" i="66"/>
  <c r="H257" i="66"/>
  <c r="J250" i="66"/>
  <c r="M250" i="66"/>
  <c r="P250" i="66"/>
  <c r="S255" i="66"/>
  <c r="S206" i="66"/>
  <c r="Q256" i="66"/>
  <c r="Q257" i="66"/>
  <c r="S249" i="66"/>
  <c r="V249" i="66"/>
  <c r="Y249" i="66"/>
  <c r="AB249" i="66"/>
  <c r="AE249" i="66"/>
  <c r="AU249" i="66"/>
  <c r="AT250" i="66"/>
  <c r="AC243" i="66"/>
  <c r="AE243" i="66"/>
  <c r="Z243" i="66"/>
  <c r="AB243" i="66"/>
  <c r="W243" i="66"/>
  <c r="Y243" i="66"/>
  <c r="T243" i="66"/>
  <c r="V243" i="66"/>
  <c r="Q243" i="66"/>
  <c r="S243" i="66"/>
  <c r="S256" i="66"/>
  <c r="S257" i="66"/>
  <c r="S250" i="66"/>
  <c r="V250" i="66"/>
  <c r="Y250" i="66"/>
  <c r="AB250" i="66"/>
  <c r="AE250" i="66"/>
  <c r="AU250" i="66"/>
  <c r="AT251" i="66"/>
  <c r="AC244" i="66"/>
  <c r="AE244" i="66"/>
  <c r="Z244" i="66"/>
  <c r="AB244" i="66"/>
  <c r="W244" i="66"/>
  <c r="Y244" i="66"/>
  <c r="T244" i="66"/>
  <c r="V244" i="66"/>
  <c r="Q244" i="66"/>
  <c r="S244" i="66"/>
  <c r="N234" i="66"/>
  <c r="P234" i="66"/>
  <c r="N235" i="66"/>
  <c r="P235" i="66"/>
  <c r="N201" i="66"/>
  <c r="N202" i="66"/>
  <c r="N203" i="66"/>
  <c r="N204" i="66"/>
  <c r="N205" i="66"/>
  <c r="N236" i="66"/>
  <c r="P236" i="66"/>
  <c r="N237" i="66"/>
  <c r="P201" i="66"/>
  <c r="P202" i="66"/>
  <c r="P203" i="66"/>
  <c r="P204" i="66"/>
  <c r="P205" i="66"/>
  <c r="P237" i="66"/>
  <c r="N238" i="66"/>
  <c r="P238" i="66"/>
  <c r="O241" i="66"/>
  <c r="N244" i="66"/>
  <c r="K244" i="66"/>
  <c r="M244" i="66"/>
  <c r="M256" i="66"/>
  <c r="M257" i="66"/>
  <c r="M251" i="66"/>
  <c r="N255" i="66"/>
  <c r="N206" i="66"/>
  <c r="K245" i="66"/>
  <c r="M245" i="66"/>
  <c r="H245" i="66"/>
  <c r="J245" i="66"/>
  <c r="J256" i="66"/>
  <c r="J257" i="66"/>
  <c r="J252" i="66"/>
  <c r="M252" i="66"/>
  <c r="P255" i="66"/>
  <c r="P206" i="66"/>
  <c r="N256" i="66"/>
  <c r="N257" i="66"/>
  <c r="P251" i="66"/>
  <c r="S251" i="66"/>
  <c r="V251" i="66"/>
  <c r="Y251" i="66"/>
  <c r="AB251" i="66"/>
  <c r="AE251" i="66"/>
  <c r="AU251" i="66"/>
  <c r="AT252" i="66"/>
  <c r="AC245" i="66"/>
  <c r="AE245" i="66"/>
  <c r="Z245" i="66"/>
  <c r="AB245" i="66"/>
  <c r="W245" i="66"/>
  <c r="Y245" i="66"/>
  <c r="T245" i="66"/>
  <c r="V245" i="66"/>
  <c r="Q245" i="66"/>
  <c r="S245" i="66"/>
  <c r="N245" i="66"/>
  <c r="P245" i="66"/>
  <c r="P256" i="66"/>
  <c r="P257" i="66"/>
  <c r="P252" i="66"/>
  <c r="S252" i="66"/>
  <c r="V252" i="66"/>
  <c r="Y252" i="66"/>
  <c r="AB252" i="66"/>
  <c r="AE252" i="66"/>
  <c r="AU252" i="66"/>
  <c r="E186" i="66"/>
  <c r="B253" i="66"/>
  <c r="AT253" i="66"/>
  <c r="AC246" i="66"/>
  <c r="AE246" i="66"/>
  <c r="Z246" i="66"/>
  <c r="AB246" i="66"/>
  <c r="W246" i="66"/>
  <c r="Y246" i="66"/>
  <c r="T246" i="66"/>
  <c r="V246" i="66"/>
  <c r="Q246" i="66"/>
  <c r="S246" i="66"/>
  <c r="N246" i="66"/>
  <c r="P246" i="66"/>
  <c r="K246" i="66"/>
  <c r="M246" i="66"/>
  <c r="H246" i="66"/>
  <c r="J246" i="66"/>
  <c r="E246" i="66"/>
  <c r="G246" i="66"/>
  <c r="B246" i="66"/>
  <c r="D246" i="66"/>
  <c r="C253" i="66"/>
  <c r="D253" i="66"/>
  <c r="G253" i="66"/>
  <c r="J253" i="66"/>
  <c r="M253" i="66"/>
  <c r="P253" i="66"/>
  <c r="S253" i="66"/>
  <c r="V253" i="66"/>
  <c r="Y253" i="66"/>
  <c r="AB253" i="66"/>
  <c r="AE253" i="66"/>
  <c r="AU253" i="66"/>
  <c r="AH265" i="66"/>
  <c r="B351" i="66"/>
  <c r="B368" i="66"/>
  <c r="E371" i="66"/>
  <c r="E372" i="66"/>
  <c r="G367" i="66"/>
  <c r="J370" i="66"/>
  <c r="J358" i="66"/>
  <c r="J359" i="66"/>
  <c r="J360" i="66"/>
  <c r="J361" i="66"/>
  <c r="B358" i="66"/>
  <c r="B359" i="66"/>
  <c r="B360" i="66"/>
  <c r="B361" i="66"/>
  <c r="D358" i="66"/>
  <c r="D359" i="66"/>
  <c r="D360" i="66"/>
  <c r="D361" i="66"/>
  <c r="H357" i="66"/>
  <c r="B58" i="66"/>
  <c r="D58" i="66"/>
  <c r="E39" i="66"/>
  <c r="G39" i="66"/>
  <c r="E40" i="66"/>
  <c r="G40" i="66"/>
  <c r="E41" i="66"/>
  <c r="G41" i="66"/>
  <c r="E42" i="66"/>
  <c r="G42" i="66"/>
  <c r="E43" i="66"/>
  <c r="G43" i="66"/>
  <c r="E44" i="66"/>
  <c r="E58" i="66"/>
  <c r="G58" i="66"/>
  <c r="H58" i="66"/>
  <c r="J58" i="66"/>
  <c r="K58" i="66"/>
  <c r="M58" i="66"/>
  <c r="N39" i="66"/>
  <c r="P39" i="66"/>
  <c r="N40" i="66"/>
  <c r="P40" i="66"/>
  <c r="N41" i="66"/>
  <c r="P41" i="66"/>
  <c r="N42" i="66"/>
  <c r="P42" i="66"/>
  <c r="N43" i="66"/>
  <c r="P43" i="66"/>
  <c r="N44" i="66"/>
  <c r="N58" i="66"/>
  <c r="P58" i="66"/>
  <c r="Q58" i="66"/>
  <c r="S58" i="66"/>
  <c r="T58" i="66"/>
  <c r="V58" i="66"/>
  <c r="W39" i="66"/>
  <c r="Y39" i="66"/>
  <c r="W40" i="66"/>
  <c r="Y40" i="66"/>
  <c r="W41" i="66"/>
  <c r="Y41" i="66"/>
  <c r="W42" i="66"/>
  <c r="Y42" i="66"/>
  <c r="W43" i="66"/>
  <c r="Y43" i="66"/>
  <c r="W44" i="66"/>
  <c r="W58" i="66"/>
  <c r="Y58" i="66"/>
  <c r="Z58" i="66"/>
  <c r="AB58" i="66"/>
  <c r="AC39" i="66"/>
  <c r="AE39" i="66"/>
  <c r="AC40" i="66"/>
  <c r="AE40" i="66"/>
  <c r="AC41" i="66"/>
  <c r="AE41" i="66"/>
  <c r="AC42" i="66"/>
  <c r="AE42" i="66"/>
  <c r="AC43" i="66"/>
  <c r="AE43" i="66"/>
  <c r="AC44" i="66"/>
  <c r="AC58" i="66"/>
  <c r="AE58" i="66"/>
  <c r="AF58" i="66"/>
  <c r="AG24" i="66"/>
  <c r="E30" i="66"/>
  <c r="G30" i="66"/>
  <c r="AH24" i="66"/>
  <c r="AI24" i="66"/>
  <c r="AJ24" i="66"/>
  <c r="N30" i="66"/>
  <c r="P30" i="66"/>
  <c r="AK24" i="66"/>
  <c r="AL24" i="66"/>
  <c r="AM24" i="66"/>
  <c r="W30" i="66"/>
  <c r="Y30" i="66"/>
  <c r="AN24" i="66"/>
  <c r="AO24" i="66"/>
  <c r="AC30" i="66"/>
  <c r="AE30" i="66"/>
  <c r="AP24" i="66"/>
  <c r="AQ24" i="66"/>
  <c r="Z8" i="66"/>
  <c r="J264" i="66"/>
  <c r="B143" i="66"/>
  <c r="D143" i="66"/>
  <c r="E124" i="66"/>
  <c r="G124" i="66"/>
  <c r="E125" i="66"/>
  <c r="G125" i="66"/>
  <c r="E126" i="66"/>
  <c r="G126" i="66"/>
  <c r="E127" i="66"/>
  <c r="G127" i="66"/>
  <c r="E128" i="66"/>
  <c r="G128" i="66"/>
  <c r="E129" i="66"/>
  <c r="E143" i="66"/>
  <c r="G143" i="66"/>
  <c r="H143" i="66"/>
  <c r="J143" i="66"/>
  <c r="K143" i="66"/>
  <c r="M143" i="66"/>
  <c r="N124" i="66"/>
  <c r="P124" i="66"/>
  <c r="N125" i="66"/>
  <c r="P125" i="66"/>
  <c r="N126" i="66"/>
  <c r="P126" i="66"/>
  <c r="N127" i="66"/>
  <c r="P127" i="66"/>
  <c r="N128" i="66"/>
  <c r="P128" i="66"/>
  <c r="N129" i="66"/>
  <c r="N143" i="66"/>
  <c r="P143" i="66"/>
  <c r="Q143" i="66"/>
  <c r="S143" i="66"/>
  <c r="T143" i="66"/>
  <c r="V143" i="66"/>
  <c r="W124" i="66"/>
  <c r="Y124" i="66"/>
  <c r="W125" i="66"/>
  <c r="Y125" i="66"/>
  <c r="W126" i="66"/>
  <c r="Y126" i="66"/>
  <c r="W127" i="66"/>
  <c r="Y127" i="66"/>
  <c r="W128" i="66"/>
  <c r="Y128" i="66"/>
  <c r="W129" i="66"/>
  <c r="W143" i="66"/>
  <c r="Y143" i="66"/>
  <c r="Z143" i="66"/>
  <c r="AB143" i="66"/>
  <c r="AC124" i="66"/>
  <c r="AE124" i="66"/>
  <c r="AC125" i="66"/>
  <c r="AE125" i="66"/>
  <c r="AC126" i="66"/>
  <c r="AE126" i="66"/>
  <c r="AC127" i="66"/>
  <c r="AE127" i="66"/>
  <c r="AC128" i="66"/>
  <c r="AE128" i="66"/>
  <c r="AC129" i="66"/>
  <c r="AC143" i="66"/>
  <c r="AE143" i="66"/>
  <c r="AF143" i="66"/>
  <c r="AG109" i="66"/>
  <c r="E115" i="66"/>
  <c r="G115" i="66"/>
  <c r="AH109" i="66"/>
  <c r="AI109" i="66"/>
  <c r="AJ109" i="66"/>
  <c r="N115" i="66"/>
  <c r="P115" i="66"/>
  <c r="AK109" i="66"/>
  <c r="AL109" i="66"/>
  <c r="AM109" i="66"/>
  <c r="W115" i="66"/>
  <c r="Y115" i="66"/>
  <c r="AN109" i="66"/>
  <c r="AO109" i="66"/>
  <c r="AC115" i="66"/>
  <c r="AE115" i="66"/>
  <c r="AP109" i="66"/>
  <c r="AQ109" i="66"/>
  <c r="Z93" i="66"/>
  <c r="J265" i="66"/>
  <c r="B228" i="66"/>
  <c r="D228" i="66"/>
  <c r="E209" i="66"/>
  <c r="G209" i="66"/>
  <c r="E210" i="66"/>
  <c r="G210" i="66"/>
  <c r="E211" i="66"/>
  <c r="G211" i="66"/>
  <c r="E212" i="66"/>
  <c r="G212" i="66"/>
  <c r="E213" i="66"/>
  <c r="G213" i="66"/>
  <c r="E214" i="66"/>
  <c r="E228" i="66"/>
  <c r="G228" i="66"/>
  <c r="H228" i="66"/>
  <c r="J228" i="66"/>
  <c r="K209" i="66"/>
  <c r="M209" i="66"/>
  <c r="K210" i="66"/>
  <c r="M210" i="66"/>
  <c r="K211" i="66"/>
  <c r="M211" i="66"/>
  <c r="K212" i="66"/>
  <c r="M212" i="66"/>
  <c r="K213" i="66"/>
  <c r="M213" i="66"/>
  <c r="K214" i="66"/>
  <c r="K228" i="66"/>
  <c r="M228" i="66"/>
  <c r="N228" i="66"/>
  <c r="P228" i="66"/>
  <c r="Q209" i="66"/>
  <c r="S209" i="66"/>
  <c r="Q210" i="66"/>
  <c r="S210" i="66"/>
  <c r="Q211" i="66"/>
  <c r="S211" i="66"/>
  <c r="Q212" i="66"/>
  <c r="S212" i="66"/>
  <c r="Q213" i="66"/>
  <c r="S213" i="66"/>
  <c r="Q214" i="66"/>
  <c r="Q228" i="66"/>
  <c r="S228" i="66"/>
  <c r="T228" i="66"/>
  <c r="V228" i="66"/>
  <c r="W228" i="66"/>
  <c r="Y228" i="66"/>
  <c r="Z228" i="66"/>
  <c r="AB228" i="66"/>
  <c r="AC228" i="66"/>
  <c r="AE228" i="66"/>
  <c r="AF228" i="66"/>
  <c r="AG194" i="66"/>
  <c r="E200" i="66"/>
  <c r="G200" i="66"/>
  <c r="AH194" i="66"/>
  <c r="AI194" i="66"/>
  <c r="K200" i="66"/>
  <c r="M200" i="66"/>
  <c r="AJ194" i="66"/>
  <c r="AK194" i="66"/>
  <c r="Q200" i="66"/>
  <c r="S200" i="66"/>
  <c r="AL194" i="66"/>
  <c r="AM194" i="66"/>
  <c r="AN194" i="66"/>
  <c r="AO194" i="66"/>
  <c r="AP194" i="66"/>
  <c r="AQ194" i="66"/>
  <c r="Z178" i="66"/>
  <c r="J266" i="66"/>
  <c r="B61" i="66"/>
  <c r="D61" i="66"/>
  <c r="E61" i="66"/>
  <c r="G61" i="66"/>
  <c r="H61" i="66"/>
  <c r="J61" i="66"/>
  <c r="K61" i="66"/>
  <c r="K39" i="66"/>
  <c r="M39" i="66"/>
  <c r="K40" i="66"/>
  <c r="M40" i="66"/>
  <c r="K41" i="66"/>
  <c r="M41" i="66"/>
  <c r="K42" i="66"/>
  <c r="M42" i="66"/>
  <c r="K43" i="66"/>
  <c r="M43" i="66"/>
  <c r="K44" i="66"/>
  <c r="M61" i="66"/>
  <c r="N61" i="66"/>
  <c r="P61" i="66"/>
  <c r="Q39" i="66"/>
  <c r="S39" i="66"/>
  <c r="Q40" i="66"/>
  <c r="S40" i="66"/>
  <c r="Q41" i="66"/>
  <c r="S41" i="66"/>
  <c r="Q42" i="66"/>
  <c r="S42" i="66"/>
  <c r="Q43" i="66"/>
  <c r="S43" i="66"/>
  <c r="Q44" i="66"/>
  <c r="Q61" i="66"/>
  <c r="S61" i="66"/>
  <c r="T61" i="66"/>
  <c r="V61" i="66"/>
  <c r="W61" i="66"/>
  <c r="Y61" i="66"/>
  <c r="Z61" i="66"/>
  <c r="Z39" i="66"/>
  <c r="AB39" i="66"/>
  <c r="Z40" i="66"/>
  <c r="AB40" i="66"/>
  <c r="Z41" i="66"/>
  <c r="AB41" i="66"/>
  <c r="Z42" i="66"/>
  <c r="AB42" i="66"/>
  <c r="Z43" i="66"/>
  <c r="AB43" i="66"/>
  <c r="Z44" i="66"/>
  <c r="AB61" i="66"/>
  <c r="AC61" i="66"/>
  <c r="AE61" i="66"/>
  <c r="AF61" i="66"/>
  <c r="AG27" i="66"/>
  <c r="AH27" i="66"/>
  <c r="AI27" i="66"/>
  <c r="M30" i="66"/>
  <c r="K30" i="66"/>
  <c r="AJ27" i="66"/>
  <c r="AK27" i="66"/>
  <c r="Q30" i="66"/>
  <c r="S30" i="66"/>
  <c r="AL27" i="66"/>
  <c r="AM27" i="66"/>
  <c r="AN27" i="66"/>
  <c r="AB30" i="66"/>
  <c r="Z30" i="66"/>
  <c r="AO27" i="66"/>
  <c r="AP27" i="66"/>
  <c r="AQ27" i="66"/>
  <c r="Z14" i="66"/>
  <c r="AF264" i="66"/>
  <c r="B147" i="66"/>
  <c r="B124" i="66"/>
  <c r="D124" i="66"/>
  <c r="B125" i="66"/>
  <c r="D125" i="66"/>
  <c r="B126" i="66"/>
  <c r="D126" i="66"/>
  <c r="B127" i="66"/>
  <c r="D127" i="66"/>
  <c r="B128" i="66"/>
  <c r="D128" i="66"/>
  <c r="B129" i="66"/>
  <c r="D147" i="66"/>
  <c r="E147" i="66"/>
  <c r="G147" i="66"/>
  <c r="H147" i="66"/>
  <c r="H124" i="66"/>
  <c r="J124" i="66"/>
  <c r="H125" i="66"/>
  <c r="J125" i="66"/>
  <c r="H126" i="66"/>
  <c r="J126" i="66"/>
  <c r="H127" i="66"/>
  <c r="J127" i="66"/>
  <c r="H128" i="66"/>
  <c r="J128" i="66"/>
  <c r="H129" i="66"/>
  <c r="J147" i="66"/>
  <c r="K147" i="66"/>
  <c r="M147" i="66"/>
  <c r="N147" i="66"/>
  <c r="P147" i="66"/>
  <c r="Q147" i="66"/>
  <c r="Q124" i="66"/>
  <c r="S124" i="66"/>
  <c r="Q125" i="66"/>
  <c r="S125" i="66"/>
  <c r="Q126" i="66"/>
  <c r="S126" i="66"/>
  <c r="Q127" i="66"/>
  <c r="S127" i="66"/>
  <c r="Q128" i="66"/>
  <c r="S128" i="66"/>
  <c r="Q129" i="66"/>
  <c r="S147" i="66"/>
  <c r="T147" i="66"/>
  <c r="V147" i="66"/>
  <c r="W147" i="66"/>
  <c r="Y147" i="66"/>
  <c r="Z147" i="66"/>
  <c r="AB147" i="66"/>
  <c r="AC147" i="66"/>
  <c r="AE147" i="66"/>
  <c r="AF147" i="66"/>
  <c r="D115" i="66"/>
  <c r="B115" i="66"/>
  <c r="AG113" i="66"/>
  <c r="AH113" i="66"/>
  <c r="J115" i="66"/>
  <c r="H115" i="66"/>
  <c r="AI113" i="66"/>
  <c r="AJ113" i="66"/>
  <c r="AK113" i="66"/>
  <c r="S115" i="66"/>
  <c r="Q115" i="66"/>
  <c r="AL113" i="66"/>
  <c r="AM113" i="66"/>
  <c r="AN113" i="66"/>
  <c r="AO113" i="66"/>
  <c r="AP113" i="66"/>
  <c r="AQ113" i="66"/>
  <c r="Z101" i="66"/>
  <c r="AF265" i="66"/>
  <c r="B230" i="66"/>
  <c r="B209" i="66"/>
  <c r="D209" i="66"/>
  <c r="B210" i="66"/>
  <c r="D210" i="66"/>
  <c r="B211" i="66"/>
  <c r="D211" i="66"/>
  <c r="B212" i="66"/>
  <c r="D212" i="66"/>
  <c r="B213" i="66"/>
  <c r="D213" i="66"/>
  <c r="B214" i="66"/>
  <c r="D230" i="66"/>
  <c r="E230" i="66"/>
  <c r="G230" i="66"/>
  <c r="H230" i="66"/>
  <c r="J230" i="66"/>
  <c r="K230" i="66"/>
  <c r="M230" i="66"/>
  <c r="N209" i="66"/>
  <c r="P209" i="66"/>
  <c r="N210" i="66"/>
  <c r="P210" i="66"/>
  <c r="N211" i="66"/>
  <c r="P211" i="66"/>
  <c r="N212" i="66"/>
  <c r="P212" i="66"/>
  <c r="N213" i="66"/>
  <c r="P213" i="66"/>
  <c r="N214" i="66"/>
  <c r="N230" i="66"/>
  <c r="P230" i="66"/>
  <c r="Q230" i="66"/>
  <c r="S230" i="66"/>
  <c r="T230" i="66"/>
  <c r="V230" i="66"/>
  <c r="W230" i="66"/>
  <c r="Y230" i="66"/>
  <c r="Z230" i="66"/>
  <c r="AB230" i="66"/>
  <c r="AC230" i="66"/>
  <c r="AE230" i="66"/>
  <c r="AF230" i="66"/>
  <c r="D200" i="66"/>
  <c r="B200" i="66"/>
  <c r="AG196" i="66"/>
  <c r="AH196" i="66"/>
  <c r="AI196" i="66"/>
  <c r="AJ196" i="66"/>
  <c r="N200" i="66"/>
  <c r="P200" i="66"/>
  <c r="AK196" i="66"/>
  <c r="AL196" i="66"/>
  <c r="AM196" i="66"/>
  <c r="AN196" i="66"/>
  <c r="AO196" i="66"/>
  <c r="AP196" i="66"/>
  <c r="AQ196" i="66"/>
  <c r="Z182" i="66"/>
  <c r="AF266" i="66"/>
  <c r="AG264" i="66"/>
  <c r="X264" i="66"/>
  <c r="X271" i="66"/>
  <c r="B349" i="66"/>
  <c r="B366" i="66"/>
  <c r="AX14" i="66"/>
  <c r="C366" i="66"/>
  <c r="B370" i="66"/>
  <c r="AH266" i="66"/>
  <c r="B352" i="66"/>
  <c r="B369" i="66"/>
  <c r="AX12" i="66"/>
  <c r="C369" i="66"/>
  <c r="D370" i="66"/>
  <c r="B371" i="66"/>
  <c r="B372" i="66"/>
  <c r="D366" i="66"/>
  <c r="G366" i="66"/>
  <c r="H370" i="66"/>
  <c r="H358" i="66"/>
  <c r="H359" i="66"/>
  <c r="H360" i="66"/>
  <c r="H361" i="66"/>
  <c r="J371" i="66"/>
  <c r="J372" i="66"/>
  <c r="H371" i="66"/>
  <c r="H372" i="66"/>
  <c r="D371" i="66"/>
  <c r="D372" i="66"/>
  <c r="AU371" i="66"/>
  <c r="AT371" i="66"/>
  <c r="AU370" i="66"/>
  <c r="AT370" i="66"/>
  <c r="AU369" i="66"/>
  <c r="AT369" i="66"/>
  <c r="D369" i="66"/>
  <c r="G369" i="66"/>
  <c r="J369" i="66"/>
  <c r="AU368" i="66"/>
  <c r="AT368" i="66"/>
  <c r="AT367" i="66"/>
  <c r="J367" i="66"/>
  <c r="AU366" i="66"/>
  <c r="AT366" i="66"/>
  <c r="J366" i="66"/>
  <c r="AU365" i="66"/>
  <c r="AT365" i="66"/>
  <c r="K362" i="66"/>
  <c r="E185" i="66"/>
  <c r="AK266" i="66"/>
  <c r="K352" i="66"/>
  <c r="E100" i="66"/>
  <c r="AK265" i="66"/>
  <c r="K351" i="66"/>
  <c r="E17" i="66"/>
  <c r="AK264" i="66"/>
  <c r="K350" i="66"/>
  <c r="E15" i="66"/>
  <c r="AC264" i="66"/>
  <c r="AF271" i="66"/>
  <c r="K349" i="66"/>
  <c r="A343" i="66"/>
  <c r="F342" i="66"/>
  <c r="A338" i="66"/>
  <c r="J337" i="66"/>
  <c r="A334" i="66"/>
  <c r="F332" i="66"/>
  <c r="A332" i="66"/>
  <c r="A329" i="66"/>
  <c r="W310" i="66"/>
  <c r="W311" i="66"/>
  <c r="W312" i="66"/>
  <c r="W313" i="66"/>
  <c r="Y310" i="66"/>
  <c r="Y311" i="66"/>
  <c r="Y312" i="66"/>
  <c r="Y313" i="66"/>
  <c r="AC309" i="66"/>
  <c r="AG265" i="66"/>
  <c r="X265" i="66"/>
  <c r="X270" i="66"/>
  <c r="X304" i="66"/>
  <c r="W321" i="66"/>
  <c r="AX16" i="66"/>
  <c r="X321" i="66"/>
  <c r="Y322" i="66"/>
  <c r="B39" i="66"/>
  <c r="D39" i="66"/>
  <c r="B40" i="66"/>
  <c r="D40" i="66"/>
  <c r="B41" i="66"/>
  <c r="D41" i="66"/>
  <c r="B42" i="66"/>
  <c r="D42" i="66"/>
  <c r="B43" i="66"/>
  <c r="D43" i="66"/>
  <c r="B44" i="66"/>
  <c r="B59" i="66"/>
  <c r="D59" i="66"/>
  <c r="E59" i="66"/>
  <c r="G59" i="66"/>
  <c r="H59" i="66"/>
  <c r="J59" i="66"/>
  <c r="K59" i="66"/>
  <c r="M59" i="66"/>
  <c r="N59" i="66"/>
  <c r="P59" i="66"/>
  <c r="Q59" i="66"/>
  <c r="S59" i="66"/>
  <c r="T39" i="66"/>
  <c r="V39" i="66"/>
  <c r="T40" i="66"/>
  <c r="V40" i="66"/>
  <c r="T41" i="66"/>
  <c r="V41" i="66"/>
  <c r="T42" i="66"/>
  <c r="V42" i="66"/>
  <c r="T43" i="66"/>
  <c r="V43" i="66"/>
  <c r="T44" i="66"/>
  <c r="T59" i="66"/>
  <c r="V59" i="66"/>
  <c r="W59" i="66"/>
  <c r="Y59" i="66"/>
  <c r="Z59" i="66"/>
  <c r="AB59" i="66"/>
  <c r="AC59" i="66"/>
  <c r="AE59" i="66"/>
  <c r="AF59" i="66"/>
  <c r="B30" i="66"/>
  <c r="D30" i="66"/>
  <c r="AG25" i="66"/>
  <c r="AH25" i="66"/>
  <c r="AI25" i="66"/>
  <c r="AJ25" i="66"/>
  <c r="AK25" i="66"/>
  <c r="AL25" i="66"/>
  <c r="T30" i="66"/>
  <c r="V30" i="66"/>
  <c r="AM25" i="66"/>
  <c r="AN25" i="66"/>
  <c r="AO25" i="66"/>
  <c r="AP25" i="66"/>
  <c r="AQ25" i="66"/>
  <c r="Z10" i="66"/>
  <c r="U264" i="66"/>
  <c r="B144" i="66"/>
  <c r="D144" i="66"/>
  <c r="E144" i="66"/>
  <c r="G144" i="66"/>
  <c r="H144" i="66"/>
  <c r="J144" i="66"/>
  <c r="K124" i="66"/>
  <c r="M124" i="66"/>
  <c r="K125" i="66"/>
  <c r="M125" i="66"/>
  <c r="K126" i="66"/>
  <c r="M126" i="66"/>
  <c r="K127" i="66"/>
  <c r="M127" i="66"/>
  <c r="K128" i="66"/>
  <c r="M128" i="66"/>
  <c r="K129" i="66"/>
  <c r="K144" i="66"/>
  <c r="M144" i="66"/>
  <c r="N144" i="66"/>
  <c r="P144" i="66"/>
  <c r="Q144" i="66"/>
  <c r="S144" i="66"/>
  <c r="T124" i="66"/>
  <c r="V124" i="66"/>
  <c r="T125" i="66"/>
  <c r="V125" i="66"/>
  <c r="T126" i="66"/>
  <c r="V126" i="66"/>
  <c r="T127" i="66"/>
  <c r="V127" i="66"/>
  <c r="T128" i="66"/>
  <c r="V128" i="66"/>
  <c r="T129" i="66"/>
  <c r="T144" i="66"/>
  <c r="V144" i="66"/>
  <c r="W144" i="66"/>
  <c r="Y144" i="66"/>
  <c r="Z144" i="66"/>
  <c r="AB144" i="66"/>
  <c r="AC144" i="66"/>
  <c r="AE144" i="66"/>
  <c r="AF144" i="66"/>
  <c r="AG110" i="66"/>
  <c r="AH110" i="66"/>
  <c r="AI110" i="66"/>
  <c r="K115" i="66"/>
  <c r="M115" i="66"/>
  <c r="AJ110" i="66"/>
  <c r="AK110" i="66"/>
  <c r="AL110" i="66"/>
  <c r="T115" i="66"/>
  <c r="V115" i="66"/>
  <c r="AM110" i="66"/>
  <c r="AN110" i="66"/>
  <c r="AO110" i="66"/>
  <c r="AP110" i="66"/>
  <c r="AQ110" i="66"/>
  <c r="Z95" i="66"/>
  <c r="U265" i="66"/>
  <c r="B229" i="66"/>
  <c r="D229" i="66"/>
  <c r="E229" i="66"/>
  <c r="G229" i="66"/>
  <c r="H209" i="66"/>
  <c r="J209" i="66"/>
  <c r="H210" i="66"/>
  <c r="J210" i="66"/>
  <c r="H211" i="66"/>
  <c r="J211" i="66"/>
  <c r="H212" i="66"/>
  <c r="J212" i="66"/>
  <c r="H213" i="66"/>
  <c r="J213" i="66"/>
  <c r="H214" i="66"/>
  <c r="H229" i="66"/>
  <c r="J229" i="66"/>
  <c r="K229" i="66"/>
  <c r="M229" i="66"/>
  <c r="N229" i="66"/>
  <c r="P229" i="66"/>
  <c r="Q229" i="66"/>
  <c r="S229" i="66"/>
  <c r="T229" i="66"/>
  <c r="V229" i="66"/>
  <c r="W229" i="66"/>
  <c r="Y229" i="66"/>
  <c r="Z229" i="66"/>
  <c r="AB229" i="66"/>
  <c r="AC229" i="66"/>
  <c r="AE229" i="66"/>
  <c r="AF229" i="66"/>
  <c r="AG195" i="66"/>
  <c r="AH195" i="66"/>
  <c r="H200" i="66"/>
  <c r="J200" i="66"/>
  <c r="AI195" i="66"/>
  <c r="AJ195" i="66"/>
  <c r="AK195" i="66"/>
  <c r="AL195" i="66"/>
  <c r="AM195" i="66"/>
  <c r="AN195" i="66"/>
  <c r="AO195" i="66"/>
  <c r="AP195" i="66"/>
  <c r="AQ195" i="66"/>
  <c r="Z180" i="66"/>
  <c r="U266" i="66"/>
  <c r="W264" i="66"/>
  <c r="W265" i="66"/>
  <c r="W266" i="66"/>
  <c r="M266" i="66"/>
  <c r="M270" i="66"/>
  <c r="X301" i="66"/>
  <c r="W318" i="66"/>
  <c r="AX6" i="66"/>
  <c r="X318" i="66"/>
  <c r="W322" i="66"/>
  <c r="Y323" i="66"/>
  <c r="Y324" i="66"/>
  <c r="Y321" i="66"/>
  <c r="AB321" i="66"/>
  <c r="AC322" i="66"/>
  <c r="AC310" i="66"/>
  <c r="AC311" i="66"/>
  <c r="AC312" i="66"/>
  <c r="AC313" i="66"/>
  <c r="Z310" i="66"/>
  <c r="Z311" i="66"/>
  <c r="Z312" i="66"/>
  <c r="Z313" i="66"/>
  <c r="AB310" i="66"/>
  <c r="AB311" i="66"/>
  <c r="AB312" i="66"/>
  <c r="AB313" i="66"/>
  <c r="AE309" i="66"/>
  <c r="AG266" i="66"/>
  <c r="X266" i="66"/>
  <c r="X269" i="66"/>
  <c r="X303" i="66"/>
  <c r="W320" i="66"/>
  <c r="AX11" i="66"/>
  <c r="X320" i="66"/>
  <c r="Y320" i="66"/>
  <c r="AB322" i="66"/>
  <c r="M265" i="66"/>
  <c r="M271" i="66"/>
  <c r="X302" i="66"/>
  <c r="W319" i="66"/>
  <c r="AX7" i="66"/>
  <c r="X319" i="66"/>
  <c r="Y319" i="66"/>
  <c r="Z322" i="66"/>
  <c r="AB323" i="66"/>
  <c r="AB324" i="66"/>
  <c r="AB320" i="66"/>
  <c r="AE322" i="66"/>
  <c r="AE310" i="66"/>
  <c r="AE311" i="66"/>
  <c r="AE312" i="66"/>
  <c r="AE313" i="66"/>
  <c r="AC323" i="66"/>
  <c r="AC324" i="66"/>
  <c r="AE321" i="66"/>
  <c r="AU324" i="66"/>
  <c r="AT324" i="66"/>
  <c r="AE323" i="66"/>
  <c r="AE324" i="66"/>
  <c r="Z323" i="66"/>
  <c r="Z324" i="66"/>
  <c r="W323" i="66"/>
  <c r="W324" i="66"/>
  <c r="E310" i="66"/>
  <c r="E311" i="66"/>
  <c r="E312" i="66"/>
  <c r="E313" i="66"/>
  <c r="G310" i="66"/>
  <c r="G311" i="66"/>
  <c r="G312" i="66"/>
  <c r="G313" i="66"/>
  <c r="J309" i="66"/>
  <c r="B265" i="66"/>
  <c r="B302" i="66"/>
  <c r="B319" i="66"/>
  <c r="AX4" i="66"/>
  <c r="C319" i="66"/>
  <c r="D319" i="66"/>
  <c r="E322" i="66"/>
  <c r="B266" i="66"/>
  <c r="B303" i="66"/>
  <c r="B320" i="66"/>
  <c r="AX5" i="66"/>
  <c r="C320" i="66"/>
  <c r="D320" i="66"/>
  <c r="G322" i="66"/>
  <c r="E323" i="66"/>
  <c r="E324" i="66"/>
  <c r="G319" i="66"/>
  <c r="J322" i="66"/>
  <c r="J310" i="66"/>
  <c r="J311" i="66"/>
  <c r="J312" i="66"/>
  <c r="J313" i="66"/>
  <c r="B310" i="66"/>
  <c r="B311" i="66"/>
  <c r="B312" i="66"/>
  <c r="B313" i="66"/>
  <c r="D310" i="66"/>
  <c r="D311" i="66"/>
  <c r="D312" i="66"/>
  <c r="D313" i="66"/>
  <c r="H309" i="66"/>
  <c r="B264" i="66"/>
  <c r="B301" i="66"/>
  <c r="B318" i="66"/>
  <c r="AX3" i="66"/>
  <c r="C318" i="66"/>
  <c r="B322" i="66"/>
  <c r="M264" i="66"/>
  <c r="M269" i="66"/>
  <c r="B304" i="66"/>
  <c r="B321" i="66"/>
  <c r="AX8" i="66"/>
  <c r="C321" i="66"/>
  <c r="D322" i="66"/>
  <c r="B323" i="66"/>
  <c r="B324" i="66"/>
  <c r="D318" i="66"/>
  <c r="G318" i="66"/>
  <c r="H322" i="66"/>
  <c r="H310" i="66"/>
  <c r="H311" i="66"/>
  <c r="H312" i="66"/>
  <c r="H313" i="66"/>
  <c r="J323" i="66"/>
  <c r="J324" i="66"/>
  <c r="H323" i="66"/>
  <c r="H324" i="66"/>
  <c r="G323" i="66"/>
  <c r="G324" i="66"/>
  <c r="D323" i="66"/>
  <c r="D324" i="66"/>
  <c r="AE320" i="66"/>
  <c r="AU323" i="66"/>
  <c r="AT323" i="66"/>
  <c r="AB319" i="66"/>
  <c r="AE319" i="66"/>
  <c r="AU322" i="66"/>
  <c r="AT322" i="66"/>
  <c r="Y318" i="66"/>
  <c r="AB318" i="66"/>
  <c r="AE318" i="66"/>
  <c r="AU321" i="66"/>
  <c r="AT321" i="66"/>
  <c r="D321" i="66"/>
  <c r="G321" i="66"/>
  <c r="J321" i="66"/>
  <c r="AU320" i="66"/>
  <c r="AT320" i="66"/>
  <c r="G320" i="66"/>
  <c r="J320" i="66"/>
  <c r="AU319" i="66"/>
  <c r="AT319" i="66"/>
  <c r="J319" i="66"/>
  <c r="AU318" i="66"/>
  <c r="AT318" i="66"/>
  <c r="J318" i="66"/>
  <c r="AU317" i="66"/>
  <c r="AT317" i="66"/>
  <c r="AF314" i="66"/>
  <c r="K314" i="66"/>
  <c r="E102" i="66"/>
  <c r="AC265" i="66"/>
  <c r="AF270" i="66"/>
  <c r="AG304" i="66"/>
  <c r="E11" i="66"/>
  <c r="R264" i="66"/>
  <c r="T269" i="66"/>
  <c r="K304" i="66"/>
  <c r="E183" i="66"/>
  <c r="AC266" i="66"/>
  <c r="AF269" i="66"/>
  <c r="AG303" i="66"/>
  <c r="E179" i="66"/>
  <c r="F266" i="66"/>
  <c r="K303" i="66"/>
  <c r="E96" i="66"/>
  <c r="R265" i="66"/>
  <c r="T271" i="66"/>
  <c r="AG302" i="66"/>
  <c r="E94" i="66"/>
  <c r="F265" i="66"/>
  <c r="K302" i="66"/>
  <c r="E181" i="66"/>
  <c r="R266" i="66"/>
  <c r="T270" i="66"/>
  <c r="AG301" i="66"/>
  <c r="E9" i="66"/>
  <c r="F264" i="66"/>
  <c r="K301" i="66"/>
  <c r="V295" i="66"/>
  <c r="A295" i="66"/>
  <c r="AC294" i="66"/>
  <c r="F294" i="66"/>
  <c r="V290" i="66"/>
  <c r="A290" i="66"/>
  <c r="AG289" i="66"/>
  <c r="J289" i="66"/>
  <c r="V286" i="66"/>
  <c r="A286" i="66"/>
  <c r="AC284" i="66"/>
  <c r="U284" i="66"/>
  <c r="F284" i="66"/>
  <c r="A284" i="66"/>
  <c r="V281" i="66"/>
  <c r="A281" i="66"/>
  <c r="B62" i="66"/>
  <c r="D62" i="66"/>
  <c r="E62" i="66"/>
  <c r="G62" i="66"/>
  <c r="H62" i="66"/>
  <c r="H39" i="66"/>
  <c r="J39" i="66"/>
  <c r="H40" i="66"/>
  <c r="J40" i="66"/>
  <c r="H41" i="66"/>
  <c r="J41" i="66"/>
  <c r="H42" i="66"/>
  <c r="J42" i="66"/>
  <c r="H43" i="66"/>
  <c r="J43" i="66"/>
  <c r="H44" i="66"/>
  <c r="J62" i="66"/>
  <c r="K62" i="66"/>
  <c r="M62" i="66"/>
  <c r="N62" i="66"/>
  <c r="P62" i="66"/>
  <c r="Q62" i="66"/>
  <c r="S62" i="66"/>
  <c r="T62" i="66"/>
  <c r="V62" i="66"/>
  <c r="W62" i="66"/>
  <c r="Y62" i="66"/>
  <c r="Z62" i="66"/>
  <c r="AB62" i="66"/>
  <c r="AC62" i="66"/>
  <c r="AE62" i="66"/>
  <c r="AF62" i="66"/>
  <c r="AG28" i="66"/>
  <c r="AH28" i="66"/>
  <c r="J30" i="66"/>
  <c r="H30" i="66"/>
  <c r="AI28" i="66"/>
  <c r="AJ28" i="66"/>
  <c r="AK28" i="66"/>
  <c r="AL28" i="66"/>
  <c r="AM28" i="66"/>
  <c r="AN28" i="66"/>
  <c r="AO28" i="66"/>
  <c r="AP28" i="66"/>
  <c r="AQ28" i="66"/>
  <c r="Z16" i="66"/>
  <c r="AN264" i="66"/>
  <c r="B146" i="66"/>
  <c r="D146" i="66"/>
  <c r="E146" i="66"/>
  <c r="G146" i="66"/>
  <c r="H146" i="66"/>
  <c r="J146" i="66"/>
  <c r="K146" i="66"/>
  <c r="M146" i="66"/>
  <c r="N146" i="66"/>
  <c r="P146" i="66"/>
  <c r="Q146" i="66"/>
  <c r="S146" i="66"/>
  <c r="T146" i="66"/>
  <c r="V146" i="66"/>
  <c r="W146" i="66"/>
  <c r="Y146" i="66"/>
  <c r="Z146" i="66"/>
  <c r="Z124" i="66"/>
  <c r="AB124" i="66"/>
  <c r="Z125" i="66"/>
  <c r="AB125" i="66"/>
  <c r="Z126" i="66"/>
  <c r="AB126" i="66"/>
  <c r="Z127" i="66"/>
  <c r="AB127" i="66"/>
  <c r="Z128" i="66"/>
  <c r="AB128" i="66"/>
  <c r="Z129" i="66"/>
  <c r="AB146" i="66"/>
  <c r="AC146" i="66"/>
  <c r="AE146" i="66"/>
  <c r="AF146" i="66"/>
  <c r="AG112" i="66"/>
  <c r="AH112" i="66"/>
  <c r="AI112" i="66"/>
  <c r="AJ112" i="66"/>
  <c r="AK112" i="66"/>
  <c r="AL112" i="66"/>
  <c r="AM112" i="66"/>
  <c r="AN112" i="66"/>
  <c r="AB115" i="66"/>
  <c r="Z115" i="66"/>
  <c r="AO112" i="66"/>
  <c r="AP112" i="66"/>
  <c r="AQ112" i="66"/>
  <c r="Z99" i="66"/>
  <c r="AN265" i="66"/>
  <c r="B231" i="66"/>
  <c r="D231" i="66"/>
  <c r="E231" i="66"/>
  <c r="G231" i="66"/>
  <c r="H231" i="66"/>
  <c r="J231" i="66"/>
  <c r="K231" i="66"/>
  <c r="M231" i="66"/>
  <c r="N231" i="66"/>
  <c r="P231" i="66"/>
  <c r="Q231" i="66"/>
  <c r="S231" i="66"/>
  <c r="T231" i="66"/>
  <c r="V231" i="66"/>
  <c r="W231" i="66"/>
  <c r="Y231" i="66"/>
  <c r="Z231" i="66"/>
  <c r="AB231" i="66"/>
  <c r="AC231" i="66"/>
  <c r="AE231" i="66"/>
  <c r="AF231" i="66"/>
  <c r="AG197" i="66"/>
  <c r="AH197" i="66"/>
  <c r="AI197" i="66"/>
  <c r="AJ197" i="66"/>
  <c r="AK197" i="66"/>
  <c r="AL197" i="66"/>
  <c r="AM197" i="66"/>
  <c r="AN197" i="66"/>
  <c r="AO197" i="66"/>
  <c r="AP197" i="66"/>
  <c r="AQ197" i="66"/>
  <c r="Z184" i="66"/>
  <c r="AN266" i="66"/>
  <c r="AP264" i="66"/>
  <c r="AP265" i="66"/>
  <c r="AP266" i="66"/>
  <c r="AN271" i="66"/>
  <c r="AH271" i="66"/>
  <c r="L264" i="66"/>
  <c r="I271" i="66"/>
  <c r="B271" i="66"/>
  <c r="AN270" i="66"/>
  <c r="AH270" i="66"/>
  <c r="L265" i="66"/>
  <c r="L266" i="66"/>
  <c r="I270" i="66"/>
  <c r="B270" i="66"/>
  <c r="AN269" i="66"/>
  <c r="AH269" i="66"/>
  <c r="I269" i="66"/>
  <c r="B269" i="66"/>
  <c r="A259" i="66"/>
  <c r="AE255" i="66"/>
  <c r="AE201" i="66"/>
  <c r="AE202" i="66"/>
  <c r="AE203" i="66"/>
  <c r="AE204" i="66"/>
  <c r="AE205" i="66"/>
  <c r="AE206" i="66"/>
  <c r="AC255" i="66"/>
  <c r="AC201" i="66"/>
  <c r="AC202" i="66"/>
  <c r="AC203" i="66"/>
  <c r="AC204" i="66"/>
  <c r="AC205" i="66"/>
  <c r="AC206" i="66"/>
  <c r="AE256" i="66"/>
  <c r="AE257" i="66"/>
  <c r="AC256" i="66"/>
  <c r="AC257" i="66"/>
  <c r="AB255" i="66"/>
  <c r="AB201" i="66"/>
  <c r="AB202" i="66"/>
  <c r="AB203" i="66"/>
  <c r="AB204" i="66"/>
  <c r="AB205" i="66"/>
  <c r="AB206" i="66"/>
  <c r="Z255" i="66"/>
  <c r="Z201" i="66"/>
  <c r="Z202" i="66"/>
  <c r="Z203" i="66"/>
  <c r="Z204" i="66"/>
  <c r="Z205" i="66"/>
  <c r="Z206" i="66"/>
  <c r="AB256" i="66"/>
  <c r="AB257" i="66"/>
  <c r="Z256" i="66"/>
  <c r="Z257" i="66"/>
  <c r="Y255" i="66"/>
  <c r="Y201" i="66"/>
  <c r="Y202" i="66"/>
  <c r="Y203" i="66"/>
  <c r="Y204" i="66"/>
  <c r="Y205" i="66"/>
  <c r="Y206" i="66"/>
  <c r="W255" i="66"/>
  <c r="W201" i="66"/>
  <c r="W202" i="66"/>
  <c r="W203" i="66"/>
  <c r="W204" i="66"/>
  <c r="W205" i="66"/>
  <c r="W206" i="66"/>
  <c r="Y256" i="66"/>
  <c r="Y257" i="66"/>
  <c r="W256" i="66"/>
  <c r="W257" i="66"/>
  <c r="V255" i="66"/>
  <c r="V201" i="66"/>
  <c r="V202" i="66"/>
  <c r="V203" i="66"/>
  <c r="V204" i="66"/>
  <c r="V205" i="66"/>
  <c r="V206" i="66"/>
  <c r="T255" i="66"/>
  <c r="T201" i="66"/>
  <c r="T202" i="66"/>
  <c r="T203" i="66"/>
  <c r="T204" i="66"/>
  <c r="T205" i="66"/>
  <c r="T206" i="66"/>
  <c r="V256" i="66"/>
  <c r="V257" i="66"/>
  <c r="T256" i="66"/>
  <c r="T257" i="66"/>
  <c r="AF246" i="66"/>
  <c r="AF245" i="66"/>
  <c r="P244" i="66"/>
  <c r="AF244" i="66"/>
  <c r="D243" i="66"/>
  <c r="J243" i="66"/>
  <c r="AF243" i="66"/>
  <c r="G242" i="66"/>
  <c r="M242" i="66"/>
  <c r="S242" i="66"/>
  <c r="AF242" i="66"/>
  <c r="AC234" i="66"/>
  <c r="AE234" i="66"/>
  <c r="AC235" i="66"/>
  <c r="AE235" i="66"/>
  <c r="AC236" i="66"/>
  <c r="AE236" i="66"/>
  <c r="AC237" i="66"/>
  <c r="AE237" i="66"/>
  <c r="AC238" i="66"/>
  <c r="AE238" i="66"/>
  <c r="AD241" i="66"/>
  <c r="Z234" i="66"/>
  <c r="AB234" i="66"/>
  <c r="Z235" i="66"/>
  <c r="AB235" i="66"/>
  <c r="Z236" i="66"/>
  <c r="AB236" i="66"/>
  <c r="Z237" i="66"/>
  <c r="AB237" i="66"/>
  <c r="Z238" i="66"/>
  <c r="AB238" i="66"/>
  <c r="AA241" i="66"/>
  <c r="W234" i="66"/>
  <c r="Y234" i="66"/>
  <c r="W235" i="66"/>
  <c r="Y235" i="66"/>
  <c r="W236" i="66"/>
  <c r="Y236" i="66"/>
  <c r="W237" i="66"/>
  <c r="Y237" i="66"/>
  <c r="W238" i="66"/>
  <c r="Y238" i="66"/>
  <c r="X241" i="66"/>
  <c r="T234" i="66"/>
  <c r="V234" i="66"/>
  <c r="T235" i="66"/>
  <c r="V235" i="66"/>
  <c r="T236" i="66"/>
  <c r="V236" i="66"/>
  <c r="T237" i="66"/>
  <c r="V237" i="66"/>
  <c r="T238" i="66"/>
  <c r="V238" i="66"/>
  <c r="U241" i="66"/>
  <c r="AF238" i="66"/>
  <c r="AG238" i="66"/>
  <c r="AF237" i="66"/>
  <c r="AG237" i="66"/>
  <c r="AF236" i="66"/>
  <c r="AG236" i="66"/>
  <c r="AF235" i="66"/>
  <c r="AG235" i="66"/>
  <c r="AF234" i="66"/>
  <c r="AG234" i="66"/>
  <c r="B232" i="66"/>
  <c r="D232" i="66"/>
  <c r="E232" i="66"/>
  <c r="G232" i="66"/>
  <c r="H232" i="66"/>
  <c r="J232" i="66"/>
  <c r="K232" i="66"/>
  <c r="M232" i="66"/>
  <c r="N232" i="66"/>
  <c r="P232" i="66"/>
  <c r="Q232" i="66"/>
  <c r="S232" i="66"/>
  <c r="T232" i="66"/>
  <c r="V232" i="66"/>
  <c r="W232" i="66"/>
  <c r="Y232" i="66"/>
  <c r="Z232" i="66"/>
  <c r="AB232" i="66"/>
  <c r="AC232" i="66"/>
  <c r="AE232" i="66"/>
  <c r="AF232" i="66"/>
  <c r="B226" i="66"/>
  <c r="D226" i="66"/>
  <c r="E226" i="66"/>
  <c r="G226" i="66"/>
  <c r="H226" i="66"/>
  <c r="J226" i="66"/>
  <c r="K226" i="66"/>
  <c r="M226" i="66"/>
  <c r="N226" i="66"/>
  <c r="P226" i="66"/>
  <c r="Q226" i="66"/>
  <c r="S226" i="66"/>
  <c r="T226" i="66"/>
  <c r="V226" i="66"/>
  <c r="W226" i="66"/>
  <c r="Y226" i="66"/>
  <c r="Z226" i="66"/>
  <c r="AB226" i="66"/>
  <c r="AC226" i="66"/>
  <c r="AE226" i="66"/>
  <c r="AF226" i="66"/>
  <c r="B225" i="66"/>
  <c r="D225" i="66"/>
  <c r="E225" i="66"/>
  <c r="E207" i="66"/>
  <c r="G207" i="66"/>
  <c r="F207" i="66"/>
  <c r="G225" i="66"/>
  <c r="H225" i="66"/>
  <c r="H207" i="66"/>
  <c r="J207" i="66"/>
  <c r="I207" i="66"/>
  <c r="J225" i="66"/>
  <c r="K225" i="66"/>
  <c r="M225" i="66"/>
  <c r="N225" i="66"/>
  <c r="N207" i="66"/>
  <c r="P207" i="66"/>
  <c r="O207" i="66"/>
  <c r="P225" i="66"/>
  <c r="Q225" i="66"/>
  <c r="S225" i="66"/>
  <c r="T225" i="66"/>
  <c r="V225" i="66"/>
  <c r="W225" i="66"/>
  <c r="Y225" i="66"/>
  <c r="Z225" i="66"/>
  <c r="AB225" i="66"/>
  <c r="AC225" i="66"/>
  <c r="AE225" i="66"/>
  <c r="AF225" i="66"/>
  <c r="B224" i="66"/>
  <c r="B207" i="66"/>
  <c r="D207" i="66"/>
  <c r="C207" i="66"/>
  <c r="D224" i="66"/>
  <c r="E224" i="66"/>
  <c r="G224" i="66"/>
  <c r="H224" i="66"/>
  <c r="J224" i="66"/>
  <c r="K224" i="66"/>
  <c r="K207" i="66"/>
  <c r="M207" i="66"/>
  <c r="L207" i="66"/>
  <c r="M224" i="66"/>
  <c r="N224" i="66"/>
  <c r="P224" i="66"/>
  <c r="Q224" i="66"/>
  <c r="S224" i="66"/>
  <c r="T224" i="66"/>
  <c r="V224" i="66"/>
  <c r="W224" i="66"/>
  <c r="Y224" i="66"/>
  <c r="Z224" i="66"/>
  <c r="AB224" i="66"/>
  <c r="AC224" i="66"/>
  <c r="AE224" i="66"/>
  <c r="AF224" i="66"/>
  <c r="B223" i="66"/>
  <c r="D223" i="66"/>
  <c r="E223" i="66"/>
  <c r="G223" i="66"/>
  <c r="H223" i="66"/>
  <c r="J223" i="66"/>
  <c r="K223" i="66"/>
  <c r="M223" i="66"/>
  <c r="N223" i="66"/>
  <c r="P223" i="66"/>
  <c r="Q223" i="66"/>
  <c r="Q207" i="66"/>
  <c r="S207" i="66"/>
  <c r="R207" i="66"/>
  <c r="S223" i="66"/>
  <c r="T223" i="66"/>
  <c r="V223" i="66"/>
  <c r="W223" i="66"/>
  <c r="Y223" i="66"/>
  <c r="Z223" i="66"/>
  <c r="AB223" i="66"/>
  <c r="AC223" i="66"/>
  <c r="AE223" i="66"/>
  <c r="AF223" i="66"/>
  <c r="B222" i="66"/>
  <c r="D222" i="66"/>
  <c r="E222" i="66"/>
  <c r="G222" i="66"/>
  <c r="H222" i="66"/>
  <c r="J222" i="66"/>
  <c r="K222" i="66"/>
  <c r="M222" i="66"/>
  <c r="N222" i="66"/>
  <c r="P222" i="66"/>
  <c r="Q222" i="66"/>
  <c r="S222" i="66"/>
  <c r="T222" i="66"/>
  <c r="V222" i="66"/>
  <c r="W222" i="66"/>
  <c r="Y222" i="66"/>
  <c r="Z222" i="66"/>
  <c r="AB222" i="66"/>
  <c r="AC222" i="66"/>
  <c r="AE222" i="66"/>
  <c r="AF222" i="66"/>
  <c r="B220" i="66"/>
  <c r="D220" i="66"/>
  <c r="E220" i="66"/>
  <c r="G220" i="66"/>
  <c r="H220" i="66"/>
  <c r="J220" i="66"/>
  <c r="K220" i="66"/>
  <c r="M220" i="66"/>
  <c r="N220" i="66"/>
  <c r="P220" i="66"/>
  <c r="Q220" i="66"/>
  <c r="S220" i="66"/>
  <c r="T220" i="66"/>
  <c r="V220" i="66"/>
  <c r="W220" i="66"/>
  <c r="Y220" i="66"/>
  <c r="Z220" i="66"/>
  <c r="AB220" i="66"/>
  <c r="AC220" i="66"/>
  <c r="AE220" i="66"/>
  <c r="AF220" i="66"/>
  <c r="AG220" i="66"/>
  <c r="B219" i="66"/>
  <c r="D219" i="66"/>
  <c r="E219" i="66"/>
  <c r="G219" i="66"/>
  <c r="H219" i="66"/>
  <c r="J219" i="66"/>
  <c r="K219" i="66"/>
  <c r="M219" i="66"/>
  <c r="N219" i="66"/>
  <c r="P219" i="66"/>
  <c r="Q219" i="66"/>
  <c r="S219" i="66"/>
  <c r="T219" i="66"/>
  <c r="V219" i="66"/>
  <c r="W219" i="66"/>
  <c r="Y219" i="66"/>
  <c r="Z219" i="66"/>
  <c r="AB219" i="66"/>
  <c r="AC219" i="66"/>
  <c r="AE219" i="66"/>
  <c r="AF219" i="66"/>
  <c r="AG219" i="66"/>
  <c r="B218" i="66"/>
  <c r="D218" i="66"/>
  <c r="E218" i="66"/>
  <c r="G218" i="66"/>
  <c r="H218" i="66"/>
  <c r="J218" i="66"/>
  <c r="K218" i="66"/>
  <c r="M218" i="66"/>
  <c r="N218" i="66"/>
  <c r="P218" i="66"/>
  <c r="Q218" i="66"/>
  <c r="S218" i="66"/>
  <c r="T218" i="66"/>
  <c r="V218" i="66"/>
  <c r="W218" i="66"/>
  <c r="Y218" i="66"/>
  <c r="Z218" i="66"/>
  <c r="AB218" i="66"/>
  <c r="AC218" i="66"/>
  <c r="AE218" i="66"/>
  <c r="AF218" i="66"/>
  <c r="AG218" i="66"/>
  <c r="B217" i="66"/>
  <c r="D217" i="66"/>
  <c r="E217" i="66"/>
  <c r="G217" i="66"/>
  <c r="H217" i="66"/>
  <c r="J217" i="66"/>
  <c r="K217" i="66"/>
  <c r="M217" i="66"/>
  <c r="N217" i="66"/>
  <c r="P217" i="66"/>
  <c r="Q217" i="66"/>
  <c r="S217" i="66"/>
  <c r="T217" i="66"/>
  <c r="V217" i="66"/>
  <c r="W217" i="66"/>
  <c r="Y217" i="66"/>
  <c r="Z217" i="66"/>
  <c r="AB217" i="66"/>
  <c r="AC217" i="66"/>
  <c r="AE217" i="66"/>
  <c r="AF217" i="66"/>
  <c r="AG217" i="66"/>
  <c r="B216" i="66"/>
  <c r="D216" i="66"/>
  <c r="E216" i="66"/>
  <c r="G216" i="66"/>
  <c r="H216" i="66"/>
  <c r="J216" i="66"/>
  <c r="K216" i="66"/>
  <c r="M216" i="66"/>
  <c r="N216" i="66"/>
  <c r="P216" i="66"/>
  <c r="Q216" i="66"/>
  <c r="S216" i="66"/>
  <c r="T216" i="66"/>
  <c r="V216" i="66"/>
  <c r="W216" i="66"/>
  <c r="Y216" i="66"/>
  <c r="Z216" i="66"/>
  <c r="AB216" i="66"/>
  <c r="AC216" i="66"/>
  <c r="AE216" i="66"/>
  <c r="AF216" i="66"/>
  <c r="AG216" i="66"/>
  <c r="AC209" i="66"/>
  <c r="AE209" i="66"/>
  <c r="AC210" i="66"/>
  <c r="AE210" i="66"/>
  <c r="AC211" i="66"/>
  <c r="AE211" i="66"/>
  <c r="AC212" i="66"/>
  <c r="AE212" i="66"/>
  <c r="AC213" i="66"/>
  <c r="AE213" i="66"/>
  <c r="AC214" i="66"/>
  <c r="Z209" i="66"/>
  <c r="AB209" i="66"/>
  <c r="Z210" i="66"/>
  <c r="AB210" i="66"/>
  <c r="Z211" i="66"/>
  <c r="AB211" i="66"/>
  <c r="Z212" i="66"/>
  <c r="AB212" i="66"/>
  <c r="Z213" i="66"/>
  <c r="AB213" i="66"/>
  <c r="Z214" i="66"/>
  <c r="W209" i="66"/>
  <c r="Y209" i="66"/>
  <c r="W210" i="66"/>
  <c r="Y210" i="66"/>
  <c r="W211" i="66"/>
  <c r="Y211" i="66"/>
  <c r="W212" i="66"/>
  <c r="Y212" i="66"/>
  <c r="W213" i="66"/>
  <c r="Y213" i="66"/>
  <c r="W214" i="66"/>
  <c r="T209" i="66"/>
  <c r="V209" i="66"/>
  <c r="T210" i="66"/>
  <c r="V210" i="66"/>
  <c r="T211" i="66"/>
  <c r="V211" i="66"/>
  <c r="T212" i="66"/>
  <c r="V212" i="66"/>
  <c r="T213" i="66"/>
  <c r="V213" i="66"/>
  <c r="T214" i="66"/>
  <c r="AE207" i="66"/>
  <c r="AC207" i="66"/>
  <c r="AD207" i="66"/>
  <c r="AB207" i="66"/>
  <c r="Z207" i="66"/>
  <c r="AA207" i="66"/>
  <c r="Y207" i="66"/>
  <c r="W207" i="66"/>
  <c r="X207" i="66"/>
  <c r="V207" i="66"/>
  <c r="T207" i="66"/>
  <c r="U207" i="66"/>
  <c r="AE200" i="66"/>
  <c r="AC200" i="66"/>
  <c r="AB200" i="66"/>
  <c r="Z200" i="66"/>
  <c r="Y200" i="66"/>
  <c r="W200" i="66"/>
  <c r="V200" i="66"/>
  <c r="T200" i="66"/>
  <c r="AD199" i="66"/>
  <c r="AA199" i="66"/>
  <c r="X199" i="66"/>
  <c r="U199" i="66"/>
  <c r="R199" i="66"/>
  <c r="O199" i="66"/>
  <c r="L199" i="66"/>
  <c r="I199" i="66"/>
  <c r="F199" i="66"/>
  <c r="A199" i="66"/>
  <c r="AG198" i="66"/>
  <c r="AH198" i="66"/>
  <c r="AI198" i="66"/>
  <c r="AJ198" i="66"/>
  <c r="AK198" i="66"/>
  <c r="AL198" i="66"/>
  <c r="AM198" i="66"/>
  <c r="AN198" i="66"/>
  <c r="AO198" i="66"/>
  <c r="AP198" i="66"/>
  <c r="AQ198" i="66"/>
  <c r="AF198" i="66"/>
  <c r="AD198" i="66"/>
  <c r="AA198" i="66"/>
  <c r="X198" i="66"/>
  <c r="U198" i="66"/>
  <c r="R198" i="66"/>
  <c r="O198" i="66"/>
  <c r="L198" i="66"/>
  <c r="I198" i="66"/>
  <c r="F198" i="66"/>
  <c r="A198" i="66"/>
  <c r="AF197" i="66"/>
  <c r="AD197" i="66"/>
  <c r="AA197" i="66"/>
  <c r="X197" i="66"/>
  <c r="U197" i="66"/>
  <c r="R197" i="66"/>
  <c r="O197" i="66"/>
  <c r="L197" i="66"/>
  <c r="I197" i="66"/>
  <c r="F197" i="66"/>
  <c r="A197" i="66"/>
  <c r="AF196" i="66"/>
  <c r="AD196" i="66"/>
  <c r="AA196" i="66"/>
  <c r="X196" i="66"/>
  <c r="U196" i="66"/>
  <c r="R196" i="66"/>
  <c r="O196" i="66"/>
  <c r="L196" i="66"/>
  <c r="I196" i="66"/>
  <c r="F196" i="66"/>
  <c r="A196" i="66"/>
  <c r="AF195" i="66"/>
  <c r="AD195" i="66"/>
  <c r="AA195" i="66"/>
  <c r="X195" i="66"/>
  <c r="U195" i="66"/>
  <c r="R195" i="66"/>
  <c r="O195" i="66"/>
  <c r="L195" i="66"/>
  <c r="I195" i="66"/>
  <c r="F195" i="66"/>
  <c r="AF194" i="66"/>
  <c r="AD194" i="66"/>
  <c r="AA194" i="66"/>
  <c r="X194" i="66"/>
  <c r="U194" i="66"/>
  <c r="R194" i="66"/>
  <c r="O194" i="66"/>
  <c r="L194" i="66"/>
  <c r="I194" i="66"/>
  <c r="F194" i="66"/>
  <c r="AC192" i="66"/>
  <c r="Z192" i="66"/>
  <c r="W192" i="66"/>
  <c r="T192" i="66"/>
  <c r="Q192" i="66"/>
  <c r="N192" i="66"/>
  <c r="K192" i="66"/>
  <c r="H192" i="66"/>
  <c r="E192" i="66"/>
  <c r="E187" i="66"/>
  <c r="AC186" i="66"/>
  <c r="Z186" i="66"/>
  <c r="W186" i="66"/>
  <c r="R186" i="66"/>
  <c r="L186" i="66"/>
  <c r="A186" i="66"/>
  <c r="AC184" i="66"/>
  <c r="W184" i="66"/>
  <c r="R184" i="66"/>
  <c r="L184" i="66"/>
  <c r="A184" i="66"/>
  <c r="AC182" i="66"/>
  <c r="W182" i="66"/>
  <c r="R182" i="66"/>
  <c r="L182" i="66"/>
  <c r="A182" i="66"/>
  <c r="AC180" i="66"/>
  <c r="W180" i="66"/>
  <c r="R180" i="66"/>
  <c r="L180" i="66"/>
  <c r="A180" i="66"/>
  <c r="AC178" i="66"/>
  <c r="W178" i="66"/>
  <c r="R178" i="66"/>
  <c r="L178" i="66"/>
  <c r="A178" i="66"/>
  <c r="R177" i="66"/>
  <c r="L177" i="66"/>
  <c r="K176" i="66"/>
  <c r="A174" i="66"/>
  <c r="AF161" i="66"/>
  <c r="S160" i="66"/>
  <c r="AF160" i="66"/>
  <c r="J159" i="66"/>
  <c r="AB159" i="66"/>
  <c r="AF159" i="66"/>
  <c r="D158" i="66"/>
  <c r="M158" i="66"/>
  <c r="V158" i="66"/>
  <c r="AF158" i="66"/>
  <c r="G157" i="66"/>
  <c r="P157" i="66"/>
  <c r="Y157" i="66"/>
  <c r="AE157" i="66"/>
  <c r="AF157" i="66"/>
  <c r="AF153" i="66"/>
  <c r="AG153" i="66"/>
  <c r="AF152" i="66"/>
  <c r="AG152" i="66"/>
  <c r="AF151" i="66"/>
  <c r="AG151" i="66"/>
  <c r="AF150" i="66"/>
  <c r="AG150" i="66"/>
  <c r="AF149" i="66"/>
  <c r="AG149" i="66"/>
  <c r="B145" i="66"/>
  <c r="D145" i="66"/>
  <c r="E145" i="66"/>
  <c r="G145" i="66"/>
  <c r="H145" i="66"/>
  <c r="J145" i="66"/>
  <c r="K145" i="66"/>
  <c r="M145" i="66"/>
  <c r="N145" i="66"/>
  <c r="P145" i="66"/>
  <c r="Q145" i="66"/>
  <c r="S145" i="66"/>
  <c r="T145" i="66"/>
  <c r="V145" i="66"/>
  <c r="W145" i="66"/>
  <c r="Y145" i="66"/>
  <c r="Z145" i="66"/>
  <c r="AB145" i="66"/>
  <c r="AC145" i="66"/>
  <c r="AE145" i="66"/>
  <c r="AF145" i="66"/>
  <c r="B141" i="66"/>
  <c r="B122" i="66"/>
  <c r="D122" i="66"/>
  <c r="C122" i="66"/>
  <c r="D141" i="66"/>
  <c r="E141" i="66"/>
  <c r="G141" i="66"/>
  <c r="H141" i="66"/>
  <c r="H122" i="66"/>
  <c r="J122" i="66"/>
  <c r="I122" i="66"/>
  <c r="J141" i="66"/>
  <c r="K141" i="66"/>
  <c r="M141" i="66"/>
  <c r="N141" i="66"/>
  <c r="P141" i="66"/>
  <c r="Q141" i="66"/>
  <c r="Q122" i="66"/>
  <c r="S122" i="66"/>
  <c r="R122" i="66"/>
  <c r="S141" i="66"/>
  <c r="T141" i="66"/>
  <c r="V141" i="66"/>
  <c r="W141" i="66"/>
  <c r="W122" i="66"/>
  <c r="Y122" i="66"/>
  <c r="X122" i="66"/>
  <c r="Y141" i="66"/>
  <c r="Z141" i="66"/>
  <c r="AB141" i="66"/>
  <c r="AC141" i="66"/>
  <c r="AE141" i="66"/>
  <c r="AF141" i="66"/>
  <c r="B140" i="66"/>
  <c r="D140" i="66"/>
  <c r="E140" i="66"/>
  <c r="E122" i="66"/>
  <c r="G122" i="66"/>
  <c r="F122" i="66"/>
  <c r="G140" i="66"/>
  <c r="H140" i="66"/>
  <c r="J140" i="66"/>
  <c r="K140" i="66"/>
  <c r="K122" i="66"/>
  <c r="M122" i="66"/>
  <c r="L122" i="66"/>
  <c r="M140" i="66"/>
  <c r="N140" i="66"/>
  <c r="P140" i="66"/>
  <c r="Q140" i="66"/>
  <c r="S140" i="66"/>
  <c r="T140" i="66"/>
  <c r="V140" i="66"/>
  <c r="W140" i="66"/>
  <c r="Y140" i="66"/>
  <c r="Z140" i="66"/>
  <c r="Z122" i="66"/>
  <c r="AB122" i="66"/>
  <c r="AA122" i="66"/>
  <c r="AB140" i="66"/>
  <c r="AC140" i="66"/>
  <c r="AE140" i="66"/>
  <c r="AF140" i="66"/>
  <c r="B139" i="66"/>
  <c r="D139" i="66"/>
  <c r="E139" i="66"/>
  <c r="G139" i="66"/>
  <c r="H139" i="66"/>
  <c r="J139" i="66"/>
  <c r="K139" i="66"/>
  <c r="M139" i="66"/>
  <c r="N139" i="66"/>
  <c r="N122" i="66"/>
  <c r="P122" i="66"/>
  <c r="O122" i="66"/>
  <c r="P139" i="66"/>
  <c r="Q139" i="66"/>
  <c r="S139" i="66"/>
  <c r="T139" i="66"/>
  <c r="T122" i="66"/>
  <c r="V122" i="66"/>
  <c r="U122" i="66"/>
  <c r="V139" i="66"/>
  <c r="W139" i="66"/>
  <c r="Y139" i="66"/>
  <c r="Z139" i="66"/>
  <c r="AB139" i="66"/>
  <c r="AC139" i="66"/>
  <c r="AE139" i="66"/>
  <c r="AF139" i="66"/>
  <c r="B138" i="66"/>
  <c r="D138" i="66"/>
  <c r="E138" i="66"/>
  <c r="G138" i="66"/>
  <c r="H138" i="66"/>
  <c r="J138" i="66"/>
  <c r="K138" i="66"/>
  <c r="M138" i="66"/>
  <c r="N138" i="66"/>
  <c r="P138" i="66"/>
  <c r="Q138" i="66"/>
  <c r="S138" i="66"/>
  <c r="T138" i="66"/>
  <c r="V138" i="66"/>
  <c r="W138" i="66"/>
  <c r="Y138" i="66"/>
  <c r="Z138" i="66"/>
  <c r="AB138" i="66"/>
  <c r="AC138" i="66"/>
  <c r="AC122" i="66"/>
  <c r="AE122" i="66"/>
  <c r="AD122" i="66"/>
  <c r="AE138" i="66"/>
  <c r="AF138" i="66"/>
  <c r="B137" i="66"/>
  <c r="D137" i="66"/>
  <c r="E137" i="66"/>
  <c r="G137" i="66"/>
  <c r="H137" i="66"/>
  <c r="J137" i="66"/>
  <c r="K137" i="66"/>
  <c r="M137" i="66"/>
  <c r="N137" i="66"/>
  <c r="P137" i="66"/>
  <c r="Q137" i="66"/>
  <c r="S137" i="66"/>
  <c r="T137" i="66"/>
  <c r="V137" i="66"/>
  <c r="W137" i="66"/>
  <c r="Y137" i="66"/>
  <c r="Z137" i="66"/>
  <c r="AB137" i="66"/>
  <c r="AC137" i="66"/>
  <c r="AE137" i="66"/>
  <c r="AF137" i="66"/>
  <c r="B135" i="66"/>
  <c r="D135" i="66"/>
  <c r="E135" i="66"/>
  <c r="G135" i="66"/>
  <c r="H135" i="66"/>
  <c r="J135" i="66"/>
  <c r="K135" i="66"/>
  <c r="M135" i="66"/>
  <c r="N135" i="66"/>
  <c r="P135" i="66"/>
  <c r="Q135" i="66"/>
  <c r="S135" i="66"/>
  <c r="T135" i="66"/>
  <c r="V135" i="66"/>
  <c r="W135" i="66"/>
  <c r="Y135" i="66"/>
  <c r="Z135" i="66"/>
  <c r="AB135" i="66"/>
  <c r="AC135" i="66"/>
  <c r="AE135" i="66"/>
  <c r="AF135" i="66"/>
  <c r="AG135" i="66"/>
  <c r="B134" i="66"/>
  <c r="D134" i="66"/>
  <c r="E134" i="66"/>
  <c r="G134" i="66"/>
  <c r="H134" i="66"/>
  <c r="J134" i="66"/>
  <c r="K134" i="66"/>
  <c r="M134" i="66"/>
  <c r="N134" i="66"/>
  <c r="P134" i="66"/>
  <c r="Q134" i="66"/>
  <c r="S134" i="66"/>
  <c r="T134" i="66"/>
  <c r="V134" i="66"/>
  <c r="W134" i="66"/>
  <c r="Y134" i="66"/>
  <c r="Z134" i="66"/>
  <c r="AB134" i="66"/>
  <c r="AC134" i="66"/>
  <c r="AE134" i="66"/>
  <c r="AF134" i="66"/>
  <c r="AG134" i="66"/>
  <c r="B133" i="66"/>
  <c r="D133" i="66"/>
  <c r="E133" i="66"/>
  <c r="G133" i="66"/>
  <c r="H133" i="66"/>
  <c r="J133" i="66"/>
  <c r="K133" i="66"/>
  <c r="M133" i="66"/>
  <c r="N133" i="66"/>
  <c r="P133" i="66"/>
  <c r="Q133" i="66"/>
  <c r="S133" i="66"/>
  <c r="T133" i="66"/>
  <c r="V133" i="66"/>
  <c r="W133" i="66"/>
  <c r="Y133" i="66"/>
  <c r="Z133" i="66"/>
  <c r="AB133" i="66"/>
  <c r="AC133" i="66"/>
  <c r="AE133" i="66"/>
  <c r="AF133" i="66"/>
  <c r="AG133" i="66"/>
  <c r="B132" i="66"/>
  <c r="D132" i="66"/>
  <c r="E132" i="66"/>
  <c r="G132" i="66"/>
  <c r="H132" i="66"/>
  <c r="J132" i="66"/>
  <c r="K132" i="66"/>
  <c r="M132" i="66"/>
  <c r="N132" i="66"/>
  <c r="P132" i="66"/>
  <c r="Q132" i="66"/>
  <c r="S132" i="66"/>
  <c r="T132" i="66"/>
  <c r="V132" i="66"/>
  <c r="W132" i="66"/>
  <c r="Y132" i="66"/>
  <c r="Z132" i="66"/>
  <c r="AB132" i="66"/>
  <c r="AC132" i="66"/>
  <c r="AE132" i="66"/>
  <c r="AF132" i="66"/>
  <c r="AG132" i="66"/>
  <c r="B131" i="66"/>
  <c r="D131" i="66"/>
  <c r="E131" i="66"/>
  <c r="G131" i="66"/>
  <c r="H131" i="66"/>
  <c r="J131" i="66"/>
  <c r="K131" i="66"/>
  <c r="M131" i="66"/>
  <c r="N131" i="66"/>
  <c r="P131" i="66"/>
  <c r="Q131" i="66"/>
  <c r="S131" i="66"/>
  <c r="T131" i="66"/>
  <c r="V131" i="66"/>
  <c r="W131" i="66"/>
  <c r="Y131" i="66"/>
  <c r="Z131" i="66"/>
  <c r="AB131" i="66"/>
  <c r="AC131" i="66"/>
  <c r="AE131" i="66"/>
  <c r="AF131" i="66"/>
  <c r="AG131" i="66"/>
  <c r="AD114" i="66"/>
  <c r="AA114" i="66"/>
  <c r="X114" i="66"/>
  <c r="U114" i="66"/>
  <c r="R114" i="66"/>
  <c r="O114" i="66"/>
  <c r="L114" i="66"/>
  <c r="I114" i="66"/>
  <c r="F114" i="66"/>
  <c r="A114" i="66"/>
  <c r="AF113" i="66"/>
  <c r="AD113" i="66"/>
  <c r="AA113" i="66"/>
  <c r="X113" i="66"/>
  <c r="U113" i="66"/>
  <c r="R113" i="66"/>
  <c r="O113" i="66"/>
  <c r="L113" i="66"/>
  <c r="I113" i="66"/>
  <c r="F113" i="66"/>
  <c r="A113" i="66"/>
  <c r="AF112" i="66"/>
  <c r="AD112" i="66"/>
  <c r="AA112" i="66"/>
  <c r="X112" i="66"/>
  <c r="U112" i="66"/>
  <c r="R112" i="66"/>
  <c r="O112" i="66"/>
  <c r="L112" i="66"/>
  <c r="I112" i="66"/>
  <c r="F112" i="66"/>
  <c r="A112" i="66"/>
  <c r="AG111" i="66"/>
  <c r="AH111" i="66"/>
  <c r="AI111" i="66"/>
  <c r="AJ111" i="66"/>
  <c r="AK111" i="66"/>
  <c r="AL111" i="66"/>
  <c r="AM111" i="66"/>
  <c r="AN111" i="66"/>
  <c r="AO111" i="66"/>
  <c r="AP111" i="66"/>
  <c r="AQ111" i="66"/>
  <c r="AF111" i="66"/>
  <c r="AD111" i="66"/>
  <c r="AA111" i="66"/>
  <c r="X111" i="66"/>
  <c r="U111" i="66"/>
  <c r="R111" i="66"/>
  <c r="O111" i="66"/>
  <c r="L111" i="66"/>
  <c r="I111" i="66"/>
  <c r="F111" i="66"/>
  <c r="A111" i="66"/>
  <c r="AF110" i="66"/>
  <c r="AD110" i="66"/>
  <c r="AA110" i="66"/>
  <c r="X110" i="66"/>
  <c r="U110" i="66"/>
  <c r="R110" i="66"/>
  <c r="O110" i="66"/>
  <c r="L110" i="66"/>
  <c r="I110" i="66"/>
  <c r="F110" i="66"/>
  <c r="AF109" i="66"/>
  <c r="AD109" i="66"/>
  <c r="AA109" i="66"/>
  <c r="X109" i="66"/>
  <c r="U109" i="66"/>
  <c r="R109" i="66"/>
  <c r="O109" i="66"/>
  <c r="L109" i="66"/>
  <c r="I109" i="66"/>
  <c r="F109" i="66"/>
  <c r="AC107" i="66"/>
  <c r="Z107" i="66"/>
  <c r="W107" i="66"/>
  <c r="T107" i="66"/>
  <c r="Q107" i="66"/>
  <c r="N107" i="66"/>
  <c r="K107" i="66"/>
  <c r="H107" i="66"/>
  <c r="E107" i="66"/>
  <c r="AC101" i="66"/>
  <c r="W101" i="66"/>
  <c r="R101" i="66"/>
  <c r="L101" i="66"/>
  <c r="A101" i="66"/>
  <c r="AC99" i="66"/>
  <c r="W99" i="66"/>
  <c r="R99" i="66"/>
  <c r="L99" i="66"/>
  <c r="A99" i="66"/>
  <c r="E98" i="66"/>
  <c r="AC97" i="66"/>
  <c r="Z97" i="66"/>
  <c r="W97" i="66"/>
  <c r="R97" i="66"/>
  <c r="L97" i="66"/>
  <c r="A97" i="66"/>
  <c r="AC95" i="66"/>
  <c r="W95" i="66"/>
  <c r="R95" i="66"/>
  <c r="L95" i="66"/>
  <c r="A95" i="66"/>
  <c r="AC93" i="66"/>
  <c r="W93" i="66"/>
  <c r="R93" i="66"/>
  <c r="L93" i="66"/>
  <c r="A93" i="66"/>
  <c r="R92" i="66"/>
  <c r="L92" i="66"/>
  <c r="K91" i="66"/>
  <c r="A89" i="66"/>
  <c r="AF76" i="66"/>
  <c r="S75" i="66"/>
  <c r="AF75" i="66"/>
  <c r="J74" i="66"/>
  <c r="AB74" i="66"/>
  <c r="AF74" i="66"/>
  <c r="D73" i="66"/>
  <c r="M73" i="66"/>
  <c r="V73" i="66"/>
  <c r="AF73" i="66"/>
  <c r="G72" i="66"/>
  <c r="P72" i="66"/>
  <c r="Y72" i="66"/>
  <c r="AE72" i="66"/>
  <c r="AF72" i="66"/>
  <c r="AF68" i="66"/>
  <c r="AG68" i="66"/>
  <c r="AF67" i="66"/>
  <c r="AG67" i="66"/>
  <c r="AF66" i="66"/>
  <c r="AG66" i="66"/>
  <c r="AF65" i="66"/>
  <c r="AG65" i="66"/>
  <c r="AF64" i="66"/>
  <c r="AG64" i="66"/>
  <c r="B60" i="66"/>
  <c r="D60" i="66"/>
  <c r="E60" i="66"/>
  <c r="G60" i="66"/>
  <c r="H60" i="66"/>
  <c r="J60" i="66"/>
  <c r="K60" i="66"/>
  <c r="M60" i="66"/>
  <c r="N60" i="66"/>
  <c r="P60" i="66"/>
  <c r="Q60" i="66"/>
  <c r="S60" i="66"/>
  <c r="T60" i="66"/>
  <c r="V60" i="66"/>
  <c r="W60" i="66"/>
  <c r="Y60" i="66"/>
  <c r="Z60" i="66"/>
  <c r="AB60" i="66"/>
  <c r="AC60" i="66"/>
  <c r="AE60" i="66"/>
  <c r="AF60" i="66"/>
  <c r="B56" i="66"/>
  <c r="B37" i="66"/>
  <c r="D37" i="66"/>
  <c r="C37" i="66"/>
  <c r="D56" i="66"/>
  <c r="E56" i="66"/>
  <c r="G56" i="66"/>
  <c r="H56" i="66"/>
  <c r="H37" i="66"/>
  <c r="J37" i="66"/>
  <c r="I37" i="66"/>
  <c r="J56" i="66"/>
  <c r="K56" i="66"/>
  <c r="M56" i="66"/>
  <c r="N56" i="66"/>
  <c r="P56" i="66"/>
  <c r="Q56" i="66"/>
  <c r="Q37" i="66"/>
  <c r="S37" i="66"/>
  <c r="R37" i="66"/>
  <c r="S56" i="66"/>
  <c r="T56" i="66"/>
  <c r="V56" i="66"/>
  <c r="W56" i="66"/>
  <c r="W37" i="66"/>
  <c r="Y37" i="66"/>
  <c r="X37" i="66"/>
  <c r="Y56" i="66"/>
  <c r="Z56" i="66"/>
  <c r="AB56" i="66"/>
  <c r="AC56" i="66"/>
  <c r="AE56" i="66"/>
  <c r="AF56" i="66"/>
  <c r="B55" i="66"/>
  <c r="D55" i="66"/>
  <c r="E55" i="66"/>
  <c r="E37" i="66"/>
  <c r="G37" i="66"/>
  <c r="F37" i="66"/>
  <c r="G55" i="66"/>
  <c r="H55" i="66"/>
  <c r="J55" i="66"/>
  <c r="K55" i="66"/>
  <c r="K37" i="66"/>
  <c r="M37" i="66"/>
  <c r="L37" i="66"/>
  <c r="M55" i="66"/>
  <c r="N55" i="66"/>
  <c r="P55" i="66"/>
  <c r="Q55" i="66"/>
  <c r="S55" i="66"/>
  <c r="T55" i="66"/>
  <c r="V55" i="66"/>
  <c r="W55" i="66"/>
  <c r="Y55" i="66"/>
  <c r="Z55" i="66"/>
  <c r="Z37" i="66"/>
  <c r="AB37" i="66"/>
  <c r="AA37" i="66"/>
  <c r="AB55" i="66"/>
  <c r="AC55" i="66"/>
  <c r="AE55" i="66"/>
  <c r="AF55" i="66"/>
  <c r="B54" i="66"/>
  <c r="D54" i="66"/>
  <c r="E54" i="66"/>
  <c r="G54" i="66"/>
  <c r="H54" i="66"/>
  <c r="J54" i="66"/>
  <c r="K54" i="66"/>
  <c r="M54" i="66"/>
  <c r="N54" i="66"/>
  <c r="N37" i="66"/>
  <c r="P37" i="66"/>
  <c r="O37" i="66"/>
  <c r="P54" i="66"/>
  <c r="Q54" i="66"/>
  <c r="S54" i="66"/>
  <c r="T54" i="66"/>
  <c r="T37" i="66"/>
  <c r="V37" i="66"/>
  <c r="U37" i="66"/>
  <c r="V54" i="66"/>
  <c r="W54" i="66"/>
  <c r="Y54" i="66"/>
  <c r="Z54" i="66"/>
  <c r="AB54" i="66"/>
  <c r="AC54" i="66"/>
  <c r="AE54" i="66"/>
  <c r="AF54" i="66"/>
  <c r="B53" i="66"/>
  <c r="D53" i="66"/>
  <c r="E53" i="66"/>
  <c r="G53" i="66"/>
  <c r="H53" i="66"/>
  <c r="J53" i="66"/>
  <c r="K53" i="66"/>
  <c r="M53" i="66"/>
  <c r="N53" i="66"/>
  <c r="P53" i="66"/>
  <c r="Q53" i="66"/>
  <c r="S53" i="66"/>
  <c r="T53" i="66"/>
  <c r="V53" i="66"/>
  <c r="W53" i="66"/>
  <c r="Y53" i="66"/>
  <c r="Z53" i="66"/>
  <c r="AB53" i="66"/>
  <c r="AC53" i="66"/>
  <c r="AC37" i="66"/>
  <c r="AE37" i="66"/>
  <c r="AD37" i="66"/>
  <c r="AE53" i="66"/>
  <c r="AF53" i="66"/>
  <c r="B52" i="66"/>
  <c r="D52" i="66"/>
  <c r="E52" i="66"/>
  <c r="G52" i="66"/>
  <c r="H52" i="66"/>
  <c r="J52" i="66"/>
  <c r="K52" i="66"/>
  <c r="M52" i="66"/>
  <c r="N52" i="66"/>
  <c r="P52" i="66"/>
  <c r="Q52" i="66"/>
  <c r="S52" i="66"/>
  <c r="T52" i="66"/>
  <c r="V52" i="66"/>
  <c r="W52" i="66"/>
  <c r="Y52" i="66"/>
  <c r="Z52" i="66"/>
  <c r="AB52" i="66"/>
  <c r="AC52" i="66"/>
  <c r="AE52" i="66"/>
  <c r="AF52" i="66"/>
  <c r="B50" i="66"/>
  <c r="D50" i="66"/>
  <c r="E50" i="66"/>
  <c r="G50" i="66"/>
  <c r="H50" i="66"/>
  <c r="J50" i="66"/>
  <c r="K50" i="66"/>
  <c r="M50" i="66"/>
  <c r="N50" i="66"/>
  <c r="P50" i="66"/>
  <c r="Q50" i="66"/>
  <c r="S50" i="66"/>
  <c r="T50" i="66"/>
  <c r="V50" i="66"/>
  <c r="W50" i="66"/>
  <c r="Y50" i="66"/>
  <c r="Z50" i="66"/>
  <c r="AB50" i="66"/>
  <c r="AC50" i="66"/>
  <c r="AE50" i="66"/>
  <c r="AF50" i="66"/>
  <c r="AG50" i="66"/>
  <c r="B49" i="66"/>
  <c r="D49" i="66"/>
  <c r="E49" i="66"/>
  <c r="G49" i="66"/>
  <c r="H49" i="66"/>
  <c r="J49" i="66"/>
  <c r="K49" i="66"/>
  <c r="M49" i="66"/>
  <c r="N49" i="66"/>
  <c r="P49" i="66"/>
  <c r="Q49" i="66"/>
  <c r="S49" i="66"/>
  <c r="T49" i="66"/>
  <c r="V49" i="66"/>
  <c r="W49" i="66"/>
  <c r="Y49" i="66"/>
  <c r="Z49" i="66"/>
  <c r="AB49" i="66"/>
  <c r="AC49" i="66"/>
  <c r="AE49" i="66"/>
  <c r="AF49" i="66"/>
  <c r="AG49" i="66"/>
  <c r="B48" i="66"/>
  <c r="D48" i="66"/>
  <c r="E48" i="66"/>
  <c r="G48" i="66"/>
  <c r="H48" i="66"/>
  <c r="J48" i="66"/>
  <c r="K48" i="66"/>
  <c r="M48" i="66"/>
  <c r="N48" i="66"/>
  <c r="P48" i="66"/>
  <c r="Q48" i="66"/>
  <c r="S48" i="66"/>
  <c r="T48" i="66"/>
  <c r="V48" i="66"/>
  <c r="W48" i="66"/>
  <c r="Y48" i="66"/>
  <c r="Z48" i="66"/>
  <c r="AB48" i="66"/>
  <c r="AC48" i="66"/>
  <c r="AE48" i="66"/>
  <c r="AF48" i="66"/>
  <c r="AG48" i="66"/>
  <c r="B47" i="66"/>
  <c r="D47" i="66"/>
  <c r="E47" i="66"/>
  <c r="G47" i="66"/>
  <c r="H47" i="66"/>
  <c r="J47" i="66"/>
  <c r="K47" i="66"/>
  <c r="M47" i="66"/>
  <c r="N47" i="66"/>
  <c r="P47" i="66"/>
  <c r="Q47" i="66"/>
  <c r="S47" i="66"/>
  <c r="T47" i="66"/>
  <c r="V47" i="66"/>
  <c r="W47" i="66"/>
  <c r="Y47" i="66"/>
  <c r="Z47" i="66"/>
  <c r="AB47" i="66"/>
  <c r="AC47" i="66"/>
  <c r="AE47" i="66"/>
  <c r="AF47" i="66"/>
  <c r="AG47" i="66"/>
  <c r="B46" i="66"/>
  <c r="D46" i="66"/>
  <c r="E46" i="66"/>
  <c r="G46" i="66"/>
  <c r="H46" i="66"/>
  <c r="J46" i="66"/>
  <c r="K46" i="66"/>
  <c r="M46" i="66"/>
  <c r="N46" i="66"/>
  <c r="P46" i="66"/>
  <c r="Q46" i="66"/>
  <c r="S46" i="66"/>
  <c r="T46" i="66"/>
  <c r="V46" i="66"/>
  <c r="W46" i="66"/>
  <c r="Y46" i="66"/>
  <c r="Z46" i="66"/>
  <c r="AB46" i="66"/>
  <c r="AC46" i="66"/>
  <c r="AE46" i="66"/>
  <c r="AF46" i="66"/>
  <c r="AG46" i="66"/>
  <c r="AD29" i="66"/>
  <c r="AA29" i="66"/>
  <c r="X29" i="66"/>
  <c r="U29" i="66"/>
  <c r="R29" i="66"/>
  <c r="O29" i="66"/>
  <c r="L29" i="66"/>
  <c r="I29" i="66"/>
  <c r="F29" i="66"/>
  <c r="A29" i="66"/>
  <c r="AF28" i="66"/>
  <c r="AD28" i="66"/>
  <c r="AA28" i="66"/>
  <c r="X28" i="66"/>
  <c r="U28" i="66"/>
  <c r="R28" i="66"/>
  <c r="O28" i="66"/>
  <c r="L28" i="66"/>
  <c r="I28" i="66"/>
  <c r="F28" i="66"/>
  <c r="A28" i="66"/>
  <c r="AF27" i="66"/>
  <c r="AD27" i="66"/>
  <c r="AA27" i="66"/>
  <c r="X27" i="66"/>
  <c r="U27" i="66"/>
  <c r="R27" i="66"/>
  <c r="O27" i="66"/>
  <c r="L27" i="66"/>
  <c r="I27" i="66"/>
  <c r="F27" i="66"/>
  <c r="A27" i="66"/>
  <c r="AG26" i="66"/>
  <c r="AH26" i="66"/>
  <c r="AI26" i="66"/>
  <c r="AJ26" i="66"/>
  <c r="AK26" i="66"/>
  <c r="AL26" i="66"/>
  <c r="AM26" i="66"/>
  <c r="AN26" i="66"/>
  <c r="AO26" i="66"/>
  <c r="AP26" i="66"/>
  <c r="AQ26" i="66"/>
  <c r="AF26" i="66"/>
  <c r="AD26" i="66"/>
  <c r="AA26" i="66"/>
  <c r="X26" i="66"/>
  <c r="U26" i="66"/>
  <c r="R26" i="66"/>
  <c r="O26" i="66"/>
  <c r="L26" i="66"/>
  <c r="I26" i="66"/>
  <c r="F26" i="66"/>
  <c r="A26" i="66"/>
  <c r="AF25" i="66"/>
  <c r="AD25" i="66"/>
  <c r="AA25" i="66"/>
  <c r="X25" i="66"/>
  <c r="U25" i="66"/>
  <c r="R25" i="66"/>
  <c r="O25" i="66"/>
  <c r="L25" i="66"/>
  <c r="I25" i="66"/>
  <c r="F25" i="66"/>
  <c r="AF24" i="66"/>
  <c r="AD24" i="66"/>
  <c r="AA24" i="66"/>
  <c r="X24" i="66"/>
  <c r="U24" i="66"/>
  <c r="R24" i="66"/>
  <c r="O24" i="66"/>
  <c r="L24" i="66"/>
  <c r="I24" i="66"/>
  <c r="F24" i="66"/>
  <c r="AC22" i="66"/>
  <c r="Z22" i="66"/>
  <c r="W22" i="66"/>
  <c r="T22" i="66"/>
  <c r="Q22" i="66"/>
  <c r="N22" i="66"/>
  <c r="K22" i="66"/>
  <c r="H22" i="66"/>
  <c r="E22" i="66"/>
  <c r="AY16" i="66"/>
  <c r="AC16" i="66"/>
  <c r="W16" i="66"/>
  <c r="R16" i="66"/>
  <c r="L16" i="66"/>
  <c r="A16" i="66"/>
  <c r="AY15" i="66"/>
  <c r="AY14" i="66"/>
  <c r="AC14" i="66"/>
  <c r="W14" i="66"/>
  <c r="R14" i="66"/>
  <c r="L14" i="66"/>
  <c r="A14" i="66"/>
  <c r="E13" i="66"/>
  <c r="AY12" i="66"/>
  <c r="AC12" i="66"/>
  <c r="Z12" i="66"/>
  <c r="W12" i="66"/>
  <c r="R12" i="66"/>
  <c r="L12" i="66"/>
  <c r="A12" i="66"/>
  <c r="AY11" i="66"/>
  <c r="AX10" i="66"/>
  <c r="AY10" i="66"/>
  <c r="AC10" i="66"/>
  <c r="W10" i="66"/>
  <c r="R10" i="66"/>
  <c r="L10" i="66"/>
  <c r="A10" i="66"/>
  <c r="AX9" i="66"/>
  <c r="AY9" i="66"/>
  <c r="AY8" i="66"/>
  <c r="AC8" i="66"/>
  <c r="W8" i="66"/>
  <c r="R8" i="66"/>
  <c r="L8" i="66"/>
  <c r="A8" i="66"/>
  <c r="AY7" i="66"/>
  <c r="R7" i="66"/>
  <c r="L7" i="66"/>
  <c r="AY6" i="66"/>
  <c r="K6" i="66"/>
  <c r="AY5" i="66"/>
  <c r="AY4" i="66"/>
  <c r="AY3" i="66"/>
  <c r="AU372" i="65"/>
  <c r="AT372" i="65"/>
  <c r="E358" i="65"/>
  <c r="E359" i="65"/>
  <c r="E360" i="65"/>
  <c r="E361" i="65"/>
  <c r="G358" i="65"/>
  <c r="G359" i="65"/>
  <c r="G360" i="65"/>
  <c r="G361" i="65"/>
  <c r="J357" i="65"/>
  <c r="E93" i="65"/>
  <c r="AH265" i="65"/>
  <c r="B351" i="65"/>
  <c r="B368" i="65"/>
  <c r="E8" i="65"/>
  <c r="B79" i="65"/>
  <c r="AT79" i="65"/>
  <c r="E10" i="65"/>
  <c r="B80" i="65"/>
  <c r="AT80" i="65"/>
  <c r="E12" i="65"/>
  <c r="B81" i="65"/>
  <c r="AT81" i="65"/>
  <c r="E14" i="65"/>
  <c r="B82" i="65"/>
  <c r="AT82" i="65"/>
  <c r="AC31" i="65"/>
  <c r="AC32" i="65"/>
  <c r="AC33" i="65"/>
  <c r="AC34" i="65"/>
  <c r="AC35" i="65"/>
  <c r="AC64" i="65"/>
  <c r="AE64" i="65"/>
  <c r="AC65" i="65"/>
  <c r="AE31" i="65"/>
  <c r="AE32" i="65"/>
  <c r="AE33" i="65"/>
  <c r="AE34" i="65"/>
  <c r="AE35" i="65"/>
  <c r="AE65" i="65"/>
  <c r="AC66" i="65"/>
  <c r="AE66" i="65"/>
  <c r="AC67" i="65"/>
  <c r="AE67" i="65"/>
  <c r="AC68" i="65"/>
  <c r="AE68" i="65"/>
  <c r="AD71" i="65"/>
  <c r="AC72" i="65"/>
  <c r="Z72" i="65"/>
  <c r="AB72" i="65"/>
  <c r="W31" i="65"/>
  <c r="W32" i="65"/>
  <c r="W33" i="65"/>
  <c r="W34" i="65"/>
  <c r="W35" i="65"/>
  <c r="W64" i="65"/>
  <c r="Y64" i="65"/>
  <c r="W65" i="65"/>
  <c r="Y65" i="65"/>
  <c r="W66" i="65"/>
  <c r="Y66" i="65"/>
  <c r="W67" i="65"/>
  <c r="Y67" i="65"/>
  <c r="W68" i="65"/>
  <c r="Y31" i="65"/>
  <c r="Y32" i="65"/>
  <c r="Y33" i="65"/>
  <c r="Y34" i="65"/>
  <c r="Y35" i="65"/>
  <c r="Y68" i="65"/>
  <c r="X71" i="65"/>
  <c r="W72" i="65"/>
  <c r="T72" i="65"/>
  <c r="V72" i="65"/>
  <c r="Q72" i="65"/>
  <c r="S72" i="65"/>
  <c r="N31" i="65"/>
  <c r="N32" i="65"/>
  <c r="N33" i="65"/>
  <c r="N34" i="65"/>
  <c r="N35" i="65"/>
  <c r="N64" i="65"/>
  <c r="P64" i="65"/>
  <c r="N65" i="65"/>
  <c r="P65" i="65"/>
  <c r="N66" i="65"/>
  <c r="P31" i="65"/>
  <c r="P32" i="65"/>
  <c r="P33" i="65"/>
  <c r="P34" i="65"/>
  <c r="P35" i="65"/>
  <c r="P66" i="65"/>
  <c r="N67" i="65"/>
  <c r="P67" i="65"/>
  <c r="N68" i="65"/>
  <c r="P68" i="65"/>
  <c r="O71" i="65"/>
  <c r="N72" i="65"/>
  <c r="K72" i="65"/>
  <c r="M72" i="65"/>
  <c r="H72" i="65"/>
  <c r="J72" i="65"/>
  <c r="E31" i="65"/>
  <c r="E32" i="65"/>
  <c r="E33" i="65"/>
  <c r="E34" i="65"/>
  <c r="E35" i="65"/>
  <c r="E64" i="65"/>
  <c r="G64" i="65"/>
  <c r="E65" i="65"/>
  <c r="G65" i="65"/>
  <c r="E66" i="65"/>
  <c r="G66" i="65"/>
  <c r="E67" i="65"/>
  <c r="G31" i="65"/>
  <c r="G32" i="65"/>
  <c r="G33" i="65"/>
  <c r="G34" i="65"/>
  <c r="G35" i="65"/>
  <c r="G67" i="65"/>
  <c r="E68" i="65"/>
  <c r="G68" i="65"/>
  <c r="F71" i="65"/>
  <c r="E72" i="65"/>
  <c r="B72" i="65"/>
  <c r="D72" i="65"/>
  <c r="E36" i="65"/>
  <c r="B75" i="65"/>
  <c r="D75" i="65"/>
  <c r="G36" i="65"/>
  <c r="N36" i="65"/>
  <c r="K74" i="65"/>
  <c r="M74" i="65"/>
  <c r="H64" i="65"/>
  <c r="J64" i="65"/>
  <c r="H65" i="65"/>
  <c r="J65" i="65"/>
  <c r="H31" i="65"/>
  <c r="H32" i="65"/>
  <c r="H33" i="65"/>
  <c r="H34" i="65"/>
  <c r="H35" i="65"/>
  <c r="H66" i="65"/>
  <c r="J66" i="65"/>
  <c r="H67" i="65"/>
  <c r="J67" i="65"/>
  <c r="H68" i="65"/>
  <c r="J31" i="65"/>
  <c r="J32" i="65"/>
  <c r="J33" i="65"/>
  <c r="J34" i="65"/>
  <c r="J35" i="65"/>
  <c r="J68" i="65"/>
  <c r="I71" i="65"/>
  <c r="H74" i="65"/>
  <c r="E74" i="65"/>
  <c r="G74" i="65"/>
  <c r="B74" i="65"/>
  <c r="D74" i="65"/>
  <c r="H36" i="65"/>
  <c r="E76" i="65"/>
  <c r="G76" i="65"/>
  <c r="B76" i="65"/>
  <c r="B64" i="65"/>
  <c r="D64" i="65"/>
  <c r="B31" i="65"/>
  <c r="B32" i="65"/>
  <c r="B33" i="65"/>
  <c r="B34" i="65"/>
  <c r="B35" i="65"/>
  <c r="B65" i="65"/>
  <c r="D65" i="65"/>
  <c r="B66" i="65"/>
  <c r="D66" i="65"/>
  <c r="B67" i="65"/>
  <c r="D67" i="65"/>
  <c r="B68" i="65"/>
  <c r="D31" i="65"/>
  <c r="D32" i="65"/>
  <c r="D33" i="65"/>
  <c r="D34" i="65"/>
  <c r="D35" i="65"/>
  <c r="D68" i="65"/>
  <c r="C71" i="65"/>
  <c r="D76" i="65"/>
  <c r="E16" i="65"/>
  <c r="B83" i="65"/>
  <c r="D36" i="65"/>
  <c r="B36" i="65"/>
  <c r="J36" i="65"/>
  <c r="P36" i="65"/>
  <c r="W36" i="65"/>
  <c r="T76" i="65"/>
  <c r="V76" i="65"/>
  <c r="Q76" i="65"/>
  <c r="Q64" i="65"/>
  <c r="S64" i="65"/>
  <c r="Q65" i="65"/>
  <c r="S65" i="65"/>
  <c r="Q66" i="65"/>
  <c r="S66" i="65"/>
  <c r="Q31" i="65"/>
  <c r="Q32" i="65"/>
  <c r="Q33" i="65"/>
  <c r="Q34" i="65"/>
  <c r="Q35" i="65"/>
  <c r="Q67" i="65"/>
  <c r="S67" i="65"/>
  <c r="Q68" i="65"/>
  <c r="S31" i="65"/>
  <c r="S32" i="65"/>
  <c r="S33" i="65"/>
  <c r="S34" i="65"/>
  <c r="S35" i="65"/>
  <c r="S68" i="65"/>
  <c r="R71" i="65"/>
  <c r="S76" i="65"/>
  <c r="N76" i="65"/>
  <c r="P76" i="65"/>
  <c r="K76" i="65"/>
  <c r="M76" i="65"/>
  <c r="H76" i="65"/>
  <c r="J76" i="65"/>
  <c r="S36" i="65"/>
  <c r="N75" i="65"/>
  <c r="P75" i="65"/>
  <c r="K75" i="65"/>
  <c r="K64" i="65"/>
  <c r="M64" i="65"/>
  <c r="K31" i="65"/>
  <c r="K32" i="65"/>
  <c r="K33" i="65"/>
  <c r="K34" i="65"/>
  <c r="K35" i="65"/>
  <c r="K65" i="65"/>
  <c r="M65" i="65"/>
  <c r="K66" i="65"/>
  <c r="M66" i="65"/>
  <c r="K67" i="65"/>
  <c r="M31" i="65"/>
  <c r="M32" i="65"/>
  <c r="M33" i="65"/>
  <c r="M34" i="65"/>
  <c r="M35" i="65"/>
  <c r="M67" i="65"/>
  <c r="K68" i="65"/>
  <c r="M68" i="65"/>
  <c r="L71" i="65"/>
  <c r="M75" i="65"/>
  <c r="H75" i="65"/>
  <c r="J75" i="65"/>
  <c r="E75" i="65"/>
  <c r="G75" i="65"/>
  <c r="M36" i="65"/>
  <c r="H73" i="65"/>
  <c r="J73" i="65"/>
  <c r="E73" i="65"/>
  <c r="G73" i="65"/>
  <c r="B73" i="65"/>
  <c r="K36" i="65"/>
  <c r="Q36" i="65"/>
  <c r="Y36" i="65"/>
  <c r="AC36" i="65"/>
  <c r="Z73" i="65"/>
  <c r="AB73" i="65"/>
  <c r="W73" i="65"/>
  <c r="Y73" i="65"/>
  <c r="T64" i="65"/>
  <c r="V64" i="65"/>
  <c r="T31" i="65"/>
  <c r="T32" i="65"/>
  <c r="T33" i="65"/>
  <c r="T34" i="65"/>
  <c r="T35" i="65"/>
  <c r="T65" i="65"/>
  <c r="V65" i="65"/>
  <c r="T66" i="65"/>
  <c r="V31" i="65"/>
  <c r="V32" i="65"/>
  <c r="V33" i="65"/>
  <c r="V34" i="65"/>
  <c r="V35" i="65"/>
  <c r="V66" i="65"/>
  <c r="T67" i="65"/>
  <c r="V67" i="65"/>
  <c r="T68" i="65"/>
  <c r="V68" i="65"/>
  <c r="U71" i="65"/>
  <c r="T73" i="65"/>
  <c r="Q73" i="65"/>
  <c r="S73" i="65"/>
  <c r="N73" i="65"/>
  <c r="P73" i="65"/>
  <c r="K73" i="65"/>
  <c r="T36" i="65"/>
  <c r="Q74" i="65"/>
  <c r="S74" i="65"/>
  <c r="N74" i="65"/>
  <c r="P74" i="65"/>
  <c r="V36" i="65"/>
  <c r="AE36" i="65"/>
  <c r="AC73" i="65"/>
  <c r="AE73" i="65"/>
  <c r="AE86" i="65"/>
  <c r="AE87" i="65"/>
  <c r="AE80" i="65"/>
  <c r="AU80" i="65"/>
  <c r="AC74" i="65"/>
  <c r="AE74" i="65"/>
  <c r="Z64" i="65"/>
  <c r="AB64" i="65"/>
  <c r="Z65" i="65"/>
  <c r="AB65" i="65"/>
  <c r="Z31" i="65"/>
  <c r="Z32" i="65"/>
  <c r="Z33" i="65"/>
  <c r="Z34" i="65"/>
  <c r="Z35" i="65"/>
  <c r="Z66" i="65"/>
  <c r="AB66" i="65"/>
  <c r="Z67" i="65"/>
  <c r="AB31" i="65"/>
  <c r="AB32" i="65"/>
  <c r="AB33" i="65"/>
  <c r="AB34" i="65"/>
  <c r="AB35" i="65"/>
  <c r="AB67" i="65"/>
  <c r="Z68" i="65"/>
  <c r="AB68" i="65"/>
  <c r="AA71" i="65"/>
  <c r="Z74" i="65"/>
  <c r="W74" i="65"/>
  <c r="Y74" i="65"/>
  <c r="T74" i="65"/>
  <c r="V74" i="65"/>
  <c r="Z36" i="65"/>
  <c r="W75" i="65"/>
  <c r="Y75" i="65"/>
  <c r="T75" i="65"/>
  <c r="V75" i="65"/>
  <c r="Q75" i="65"/>
  <c r="AB36" i="65"/>
  <c r="AC75" i="65"/>
  <c r="AE75" i="65"/>
  <c r="Z75" i="65"/>
  <c r="AB75" i="65"/>
  <c r="AB86" i="65"/>
  <c r="AB87" i="65"/>
  <c r="AB82" i="65"/>
  <c r="AE82" i="65"/>
  <c r="AU82" i="65"/>
  <c r="AT83" i="65"/>
  <c r="AC76" i="65"/>
  <c r="AE76" i="65"/>
  <c r="Z76" i="65"/>
  <c r="AB76" i="65"/>
  <c r="W76" i="65"/>
  <c r="Y76" i="65"/>
  <c r="Y86" i="65"/>
  <c r="Y87" i="65"/>
  <c r="Y83" i="65"/>
  <c r="AB83" i="65"/>
  <c r="AE83" i="65"/>
  <c r="AU83" i="65"/>
  <c r="B164" i="65"/>
  <c r="AT164" i="65"/>
  <c r="AC116" i="65"/>
  <c r="AC117" i="65"/>
  <c r="AC118" i="65"/>
  <c r="AC119" i="65"/>
  <c r="AC120" i="65"/>
  <c r="AC149" i="65"/>
  <c r="AE149" i="65"/>
  <c r="AC150" i="65"/>
  <c r="AE116" i="65"/>
  <c r="AE117" i="65"/>
  <c r="AE118" i="65"/>
  <c r="AE119" i="65"/>
  <c r="AE120" i="65"/>
  <c r="AE150" i="65"/>
  <c r="AC151" i="65"/>
  <c r="AE151" i="65"/>
  <c r="AC152" i="65"/>
  <c r="AE152" i="65"/>
  <c r="AC153" i="65"/>
  <c r="AE153" i="65"/>
  <c r="AD156" i="65"/>
  <c r="AC157" i="65"/>
  <c r="Z157" i="65"/>
  <c r="AB157" i="65"/>
  <c r="W116" i="65"/>
  <c r="W117" i="65"/>
  <c r="W118" i="65"/>
  <c r="W119" i="65"/>
  <c r="W120" i="65"/>
  <c r="W149" i="65"/>
  <c r="Y149" i="65"/>
  <c r="W150" i="65"/>
  <c r="Y150" i="65"/>
  <c r="W151" i="65"/>
  <c r="Y151" i="65"/>
  <c r="W152" i="65"/>
  <c r="Y152" i="65"/>
  <c r="W153" i="65"/>
  <c r="Y116" i="65"/>
  <c r="Y117" i="65"/>
  <c r="Y118" i="65"/>
  <c r="Y119" i="65"/>
  <c r="Y120" i="65"/>
  <c r="Y153" i="65"/>
  <c r="X156" i="65"/>
  <c r="W157" i="65"/>
  <c r="T157" i="65"/>
  <c r="V157" i="65"/>
  <c r="Q157" i="65"/>
  <c r="S157" i="65"/>
  <c r="N116" i="65"/>
  <c r="N117" i="65"/>
  <c r="N118" i="65"/>
  <c r="N119" i="65"/>
  <c r="N120" i="65"/>
  <c r="N149" i="65"/>
  <c r="P149" i="65"/>
  <c r="N150" i="65"/>
  <c r="P150" i="65"/>
  <c r="N151" i="65"/>
  <c r="P116" i="65"/>
  <c r="P117" i="65"/>
  <c r="P118" i="65"/>
  <c r="P119" i="65"/>
  <c r="P120" i="65"/>
  <c r="P151" i="65"/>
  <c r="N152" i="65"/>
  <c r="P152" i="65"/>
  <c r="N153" i="65"/>
  <c r="P153" i="65"/>
  <c r="O156" i="65"/>
  <c r="N157" i="65"/>
  <c r="K157" i="65"/>
  <c r="M157" i="65"/>
  <c r="H157" i="65"/>
  <c r="J157" i="65"/>
  <c r="E116" i="65"/>
  <c r="E117" i="65"/>
  <c r="E118" i="65"/>
  <c r="E119" i="65"/>
  <c r="E120" i="65"/>
  <c r="E149" i="65"/>
  <c r="G149" i="65"/>
  <c r="E150" i="65"/>
  <c r="G150" i="65"/>
  <c r="E151" i="65"/>
  <c r="G151" i="65"/>
  <c r="E152" i="65"/>
  <c r="G116" i="65"/>
  <c r="G117" i="65"/>
  <c r="G118" i="65"/>
  <c r="G119" i="65"/>
  <c r="G120" i="65"/>
  <c r="G152" i="65"/>
  <c r="E153" i="65"/>
  <c r="G153" i="65"/>
  <c r="F156" i="65"/>
  <c r="E157" i="65"/>
  <c r="B157" i="65"/>
  <c r="D157" i="65"/>
  <c r="E121" i="65"/>
  <c r="B160" i="65"/>
  <c r="D160" i="65"/>
  <c r="E99" i="65"/>
  <c r="B167" i="65"/>
  <c r="G121" i="65"/>
  <c r="N121" i="65"/>
  <c r="K159" i="65"/>
  <c r="M159" i="65"/>
  <c r="H149" i="65"/>
  <c r="J149" i="65"/>
  <c r="H150" i="65"/>
  <c r="J150" i="65"/>
  <c r="H116" i="65"/>
  <c r="H117" i="65"/>
  <c r="H118" i="65"/>
  <c r="H119" i="65"/>
  <c r="H120" i="65"/>
  <c r="H151" i="65"/>
  <c r="J151" i="65"/>
  <c r="H152" i="65"/>
  <c r="J152" i="65"/>
  <c r="H153" i="65"/>
  <c r="J116" i="65"/>
  <c r="J117" i="65"/>
  <c r="J118" i="65"/>
  <c r="J119" i="65"/>
  <c r="J120" i="65"/>
  <c r="J153" i="65"/>
  <c r="I156" i="65"/>
  <c r="H159" i="65"/>
  <c r="E159" i="65"/>
  <c r="G159" i="65"/>
  <c r="B159" i="65"/>
  <c r="D159" i="65"/>
  <c r="E97" i="65"/>
  <c r="B166" i="65"/>
  <c r="H121" i="65"/>
  <c r="E161" i="65"/>
  <c r="G161" i="65"/>
  <c r="B161" i="65"/>
  <c r="B149" i="65"/>
  <c r="D149" i="65"/>
  <c r="B116" i="65"/>
  <c r="B117" i="65"/>
  <c r="B118" i="65"/>
  <c r="B119" i="65"/>
  <c r="B120" i="65"/>
  <c r="B150" i="65"/>
  <c r="D150" i="65"/>
  <c r="B151" i="65"/>
  <c r="D151" i="65"/>
  <c r="B152" i="65"/>
  <c r="D152" i="65"/>
  <c r="B153" i="65"/>
  <c r="D116" i="65"/>
  <c r="D117" i="65"/>
  <c r="D118" i="65"/>
  <c r="D119" i="65"/>
  <c r="D120" i="65"/>
  <c r="D153" i="65"/>
  <c r="C156" i="65"/>
  <c r="D161" i="65"/>
  <c r="E101" i="65"/>
  <c r="B168" i="65"/>
  <c r="D121" i="65"/>
  <c r="E95" i="65"/>
  <c r="B165" i="65"/>
  <c r="B121" i="65"/>
  <c r="J121" i="65"/>
  <c r="P121" i="65"/>
  <c r="W121" i="65"/>
  <c r="T161" i="65"/>
  <c r="V161" i="65"/>
  <c r="Q161" i="65"/>
  <c r="Q149" i="65"/>
  <c r="S149" i="65"/>
  <c r="Q150" i="65"/>
  <c r="S150" i="65"/>
  <c r="Q151" i="65"/>
  <c r="S151" i="65"/>
  <c r="Q116" i="65"/>
  <c r="Q117" i="65"/>
  <c r="Q118" i="65"/>
  <c r="Q119" i="65"/>
  <c r="Q120" i="65"/>
  <c r="Q152" i="65"/>
  <c r="S152" i="65"/>
  <c r="Q153" i="65"/>
  <c r="S116" i="65"/>
  <c r="S117" i="65"/>
  <c r="S118" i="65"/>
  <c r="S119" i="65"/>
  <c r="S120" i="65"/>
  <c r="S153" i="65"/>
  <c r="R156" i="65"/>
  <c r="S161" i="65"/>
  <c r="N161" i="65"/>
  <c r="P161" i="65"/>
  <c r="K161" i="65"/>
  <c r="M161" i="65"/>
  <c r="H161" i="65"/>
  <c r="J161" i="65"/>
  <c r="S121" i="65"/>
  <c r="N160" i="65"/>
  <c r="P160" i="65"/>
  <c r="K160" i="65"/>
  <c r="K149" i="65"/>
  <c r="M149" i="65"/>
  <c r="K116" i="65"/>
  <c r="K117" i="65"/>
  <c r="K118" i="65"/>
  <c r="K119" i="65"/>
  <c r="K120" i="65"/>
  <c r="K150" i="65"/>
  <c r="M150" i="65"/>
  <c r="K151" i="65"/>
  <c r="M151" i="65"/>
  <c r="K152" i="65"/>
  <c r="M116" i="65"/>
  <c r="M117" i="65"/>
  <c r="M118" i="65"/>
  <c r="M119" i="65"/>
  <c r="M120" i="65"/>
  <c r="M152" i="65"/>
  <c r="K153" i="65"/>
  <c r="M153" i="65"/>
  <c r="L156" i="65"/>
  <c r="M160" i="65"/>
  <c r="H160" i="65"/>
  <c r="J160" i="65"/>
  <c r="E160" i="65"/>
  <c r="G160" i="65"/>
  <c r="M121" i="65"/>
  <c r="H158" i="65"/>
  <c r="J158" i="65"/>
  <c r="E158" i="65"/>
  <c r="G158" i="65"/>
  <c r="B158" i="65"/>
  <c r="K121" i="65"/>
  <c r="Q121" i="65"/>
  <c r="Y121" i="65"/>
  <c r="AC121" i="65"/>
  <c r="Z158" i="65"/>
  <c r="AB158" i="65"/>
  <c r="W158" i="65"/>
  <c r="Y158" i="65"/>
  <c r="T149" i="65"/>
  <c r="V149" i="65"/>
  <c r="T116" i="65"/>
  <c r="T117" i="65"/>
  <c r="T118" i="65"/>
  <c r="T119" i="65"/>
  <c r="T120" i="65"/>
  <c r="T150" i="65"/>
  <c r="V150" i="65"/>
  <c r="T151" i="65"/>
  <c r="V116" i="65"/>
  <c r="V117" i="65"/>
  <c r="V118" i="65"/>
  <c r="V119" i="65"/>
  <c r="V120" i="65"/>
  <c r="V151" i="65"/>
  <c r="T152" i="65"/>
  <c r="V152" i="65"/>
  <c r="T153" i="65"/>
  <c r="V153" i="65"/>
  <c r="U156" i="65"/>
  <c r="T158" i="65"/>
  <c r="Q158" i="65"/>
  <c r="S158" i="65"/>
  <c r="N158" i="65"/>
  <c r="P158" i="65"/>
  <c r="K158" i="65"/>
  <c r="T121" i="65"/>
  <c r="Q159" i="65"/>
  <c r="S159" i="65"/>
  <c r="N159" i="65"/>
  <c r="P159" i="65"/>
  <c r="V121" i="65"/>
  <c r="AE121" i="65"/>
  <c r="AC171" i="65"/>
  <c r="AC172" i="65"/>
  <c r="AE164" i="65"/>
  <c r="AU164" i="65"/>
  <c r="AT165" i="65"/>
  <c r="AC158" i="65"/>
  <c r="AE158" i="65"/>
  <c r="AT166" i="65"/>
  <c r="AC159" i="65"/>
  <c r="AE159" i="65"/>
  <c r="Z149" i="65"/>
  <c r="AB149" i="65"/>
  <c r="Z150" i="65"/>
  <c r="AB150" i="65"/>
  <c r="Z116" i="65"/>
  <c r="Z117" i="65"/>
  <c r="Z118" i="65"/>
  <c r="Z119" i="65"/>
  <c r="Z120" i="65"/>
  <c r="Z151" i="65"/>
  <c r="AB151" i="65"/>
  <c r="Z152" i="65"/>
  <c r="AB116" i="65"/>
  <c r="AB117" i="65"/>
  <c r="AB118" i="65"/>
  <c r="AB119" i="65"/>
  <c r="AB120" i="65"/>
  <c r="AB152" i="65"/>
  <c r="Z153" i="65"/>
  <c r="AB153" i="65"/>
  <c r="AA156" i="65"/>
  <c r="Z159" i="65"/>
  <c r="W159" i="65"/>
  <c r="Y159" i="65"/>
  <c r="T159" i="65"/>
  <c r="V159" i="65"/>
  <c r="Z121" i="65"/>
  <c r="W160" i="65"/>
  <c r="Y160" i="65"/>
  <c r="T160" i="65"/>
  <c r="V160" i="65"/>
  <c r="Q160" i="65"/>
  <c r="AB121" i="65"/>
  <c r="AT167" i="65"/>
  <c r="AC160" i="65"/>
  <c r="AE160" i="65"/>
  <c r="Z160" i="65"/>
  <c r="AB160" i="65"/>
  <c r="AT168" i="65"/>
  <c r="AC161" i="65"/>
  <c r="AE161" i="65"/>
  <c r="Z161" i="65"/>
  <c r="AB161" i="65"/>
  <c r="W161" i="65"/>
  <c r="Y161" i="65"/>
  <c r="Y171" i="65"/>
  <c r="Y172" i="65"/>
  <c r="Y168" i="65"/>
  <c r="AB168" i="65"/>
  <c r="AE168" i="65"/>
  <c r="AU168" i="65"/>
  <c r="E178" i="65"/>
  <c r="B249" i="65"/>
  <c r="AT249" i="65"/>
  <c r="AC201" i="65"/>
  <c r="AC202" i="65"/>
  <c r="AC203" i="65"/>
  <c r="AC204" i="65"/>
  <c r="AC205" i="65"/>
  <c r="AC234" i="65"/>
  <c r="AE234" i="65"/>
  <c r="AC235" i="65"/>
  <c r="AE201" i="65"/>
  <c r="AE202" i="65"/>
  <c r="AE203" i="65"/>
  <c r="AE204" i="65"/>
  <c r="AE205" i="65"/>
  <c r="AE235" i="65"/>
  <c r="AC236" i="65"/>
  <c r="AE236" i="65"/>
  <c r="AC237" i="65"/>
  <c r="AE237" i="65"/>
  <c r="AC238" i="65"/>
  <c r="AE238" i="65"/>
  <c r="AD241" i="65"/>
  <c r="AC242" i="65"/>
  <c r="Z242" i="65"/>
  <c r="AB242" i="65"/>
  <c r="W201" i="65"/>
  <c r="W202" i="65"/>
  <c r="W203" i="65"/>
  <c r="W204" i="65"/>
  <c r="W205" i="65"/>
  <c r="W234" i="65"/>
  <c r="Y234" i="65"/>
  <c r="W235" i="65"/>
  <c r="Y235" i="65"/>
  <c r="W236" i="65"/>
  <c r="Y236" i="65"/>
  <c r="W237" i="65"/>
  <c r="Y237" i="65"/>
  <c r="W238" i="65"/>
  <c r="Y201" i="65"/>
  <c r="Y202" i="65"/>
  <c r="Y203" i="65"/>
  <c r="Y204" i="65"/>
  <c r="Y205" i="65"/>
  <c r="Y238" i="65"/>
  <c r="X241" i="65"/>
  <c r="W242" i="65"/>
  <c r="T242" i="65"/>
  <c r="V242" i="65"/>
  <c r="Q242" i="65"/>
  <c r="S242" i="65"/>
  <c r="N201" i="65"/>
  <c r="N202" i="65"/>
  <c r="N203" i="65"/>
  <c r="N204" i="65"/>
  <c r="N205" i="65"/>
  <c r="N234" i="65"/>
  <c r="P234" i="65"/>
  <c r="N235" i="65"/>
  <c r="P235" i="65"/>
  <c r="N236" i="65"/>
  <c r="P201" i="65"/>
  <c r="P202" i="65"/>
  <c r="P203" i="65"/>
  <c r="P204" i="65"/>
  <c r="P205" i="65"/>
  <c r="P236" i="65"/>
  <c r="N237" i="65"/>
  <c r="P237" i="65"/>
  <c r="N238" i="65"/>
  <c r="P238" i="65"/>
  <c r="O241" i="65"/>
  <c r="N242" i="65"/>
  <c r="K242" i="65"/>
  <c r="M242" i="65"/>
  <c r="H242" i="65"/>
  <c r="J242" i="65"/>
  <c r="E201" i="65"/>
  <c r="E202" i="65"/>
  <c r="E203" i="65"/>
  <c r="E204" i="65"/>
  <c r="E205" i="65"/>
  <c r="E234" i="65"/>
  <c r="G234" i="65"/>
  <c r="E235" i="65"/>
  <c r="G235" i="65"/>
  <c r="E236" i="65"/>
  <c r="G236" i="65"/>
  <c r="E237" i="65"/>
  <c r="G201" i="65"/>
  <c r="G202" i="65"/>
  <c r="G203" i="65"/>
  <c r="G204" i="65"/>
  <c r="G205" i="65"/>
  <c r="G237" i="65"/>
  <c r="E238" i="65"/>
  <c r="G238" i="65"/>
  <c r="F241" i="65"/>
  <c r="E242" i="65"/>
  <c r="B242" i="65"/>
  <c r="D242" i="65"/>
  <c r="E206" i="65"/>
  <c r="B245" i="65"/>
  <c r="D245" i="65"/>
  <c r="E184" i="65"/>
  <c r="B252" i="65"/>
  <c r="G206" i="65"/>
  <c r="N206" i="65"/>
  <c r="K244" i="65"/>
  <c r="M244" i="65"/>
  <c r="H234" i="65"/>
  <c r="J234" i="65"/>
  <c r="H235" i="65"/>
  <c r="J235" i="65"/>
  <c r="H201" i="65"/>
  <c r="H202" i="65"/>
  <c r="H203" i="65"/>
  <c r="H204" i="65"/>
  <c r="H205" i="65"/>
  <c r="H236" i="65"/>
  <c r="J236" i="65"/>
  <c r="H237" i="65"/>
  <c r="J237" i="65"/>
  <c r="H238" i="65"/>
  <c r="J201" i="65"/>
  <c r="J202" i="65"/>
  <c r="J203" i="65"/>
  <c r="J204" i="65"/>
  <c r="J205" i="65"/>
  <c r="J238" i="65"/>
  <c r="I241" i="65"/>
  <c r="H244" i="65"/>
  <c r="E244" i="65"/>
  <c r="G244" i="65"/>
  <c r="B244" i="65"/>
  <c r="D244" i="65"/>
  <c r="E182" i="65"/>
  <c r="B251" i="65"/>
  <c r="H206" i="65"/>
  <c r="E246" i="65"/>
  <c r="G246" i="65"/>
  <c r="B246" i="65"/>
  <c r="B234" i="65"/>
  <c r="D234" i="65"/>
  <c r="B201" i="65"/>
  <c r="B202" i="65"/>
  <c r="B203" i="65"/>
  <c r="B204" i="65"/>
  <c r="B205" i="65"/>
  <c r="B235" i="65"/>
  <c r="D235" i="65"/>
  <c r="B236" i="65"/>
  <c r="D236" i="65"/>
  <c r="B237" i="65"/>
  <c r="D237" i="65"/>
  <c r="B238" i="65"/>
  <c r="D201" i="65"/>
  <c r="D202" i="65"/>
  <c r="D203" i="65"/>
  <c r="D204" i="65"/>
  <c r="D205" i="65"/>
  <c r="D238" i="65"/>
  <c r="C241" i="65"/>
  <c r="D246" i="65"/>
  <c r="E186" i="65"/>
  <c r="B253" i="65"/>
  <c r="D206" i="65"/>
  <c r="E180" i="65"/>
  <c r="B250" i="65"/>
  <c r="B206" i="65"/>
  <c r="J206" i="65"/>
  <c r="P206" i="65"/>
  <c r="W206" i="65"/>
  <c r="T246" i="65"/>
  <c r="V246" i="65"/>
  <c r="Q246" i="65"/>
  <c r="Q234" i="65"/>
  <c r="S234" i="65"/>
  <c r="Q235" i="65"/>
  <c r="S235" i="65"/>
  <c r="Q236" i="65"/>
  <c r="S236" i="65"/>
  <c r="Q201" i="65"/>
  <c r="Q202" i="65"/>
  <c r="Q203" i="65"/>
  <c r="Q204" i="65"/>
  <c r="Q205" i="65"/>
  <c r="Q237" i="65"/>
  <c r="S237" i="65"/>
  <c r="Q238" i="65"/>
  <c r="S201" i="65"/>
  <c r="S202" i="65"/>
  <c r="S203" i="65"/>
  <c r="S204" i="65"/>
  <c r="S205" i="65"/>
  <c r="S238" i="65"/>
  <c r="R241" i="65"/>
  <c r="S246" i="65"/>
  <c r="N246" i="65"/>
  <c r="P246" i="65"/>
  <c r="K246" i="65"/>
  <c r="M246" i="65"/>
  <c r="H246" i="65"/>
  <c r="J246" i="65"/>
  <c r="S206" i="65"/>
  <c r="N245" i="65"/>
  <c r="P245" i="65"/>
  <c r="K245" i="65"/>
  <c r="K234" i="65"/>
  <c r="M234" i="65"/>
  <c r="K201" i="65"/>
  <c r="K202" i="65"/>
  <c r="K203" i="65"/>
  <c r="K204" i="65"/>
  <c r="K205" i="65"/>
  <c r="K235" i="65"/>
  <c r="M235" i="65"/>
  <c r="K236" i="65"/>
  <c r="M236" i="65"/>
  <c r="K237" i="65"/>
  <c r="M201" i="65"/>
  <c r="M202" i="65"/>
  <c r="M203" i="65"/>
  <c r="M204" i="65"/>
  <c r="M205" i="65"/>
  <c r="M237" i="65"/>
  <c r="K238" i="65"/>
  <c r="M238" i="65"/>
  <c r="L241" i="65"/>
  <c r="M245" i="65"/>
  <c r="H245" i="65"/>
  <c r="J245" i="65"/>
  <c r="E245" i="65"/>
  <c r="G245" i="65"/>
  <c r="M206" i="65"/>
  <c r="H243" i="65"/>
  <c r="J243" i="65"/>
  <c r="E243" i="65"/>
  <c r="G243" i="65"/>
  <c r="B243" i="65"/>
  <c r="K206" i="65"/>
  <c r="Q206" i="65"/>
  <c r="Y206" i="65"/>
  <c r="AC206" i="65"/>
  <c r="Z243" i="65"/>
  <c r="AB243" i="65"/>
  <c r="W243" i="65"/>
  <c r="Y243" i="65"/>
  <c r="T234" i="65"/>
  <c r="V234" i="65"/>
  <c r="T201" i="65"/>
  <c r="T202" i="65"/>
  <c r="T203" i="65"/>
  <c r="T204" i="65"/>
  <c r="T205" i="65"/>
  <c r="T235" i="65"/>
  <c r="V235" i="65"/>
  <c r="T236" i="65"/>
  <c r="V201" i="65"/>
  <c r="V202" i="65"/>
  <c r="V203" i="65"/>
  <c r="V204" i="65"/>
  <c r="V205" i="65"/>
  <c r="V236" i="65"/>
  <c r="T237" i="65"/>
  <c r="V237" i="65"/>
  <c r="T238" i="65"/>
  <c r="V238" i="65"/>
  <c r="U241" i="65"/>
  <c r="T243" i="65"/>
  <c r="Q243" i="65"/>
  <c r="S243" i="65"/>
  <c r="N243" i="65"/>
  <c r="P243" i="65"/>
  <c r="K243" i="65"/>
  <c r="T206" i="65"/>
  <c r="Q244" i="65"/>
  <c r="S244" i="65"/>
  <c r="N244" i="65"/>
  <c r="P244" i="65"/>
  <c r="V206" i="65"/>
  <c r="AE206" i="65"/>
  <c r="AT250" i="65"/>
  <c r="AC243" i="65"/>
  <c r="AE243" i="65"/>
  <c r="AT251" i="65"/>
  <c r="AC244" i="65"/>
  <c r="AE244" i="65"/>
  <c r="Z234" i="65"/>
  <c r="AB234" i="65"/>
  <c r="Z235" i="65"/>
  <c r="AB235" i="65"/>
  <c r="Z201" i="65"/>
  <c r="Z202" i="65"/>
  <c r="Z203" i="65"/>
  <c r="Z204" i="65"/>
  <c r="Z205" i="65"/>
  <c r="Z236" i="65"/>
  <c r="AB236" i="65"/>
  <c r="Z237" i="65"/>
  <c r="AB201" i="65"/>
  <c r="AB202" i="65"/>
  <c r="AB203" i="65"/>
  <c r="AB204" i="65"/>
  <c r="AB205" i="65"/>
  <c r="AB237" i="65"/>
  <c r="Z238" i="65"/>
  <c r="AB238" i="65"/>
  <c r="AA241" i="65"/>
  <c r="Z244" i="65"/>
  <c r="W244" i="65"/>
  <c r="Y244" i="65"/>
  <c r="T244" i="65"/>
  <c r="V244" i="65"/>
  <c r="Z206" i="65"/>
  <c r="W245" i="65"/>
  <c r="Y245" i="65"/>
  <c r="T245" i="65"/>
  <c r="V245" i="65"/>
  <c r="Q245" i="65"/>
  <c r="AB206" i="65"/>
  <c r="Z256" i="65"/>
  <c r="Z257" i="65"/>
  <c r="AB251" i="65"/>
  <c r="AE251" i="65"/>
  <c r="AU251" i="65"/>
  <c r="AT252" i="65"/>
  <c r="AC245" i="65"/>
  <c r="AE245" i="65"/>
  <c r="Z245" i="65"/>
  <c r="AB245" i="65"/>
  <c r="AT253" i="65"/>
  <c r="AC246" i="65"/>
  <c r="AE246" i="65"/>
  <c r="Z246" i="65"/>
  <c r="AB246" i="65"/>
  <c r="W246" i="65"/>
  <c r="Y246" i="65"/>
  <c r="Y256" i="65"/>
  <c r="Y257" i="65"/>
  <c r="Y253" i="65"/>
  <c r="AB253" i="65"/>
  <c r="AE253" i="65"/>
  <c r="AU253" i="65"/>
  <c r="AX4" i="65"/>
  <c r="C368" i="65"/>
  <c r="D368" i="65"/>
  <c r="G370" i="65"/>
  <c r="AH264" i="65"/>
  <c r="B350" i="65"/>
  <c r="B367" i="65"/>
  <c r="AX14" i="65"/>
  <c r="C367" i="65"/>
  <c r="D367" i="65"/>
  <c r="E370" i="65"/>
  <c r="G371" i="65"/>
  <c r="G372" i="65"/>
  <c r="G368" i="65"/>
  <c r="J370" i="65"/>
  <c r="J358" i="65"/>
  <c r="J359" i="65"/>
  <c r="J360" i="65"/>
  <c r="J361" i="65"/>
  <c r="B358" i="65"/>
  <c r="B359" i="65"/>
  <c r="B360" i="65"/>
  <c r="B361" i="65"/>
  <c r="D358" i="65"/>
  <c r="D359" i="65"/>
  <c r="D360" i="65"/>
  <c r="D361" i="65"/>
  <c r="H357" i="65"/>
  <c r="B60" i="65"/>
  <c r="D60" i="65"/>
  <c r="E60" i="65"/>
  <c r="G60" i="65"/>
  <c r="H39" i="65"/>
  <c r="J39" i="65"/>
  <c r="H40" i="65"/>
  <c r="J40" i="65"/>
  <c r="H41" i="65"/>
  <c r="J41" i="65"/>
  <c r="H42" i="65"/>
  <c r="J42" i="65"/>
  <c r="H43" i="65"/>
  <c r="J43" i="65"/>
  <c r="H44" i="65"/>
  <c r="H60" i="65"/>
  <c r="J60" i="65"/>
  <c r="K60" i="65"/>
  <c r="M60" i="65"/>
  <c r="N60" i="65"/>
  <c r="N39" i="65"/>
  <c r="P39" i="65"/>
  <c r="N40" i="65"/>
  <c r="P40" i="65"/>
  <c r="N41" i="65"/>
  <c r="P41" i="65"/>
  <c r="N42" i="65"/>
  <c r="P42" i="65"/>
  <c r="N43" i="65"/>
  <c r="P43" i="65"/>
  <c r="N44" i="65"/>
  <c r="P60" i="65"/>
  <c r="Q60" i="65"/>
  <c r="S60" i="65"/>
  <c r="T60" i="65"/>
  <c r="T39" i="65"/>
  <c r="V39" i="65"/>
  <c r="T40" i="65"/>
  <c r="V40" i="65"/>
  <c r="T41" i="65"/>
  <c r="V41" i="65"/>
  <c r="T42" i="65"/>
  <c r="V42" i="65"/>
  <c r="T43" i="65"/>
  <c r="V43" i="65"/>
  <c r="T44" i="65"/>
  <c r="V60" i="65"/>
  <c r="W60" i="65"/>
  <c r="Y60" i="65"/>
  <c r="Z39" i="65"/>
  <c r="AB39" i="65"/>
  <c r="Z40" i="65"/>
  <c r="AB40" i="65"/>
  <c r="Z41" i="65"/>
  <c r="AB41" i="65"/>
  <c r="Z42" i="65"/>
  <c r="AB42" i="65"/>
  <c r="Z43" i="65"/>
  <c r="AB43" i="65"/>
  <c r="Z44" i="65"/>
  <c r="Z60" i="65"/>
  <c r="AB60" i="65"/>
  <c r="AC60" i="65"/>
  <c r="AE60" i="65"/>
  <c r="AF60" i="65"/>
  <c r="AG26" i="65"/>
  <c r="AH26" i="65"/>
  <c r="H30" i="65"/>
  <c r="J30" i="65"/>
  <c r="AI26" i="65"/>
  <c r="AJ26" i="65"/>
  <c r="P30" i="65"/>
  <c r="N30" i="65"/>
  <c r="AK26" i="65"/>
  <c r="AL26" i="65"/>
  <c r="V30" i="65"/>
  <c r="T30" i="65"/>
  <c r="AM26" i="65"/>
  <c r="AN26" i="65"/>
  <c r="Z30" i="65"/>
  <c r="AB30" i="65"/>
  <c r="AO26" i="65"/>
  <c r="AP26" i="65"/>
  <c r="AQ26" i="65"/>
  <c r="Z12" i="65"/>
  <c r="J264" i="65"/>
  <c r="B145" i="65"/>
  <c r="D145" i="65"/>
  <c r="E145" i="65"/>
  <c r="G145" i="65"/>
  <c r="H124" i="65"/>
  <c r="J124" i="65"/>
  <c r="H125" i="65"/>
  <c r="J125" i="65"/>
  <c r="H126" i="65"/>
  <c r="J126" i="65"/>
  <c r="H127" i="65"/>
  <c r="J127" i="65"/>
  <c r="H128" i="65"/>
  <c r="J128" i="65"/>
  <c r="H129" i="65"/>
  <c r="H145" i="65"/>
  <c r="J145" i="65"/>
  <c r="K145" i="65"/>
  <c r="M145" i="65"/>
  <c r="N145" i="65"/>
  <c r="N124" i="65"/>
  <c r="P124" i="65"/>
  <c r="N125" i="65"/>
  <c r="P125" i="65"/>
  <c r="N126" i="65"/>
  <c r="P126" i="65"/>
  <c r="N127" i="65"/>
  <c r="P127" i="65"/>
  <c r="N128" i="65"/>
  <c r="P128" i="65"/>
  <c r="N129" i="65"/>
  <c r="P145" i="65"/>
  <c r="Q145" i="65"/>
  <c r="S145" i="65"/>
  <c r="T145" i="65"/>
  <c r="T124" i="65"/>
  <c r="V124" i="65"/>
  <c r="T125" i="65"/>
  <c r="V125" i="65"/>
  <c r="T126" i="65"/>
  <c r="V126" i="65"/>
  <c r="T127" i="65"/>
  <c r="V127" i="65"/>
  <c r="T128" i="65"/>
  <c r="V128" i="65"/>
  <c r="T129" i="65"/>
  <c r="V145" i="65"/>
  <c r="W145" i="65"/>
  <c r="Y145" i="65"/>
  <c r="Z124" i="65"/>
  <c r="AB124" i="65"/>
  <c r="Z125" i="65"/>
  <c r="AB125" i="65"/>
  <c r="Z126" i="65"/>
  <c r="AB126" i="65"/>
  <c r="Z127" i="65"/>
  <c r="AB127" i="65"/>
  <c r="Z128" i="65"/>
  <c r="AB128" i="65"/>
  <c r="Z129" i="65"/>
  <c r="Z145" i="65"/>
  <c r="AB145" i="65"/>
  <c r="AC145" i="65"/>
  <c r="AE145" i="65"/>
  <c r="AF145" i="65"/>
  <c r="AG111" i="65"/>
  <c r="AH111" i="65"/>
  <c r="H115" i="65"/>
  <c r="J115" i="65"/>
  <c r="AI111" i="65"/>
  <c r="AJ111" i="65"/>
  <c r="P115" i="65"/>
  <c r="N115" i="65"/>
  <c r="AK111" i="65"/>
  <c r="AL111" i="65"/>
  <c r="V115" i="65"/>
  <c r="T115" i="65"/>
  <c r="AM111" i="65"/>
  <c r="AN111" i="65"/>
  <c r="Z115" i="65"/>
  <c r="AB115" i="65"/>
  <c r="AO111" i="65"/>
  <c r="AP111" i="65"/>
  <c r="AQ111" i="65"/>
  <c r="Z97" i="65"/>
  <c r="J265" i="65"/>
  <c r="B228" i="65"/>
  <c r="D228" i="65"/>
  <c r="E209" i="65"/>
  <c r="G209" i="65"/>
  <c r="E210" i="65"/>
  <c r="G210" i="65"/>
  <c r="E211" i="65"/>
  <c r="G211" i="65"/>
  <c r="E212" i="65"/>
  <c r="G212" i="65"/>
  <c r="E213" i="65"/>
  <c r="G213" i="65"/>
  <c r="E214" i="65"/>
  <c r="E228" i="65"/>
  <c r="G228" i="65"/>
  <c r="H228" i="65"/>
  <c r="J228" i="65"/>
  <c r="K228" i="65"/>
  <c r="M228" i="65"/>
  <c r="N209" i="65"/>
  <c r="P209" i="65"/>
  <c r="N210" i="65"/>
  <c r="P210" i="65"/>
  <c r="N211" i="65"/>
  <c r="P211" i="65"/>
  <c r="N212" i="65"/>
  <c r="P212" i="65"/>
  <c r="N213" i="65"/>
  <c r="P213" i="65"/>
  <c r="N214" i="65"/>
  <c r="N228" i="65"/>
  <c r="P228" i="65"/>
  <c r="Q228" i="65"/>
  <c r="S228" i="65"/>
  <c r="T228" i="65"/>
  <c r="V228" i="65"/>
  <c r="W209" i="65"/>
  <c r="Y209" i="65"/>
  <c r="W210" i="65"/>
  <c r="Y210" i="65"/>
  <c r="W211" i="65"/>
  <c r="Y211" i="65"/>
  <c r="W212" i="65"/>
  <c r="Y212" i="65"/>
  <c r="W213" i="65"/>
  <c r="Y213" i="65"/>
  <c r="W214" i="65"/>
  <c r="W228" i="65"/>
  <c r="Y228" i="65"/>
  <c r="Z228" i="65"/>
  <c r="AB228" i="65"/>
  <c r="AC209" i="65"/>
  <c r="AE209" i="65"/>
  <c r="AC210" i="65"/>
  <c r="AE210" i="65"/>
  <c r="AC211" i="65"/>
  <c r="AE211" i="65"/>
  <c r="AC212" i="65"/>
  <c r="AE212" i="65"/>
  <c r="AC213" i="65"/>
  <c r="AE213" i="65"/>
  <c r="AC214" i="65"/>
  <c r="AC228" i="65"/>
  <c r="AE228" i="65"/>
  <c r="AF228" i="65"/>
  <c r="AG194" i="65"/>
  <c r="E200" i="65"/>
  <c r="G200" i="65"/>
  <c r="AH194" i="65"/>
  <c r="AI194" i="65"/>
  <c r="AJ194" i="65"/>
  <c r="N200" i="65"/>
  <c r="P200" i="65"/>
  <c r="AK194" i="65"/>
  <c r="AL194" i="65"/>
  <c r="AM194" i="65"/>
  <c r="W200" i="65"/>
  <c r="Y200" i="65"/>
  <c r="AN194" i="65"/>
  <c r="AO194" i="65"/>
  <c r="AC200" i="65"/>
  <c r="AE200" i="65"/>
  <c r="AP194" i="65"/>
  <c r="AQ194" i="65"/>
  <c r="Z178" i="65"/>
  <c r="J266" i="65"/>
  <c r="B39" i="65"/>
  <c r="D39" i="65"/>
  <c r="B40" i="65"/>
  <c r="D40" i="65"/>
  <c r="B41" i="65"/>
  <c r="D41" i="65"/>
  <c r="B42" i="65"/>
  <c r="D42" i="65"/>
  <c r="B43" i="65"/>
  <c r="D43" i="65"/>
  <c r="B44" i="65"/>
  <c r="B59" i="65"/>
  <c r="D59" i="65"/>
  <c r="E59" i="65"/>
  <c r="G59" i="65"/>
  <c r="H59" i="65"/>
  <c r="J59" i="65"/>
  <c r="K39" i="65"/>
  <c r="M39" i="65"/>
  <c r="K40" i="65"/>
  <c r="M40" i="65"/>
  <c r="K41" i="65"/>
  <c r="M41" i="65"/>
  <c r="K42" i="65"/>
  <c r="M42" i="65"/>
  <c r="K43" i="65"/>
  <c r="M43" i="65"/>
  <c r="K44" i="65"/>
  <c r="K59" i="65"/>
  <c r="M59" i="65"/>
  <c r="N59" i="65"/>
  <c r="P59" i="65"/>
  <c r="Q59" i="65"/>
  <c r="S59" i="65"/>
  <c r="T59" i="65"/>
  <c r="V59" i="65"/>
  <c r="W59" i="65"/>
  <c r="Y59" i="65"/>
  <c r="Z59" i="65"/>
  <c r="AB59" i="65"/>
  <c r="AC59" i="65"/>
  <c r="AC39" i="65"/>
  <c r="AE39" i="65"/>
  <c r="AC40" i="65"/>
  <c r="AE40" i="65"/>
  <c r="AC41" i="65"/>
  <c r="AE41" i="65"/>
  <c r="AC42" i="65"/>
  <c r="AE42" i="65"/>
  <c r="AC43" i="65"/>
  <c r="AE43" i="65"/>
  <c r="AC44" i="65"/>
  <c r="AE59" i="65"/>
  <c r="AF59" i="65"/>
  <c r="B30" i="65"/>
  <c r="D30" i="65"/>
  <c r="AG25" i="65"/>
  <c r="AH25" i="65"/>
  <c r="AI25" i="65"/>
  <c r="K30" i="65"/>
  <c r="M30" i="65"/>
  <c r="AJ25" i="65"/>
  <c r="AK25" i="65"/>
  <c r="AL25" i="65"/>
  <c r="AM25" i="65"/>
  <c r="AN25" i="65"/>
  <c r="AO25" i="65"/>
  <c r="AE30" i="65"/>
  <c r="AC30" i="65"/>
  <c r="AP25" i="65"/>
  <c r="AQ25" i="65"/>
  <c r="Z10" i="65"/>
  <c r="AF264" i="65"/>
  <c r="B124" i="65"/>
  <c r="D124" i="65"/>
  <c r="B125" i="65"/>
  <c r="D125" i="65"/>
  <c r="B126" i="65"/>
  <c r="D126" i="65"/>
  <c r="B127" i="65"/>
  <c r="D127" i="65"/>
  <c r="B128" i="65"/>
  <c r="D128" i="65"/>
  <c r="B129" i="65"/>
  <c r="B144" i="65"/>
  <c r="D144" i="65"/>
  <c r="E144" i="65"/>
  <c r="G144" i="65"/>
  <c r="H144" i="65"/>
  <c r="J144" i="65"/>
  <c r="K124" i="65"/>
  <c r="M124" i="65"/>
  <c r="K125" i="65"/>
  <c r="M125" i="65"/>
  <c r="K126" i="65"/>
  <c r="M126" i="65"/>
  <c r="K127" i="65"/>
  <c r="M127" i="65"/>
  <c r="K128" i="65"/>
  <c r="M128" i="65"/>
  <c r="K129" i="65"/>
  <c r="K144" i="65"/>
  <c r="M144" i="65"/>
  <c r="N144" i="65"/>
  <c r="P144" i="65"/>
  <c r="Q144" i="65"/>
  <c r="S144" i="65"/>
  <c r="T144" i="65"/>
  <c r="V144" i="65"/>
  <c r="W144" i="65"/>
  <c r="Y144" i="65"/>
  <c r="Z144" i="65"/>
  <c r="AB144" i="65"/>
  <c r="AC144" i="65"/>
  <c r="AC124" i="65"/>
  <c r="AE124" i="65"/>
  <c r="AC125" i="65"/>
  <c r="AE125" i="65"/>
  <c r="AC126" i="65"/>
  <c r="AE126" i="65"/>
  <c r="AC127" i="65"/>
  <c r="AE127" i="65"/>
  <c r="AC128" i="65"/>
  <c r="AE128" i="65"/>
  <c r="AC129" i="65"/>
  <c r="AE144" i="65"/>
  <c r="AF144" i="65"/>
  <c r="B115" i="65"/>
  <c r="D115" i="65"/>
  <c r="AG110" i="65"/>
  <c r="AH110" i="65"/>
  <c r="AI110" i="65"/>
  <c r="K115" i="65"/>
  <c r="M115" i="65"/>
  <c r="AJ110" i="65"/>
  <c r="AK110" i="65"/>
  <c r="AL110" i="65"/>
  <c r="AM110" i="65"/>
  <c r="AN110" i="65"/>
  <c r="AO110" i="65"/>
  <c r="AE115" i="65"/>
  <c r="AC115" i="65"/>
  <c r="AP110" i="65"/>
  <c r="AQ110" i="65"/>
  <c r="Z95" i="65"/>
  <c r="AF265" i="65"/>
  <c r="B231" i="65"/>
  <c r="D231" i="65"/>
  <c r="E231" i="65"/>
  <c r="G231" i="65"/>
  <c r="H231" i="65"/>
  <c r="J231" i="65"/>
  <c r="K231" i="65"/>
  <c r="K209" i="65"/>
  <c r="M209" i="65"/>
  <c r="K210" i="65"/>
  <c r="M210" i="65"/>
  <c r="K211" i="65"/>
  <c r="M211" i="65"/>
  <c r="K212" i="65"/>
  <c r="M212" i="65"/>
  <c r="K213" i="65"/>
  <c r="M213" i="65"/>
  <c r="K214" i="65"/>
  <c r="M231" i="65"/>
  <c r="N231" i="65"/>
  <c r="P231" i="65"/>
  <c r="Q209" i="65"/>
  <c r="S209" i="65"/>
  <c r="Q210" i="65"/>
  <c r="S210" i="65"/>
  <c r="Q211" i="65"/>
  <c r="S211" i="65"/>
  <c r="Q212" i="65"/>
  <c r="S212" i="65"/>
  <c r="Q213" i="65"/>
  <c r="S213" i="65"/>
  <c r="Q214" i="65"/>
  <c r="Q231" i="65"/>
  <c r="S231" i="65"/>
  <c r="T231" i="65"/>
  <c r="V231" i="65"/>
  <c r="W231" i="65"/>
  <c r="Y231" i="65"/>
  <c r="Z231" i="65"/>
  <c r="Z209" i="65"/>
  <c r="AB209" i="65"/>
  <c r="Z210" i="65"/>
  <c r="AB210" i="65"/>
  <c r="Z211" i="65"/>
  <c r="AB211" i="65"/>
  <c r="Z212" i="65"/>
  <c r="AB212" i="65"/>
  <c r="Z213" i="65"/>
  <c r="AB213" i="65"/>
  <c r="Z214" i="65"/>
  <c r="AB231" i="65"/>
  <c r="AC231" i="65"/>
  <c r="AE231" i="65"/>
  <c r="AF231" i="65"/>
  <c r="AG197" i="65"/>
  <c r="AH197" i="65"/>
  <c r="AI197" i="65"/>
  <c r="M200" i="65"/>
  <c r="K200" i="65"/>
  <c r="AJ197" i="65"/>
  <c r="AK197" i="65"/>
  <c r="Q200" i="65"/>
  <c r="S200" i="65"/>
  <c r="AL197" i="65"/>
  <c r="AM197" i="65"/>
  <c r="AN197" i="65"/>
  <c r="AB200" i="65"/>
  <c r="Z200" i="65"/>
  <c r="AO197" i="65"/>
  <c r="AP197" i="65"/>
  <c r="AQ197" i="65"/>
  <c r="Z184" i="65"/>
  <c r="AF266" i="65"/>
  <c r="AG264" i="65"/>
  <c r="X264" i="65"/>
  <c r="X271" i="65"/>
  <c r="B349" i="65"/>
  <c r="B366" i="65"/>
  <c r="AX8" i="65"/>
  <c r="C366" i="65"/>
  <c r="B370" i="65"/>
  <c r="AH266" i="65"/>
  <c r="B352" i="65"/>
  <c r="B369" i="65"/>
  <c r="AX11" i="65"/>
  <c r="C369" i="65"/>
  <c r="D370" i="65"/>
  <c r="B371" i="65"/>
  <c r="B372" i="65"/>
  <c r="D366" i="65"/>
  <c r="G366" i="65"/>
  <c r="H370" i="65"/>
  <c r="H358" i="65"/>
  <c r="H359" i="65"/>
  <c r="H360" i="65"/>
  <c r="H361" i="65"/>
  <c r="J371" i="65"/>
  <c r="J372" i="65"/>
  <c r="H371" i="65"/>
  <c r="H372" i="65"/>
  <c r="E371" i="65"/>
  <c r="E372" i="65"/>
  <c r="D371" i="65"/>
  <c r="D372" i="65"/>
  <c r="AU371" i="65"/>
  <c r="AT371" i="65"/>
  <c r="AU370" i="65"/>
  <c r="AT370" i="65"/>
  <c r="AU369" i="65"/>
  <c r="AT369" i="65"/>
  <c r="D369" i="65"/>
  <c r="G369" i="65"/>
  <c r="J369" i="65"/>
  <c r="AU368" i="65"/>
  <c r="AT368" i="65"/>
  <c r="J368" i="65"/>
  <c r="AU367" i="65"/>
  <c r="AT367" i="65"/>
  <c r="G367" i="65"/>
  <c r="J367" i="65"/>
  <c r="AU366" i="65"/>
  <c r="AT366" i="65"/>
  <c r="J366" i="65"/>
  <c r="AU365" i="65"/>
  <c r="AT365" i="65"/>
  <c r="K362" i="65"/>
  <c r="E183" i="65"/>
  <c r="AK266" i="65"/>
  <c r="K352" i="65"/>
  <c r="E94" i="65"/>
  <c r="AK265" i="65"/>
  <c r="K351" i="65"/>
  <c r="E15" i="65"/>
  <c r="AK264" i="65"/>
  <c r="K350" i="65"/>
  <c r="E11" i="65"/>
  <c r="AC264" i="65"/>
  <c r="AF271" i="65"/>
  <c r="K349" i="65"/>
  <c r="A343" i="65"/>
  <c r="F342" i="65"/>
  <c r="A338" i="65"/>
  <c r="J337" i="65"/>
  <c r="A334" i="65"/>
  <c r="F332" i="65"/>
  <c r="A332" i="65"/>
  <c r="A329" i="65"/>
  <c r="W310" i="65"/>
  <c r="W311" i="65"/>
  <c r="W312" i="65"/>
  <c r="W313" i="65"/>
  <c r="Y310" i="65"/>
  <c r="Y311" i="65"/>
  <c r="Y312" i="65"/>
  <c r="Y313" i="65"/>
  <c r="AC309" i="65"/>
  <c r="Z310" i="65"/>
  <c r="Z311" i="65"/>
  <c r="Z312" i="65"/>
  <c r="Z313" i="65"/>
  <c r="AB310" i="65"/>
  <c r="AB311" i="65"/>
  <c r="AB312" i="65"/>
  <c r="AB313" i="65"/>
  <c r="AE309" i="65"/>
  <c r="AG265" i="65"/>
  <c r="X265" i="65"/>
  <c r="X270" i="65"/>
  <c r="X304" i="65"/>
  <c r="W321" i="65"/>
  <c r="B58" i="65"/>
  <c r="D58" i="65"/>
  <c r="E39" i="65"/>
  <c r="G39" i="65"/>
  <c r="E40" i="65"/>
  <c r="G40" i="65"/>
  <c r="E41" i="65"/>
  <c r="G41" i="65"/>
  <c r="E42" i="65"/>
  <c r="G42" i="65"/>
  <c r="E43" i="65"/>
  <c r="G43" i="65"/>
  <c r="E44" i="65"/>
  <c r="E58" i="65"/>
  <c r="G58" i="65"/>
  <c r="H58" i="65"/>
  <c r="J58" i="65"/>
  <c r="K58" i="65"/>
  <c r="M58" i="65"/>
  <c r="N58" i="65"/>
  <c r="P58" i="65"/>
  <c r="Q58" i="65"/>
  <c r="S58" i="65"/>
  <c r="T58" i="65"/>
  <c r="V58" i="65"/>
  <c r="W39" i="65"/>
  <c r="Y39" i="65"/>
  <c r="W40" i="65"/>
  <c r="Y40" i="65"/>
  <c r="W41" i="65"/>
  <c r="Y41" i="65"/>
  <c r="W42" i="65"/>
  <c r="Y42" i="65"/>
  <c r="W43" i="65"/>
  <c r="Y43" i="65"/>
  <c r="W44" i="65"/>
  <c r="W58" i="65"/>
  <c r="Y58" i="65"/>
  <c r="Z58" i="65"/>
  <c r="AB58" i="65"/>
  <c r="AC58" i="65"/>
  <c r="AE58" i="65"/>
  <c r="AF58" i="65"/>
  <c r="AG24" i="65"/>
  <c r="E30" i="65"/>
  <c r="G30" i="65"/>
  <c r="AH24" i="65"/>
  <c r="AI24" i="65"/>
  <c r="AJ24" i="65"/>
  <c r="AK24" i="65"/>
  <c r="AL24" i="65"/>
  <c r="AM24" i="65"/>
  <c r="W30" i="65"/>
  <c r="Y30" i="65"/>
  <c r="AN24" i="65"/>
  <c r="AO24" i="65"/>
  <c r="AP24" i="65"/>
  <c r="AQ24" i="65"/>
  <c r="Z8" i="65"/>
  <c r="U264" i="65"/>
  <c r="B146" i="65"/>
  <c r="D146" i="65"/>
  <c r="E146" i="65"/>
  <c r="E124" i="65"/>
  <c r="G124" i="65"/>
  <c r="E125" i="65"/>
  <c r="G125" i="65"/>
  <c r="E126" i="65"/>
  <c r="G126" i="65"/>
  <c r="E127" i="65"/>
  <c r="G127" i="65"/>
  <c r="E128" i="65"/>
  <c r="G128" i="65"/>
  <c r="E129" i="65"/>
  <c r="G146" i="65"/>
  <c r="H146" i="65"/>
  <c r="J146" i="65"/>
  <c r="K146" i="65"/>
  <c r="M146" i="65"/>
  <c r="N146" i="65"/>
  <c r="P146" i="65"/>
  <c r="Q124" i="65"/>
  <c r="S124" i="65"/>
  <c r="Q125" i="65"/>
  <c r="S125" i="65"/>
  <c r="Q126" i="65"/>
  <c r="S126" i="65"/>
  <c r="Q127" i="65"/>
  <c r="S127" i="65"/>
  <c r="Q128" i="65"/>
  <c r="S128" i="65"/>
  <c r="Q129" i="65"/>
  <c r="Q146" i="65"/>
  <c r="S146" i="65"/>
  <c r="T146" i="65"/>
  <c r="V146" i="65"/>
  <c r="W146" i="65"/>
  <c r="Y146" i="65"/>
  <c r="Z146" i="65"/>
  <c r="AB146" i="65"/>
  <c r="AC146" i="65"/>
  <c r="AE146" i="65"/>
  <c r="AF146" i="65"/>
  <c r="AG112" i="65"/>
  <c r="G115" i="65"/>
  <c r="E115" i="65"/>
  <c r="AH112" i="65"/>
  <c r="AI112" i="65"/>
  <c r="AJ112" i="65"/>
  <c r="AK112" i="65"/>
  <c r="Q115" i="65"/>
  <c r="S115" i="65"/>
  <c r="AL112" i="65"/>
  <c r="AM112" i="65"/>
  <c r="AN112" i="65"/>
  <c r="AO112" i="65"/>
  <c r="AP112" i="65"/>
  <c r="AQ112" i="65"/>
  <c r="Z99" i="65"/>
  <c r="U265" i="65"/>
  <c r="B209" i="65"/>
  <c r="D209" i="65"/>
  <c r="B210" i="65"/>
  <c r="D210" i="65"/>
  <c r="B211" i="65"/>
  <c r="D211" i="65"/>
  <c r="B212" i="65"/>
  <c r="D212" i="65"/>
  <c r="B213" i="65"/>
  <c r="D213" i="65"/>
  <c r="B214" i="65"/>
  <c r="B229" i="65"/>
  <c r="D229" i="65"/>
  <c r="E229" i="65"/>
  <c r="G229" i="65"/>
  <c r="H229" i="65"/>
  <c r="J229" i="65"/>
  <c r="K229" i="65"/>
  <c r="M229" i="65"/>
  <c r="N229" i="65"/>
  <c r="P229" i="65"/>
  <c r="Q229" i="65"/>
  <c r="S229" i="65"/>
  <c r="T209" i="65"/>
  <c r="V209" i="65"/>
  <c r="T210" i="65"/>
  <c r="V210" i="65"/>
  <c r="T211" i="65"/>
  <c r="V211" i="65"/>
  <c r="T212" i="65"/>
  <c r="V212" i="65"/>
  <c r="T213" i="65"/>
  <c r="V213" i="65"/>
  <c r="T214" i="65"/>
  <c r="T229" i="65"/>
  <c r="V229" i="65"/>
  <c r="W229" i="65"/>
  <c r="Y229" i="65"/>
  <c r="Z229" i="65"/>
  <c r="AB229" i="65"/>
  <c r="AC229" i="65"/>
  <c r="AE229" i="65"/>
  <c r="AF229" i="65"/>
  <c r="B200" i="65"/>
  <c r="D200" i="65"/>
  <c r="AG195" i="65"/>
  <c r="AH195" i="65"/>
  <c r="AI195" i="65"/>
  <c r="AJ195" i="65"/>
  <c r="AK195" i="65"/>
  <c r="AL195" i="65"/>
  <c r="T200" i="65"/>
  <c r="V200" i="65"/>
  <c r="AM195" i="65"/>
  <c r="AN195" i="65"/>
  <c r="AO195" i="65"/>
  <c r="AP195" i="65"/>
  <c r="AQ195" i="65"/>
  <c r="Z180" i="65"/>
  <c r="U266" i="65"/>
  <c r="W264" i="65"/>
  <c r="M264" i="65"/>
  <c r="M270" i="65"/>
  <c r="X301" i="65"/>
  <c r="W318" i="65"/>
  <c r="Y323" i="65"/>
  <c r="Y324" i="65"/>
  <c r="Y321" i="65"/>
  <c r="AB321" i="65"/>
  <c r="AE321" i="65"/>
  <c r="AU324" i="65"/>
  <c r="AT324" i="65"/>
  <c r="W265" i="65"/>
  <c r="M265" i="65"/>
  <c r="M271" i="65"/>
  <c r="X302" i="65"/>
  <c r="W319" i="65"/>
  <c r="AG266" i="65"/>
  <c r="X266" i="65"/>
  <c r="X269" i="65"/>
  <c r="X303" i="65"/>
  <c r="W320" i="65"/>
  <c r="AE310" i="65"/>
  <c r="AE311" i="65"/>
  <c r="AE312" i="65"/>
  <c r="AE313" i="65"/>
  <c r="AC310" i="65"/>
  <c r="AC311" i="65"/>
  <c r="AC312" i="65"/>
  <c r="AC313" i="65"/>
  <c r="AC323" i="65"/>
  <c r="AC324" i="65"/>
  <c r="E310" i="65"/>
  <c r="E311" i="65"/>
  <c r="E312" i="65"/>
  <c r="E313" i="65"/>
  <c r="G310" i="65"/>
  <c r="G311" i="65"/>
  <c r="G312" i="65"/>
  <c r="G313" i="65"/>
  <c r="J309" i="65"/>
  <c r="B265" i="65"/>
  <c r="B302" i="65"/>
  <c r="B319" i="65"/>
  <c r="B266" i="65"/>
  <c r="B303" i="65"/>
  <c r="B320" i="65"/>
  <c r="J310" i="65"/>
  <c r="J311" i="65"/>
  <c r="J312" i="65"/>
  <c r="J313" i="65"/>
  <c r="B310" i="65"/>
  <c r="B311" i="65"/>
  <c r="B312" i="65"/>
  <c r="B313" i="65"/>
  <c r="D310" i="65"/>
  <c r="D311" i="65"/>
  <c r="D312" i="65"/>
  <c r="D313" i="65"/>
  <c r="H309" i="65"/>
  <c r="B264" i="65"/>
  <c r="B301" i="65"/>
  <c r="B318" i="65"/>
  <c r="W266" i="65"/>
  <c r="M266" i="65"/>
  <c r="M269" i="65"/>
  <c r="B304" i="65"/>
  <c r="B321" i="65"/>
  <c r="H310" i="65"/>
  <c r="H311" i="65"/>
  <c r="H312" i="65"/>
  <c r="H313" i="65"/>
  <c r="G323" i="65"/>
  <c r="G324" i="65"/>
  <c r="D323" i="65"/>
  <c r="D324" i="65"/>
  <c r="AT323" i="65"/>
  <c r="AT322" i="65"/>
  <c r="AE318" i="65"/>
  <c r="AU321" i="65"/>
  <c r="AT321" i="65"/>
  <c r="D321" i="65"/>
  <c r="G321" i="65"/>
  <c r="J321" i="65"/>
  <c r="AU320" i="65"/>
  <c r="AT320" i="65"/>
  <c r="G320" i="65"/>
  <c r="J320" i="65"/>
  <c r="AU319" i="65"/>
  <c r="AT319" i="65"/>
  <c r="AT318" i="65"/>
  <c r="AT317" i="65"/>
  <c r="AF314" i="65"/>
  <c r="K314" i="65"/>
  <c r="E96" i="65"/>
  <c r="AC265" i="65"/>
  <c r="AF270" i="65"/>
  <c r="AG304" i="65"/>
  <c r="E181" i="65"/>
  <c r="R266" i="65"/>
  <c r="T269" i="65"/>
  <c r="K304" i="65"/>
  <c r="E185" i="65"/>
  <c r="AC266" i="65"/>
  <c r="AF269" i="65"/>
  <c r="AG303" i="65"/>
  <c r="E179" i="65"/>
  <c r="F266" i="65"/>
  <c r="K303" i="65"/>
  <c r="E100" i="65"/>
  <c r="R265" i="65"/>
  <c r="T271" i="65"/>
  <c r="AG302" i="65"/>
  <c r="E98" i="65"/>
  <c r="F265" i="65"/>
  <c r="K302" i="65"/>
  <c r="E9" i="65"/>
  <c r="R264" i="65"/>
  <c r="T270" i="65"/>
  <c r="AG301" i="65"/>
  <c r="E13" i="65"/>
  <c r="F264" i="65"/>
  <c r="K301" i="65"/>
  <c r="V295" i="65"/>
  <c r="A295" i="65"/>
  <c r="AC294" i="65"/>
  <c r="F294" i="65"/>
  <c r="V290" i="65"/>
  <c r="A290" i="65"/>
  <c r="AG289" i="65"/>
  <c r="J289" i="65"/>
  <c r="V286" i="65"/>
  <c r="A286" i="65"/>
  <c r="AC284" i="65"/>
  <c r="U284" i="65"/>
  <c r="F284" i="65"/>
  <c r="A284" i="65"/>
  <c r="V281" i="65"/>
  <c r="A281" i="65"/>
  <c r="B61" i="65"/>
  <c r="D61" i="65"/>
  <c r="E61" i="65"/>
  <c r="G61" i="65"/>
  <c r="H61" i="65"/>
  <c r="J61" i="65"/>
  <c r="K61" i="65"/>
  <c r="M61" i="65"/>
  <c r="N61" i="65"/>
  <c r="P61" i="65"/>
  <c r="Q39" i="65"/>
  <c r="S39" i="65"/>
  <c r="Q40" i="65"/>
  <c r="S40" i="65"/>
  <c r="Q41" i="65"/>
  <c r="S41" i="65"/>
  <c r="Q42" i="65"/>
  <c r="S42" i="65"/>
  <c r="Q43" i="65"/>
  <c r="S43" i="65"/>
  <c r="Q44" i="65"/>
  <c r="Q61" i="65"/>
  <c r="S61" i="65"/>
  <c r="T61" i="65"/>
  <c r="V61" i="65"/>
  <c r="W61" i="65"/>
  <c r="Y61" i="65"/>
  <c r="Z61" i="65"/>
  <c r="AB61" i="65"/>
  <c r="AC61" i="65"/>
  <c r="AE61" i="65"/>
  <c r="AF61" i="65"/>
  <c r="AG27" i="65"/>
  <c r="AH27" i="65"/>
  <c r="AI27" i="65"/>
  <c r="AJ27" i="65"/>
  <c r="AK27" i="65"/>
  <c r="Q30" i="65"/>
  <c r="S30" i="65"/>
  <c r="AL27" i="65"/>
  <c r="AM27" i="65"/>
  <c r="AN27" i="65"/>
  <c r="AO27" i="65"/>
  <c r="AP27" i="65"/>
  <c r="AQ27" i="65"/>
  <c r="Z14" i="65"/>
  <c r="AN264" i="65"/>
  <c r="B143" i="65"/>
  <c r="D143" i="65"/>
  <c r="E143" i="65"/>
  <c r="G143" i="65"/>
  <c r="H143" i="65"/>
  <c r="J143" i="65"/>
  <c r="K143" i="65"/>
  <c r="M143" i="65"/>
  <c r="N143" i="65"/>
  <c r="P143" i="65"/>
  <c r="Q143" i="65"/>
  <c r="S143" i="65"/>
  <c r="T143" i="65"/>
  <c r="V143" i="65"/>
  <c r="W124" i="65"/>
  <c r="Y124" i="65"/>
  <c r="W125" i="65"/>
  <c r="Y125" i="65"/>
  <c r="W126" i="65"/>
  <c r="Y126" i="65"/>
  <c r="W127" i="65"/>
  <c r="Y127" i="65"/>
  <c r="W128" i="65"/>
  <c r="Y128" i="65"/>
  <c r="W129" i="65"/>
  <c r="W143" i="65"/>
  <c r="Y143" i="65"/>
  <c r="Z143" i="65"/>
  <c r="AB143" i="65"/>
  <c r="AC143" i="65"/>
  <c r="AE143" i="65"/>
  <c r="AF143" i="65"/>
  <c r="AG109" i="65"/>
  <c r="AH109" i="65"/>
  <c r="AI109" i="65"/>
  <c r="AJ109" i="65"/>
  <c r="AK109" i="65"/>
  <c r="AL109" i="65"/>
  <c r="AM109" i="65"/>
  <c r="W115" i="65"/>
  <c r="Y115" i="65"/>
  <c r="AN109" i="65"/>
  <c r="AO109" i="65"/>
  <c r="AP109" i="65"/>
  <c r="AQ109" i="65"/>
  <c r="Z93" i="65"/>
  <c r="AN265" i="65"/>
  <c r="B230" i="65"/>
  <c r="D230" i="65"/>
  <c r="E230" i="65"/>
  <c r="G230" i="65"/>
  <c r="H209" i="65"/>
  <c r="J209" i="65"/>
  <c r="H210" i="65"/>
  <c r="J210" i="65"/>
  <c r="H211" i="65"/>
  <c r="J211" i="65"/>
  <c r="H212" i="65"/>
  <c r="J212" i="65"/>
  <c r="H213" i="65"/>
  <c r="J213" i="65"/>
  <c r="H214" i="65"/>
  <c r="H230" i="65"/>
  <c r="J230" i="65"/>
  <c r="K230" i="65"/>
  <c r="M230" i="65"/>
  <c r="N230" i="65"/>
  <c r="P230" i="65"/>
  <c r="Q230" i="65"/>
  <c r="S230" i="65"/>
  <c r="T230" i="65"/>
  <c r="V230" i="65"/>
  <c r="W230" i="65"/>
  <c r="Y230" i="65"/>
  <c r="Z230" i="65"/>
  <c r="AB230" i="65"/>
  <c r="AC230" i="65"/>
  <c r="AE230" i="65"/>
  <c r="AF230" i="65"/>
  <c r="AG196" i="65"/>
  <c r="AH196" i="65"/>
  <c r="H200" i="65"/>
  <c r="J200" i="65"/>
  <c r="AI196" i="65"/>
  <c r="AJ196" i="65"/>
  <c r="AK196" i="65"/>
  <c r="AL196" i="65"/>
  <c r="AM196" i="65"/>
  <c r="AN196" i="65"/>
  <c r="AO196" i="65"/>
  <c r="AP196" i="65"/>
  <c r="AQ196" i="65"/>
  <c r="Z182" i="65"/>
  <c r="AN266" i="65"/>
  <c r="AP264" i="65"/>
  <c r="AN271" i="65"/>
  <c r="AH271" i="65"/>
  <c r="L264" i="65"/>
  <c r="L265" i="65"/>
  <c r="L266" i="65"/>
  <c r="I271" i="65"/>
  <c r="B271" i="65"/>
  <c r="AP265" i="65"/>
  <c r="AN270" i="65"/>
  <c r="AH270" i="65"/>
  <c r="I270" i="65"/>
  <c r="B270" i="65"/>
  <c r="AP266" i="65"/>
  <c r="AN269" i="65"/>
  <c r="AH269" i="65"/>
  <c r="I269" i="65"/>
  <c r="B269" i="65"/>
  <c r="A259" i="65"/>
  <c r="AF246" i="65"/>
  <c r="S245" i="65"/>
  <c r="AF245" i="65"/>
  <c r="J244" i="65"/>
  <c r="AB244" i="65"/>
  <c r="AF244" i="65"/>
  <c r="D243" i="65"/>
  <c r="M243" i="65"/>
  <c r="V243" i="65"/>
  <c r="AF243" i="65"/>
  <c r="G242" i="65"/>
  <c r="P242" i="65"/>
  <c r="Y242" i="65"/>
  <c r="AE242" i="65"/>
  <c r="AF242" i="65"/>
  <c r="AF238" i="65"/>
  <c r="AG238" i="65"/>
  <c r="AF237" i="65"/>
  <c r="AG237" i="65"/>
  <c r="AF236" i="65"/>
  <c r="AG236" i="65"/>
  <c r="AF235" i="65"/>
  <c r="AG235" i="65"/>
  <c r="AF234" i="65"/>
  <c r="AG234" i="65"/>
  <c r="B232" i="65"/>
  <c r="D232" i="65"/>
  <c r="E232" i="65"/>
  <c r="G232" i="65"/>
  <c r="H232" i="65"/>
  <c r="J232" i="65"/>
  <c r="K232" i="65"/>
  <c r="M232" i="65"/>
  <c r="N232" i="65"/>
  <c r="P232" i="65"/>
  <c r="Q232" i="65"/>
  <c r="S232" i="65"/>
  <c r="T232" i="65"/>
  <c r="V232" i="65"/>
  <c r="W232" i="65"/>
  <c r="Y232" i="65"/>
  <c r="Z232" i="65"/>
  <c r="AB232" i="65"/>
  <c r="AC232" i="65"/>
  <c r="AE232" i="65"/>
  <c r="AF232" i="65"/>
  <c r="B226" i="65"/>
  <c r="B207" i="65"/>
  <c r="D207" i="65"/>
  <c r="C207" i="65"/>
  <c r="D226" i="65"/>
  <c r="E226" i="65"/>
  <c r="G226" i="65"/>
  <c r="H226" i="65"/>
  <c r="H207" i="65"/>
  <c r="J207" i="65"/>
  <c r="I207" i="65"/>
  <c r="J226" i="65"/>
  <c r="K226" i="65"/>
  <c r="M226" i="65"/>
  <c r="N226" i="65"/>
  <c r="P226" i="65"/>
  <c r="Q226" i="65"/>
  <c r="Q207" i="65"/>
  <c r="S207" i="65"/>
  <c r="R207" i="65"/>
  <c r="S226" i="65"/>
  <c r="T226" i="65"/>
  <c r="V226" i="65"/>
  <c r="W226" i="65"/>
  <c r="W207" i="65"/>
  <c r="Y207" i="65"/>
  <c r="X207" i="65"/>
  <c r="Y226" i="65"/>
  <c r="Z226" i="65"/>
  <c r="AB226" i="65"/>
  <c r="AC226" i="65"/>
  <c r="AE226" i="65"/>
  <c r="AF226" i="65"/>
  <c r="B225" i="65"/>
  <c r="D225" i="65"/>
  <c r="E225" i="65"/>
  <c r="E207" i="65"/>
  <c r="G207" i="65"/>
  <c r="F207" i="65"/>
  <c r="G225" i="65"/>
  <c r="H225" i="65"/>
  <c r="J225" i="65"/>
  <c r="K225" i="65"/>
  <c r="K207" i="65"/>
  <c r="M207" i="65"/>
  <c r="L207" i="65"/>
  <c r="M225" i="65"/>
  <c r="N225" i="65"/>
  <c r="P225" i="65"/>
  <c r="Q225" i="65"/>
  <c r="S225" i="65"/>
  <c r="T225" i="65"/>
  <c r="V225" i="65"/>
  <c r="W225" i="65"/>
  <c r="Y225" i="65"/>
  <c r="Z225" i="65"/>
  <c r="Z207" i="65"/>
  <c r="AB207" i="65"/>
  <c r="AA207" i="65"/>
  <c r="AB225" i="65"/>
  <c r="AC225" i="65"/>
  <c r="AE225" i="65"/>
  <c r="AF225" i="65"/>
  <c r="B224" i="65"/>
  <c r="D224" i="65"/>
  <c r="E224" i="65"/>
  <c r="G224" i="65"/>
  <c r="H224" i="65"/>
  <c r="J224" i="65"/>
  <c r="K224" i="65"/>
  <c r="M224" i="65"/>
  <c r="N224" i="65"/>
  <c r="N207" i="65"/>
  <c r="P207" i="65"/>
  <c r="O207" i="65"/>
  <c r="P224" i="65"/>
  <c r="Q224" i="65"/>
  <c r="S224" i="65"/>
  <c r="T224" i="65"/>
  <c r="T207" i="65"/>
  <c r="V207" i="65"/>
  <c r="U207" i="65"/>
  <c r="V224" i="65"/>
  <c r="W224" i="65"/>
  <c r="Y224" i="65"/>
  <c r="Z224" i="65"/>
  <c r="AB224" i="65"/>
  <c r="AC224" i="65"/>
  <c r="AE224" i="65"/>
  <c r="AF224" i="65"/>
  <c r="B223" i="65"/>
  <c r="D223" i="65"/>
  <c r="E223" i="65"/>
  <c r="G223" i="65"/>
  <c r="H223" i="65"/>
  <c r="J223" i="65"/>
  <c r="K223" i="65"/>
  <c r="M223" i="65"/>
  <c r="N223" i="65"/>
  <c r="P223" i="65"/>
  <c r="Q223" i="65"/>
  <c r="S223" i="65"/>
  <c r="T223" i="65"/>
  <c r="V223" i="65"/>
  <c r="W223" i="65"/>
  <c r="Y223" i="65"/>
  <c r="Z223" i="65"/>
  <c r="AB223" i="65"/>
  <c r="AC223" i="65"/>
  <c r="AC207" i="65"/>
  <c r="AE207" i="65"/>
  <c r="AD207" i="65"/>
  <c r="AE223" i="65"/>
  <c r="AF223" i="65"/>
  <c r="B222" i="65"/>
  <c r="D222" i="65"/>
  <c r="E222" i="65"/>
  <c r="G222" i="65"/>
  <c r="H222" i="65"/>
  <c r="J222" i="65"/>
  <c r="K222" i="65"/>
  <c r="M222" i="65"/>
  <c r="N222" i="65"/>
  <c r="P222" i="65"/>
  <c r="Q222" i="65"/>
  <c r="S222" i="65"/>
  <c r="T222" i="65"/>
  <c r="V222" i="65"/>
  <c r="W222" i="65"/>
  <c r="Y222" i="65"/>
  <c r="Z222" i="65"/>
  <c r="AB222" i="65"/>
  <c r="AC222" i="65"/>
  <c r="AE222" i="65"/>
  <c r="AF222" i="65"/>
  <c r="B220" i="65"/>
  <c r="D220" i="65"/>
  <c r="E220" i="65"/>
  <c r="G220" i="65"/>
  <c r="H220" i="65"/>
  <c r="J220" i="65"/>
  <c r="K220" i="65"/>
  <c r="M220" i="65"/>
  <c r="N220" i="65"/>
  <c r="P220" i="65"/>
  <c r="Q220" i="65"/>
  <c r="S220" i="65"/>
  <c r="T220" i="65"/>
  <c r="V220" i="65"/>
  <c r="W220" i="65"/>
  <c r="Y220" i="65"/>
  <c r="Z220" i="65"/>
  <c r="AB220" i="65"/>
  <c r="AC220" i="65"/>
  <c r="AE220" i="65"/>
  <c r="AF220" i="65"/>
  <c r="AG220" i="65"/>
  <c r="B219" i="65"/>
  <c r="D219" i="65"/>
  <c r="E219" i="65"/>
  <c r="G219" i="65"/>
  <c r="H219" i="65"/>
  <c r="J219" i="65"/>
  <c r="K219" i="65"/>
  <c r="M219" i="65"/>
  <c r="N219" i="65"/>
  <c r="P219" i="65"/>
  <c r="Q219" i="65"/>
  <c r="S219" i="65"/>
  <c r="T219" i="65"/>
  <c r="V219" i="65"/>
  <c r="W219" i="65"/>
  <c r="Y219" i="65"/>
  <c r="Z219" i="65"/>
  <c r="AB219" i="65"/>
  <c r="AC219" i="65"/>
  <c r="AE219" i="65"/>
  <c r="AF219" i="65"/>
  <c r="AG219" i="65"/>
  <c r="B218" i="65"/>
  <c r="D218" i="65"/>
  <c r="E218" i="65"/>
  <c r="G218" i="65"/>
  <c r="H218" i="65"/>
  <c r="J218" i="65"/>
  <c r="K218" i="65"/>
  <c r="M218" i="65"/>
  <c r="N218" i="65"/>
  <c r="P218" i="65"/>
  <c r="Q218" i="65"/>
  <c r="S218" i="65"/>
  <c r="T218" i="65"/>
  <c r="V218" i="65"/>
  <c r="W218" i="65"/>
  <c r="Y218" i="65"/>
  <c r="Z218" i="65"/>
  <c r="AB218" i="65"/>
  <c r="AC218" i="65"/>
  <c r="AE218" i="65"/>
  <c r="AF218" i="65"/>
  <c r="AG218" i="65"/>
  <c r="B217" i="65"/>
  <c r="D217" i="65"/>
  <c r="E217" i="65"/>
  <c r="G217" i="65"/>
  <c r="H217" i="65"/>
  <c r="J217" i="65"/>
  <c r="K217" i="65"/>
  <c r="M217" i="65"/>
  <c r="N217" i="65"/>
  <c r="P217" i="65"/>
  <c r="Q217" i="65"/>
  <c r="S217" i="65"/>
  <c r="T217" i="65"/>
  <c r="V217" i="65"/>
  <c r="W217" i="65"/>
  <c r="Y217" i="65"/>
  <c r="Z217" i="65"/>
  <c r="AB217" i="65"/>
  <c r="AC217" i="65"/>
  <c r="AE217" i="65"/>
  <c r="AF217" i="65"/>
  <c r="AG217" i="65"/>
  <c r="B216" i="65"/>
  <c r="D216" i="65"/>
  <c r="E216" i="65"/>
  <c r="G216" i="65"/>
  <c r="H216" i="65"/>
  <c r="J216" i="65"/>
  <c r="K216" i="65"/>
  <c r="M216" i="65"/>
  <c r="N216" i="65"/>
  <c r="P216" i="65"/>
  <c r="Q216" i="65"/>
  <c r="S216" i="65"/>
  <c r="T216" i="65"/>
  <c r="V216" i="65"/>
  <c r="W216" i="65"/>
  <c r="Y216" i="65"/>
  <c r="Z216" i="65"/>
  <c r="AB216" i="65"/>
  <c r="AC216" i="65"/>
  <c r="AE216" i="65"/>
  <c r="AF216" i="65"/>
  <c r="AG216" i="65"/>
  <c r="AD199" i="65"/>
  <c r="AA199" i="65"/>
  <c r="X199" i="65"/>
  <c r="U199" i="65"/>
  <c r="R199" i="65"/>
  <c r="O199" i="65"/>
  <c r="L199" i="65"/>
  <c r="I199" i="65"/>
  <c r="F199" i="65"/>
  <c r="A199" i="65"/>
  <c r="AG198" i="65"/>
  <c r="AH198" i="65"/>
  <c r="AI198" i="65"/>
  <c r="AJ198" i="65"/>
  <c r="AK198" i="65"/>
  <c r="AL198" i="65"/>
  <c r="AM198" i="65"/>
  <c r="AN198" i="65"/>
  <c r="AO198" i="65"/>
  <c r="AP198" i="65"/>
  <c r="AQ198" i="65"/>
  <c r="AF198" i="65"/>
  <c r="AD198" i="65"/>
  <c r="AA198" i="65"/>
  <c r="X198" i="65"/>
  <c r="U198" i="65"/>
  <c r="R198" i="65"/>
  <c r="O198" i="65"/>
  <c r="L198" i="65"/>
  <c r="I198" i="65"/>
  <c r="F198" i="65"/>
  <c r="A198" i="65"/>
  <c r="AF197" i="65"/>
  <c r="AD197" i="65"/>
  <c r="AA197" i="65"/>
  <c r="X197" i="65"/>
  <c r="U197" i="65"/>
  <c r="R197" i="65"/>
  <c r="O197" i="65"/>
  <c r="L197" i="65"/>
  <c r="I197" i="65"/>
  <c r="F197" i="65"/>
  <c r="A197" i="65"/>
  <c r="AF196" i="65"/>
  <c r="AD196" i="65"/>
  <c r="AA196" i="65"/>
  <c r="X196" i="65"/>
  <c r="U196" i="65"/>
  <c r="R196" i="65"/>
  <c r="O196" i="65"/>
  <c r="L196" i="65"/>
  <c r="I196" i="65"/>
  <c r="F196" i="65"/>
  <c r="A196" i="65"/>
  <c r="AF195" i="65"/>
  <c r="AD195" i="65"/>
  <c r="AA195" i="65"/>
  <c r="X195" i="65"/>
  <c r="U195" i="65"/>
  <c r="R195" i="65"/>
  <c r="O195" i="65"/>
  <c r="L195" i="65"/>
  <c r="I195" i="65"/>
  <c r="F195" i="65"/>
  <c r="AF194" i="65"/>
  <c r="AD194" i="65"/>
  <c r="AA194" i="65"/>
  <c r="X194" i="65"/>
  <c r="U194" i="65"/>
  <c r="R194" i="65"/>
  <c r="O194" i="65"/>
  <c r="L194" i="65"/>
  <c r="I194" i="65"/>
  <c r="F194" i="65"/>
  <c r="AC192" i="65"/>
  <c r="Z192" i="65"/>
  <c r="W192" i="65"/>
  <c r="T192" i="65"/>
  <c r="Q192" i="65"/>
  <c r="N192" i="65"/>
  <c r="K192" i="65"/>
  <c r="H192" i="65"/>
  <c r="E192" i="65"/>
  <c r="E187" i="65"/>
  <c r="AC186" i="65"/>
  <c r="Z186" i="65"/>
  <c r="W186" i="65"/>
  <c r="R186" i="65"/>
  <c r="L186" i="65"/>
  <c r="A186" i="65"/>
  <c r="AC184" i="65"/>
  <c r="W184" i="65"/>
  <c r="R184" i="65"/>
  <c r="L184" i="65"/>
  <c r="A184" i="65"/>
  <c r="AC182" i="65"/>
  <c r="W182" i="65"/>
  <c r="R182" i="65"/>
  <c r="L182" i="65"/>
  <c r="A182" i="65"/>
  <c r="AC180" i="65"/>
  <c r="W180" i="65"/>
  <c r="R180" i="65"/>
  <c r="L180" i="65"/>
  <c r="A180" i="65"/>
  <c r="AC178" i="65"/>
  <c r="W178" i="65"/>
  <c r="R178" i="65"/>
  <c r="L178" i="65"/>
  <c r="A178" i="65"/>
  <c r="R177" i="65"/>
  <c r="L177" i="65"/>
  <c r="K176" i="65"/>
  <c r="A174" i="65"/>
  <c r="AF161" i="65"/>
  <c r="S160" i="65"/>
  <c r="AF160" i="65"/>
  <c r="J159" i="65"/>
  <c r="AB159" i="65"/>
  <c r="AF159" i="65"/>
  <c r="D158" i="65"/>
  <c r="M158" i="65"/>
  <c r="V158" i="65"/>
  <c r="AF158" i="65"/>
  <c r="G157" i="65"/>
  <c r="P157" i="65"/>
  <c r="Y157" i="65"/>
  <c r="AE157" i="65"/>
  <c r="AF157" i="65"/>
  <c r="AF153" i="65"/>
  <c r="AG153" i="65"/>
  <c r="AF152" i="65"/>
  <c r="AG152" i="65"/>
  <c r="AF151" i="65"/>
  <c r="AG151" i="65"/>
  <c r="AF150" i="65"/>
  <c r="AG150" i="65"/>
  <c r="AF149" i="65"/>
  <c r="AG149" i="65"/>
  <c r="B147" i="65"/>
  <c r="D147" i="65"/>
  <c r="E147" i="65"/>
  <c r="G147" i="65"/>
  <c r="H147" i="65"/>
  <c r="J147" i="65"/>
  <c r="K147" i="65"/>
  <c r="M147" i="65"/>
  <c r="N147" i="65"/>
  <c r="P147" i="65"/>
  <c r="Q147" i="65"/>
  <c r="S147" i="65"/>
  <c r="T147" i="65"/>
  <c r="V147" i="65"/>
  <c r="W147" i="65"/>
  <c r="Y147" i="65"/>
  <c r="Z147" i="65"/>
  <c r="AB147" i="65"/>
  <c r="AC147" i="65"/>
  <c r="AE147" i="65"/>
  <c r="AF147" i="65"/>
  <c r="B141" i="65"/>
  <c r="B122" i="65"/>
  <c r="D122" i="65"/>
  <c r="C122" i="65"/>
  <c r="D141" i="65"/>
  <c r="E141" i="65"/>
  <c r="G141" i="65"/>
  <c r="H141" i="65"/>
  <c r="H122" i="65"/>
  <c r="J122" i="65"/>
  <c r="I122" i="65"/>
  <c r="J141" i="65"/>
  <c r="K141" i="65"/>
  <c r="M141" i="65"/>
  <c r="N141" i="65"/>
  <c r="P141" i="65"/>
  <c r="Q141" i="65"/>
  <c r="Q122" i="65"/>
  <c r="S122" i="65"/>
  <c r="R122" i="65"/>
  <c r="S141" i="65"/>
  <c r="T141" i="65"/>
  <c r="V141" i="65"/>
  <c r="W141" i="65"/>
  <c r="W122" i="65"/>
  <c r="Y122" i="65"/>
  <c r="X122" i="65"/>
  <c r="Y141" i="65"/>
  <c r="Z141" i="65"/>
  <c r="AB141" i="65"/>
  <c r="AC141" i="65"/>
  <c r="AE141" i="65"/>
  <c r="AF141" i="65"/>
  <c r="B140" i="65"/>
  <c r="D140" i="65"/>
  <c r="E140" i="65"/>
  <c r="E122" i="65"/>
  <c r="G122" i="65"/>
  <c r="F122" i="65"/>
  <c r="G140" i="65"/>
  <c r="H140" i="65"/>
  <c r="J140" i="65"/>
  <c r="K140" i="65"/>
  <c r="K122" i="65"/>
  <c r="M122" i="65"/>
  <c r="L122" i="65"/>
  <c r="M140" i="65"/>
  <c r="N140" i="65"/>
  <c r="P140" i="65"/>
  <c r="Q140" i="65"/>
  <c r="S140" i="65"/>
  <c r="T140" i="65"/>
  <c r="V140" i="65"/>
  <c r="W140" i="65"/>
  <c r="Y140" i="65"/>
  <c r="Z140" i="65"/>
  <c r="Z122" i="65"/>
  <c r="AB122" i="65"/>
  <c r="AA122" i="65"/>
  <c r="AB140" i="65"/>
  <c r="AC140" i="65"/>
  <c r="AE140" i="65"/>
  <c r="AF140" i="65"/>
  <c r="B139" i="65"/>
  <c r="D139" i="65"/>
  <c r="E139" i="65"/>
  <c r="G139" i="65"/>
  <c r="H139" i="65"/>
  <c r="J139" i="65"/>
  <c r="K139" i="65"/>
  <c r="M139" i="65"/>
  <c r="N139" i="65"/>
  <c r="N122" i="65"/>
  <c r="P122" i="65"/>
  <c r="O122" i="65"/>
  <c r="P139" i="65"/>
  <c r="Q139" i="65"/>
  <c r="S139" i="65"/>
  <c r="T139" i="65"/>
  <c r="T122" i="65"/>
  <c r="V122" i="65"/>
  <c r="U122" i="65"/>
  <c r="V139" i="65"/>
  <c r="W139" i="65"/>
  <c r="Y139" i="65"/>
  <c r="Z139" i="65"/>
  <c r="AB139" i="65"/>
  <c r="AC139" i="65"/>
  <c r="AE139" i="65"/>
  <c r="AF139" i="65"/>
  <c r="B138" i="65"/>
  <c r="D138" i="65"/>
  <c r="E138" i="65"/>
  <c r="G138" i="65"/>
  <c r="H138" i="65"/>
  <c r="J138" i="65"/>
  <c r="K138" i="65"/>
  <c r="M138" i="65"/>
  <c r="N138" i="65"/>
  <c r="P138" i="65"/>
  <c r="Q138" i="65"/>
  <c r="S138" i="65"/>
  <c r="T138" i="65"/>
  <c r="V138" i="65"/>
  <c r="W138" i="65"/>
  <c r="Y138" i="65"/>
  <c r="Z138" i="65"/>
  <c r="AB138" i="65"/>
  <c r="AC138" i="65"/>
  <c r="AC122" i="65"/>
  <c r="AE122" i="65"/>
  <c r="AD122" i="65"/>
  <c r="AE138" i="65"/>
  <c r="AF138" i="65"/>
  <c r="B137" i="65"/>
  <c r="D137" i="65"/>
  <c r="E137" i="65"/>
  <c r="G137" i="65"/>
  <c r="H137" i="65"/>
  <c r="J137" i="65"/>
  <c r="K137" i="65"/>
  <c r="M137" i="65"/>
  <c r="N137" i="65"/>
  <c r="P137" i="65"/>
  <c r="Q137" i="65"/>
  <c r="S137" i="65"/>
  <c r="T137" i="65"/>
  <c r="V137" i="65"/>
  <c r="W137" i="65"/>
  <c r="Y137" i="65"/>
  <c r="Z137" i="65"/>
  <c r="AB137" i="65"/>
  <c r="AC137" i="65"/>
  <c r="AE137" i="65"/>
  <c r="AF137" i="65"/>
  <c r="B135" i="65"/>
  <c r="D135" i="65"/>
  <c r="E135" i="65"/>
  <c r="G135" i="65"/>
  <c r="H135" i="65"/>
  <c r="J135" i="65"/>
  <c r="K135" i="65"/>
  <c r="M135" i="65"/>
  <c r="N135" i="65"/>
  <c r="P135" i="65"/>
  <c r="Q135" i="65"/>
  <c r="S135" i="65"/>
  <c r="T135" i="65"/>
  <c r="V135" i="65"/>
  <c r="W135" i="65"/>
  <c r="Y135" i="65"/>
  <c r="Z135" i="65"/>
  <c r="AB135" i="65"/>
  <c r="AC135" i="65"/>
  <c r="AE135" i="65"/>
  <c r="AF135" i="65"/>
  <c r="AG135" i="65"/>
  <c r="B134" i="65"/>
  <c r="D134" i="65"/>
  <c r="E134" i="65"/>
  <c r="G134" i="65"/>
  <c r="H134" i="65"/>
  <c r="J134" i="65"/>
  <c r="K134" i="65"/>
  <c r="M134" i="65"/>
  <c r="N134" i="65"/>
  <c r="P134" i="65"/>
  <c r="Q134" i="65"/>
  <c r="S134" i="65"/>
  <c r="T134" i="65"/>
  <c r="V134" i="65"/>
  <c r="W134" i="65"/>
  <c r="Y134" i="65"/>
  <c r="Z134" i="65"/>
  <c r="AB134" i="65"/>
  <c r="AC134" i="65"/>
  <c r="AE134" i="65"/>
  <c r="AF134" i="65"/>
  <c r="AG134" i="65"/>
  <c r="B133" i="65"/>
  <c r="D133" i="65"/>
  <c r="E133" i="65"/>
  <c r="G133" i="65"/>
  <c r="H133" i="65"/>
  <c r="J133" i="65"/>
  <c r="K133" i="65"/>
  <c r="M133" i="65"/>
  <c r="N133" i="65"/>
  <c r="P133" i="65"/>
  <c r="Q133" i="65"/>
  <c r="S133" i="65"/>
  <c r="T133" i="65"/>
  <c r="V133" i="65"/>
  <c r="W133" i="65"/>
  <c r="Y133" i="65"/>
  <c r="Z133" i="65"/>
  <c r="AB133" i="65"/>
  <c r="AC133" i="65"/>
  <c r="AE133" i="65"/>
  <c r="AF133" i="65"/>
  <c r="AG133" i="65"/>
  <c r="B132" i="65"/>
  <c r="D132" i="65"/>
  <c r="E132" i="65"/>
  <c r="G132" i="65"/>
  <c r="H132" i="65"/>
  <c r="J132" i="65"/>
  <c r="K132" i="65"/>
  <c r="M132" i="65"/>
  <c r="N132" i="65"/>
  <c r="P132" i="65"/>
  <c r="Q132" i="65"/>
  <c r="S132" i="65"/>
  <c r="T132" i="65"/>
  <c r="V132" i="65"/>
  <c r="W132" i="65"/>
  <c r="Y132" i="65"/>
  <c r="Z132" i="65"/>
  <c r="AB132" i="65"/>
  <c r="AC132" i="65"/>
  <c r="AE132" i="65"/>
  <c r="AF132" i="65"/>
  <c r="AG132" i="65"/>
  <c r="B131" i="65"/>
  <c r="D131" i="65"/>
  <c r="E131" i="65"/>
  <c r="G131" i="65"/>
  <c r="H131" i="65"/>
  <c r="J131" i="65"/>
  <c r="K131" i="65"/>
  <c r="M131" i="65"/>
  <c r="N131" i="65"/>
  <c r="P131" i="65"/>
  <c r="Q131" i="65"/>
  <c r="S131" i="65"/>
  <c r="T131" i="65"/>
  <c r="V131" i="65"/>
  <c r="W131" i="65"/>
  <c r="Y131" i="65"/>
  <c r="Z131" i="65"/>
  <c r="AB131" i="65"/>
  <c r="AC131" i="65"/>
  <c r="AE131" i="65"/>
  <c r="AF131" i="65"/>
  <c r="AG131" i="65"/>
  <c r="AD114" i="65"/>
  <c r="AA114" i="65"/>
  <c r="X114" i="65"/>
  <c r="U114" i="65"/>
  <c r="R114" i="65"/>
  <c r="O114" i="65"/>
  <c r="L114" i="65"/>
  <c r="I114" i="65"/>
  <c r="F114" i="65"/>
  <c r="A114" i="65"/>
  <c r="AG113" i="65"/>
  <c r="AH113" i="65"/>
  <c r="AI113" i="65"/>
  <c r="AJ113" i="65"/>
  <c r="AK113" i="65"/>
  <c r="AL113" i="65"/>
  <c r="AM113" i="65"/>
  <c r="AN113" i="65"/>
  <c r="AO113" i="65"/>
  <c r="AP113" i="65"/>
  <c r="AQ113" i="65"/>
  <c r="AF113" i="65"/>
  <c r="AD113" i="65"/>
  <c r="AA113" i="65"/>
  <c r="X113" i="65"/>
  <c r="U113" i="65"/>
  <c r="R113" i="65"/>
  <c r="O113" i="65"/>
  <c r="L113" i="65"/>
  <c r="I113" i="65"/>
  <c r="F113" i="65"/>
  <c r="A113" i="65"/>
  <c r="AF112" i="65"/>
  <c r="AD112" i="65"/>
  <c r="AA112" i="65"/>
  <c r="X112" i="65"/>
  <c r="U112" i="65"/>
  <c r="R112" i="65"/>
  <c r="O112" i="65"/>
  <c r="L112" i="65"/>
  <c r="I112" i="65"/>
  <c r="F112" i="65"/>
  <c r="A112" i="65"/>
  <c r="AF111" i="65"/>
  <c r="AD111" i="65"/>
  <c r="AA111" i="65"/>
  <c r="X111" i="65"/>
  <c r="U111" i="65"/>
  <c r="R111" i="65"/>
  <c r="O111" i="65"/>
  <c r="L111" i="65"/>
  <c r="I111" i="65"/>
  <c r="F111" i="65"/>
  <c r="A111" i="65"/>
  <c r="AF110" i="65"/>
  <c r="AD110" i="65"/>
  <c r="AA110" i="65"/>
  <c r="X110" i="65"/>
  <c r="U110" i="65"/>
  <c r="R110" i="65"/>
  <c r="O110" i="65"/>
  <c r="L110" i="65"/>
  <c r="I110" i="65"/>
  <c r="F110" i="65"/>
  <c r="AF109" i="65"/>
  <c r="AD109" i="65"/>
  <c r="AA109" i="65"/>
  <c r="X109" i="65"/>
  <c r="U109" i="65"/>
  <c r="R109" i="65"/>
  <c r="O109" i="65"/>
  <c r="L109" i="65"/>
  <c r="I109" i="65"/>
  <c r="F109" i="65"/>
  <c r="AC107" i="65"/>
  <c r="Z107" i="65"/>
  <c r="W107" i="65"/>
  <c r="T107" i="65"/>
  <c r="Q107" i="65"/>
  <c r="N107" i="65"/>
  <c r="K107" i="65"/>
  <c r="H107" i="65"/>
  <c r="E107" i="65"/>
  <c r="E102" i="65"/>
  <c r="AC101" i="65"/>
  <c r="Z101" i="65"/>
  <c r="W101" i="65"/>
  <c r="R101" i="65"/>
  <c r="L101" i="65"/>
  <c r="A101" i="65"/>
  <c r="AC99" i="65"/>
  <c r="W99" i="65"/>
  <c r="R99" i="65"/>
  <c r="L99" i="65"/>
  <c r="A99" i="65"/>
  <c r="AC97" i="65"/>
  <c r="W97" i="65"/>
  <c r="R97" i="65"/>
  <c r="L97" i="65"/>
  <c r="A97" i="65"/>
  <c r="AC95" i="65"/>
  <c r="W95" i="65"/>
  <c r="R95" i="65"/>
  <c r="L95" i="65"/>
  <c r="A95" i="65"/>
  <c r="AC93" i="65"/>
  <c r="W93" i="65"/>
  <c r="R93" i="65"/>
  <c r="L93" i="65"/>
  <c r="A93" i="65"/>
  <c r="R92" i="65"/>
  <c r="L92" i="65"/>
  <c r="K91" i="65"/>
  <c r="A89" i="65"/>
  <c r="AF76" i="65"/>
  <c r="S75" i="65"/>
  <c r="AF75" i="65"/>
  <c r="J74" i="65"/>
  <c r="AB74" i="65"/>
  <c r="AF74" i="65"/>
  <c r="D73" i="65"/>
  <c r="M73" i="65"/>
  <c r="V73" i="65"/>
  <c r="AF73" i="65"/>
  <c r="G72" i="65"/>
  <c r="P72" i="65"/>
  <c r="Y72" i="65"/>
  <c r="AE72" i="65"/>
  <c r="AF72" i="65"/>
  <c r="AF68" i="65"/>
  <c r="AG68" i="65"/>
  <c r="AF67" i="65"/>
  <c r="AG67" i="65"/>
  <c r="AF66" i="65"/>
  <c r="AG66" i="65"/>
  <c r="AF65" i="65"/>
  <c r="AG65" i="65"/>
  <c r="AF64" i="65"/>
  <c r="AG64" i="65"/>
  <c r="B62" i="65"/>
  <c r="D62" i="65"/>
  <c r="E62" i="65"/>
  <c r="G62" i="65"/>
  <c r="H62" i="65"/>
  <c r="J62" i="65"/>
  <c r="K62" i="65"/>
  <c r="M62" i="65"/>
  <c r="N62" i="65"/>
  <c r="P62" i="65"/>
  <c r="Q62" i="65"/>
  <c r="S62" i="65"/>
  <c r="T62" i="65"/>
  <c r="V62" i="65"/>
  <c r="W62" i="65"/>
  <c r="Y62" i="65"/>
  <c r="Z62" i="65"/>
  <c r="AB62" i="65"/>
  <c r="AC62" i="65"/>
  <c r="AE62" i="65"/>
  <c r="AF62" i="65"/>
  <c r="B56" i="65"/>
  <c r="B37" i="65"/>
  <c r="D37" i="65"/>
  <c r="C37" i="65"/>
  <c r="D56" i="65"/>
  <c r="E56" i="65"/>
  <c r="G56" i="65"/>
  <c r="H56" i="65"/>
  <c r="H37" i="65"/>
  <c r="J37" i="65"/>
  <c r="I37" i="65"/>
  <c r="J56" i="65"/>
  <c r="K56" i="65"/>
  <c r="M56" i="65"/>
  <c r="N56" i="65"/>
  <c r="P56" i="65"/>
  <c r="Q56" i="65"/>
  <c r="Q37" i="65"/>
  <c r="S37" i="65"/>
  <c r="R37" i="65"/>
  <c r="S56" i="65"/>
  <c r="T56" i="65"/>
  <c r="V56" i="65"/>
  <c r="W56" i="65"/>
  <c r="W37" i="65"/>
  <c r="Y37" i="65"/>
  <c r="X37" i="65"/>
  <c r="Y56" i="65"/>
  <c r="Z56" i="65"/>
  <c r="AB56" i="65"/>
  <c r="AC56" i="65"/>
  <c r="AE56" i="65"/>
  <c r="AF56" i="65"/>
  <c r="B55" i="65"/>
  <c r="D55" i="65"/>
  <c r="E55" i="65"/>
  <c r="E37" i="65"/>
  <c r="G37" i="65"/>
  <c r="F37" i="65"/>
  <c r="G55" i="65"/>
  <c r="H55" i="65"/>
  <c r="J55" i="65"/>
  <c r="K55" i="65"/>
  <c r="K37" i="65"/>
  <c r="M37" i="65"/>
  <c r="L37" i="65"/>
  <c r="M55" i="65"/>
  <c r="N55" i="65"/>
  <c r="P55" i="65"/>
  <c r="Q55" i="65"/>
  <c r="S55" i="65"/>
  <c r="T55" i="65"/>
  <c r="V55" i="65"/>
  <c r="W55" i="65"/>
  <c r="Y55" i="65"/>
  <c r="Z55" i="65"/>
  <c r="Z37" i="65"/>
  <c r="AB37" i="65"/>
  <c r="AA37" i="65"/>
  <c r="AB55" i="65"/>
  <c r="AC55" i="65"/>
  <c r="AE55" i="65"/>
  <c r="AF55" i="65"/>
  <c r="B54" i="65"/>
  <c r="D54" i="65"/>
  <c r="E54" i="65"/>
  <c r="G54" i="65"/>
  <c r="H54" i="65"/>
  <c r="J54" i="65"/>
  <c r="K54" i="65"/>
  <c r="M54" i="65"/>
  <c r="N54" i="65"/>
  <c r="N37" i="65"/>
  <c r="P37" i="65"/>
  <c r="O37" i="65"/>
  <c r="P54" i="65"/>
  <c r="Q54" i="65"/>
  <c r="S54" i="65"/>
  <c r="T54" i="65"/>
  <c r="T37" i="65"/>
  <c r="V37" i="65"/>
  <c r="U37" i="65"/>
  <c r="V54" i="65"/>
  <c r="W54" i="65"/>
  <c r="Y54" i="65"/>
  <c r="Z54" i="65"/>
  <c r="AB54" i="65"/>
  <c r="AC54" i="65"/>
  <c r="AE54" i="65"/>
  <c r="AF54" i="65"/>
  <c r="B53" i="65"/>
  <c r="D53" i="65"/>
  <c r="E53" i="65"/>
  <c r="G53" i="65"/>
  <c r="H53" i="65"/>
  <c r="J53" i="65"/>
  <c r="K53" i="65"/>
  <c r="M53" i="65"/>
  <c r="N53" i="65"/>
  <c r="P53" i="65"/>
  <c r="Q53" i="65"/>
  <c r="S53" i="65"/>
  <c r="T53" i="65"/>
  <c r="V53" i="65"/>
  <c r="W53" i="65"/>
  <c r="Y53" i="65"/>
  <c r="Z53" i="65"/>
  <c r="AB53" i="65"/>
  <c r="AC53" i="65"/>
  <c r="AC37" i="65"/>
  <c r="AE37" i="65"/>
  <c r="AD37" i="65"/>
  <c r="AE53" i="65"/>
  <c r="AF53" i="65"/>
  <c r="B52" i="65"/>
  <c r="D52" i="65"/>
  <c r="E52" i="65"/>
  <c r="G52" i="65"/>
  <c r="H52" i="65"/>
  <c r="J52" i="65"/>
  <c r="K52" i="65"/>
  <c r="M52" i="65"/>
  <c r="N52" i="65"/>
  <c r="P52" i="65"/>
  <c r="Q52" i="65"/>
  <c r="S52" i="65"/>
  <c r="T52" i="65"/>
  <c r="V52" i="65"/>
  <c r="W52" i="65"/>
  <c r="Y52" i="65"/>
  <c r="Z52" i="65"/>
  <c r="AB52" i="65"/>
  <c r="AC52" i="65"/>
  <c r="AE52" i="65"/>
  <c r="AF52" i="65"/>
  <c r="B50" i="65"/>
  <c r="D50" i="65"/>
  <c r="E50" i="65"/>
  <c r="G50" i="65"/>
  <c r="H50" i="65"/>
  <c r="J50" i="65"/>
  <c r="K50" i="65"/>
  <c r="M50" i="65"/>
  <c r="N50" i="65"/>
  <c r="P50" i="65"/>
  <c r="Q50" i="65"/>
  <c r="S50" i="65"/>
  <c r="T50" i="65"/>
  <c r="V50" i="65"/>
  <c r="W50" i="65"/>
  <c r="Y50" i="65"/>
  <c r="Z50" i="65"/>
  <c r="AB50" i="65"/>
  <c r="AC50" i="65"/>
  <c r="AE50" i="65"/>
  <c r="AF50" i="65"/>
  <c r="AG50" i="65"/>
  <c r="B49" i="65"/>
  <c r="D49" i="65"/>
  <c r="E49" i="65"/>
  <c r="G49" i="65"/>
  <c r="H49" i="65"/>
  <c r="J49" i="65"/>
  <c r="K49" i="65"/>
  <c r="M49" i="65"/>
  <c r="N49" i="65"/>
  <c r="P49" i="65"/>
  <c r="Q49" i="65"/>
  <c r="S49" i="65"/>
  <c r="T49" i="65"/>
  <c r="V49" i="65"/>
  <c r="W49" i="65"/>
  <c r="Y49" i="65"/>
  <c r="Z49" i="65"/>
  <c r="AB49" i="65"/>
  <c r="AC49" i="65"/>
  <c r="AE49" i="65"/>
  <c r="AF49" i="65"/>
  <c r="AG49" i="65"/>
  <c r="B48" i="65"/>
  <c r="D48" i="65"/>
  <c r="E48" i="65"/>
  <c r="G48" i="65"/>
  <c r="H48" i="65"/>
  <c r="J48" i="65"/>
  <c r="K48" i="65"/>
  <c r="M48" i="65"/>
  <c r="N48" i="65"/>
  <c r="P48" i="65"/>
  <c r="Q48" i="65"/>
  <c r="S48" i="65"/>
  <c r="T48" i="65"/>
  <c r="V48" i="65"/>
  <c r="W48" i="65"/>
  <c r="Y48" i="65"/>
  <c r="Z48" i="65"/>
  <c r="AB48" i="65"/>
  <c r="AC48" i="65"/>
  <c r="AE48" i="65"/>
  <c r="AF48" i="65"/>
  <c r="AG48" i="65"/>
  <c r="B47" i="65"/>
  <c r="D47" i="65"/>
  <c r="E47" i="65"/>
  <c r="G47" i="65"/>
  <c r="H47" i="65"/>
  <c r="J47" i="65"/>
  <c r="K47" i="65"/>
  <c r="M47" i="65"/>
  <c r="N47" i="65"/>
  <c r="P47" i="65"/>
  <c r="Q47" i="65"/>
  <c r="S47" i="65"/>
  <c r="T47" i="65"/>
  <c r="V47" i="65"/>
  <c r="W47" i="65"/>
  <c r="Y47" i="65"/>
  <c r="Z47" i="65"/>
  <c r="AB47" i="65"/>
  <c r="AC47" i="65"/>
  <c r="AE47" i="65"/>
  <c r="AF47" i="65"/>
  <c r="AG47" i="65"/>
  <c r="B46" i="65"/>
  <c r="D46" i="65"/>
  <c r="E46" i="65"/>
  <c r="G46" i="65"/>
  <c r="H46" i="65"/>
  <c r="J46" i="65"/>
  <c r="K46" i="65"/>
  <c r="M46" i="65"/>
  <c r="N46" i="65"/>
  <c r="P46" i="65"/>
  <c r="Q46" i="65"/>
  <c r="S46" i="65"/>
  <c r="T46" i="65"/>
  <c r="V46" i="65"/>
  <c r="W46" i="65"/>
  <c r="Y46" i="65"/>
  <c r="Z46" i="65"/>
  <c r="AB46" i="65"/>
  <c r="AC46" i="65"/>
  <c r="AE46" i="65"/>
  <c r="AF46" i="65"/>
  <c r="AG46" i="65"/>
  <c r="AD29" i="65"/>
  <c r="AA29" i="65"/>
  <c r="X29" i="65"/>
  <c r="U29" i="65"/>
  <c r="R29" i="65"/>
  <c r="O29" i="65"/>
  <c r="L29" i="65"/>
  <c r="I29" i="65"/>
  <c r="F29" i="65"/>
  <c r="A29" i="65"/>
  <c r="AG28" i="65"/>
  <c r="AH28" i="65"/>
  <c r="AI28" i="65"/>
  <c r="AJ28" i="65"/>
  <c r="AK28" i="65"/>
  <c r="AL28" i="65"/>
  <c r="AM28" i="65"/>
  <c r="AN28" i="65"/>
  <c r="AO28" i="65"/>
  <c r="AP28" i="65"/>
  <c r="AQ28" i="65"/>
  <c r="AF28" i="65"/>
  <c r="AD28" i="65"/>
  <c r="AA28" i="65"/>
  <c r="X28" i="65"/>
  <c r="U28" i="65"/>
  <c r="R28" i="65"/>
  <c r="O28" i="65"/>
  <c r="L28" i="65"/>
  <c r="I28" i="65"/>
  <c r="F28" i="65"/>
  <c r="A28" i="65"/>
  <c r="AF27" i="65"/>
  <c r="AD27" i="65"/>
  <c r="AA27" i="65"/>
  <c r="X27" i="65"/>
  <c r="U27" i="65"/>
  <c r="R27" i="65"/>
  <c r="O27" i="65"/>
  <c r="L27" i="65"/>
  <c r="I27" i="65"/>
  <c r="F27" i="65"/>
  <c r="A27" i="65"/>
  <c r="AF26" i="65"/>
  <c r="AD26" i="65"/>
  <c r="AA26" i="65"/>
  <c r="X26" i="65"/>
  <c r="U26" i="65"/>
  <c r="R26" i="65"/>
  <c r="O26" i="65"/>
  <c r="L26" i="65"/>
  <c r="I26" i="65"/>
  <c r="F26" i="65"/>
  <c r="A26" i="65"/>
  <c r="AF25" i="65"/>
  <c r="AD25" i="65"/>
  <c r="AA25" i="65"/>
  <c r="X25" i="65"/>
  <c r="U25" i="65"/>
  <c r="R25" i="65"/>
  <c r="O25" i="65"/>
  <c r="L25" i="65"/>
  <c r="I25" i="65"/>
  <c r="F25" i="65"/>
  <c r="AF24" i="65"/>
  <c r="AD24" i="65"/>
  <c r="AA24" i="65"/>
  <c r="X24" i="65"/>
  <c r="U24" i="65"/>
  <c r="R24" i="65"/>
  <c r="O24" i="65"/>
  <c r="L24" i="65"/>
  <c r="I24" i="65"/>
  <c r="F24" i="65"/>
  <c r="AC22" i="65"/>
  <c r="Z22" i="65"/>
  <c r="W22" i="65"/>
  <c r="T22" i="65"/>
  <c r="Q22" i="65"/>
  <c r="N22" i="65"/>
  <c r="K22" i="65"/>
  <c r="H22" i="65"/>
  <c r="E22" i="65"/>
  <c r="AX17" i="65"/>
  <c r="AY17" i="65"/>
  <c r="E17" i="65"/>
  <c r="AX16" i="65"/>
  <c r="AY16" i="65"/>
  <c r="AC16" i="65"/>
  <c r="Z16" i="65"/>
  <c r="W16" i="65"/>
  <c r="R16" i="65"/>
  <c r="L16" i="65"/>
  <c r="A16" i="65"/>
  <c r="AX15" i="65"/>
  <c r="AY15" i="65"/>
  <c r="AY14" i="65"/>
  <c r="AC14" i="65"/>
  <c r="W14" i="65"/>
  <c r="R14" i="65"/>
  <c r="L14" i="65"/>
  <c r="A14" i="65"/>
  <c r="AC12" i="65"/>
  <c r="W12" i="65"/>
  <c r="R12" i="65"/>
  <c r="L12" i="65"/>
  <c r="A12" i="65"/>
  <c r="AY11" i="65"/>
  <c r="AC10" i="65"/>
  <c r="W10" i="65"/>
  <c r="R10" i="65"/>
  <c r="L10" i="65"/>
  <c r="A10" i="65"/>
  <c r="AY8" i="65"/>
  <c r="AC8" i="65"/>
  <c r="W8" i="65"/>
  <c r="R8" i="65"/>
  <c r="L8" i="65"/>
  <c r="A8" i="65"/>
  <c r="AY7" i="65"/>
  <c r="R7" i="65"/>
  <c r="L7" i="65"/>
  <c r="AY6" i="65"/>
  <c r="K6" i="65"/>
  <c r="AY5" i="65"/>
  <c r="AY4" i="65"/>
  <c r="AY3" i="65"/>
  <c r="AU372" i="64"/>
  <c r="AT372" i="64"/>
  <c r="E358" i="64"/>
  <c r="E359" i="64"/>
  <c r="E360" i="64"/>
  <c r="E361" i="64"/>
  <c r="G358" i="64"/>
  <c r="G359" i="64"/>
  <c r="G360" i="64"/>
  <c r="G361" i="64"/>
  <c r="J357" i="64"/>
  <c r="E16" i="64"/>
  <c r="AH264" i="64"/>
  <c r="B350" i="64"/>
  <c r="B367" i="64"/>
  <c r="E8" i="64"/>
  <c r="B79" i="64"/>
  <c r="AT79" i="64"/>
  <c r="E10" i="64"/>
  <c r="B80" i="64"/>
  <c r="AT80" i="64"/>
  <c r="E12" i="64"/>
  <c r="B81" i="64"/>
  <c r="AT81" i="64"/>
  <c r="E14" i="64"/>
  <c r="B82" i="64"/>
  <c r="AT82" i="64"/>
  <c r="AC31" i="64"/>
  <c r="AC32" i="64"/>
  <c r="AC33" i="64"/>
  <c r="AC34" i="64"/>
  <c r="AC35" i="64"/>
  <c r="AC64" i="64"/>
  <c r="AE64" i="64"/>
  <c r="AC65" i="64"/>
  <c r="AE31" i="64"/>
  <c r="AE32" i="64"/>
  <c r="AE33" i="64"/>
  <c r="AE34" i="64"/>
  <c r="AE35" i="64"/>
  <c r="AE65" i="64"/>
  <c r="AC66" i="64"/>
  <c r="AE66" i="64"/>
  <c r="AC67" i="64"/>
  <c r="AE67" i="64"/>
  <c r="AC68" i="64"/>
  <c r="AE68" i="64"/>
  <c r="AD71" i="64"/>
  <c r="AC72" i="64"/>
  <c r="Z72" i="64"/>
  <c r="AB72" i="64"/>
  <c r="W31" i="64"/>
  <c r="W32" i="64"/>
  <c r="W33" i="64"/>
  <c r="W34" i="64"/>
  <c r="W35" i="64"/>
  <c r="W64" i="64"/>
  <c r="Y64" i="64"/>
  <c r="W65" i="64"/>
  <c r="Y65" i="64"/>
  <c r="W66" i="64"/>
  <c r="Y66" i="64"/>
  <c r="W67" i="64"/>
  <c r="Y67" i="64"/>
  <c r="W68" i="64"/>
  <c r="Y31" i="64"/>
  <c r="Y32" i="64"/>
  <c r="Y33" i="64"/>
  <c r="Y34" i="64"/>
  <c r="Y35" i="64"/>
  <c r="Y68" i="64"/>
  <c r="X71" i="64"/>
  <c r="W72" i="64"/>
  <c r="T72" i="64"/>
  <c r="V72" i="64"/>
  <c r="Q72" i="64"/>
  <c r="S72" i="64"/>
  <c r="N31" i="64"/>
  <c r="N32" i="64"/>
  <c r="N33" i="64"/>
  <c r="N34" i="64"/>
  <c r="N35" i="64"/>
  <c r="N64" i="64"/>
  <c r="P64" i="64"/>
  <c r="N65" i="64"/>
  <c r="P65" i="64"/>
  <c r="N66" i="64"/>
  <c r="P31" i="64"/>
  <c r="P32" i="64"/>
  <c r="P33" i="64"/>
  <c r="P34" i="64"/>
  <c r="P35" i="64"/>
  <c r="P66" i="64"/>
  <c r="N67" i="64"/>
  <c r="P67" i="64"/>
  <c r="N68" i="64"/>
  <c r="P68" i="64"/>
  <c r="O71" i="64"/>
  <c r="N72" i="64"/>
  <c r="K72" i="64"/>
  <c r="M72" i="64"/>
  <c r="H72" i="64"/>
  <c r="J72" i="64"/>
  <c r="E31" i="64"/>
  <c r="E32" i="64"/>
  <c r="E33" i="64"/>
  <c r="E34" i="64"/>
  <c r="E35" i="64"/>
  <c r="E64" i="64"/>
  <c r="G64" i="64"/>
  <c r="E65" i="64"/>
  <c r="G65" i="64"/>
  <c r="E66" i="64"/>
  <c r="G66" i="64"/>
  <c r="E67" i="64"/>
  <c r="G31" i="64"/>
  <c r="G32" i="64"/>
  <c r="G33" i="64"/>
  <c r="G34" i="64"/>
  <c r="G35" i="64"/>
  <c r="G67" i="64"/>
  <c r="E68" i="64"/>
  <c r="G68" i="64"/>
  <c r="F71" i="64"/>
  <c r="E72" i="64"/>
  <c r="B72" i="64"/>
  <c r="D72" i="64"/>
  <c r="E36" i="64"/>
  <c r="B75" i="64"/>
  <c r="D75" i="64"/>
  <c r="G36" i="64"/>
  <c r="N36" i="64"/>
  <c r="K74" i="64"/>
  <c r="M74" i="64"/>
  <c r="H64" i="64"/>
  <c r="J64" i="64"/>
  <c r="H65" i="64"/>
  <c r="J65" i="64"/>
  <c r="H31" i="64"/>
  <c r="H32" i="64"/>
  <c r="H33" i="64"/>
  <c r="H34" i="64"/>
  <c r="H35" i="64"/>
  <c r="H66" i="64"/>
  <c r="J66" i="64"/>
  <c r="H67" i="64"/>
  <c r="J67" i="64"/>
  <c r="H68" i="64"/>
  <c r="J31" i="64"/>
  <c r="J32" i="64"/>
  <c r="J33" i="64"/>
  <c r="J34" i="64"/>
  <c r="J35" i="64"/>
  <c r="J68" i="64"/>
  <c r="I71" i="64"/>
  <c r="H74" i="64"/>
  <c r="E74" i="64"/>
  <c r="G74" i="64"/>
  <c r="B74" i="64"/>
  <c r="D74" i="64"/>
  <c r="H36" i="64"/>
  <c r="E76" i="64"/>
  <c r="G76" i="64"/>
  <c r="B76" i="64"/>
  <c r="B64" i="64"/>
  <c r="D64" i="64"/>
  <c r="B31" i="64"/>
  <c r="B32" i="64"/>
  <c r="B33" i="64"/>
  <c r="B34" i="64"/>
  <c r="B35" i="64"/>
  <c r="B65" i="64"/>
  <c r="D65" i="64"/>
  <c r="B66" i="64"/>
  <c r="D66" i="64"/>
  <c r="B67" i="64"/>
  <c r="D67" i="64"/>
  <c r="B68" i="64"/>
  <c r="D31" i="64"/>
  <c r="D32" i="64"/>
  <c r="D33" i="64"/>
  <c r="D34" i="64"/>
  <c r="D35" i="64"/>
  <c r="D68" i="64"/>
  <c r="C71" i="64"/>
  <c r="D76" i="64"/>
  <c r="B83" i="64"/>
  <c r="D36" i="64"/>
  <c r="B36" i="64"/>
  <c r="J36" i="64"/>
  <c r="P36" i="64"/>
  <c r="W36" i="64"/>
  <c r="T76" i="64"/>
  <c r="V76" i="64"/>
  <c r="Q76" i="64"/>
  <c r="Q64" i="64"/>
  <c r="S64" i="64"/>
  <c r="Q65" i="64"/>
  <c r="S65" i="64"/>
  <c r="Q66" i="64"/>
  <c r="S66" i="64"/>
  <c r="Q31" i="64"/>
  <c r="Q32" i="64"/>
  <c r="Q33" i="64"/>
  <c r="Q34" i="64"/>
  <c r="Q35" i="64"/>
  <c r="Q67" i="64"/>
  <c r="S67" i="64"/>
  <c r="Q68" i="64"/>
  <c r="S31" i="64"/>
  <c r="S32" i="64"/>
  <c r="S33" i="64"/>
  <c r="S34" i="64"/>
  <c r="S35" i="64"/>
  <c r="S68" i="64"/>
  <c r="R71" i="64"/>
  <c r="S76" i="64"/>
  <c r="N76" i="64"/>
  <c r="P76" i="64"/>
  <c r="K76" i="64"/>
  <c r="M76" i="64"/>
  <c r="H76" i="64"/>
  <c r="J76" i="64"/>
  <c r="S36" i="64"/>
  <c r="N75" i="64"/>
  <c r="P75" i="64"/>
  <c r="K75" i="64"/>
  <c r="K64" i="64"/>
  <c r="M64" i="64"/>
  <c r="K31" i="64"/>
  <c r="K32" i="64"/>
  <c r="K33" i="64"/>
  <c r="K34" i="64"/>
  <c r="K35" i="64"/>
  <c r="K65" i="64"/>
  <c r="M65" i="64"/>
  <c r="K66" i="64"/>
  <c r="M66" i="64"/>
  <c r="K67" i="64"/>
  <c r="M31" i="64"/>
  <c r="M32" i="64"/>
  <c r="M33" i="64"/>
  <c r="M34" i="64"/>
  <c r="M35" i="64"/>
  <c r="M67" i="64"/>
  <c r="K68" i="64"/>
  <c r="M68" i="64"/>
  <c r="L71" i="64"/>
  <c r="M75" i="64"/>
  <c r="H75" i="64"/>
  <c r="J75" i="64"/>
  <c r="E75" i="64"/>
  <c r="G75" i="64"/>
  <c r="M36" i="64"/>
  <c r="H73" i="64"/>
  <c r="J73" i="64"/>
  <c r="E73" i="64"/>
  <c r="G73" i="64"/>
  <c r="B73" i="64"/>
  <c r="K36" i="64"/>
  <c r="Q36" i="64"/>
  <c r="Y36" i="64"/>
  <c r="AC36" i="64"/>
  <c r="Z73" i="64"/>
  <c r="AB73" i="64"/>
  <c r="W73" i="64"/>
  <c r="Y73" i="64"/>
  <c r="T64" i="64"/>
  <c r="V64" i="64"/>
  <c r="T31" i="64"/>
  <c r="T32" i="64"/>
  <c r="T33" i="64"/>
  <c r="T34" i="64"/>
  <c r="T35" i="64"/>
  <c r="T65" i="64"/>
  <c r="V65" i="64"/>
  <c r="T66" i="64"/>
  <c r="V31" i="64"/>
  <c r="V32" i="64"/>
  <c r="V33" i="64"/>
  <c r="V34" i="64"/>
  <c r="V35" i="64"/>
  <c r="V66" i="64"/>
  <c r="T67" i="64"/>
  <c r="V67" i="64"/>
  <c r="T68" i="64"/>
  <c r="V68" i="64"/>
  <c r="U71" i="64"/>
  <c r="T73" i="64"/>
  <c r="Q73" i="64"/>
  <c r="S73" i="64"/>
  <c r="N73" i="64"/>
  <c r="P73" i="64"/>
  <c r="K73" i="64"/>
  <c r="T36" i="64"/>
  <c r="Q74" i="64"/>
  <c r="S74" i="64"/>
  <c r="N74" i="64"/>
  <c r="P74" i="64"/>
  <c r="V36" i="64"/>
  <c r="AE36" i="64"/>
  <c r="AC73" i="64"/>
  <c r="AE73" i="64"/>
  <c r="AC74" i="64"/>
  <c r="AE74" i="64"/>
  <c r="Z64" i="64"/>
  <c r="AB64" i="64"/>
  <c r="Z65" i="64"/>
  <c r="AB65" i="64"/>
  <c r="Z31" i="64"/>
  <c r="Z32" i="64"/>
  <c r="Z33" i="64"/>
  <c r="Z34" i="64"/>
  <c r="Z35" i="64"/>
  <c r="Z66" i="64"/>
  <c r="AB66" i="64"/>
  <c r="Z67" i="64"/>
  <c r="AB31" i="64"/>
  <c r="AB32" i="64"/>
  <c r="AB33" i="64"/>
  <c r="AB34" i="64"/>
  <c r="AB35" i="64"/>
  <c r="AB67" i="64"/>
  <c r="Z68" i="64"/>
  <c r="AB68" i="64"/>
  <c r="AA71" i="64"/>
  <c r="Z74" i="64"/>
  <c r="W74" i="64"/>
  <c r="Y74" i="64"/>
  <c r="T74" i="64"/>
  <c r="V74" i="64"/>
  <c r="Z36" i="64"/>
  <c r="W75" i="64"/>
  <c r="Y75" i="64"/>
  <c r="T75" i="64"/>
  <c r="V75" i="64"/>
  <c r="Q75" i="64"/>
  <c r="AB36" i="64"/>
  <c r="AC75" i="64"/>
  <c r="AE75" i="64"/>
  <c r="Z75" i="64"/>
  <c r="AB75" i="64"/>
  <c r="AT83" i="64"/>
  <c r="AC76" i="64"/>
  <c r="AE76" i="64"/>
  <c r="Z76" i="64"/>
  <c r="AB76" i="64"/>
  <c r="W76" i="64"/>
  <c r="Y76" i="64"/>
  <c r="E93" i="64"/>
  <c r="B164" i="64"/>
  <c r="AT164" i="64"/>
  <c r="AC116" i="64"/>
  <c r="AC117" i="64"/>
  <c r="AC118" i="64"/>
  <c r="AC119" i="64"/>
  <c r="AC120" i="64"/>
  <c r="AC149" i="64"/>
  <c r="AE149" i="64"/>
  <c r="AC150" i="64"/>
  <c r="AE116" i="64"/>
  <c r="AE117" i="64"/>
  <c r="AE118" i="64"/>
  <c r="AE119" i="64"/>
  <c r="AE120" i="64"/>
  <c r="AE150" i="64"/>
  <c r="AC151" i="64"/>
  <c r="AE151" i="64"/>
  <c r="AC152" i="64"/>
  <c r="AE152" i="64"/>
  <c r="AC153" i="64"/>
  <c r="AE153" i="64"/>
  <c r="AD156" i="64"/>
  <c r="AC157" i="64"/>
  <c r="Z157" i="64"/>
  <c r="AB157" i="64"/>
  <c r="W116" i="64"/>
  <c r="W117" i="64"/>
  <c r="W119" i="64"/>
  <c r="W120" i="64"/>
  <c r="Y116" i="64"/>
  <c r="Y117" i="64"/>
  <c r="Y119" i="64"/>
  <c r="Y120" i="64"/>
  <c r="T157" i="64"/>
  <c r="V157" i="64"/>
  <c r="Q157" i="64"/>
  <c r="S157" i="64"/>
  <c r="N116" i="64"/>
  <c r="N117" i="64"/>
  <c r="N118" i="64"/>
  <c r="N119" i="64"/>
  <c r="N120" i="64"/>
  <c r="N149" i="64"/>
  <c r="P149" i="64"/>
  <c r="N150" i="64"/>
  <c r="P150" i="64"/>
  <c r="N151" i="64"/>
  <c r="P116" i="64"/>
  <c r="P117" i="64"/>
  <c r="P118" i="64"/>
  <c r="P119" i="64"/>
  <c r="P120" i="64"/>
  <c r="P151" i="64"/>
  <c r="N152" i="64"/>
  <c r="P152" i="64"/>
  <c r="N153" i="64"/>
  <c r="P153" i="64"/>
  <c r="O156" i="64"/>
  <c r="N157" i="64"/>
  <c r="K157" i="64"/>
  <c r="M157" i="64"/>
  <c r="H157" i="64"/>
  <c r="J157" i="64"/>
  <c r="E116" i="64"/>
  <c r="E117" i="64"/>
  <c r="E118" i="64"/>
  <c r="E119" i="64"/>
  <c r="E120" i="64"/>
  <c r="E149" i="64"/>
  <c r="G149" i="64"/>
  <c r="E150" i="64"/>
  <c r="G150" i="64"/>
  <c r="E151" i="64"/>
  <c r="G151" i="64"/>
  <c r="E152" i="64"/>
  <c r="G116" i="64"/>
  <c r="G117" i="64"/>
  <c r="G118" i="64"/>
  <c r="G119" i="64"/>
  <c r="G120" i="64"/>
  <c r="G152" i="64"/>
  <c r="E153" i="64"/>
  <c r="G153" i="64"/>
  <c r="F156" i="64"/>
  <c r="E157" i="64"/>
  <c r="B157" i="64"/>
  <c r="D157" i="64"/>
  <c r="E121" i="64"/>
  <c r="B160" i="64"/>
  <c r="D160" i="64"/>
  <c r="E99" i="64"/>
  <c r="B167" i="64"/>
  <c r="G121" i="64"/>
  <c r="N121" i="64"/>
  <c r="K159" i="64"/>
  <c r="M159" i="64"/>
  <c r="H149" i="64"/>
  <c r="J149" i="64"/>
  <c r="H150" i="64"/>
  <c r="J150" i="64"/>
  <c r="H116" i="64"/>
  <c r="H117" i="64"/>
  <c r="H118" i="64"/>
  <c r="H119" i="64"/>
  <c r="H120" i="64"/>
  <c r="H151" i="64"/>
  <c r="J151" i="64"/>
  <c r="H152" i="64"/>
  <c r="J152" i="64"/>
  <c r="H153" i="64"/>
  <c r="J116" i="64"/>
  <c r="J117" i="64"/>
  <c r="J118" i="64"/>
  <c r="J119" i="64"/>
  <c r="J120" i="64"/>
  <c r="J153" i="64"/>
  <c r="I156" i="64"/>
  <c r="H159" i="64"/>
  <c r="E159" i="64"/>
  <c r="G159" i="64"/>
  <c r="B159" i="64"/>
  <c r="D159" i="64"/>
  <c r="E97" i="64"/>
  <c r="B166" i="64"/>
  <c r="H121" i="64"/>
  <c r="E161" i="64"/>
  <c r="G161" i="64"/>
  <c r="B161" i="64"/>
  <c r="B149" i="64"/>
  <c r="D149" i="64"/>
  <c r="B116" i="64"/>
  <c r="B117" i="64"/>
  <c r="B118" i="64"/>
  <c r="B119" i="64"/>
  <c r="B120" i="64"/>
  <c r="B150" i="64"/>
  <c r="D150" i="64"/>
  <c r="B151" i="64"/>
  <c r="D151" i="64"/>
  <c r="B152" i="64"/>
  <c r="D152" i="64"/>
  <c r="B153" i="64"/>
  <c r="D116" i="64"/>
  <c r="D117" i="64"/>
  <c r="D118" i="64"/>
  <c r="D119" i="64"/>
  <c r="D120" i="64"/>
  <c r="D153" i="64"/>
  <c r="C156" i="64"/>
  <c r="D161" i="64"/>
  <c r="E101" i="64"/>
  <c r="B168" i="64"/>
  <c r="D121" i="64"/>
  <c r="E95" i="64"/>
  <c r="B165" i="64"/>
  <c r="B121" i="64"/>
  <c r="J121" i="64"/>
  <c r="P121" i="64"/>
  <c r="T161" i="64"/>
  <c r="V161" i="64"/>
  <c r="Q161" i="64"/>
  <c r="Q149" i="64"/>
  <c r="S149" i="64"/>
  <c r="Q150" i="64"/>
  <c r="S150" i="64"/>
  <c r="Q151" i="64"/>
  <c r="S151" i="64"/>
  <c r="Q116" i="64"/>
  <c r="Q117" i="64"/>
  <c r="Q118" i="64"/>
  <c r="Q119" i="64"/>
  <c r="Q120" i="64"/>
  <c r="Q152" i="64"/>
  <c r="S152" i="64"/>
  <c r="Q153" i="64"/>
  <c r="S116" i="64"/>
  <c r="S117" i="64"/>
  <c r="S118" i="64"/>
  <c r="S119" i="64"/>
  <c r="S120" i="64"/>
  <c r="S153" i="64"/>
  <c r="R156" i="64"/>
  <c r="S161" i="64"/>
  <c r="N161" i="64"/>
  <c r="P161" i="64"/>
  <c r="K161" i="64"/>
  <c r="M161" i="64"/>
  <c r="H161" i="64"/>
  <c r="J161" i="64"/>
  <c r="S121" i="64"/>
  <c r="N160" i="64"/>
  <c r="P160" i="64"/>
  <c r="K160" i="64"/>
  <c r="K149" i="64"/>
  <c r="M149" i="64"/>
  <c r="K116" i="64"/>
  <c r="K117" i="64"/>
  <c r="K118" i="64"/>
  <c r="K119" i="64"/>
  <c r="K120" i="64"/>
  <c r="K150" i="64"/>
  <c r="M150" i="64"/>
  <c r="K151" i="64"/>
  <c r="M151" i="64"/>
  <c r="K152" i="64"/>
  <c r="M116" i="64"/>
  <c r="M117" i="64"/>
  <c r="M118" i="64"/>
  <c r="M119" i="64"/>
  <c r="M120" i="64"/>
  <c r="M152" i="64"/>
  <c r="K153" i="64"/>
  <c r="M153" i="64"/>
  <c r="L156" i="64"/>
  <c r="M160" i="64"/>
  <c r="H160" i="64"/>
  <c r="J160" i="64"/>
  <c r="E160" i="64"/>
  <c r="G160" i="64"/>
  <c r="M121" i="64"/>
  <c r="H158" i="64"/>
  <c r="J158" i="64"/>
  <c r="E158" i="64"/>
  <c r="G158" i="64"/>
  <c r="B158" i="64"/>
  <c r="K121" i="64"/>
  <c r="Q121" i="64"/>
  <c r="AC121" i="64"/>
  <c r="Z158" i="64"/>
  <c r="AB158" i="64"/>
  <c r="T149" i="64"/>
  <c r="V149" i="64"/>
  <c r="T116" i="64"/>
  <c r="T117" i="64"/>
  <c r="T118" i="64"/>
  <c r="T119" i="64"/>
  <c r="T120" i="64"/>
  <c r="T150" i="64"/>
  <c r="V150" i="64"/>
  <c r="T151" i="64"/>
  <c r="V116" i="64"/>
  <c r="V117" i="64"/>
  <c r="V118" i="64"/>
  <c r="V119" i="64"/>
  <c r="V120" i="64"/>
  <c r="V151" i="64"/>
  <c r="T152" i="64"/>
  <c r="V152" i="64"/>
  <c r="T153" i="64"/>
  <c r="V153" i="64"/>
  <c r="U156" i="64"/>
  <c r="T158" i="64"/>
  <c r="Q158" i="64"/>
  <c r="S158" i="64"/>
  <c r="N158" i="64"/>
  <c r="P158" i="64"/>
  <c r="K158" i="64"/>
  <c r="T121" i="64"/>
  <c r="Q159" i="64"/>
  <c r="S159" i="64"/>
  <c r="N159" i="64"/>
  <c r="P159" i="64"/>
  <c r="V121" i="64"/>
  <c r="AE121" i="64"/>
  <c r="AT165" i="64"/>
  <c r="AC158" i="64"/>
  <c r="AE158" i="64"/>
  <c r="AT166" i="64"/>
  <c r="AC159" i="64"/>
  <c r="AE159" i="64"/>
  <c r="Z149" i="64"/>
  <c r="AB149" i="64"/>
  <c r="Z150" i="64"/>
  <c r="AB150" i="64"/>
  <c r="Z116" i="64"/>
  <c r="Z117" i="64"/>
  <c r="Z118" i="64"/>
  <c r="Z119" i="64"/>
  <c r="Z120" i="64"/>
  <c r="Z151" i="64"/>
  <c r="AB151" i="64"/>
  <c r="Z152" i="64"/>
  <c r="AB116" i="64"/>
  <c r="AB117" i="64"/>
  <c r="AB118" i="64"/>
  <c r="AB119" i="64"/>
  <c r="AB120" i="64"/>
  <c r="AB152" i="64"/>
  <c r="Z153" i="64"/>
  <c r="AB153" i="64"/>
  <c r="AA156" i="64"/>
  <c r="Z159" i="64"/>
  <c r="T159" i="64"/>
  <c r="V159" i="64"/>
  <c r="Z121" i="64"/>
  <c r="T160" i="64"/>
  <c r="V160" i="64"/>
  <c r="Q160" i="64"/>
  <c r="AB121" i="64"/>
  <c r="AT167" i="64"/>
  <c r="AC160" i="64"/>
  <c r="AE160" i="64"/>
  <c r="Z160" i="64"/>
  <c r="AB160" i="64"/>
  <c r="AT168" i="64"/>
  <c r="AC161" i="64"/>
  <c r="AE161" i="64"/>
  <c r="Z161" i="64"/>
  <c r="AB161" i="64"/>
  <c r="W161" i="64"/>
  <c r="Y161" i="64"/>
  <c r="Y171" i="64"/>
  <c r="Y172" i="64"/>
  <c r="Y168" i="64"/>
  <c r="AB168" i="64"/>
  <c r="AE168" i="64"/>
  <c r="AU168" i="64"/>
  <c r="E178" i="64"/>
  <c r="B249" i="64"/>
  <c r="AT249" i="64"/>
  <c r="AC201" i="64"/>
  <c r="AC202" i="64"/>
  <c r="AC203" i="64"/>
  <c r="AC204" i="64"/>
  <c r="AC205" i="64"/>
  <c r="AC234" i="64"/>
  <c r="AE234" i="64"/>
  <c r="AC235" i="64"/>
  <c r="AE201" i="64"/>
  <c r="AE202" i="64"/>
  <c r="AE203" i="64"/>
  <c r="AE204" i="64"/>
  <c r="AE205" i="64"/>
  <c r="AE235" i="64"/>
  <c r="AC236" i="64"/>
  <c r="AE236" i="64"/>
  <c r="AC237" i="64"/>
  <c r="AE237" i="64"/>
  <c r="AC238" i="64"/>
  <c r="AE238" i="64"/>
  <c r="AD241" i="64"/>
  <c r="AC242" i="64"/>
  <c r="Z242" i="64"/>
  <c r="AB242" i="64"/>
  <c r="W201" i="64"/>
  <c r="W202" i="64"/>
  <c r="W203" i="64"/>
  <c r="W204" i="64"/>
  <c r="W205" i="64"/>
  <c r="W234" i="64"/>
  <c r="Y234" i="64"/>
  <c r="W235" i="64"/>
  <c r="Y235" i="64"/>
  <c r="W236" i="64"/>
  <c r="Y236" i="64"/>
  <c r="W237" i="64"/>
  <c r="Y237" i="64"/>
  <c r="W238" i="64"/>
  <c r="Y201" i="64"/>
  <c r="Y202" i="64"/>
  <c r="Y203" i="64"/>
  <c r="Y204" i="64"/>
  <c r="Y205" i="64"/>
  <c r="Y238" i="64"/>
  <c r="X241" i="64"/>
  <c r="W242" i="64"/>
  <c r="T242" i="64"/>
  <c r="V242" i="64"/>
  <c r="Q242" i="64"/>
  <c r="S242" i="64"/>
  <c r="N201" i="64"/>
  <c r="N202" i="64"/>
  <c r="N203" i="64"/>
  <c r="N204" i="64"/>
  <c r="N205" i="64"/>
  <c r="N234" i="64"/>
  <c r="P234" i="64"/>
  <c r="N235" i="64"/>
  <c r="P235" i="64"/>
  <c r="N236" i="64"/>
  <c r="P201" i="64"/>
  <c r="P202" i="64"/>
  <c r="P203" i="64"/>
  <c r="P204" i="64"/>
  <c r="P205" i="64"/>
  <c r="P236" i="64"/>
  <c r="N237" i="64"/>
  <c r="P237" i="64"/>
  <c r="N238" i="64"/>
  <c r="P238" i="64"/>
  <c r="O241" i="64"/>
  <c r="N242" i="64"/>
  <c r="K242" i="64"/>
  <c r="M242" i="64"/>
  <c r="H242" i="64"/>
  <c r="J242" i="64"/>
  <c r="E201" i="64"/>
  <c r="E202" i="64"/>
  <c r="E203" i="64"/>
  <c r="E204" i="64"/>
  <c r="E205" i="64"/>
  <c r="E234" i="64"/>
  <c r="G234" i="64"/>
  <c r="E235" i="64"/>
  <c r="G235" i="64"/>
  <c r="E236" i="64"/>
  <c r="G236" i="64"/>
  <c r="E237" i="64"/>
  <c r="G201" i="64"/>
  <c r="G202" i="64"/>
  <c r="G203" i="64"/>
  <c r="G204" i="64"/>
  <c r="G205" i="64"/>
  <c r="G237" i="64"/>
  <c r="E238" i="64"/>
  <c r="G238" i="64"/>
  <c r="F241" i="64"/>
  <c r="E242" i="64"/>
  <c r="B242" i="64"/>
  <c r="D242" i="64"/>
  <c r="E206" i="64"/>
  <c r="B245" i="64"/>
  <c r="D245" i="64"/>
  <c r="E184" i="64"/>
  <c r="B252" i="64"/>
  <c r="G206" i="64"/>
  <c r="N206" i="64"/>
  <c r="K244" i="64"/>
  <c r="M244" i="64"/>
  <c r="H234" i="64"/>
  <c r="J234" i="64"/>
  <c r="H235" i="64"/>
  <c r="J235" i="64"/>
  <c r="H201" i="64"/>
  <c r="H202" i="64"/>
  <c r="H203" i="64"/>
  <c r="H204" i="64"/>
  <c r="H205" i="64"/>
  <c r="H236" i="64"/>
  <c r="J236" i="64"/>
  <c r="H237" i="64"/>
  <c r="J237" i="64"/>
  <c r="H238" i="64"/>
  <c r="J201" i="64"/>
  <c r="J202" i="64"/>
  <c r="J203" i="64"/>
  <c r="J204" i="64"/>
  <c r="J205" i="64"/>
  <c r="J238" i="64"/>
  <c r="I241" i="64"/>
  <c r="H244" i="64"/>
  <c r="E244" i="64"/>
  <c r="G244" i="64"/>
  <c r="B244" i="64"/>
  <c r="D244" i="64"/>
  <c r="E182" i="64"/>
  <c r="B251" i="64"/>
  <c r="H206" i="64"/>
  <c r="E246" i="64"/>
  <c r="G246" i="64"/>
  <c r="B246" i="64"/>
  <c r="B234" i="64"/>
  <c r="D234" i="64"/>
  <c r="B201" i="64"/>
  <c r="B202" i="64"/>
  <c r="B203" i="64"/>
  <c r="B204" i="64"/>
  <c r="B205" i="64"/>
  <c r="B235" i="64"/>
  <c r="D235" i="64"/>
  <c r="B236" i="64"/>
  <c r="D236" i="64"/>
  <c r="B237" i="64"/>
  <c r="D237" i="64"/>
  <c r="B238" i="64"/>
  <c r="D201" i="64"/>
  <c r="D202" i="64"/>
  <c r="D203" i="64"/>
  <c r="D204" i="64"/>
  <c r="D205" i="64"/>
  <c r="D238" i="64"/>
  <c r="C241" i="64"/>
  <c r="D246" i="64"/>
  <c r="E186" i="64"/>
  <c r="B253" i="64"/>
  <c r="D206" i="64"/>
  <c r="E180" i="64"/>
  <c r="B250" i="64"/>
  <c r="B206" i="64"/>
  <c r="J206" i="64"/>
  <c r="P206" i="64"/>
  <c r="W206" i="64"/>
  <c r="T246" i="64"/>
  <c r="V246" i="64"/>
  <c r="Q246" i="64"/>
  <c r="Q234" i="64"/>
  <c r="S234" i="64"/>
  <c r="Q235" i="64"/>
  <c r="S235" i="64"/>
  <c r="Q236" i="64"/>
  <c r="S236" i="64"/>
  <c r="Q201" i="64"/>
  <c r="Q202" i="64"/>
  <c r="Q203" i="64"/>
  <c r="Q204" i="64"/>
  <c r="Q205" i="64"/>
  <c r="Q237" i="64"/>
  <c r="S237" i="64"/>
  <c r="Q238" i="64"/>
  <c r="S201" i="64"/>
  <c r="S202" i="64"/>
  <c r="S203" i="64"/>
  <c r="S204" i="64"/>
  <c r="S205" i="64"/>
  <c r="S238" i="64"/>
  <c r="R241" i="64"/>
  <c r="S246" i="64"/>
  <c r="N246" i="64"/>
  <c r="P246" i="64"/>
  <c r="K246" i="64"/>
  <c r="M246" i="64"/>
  <c r="H246" i="64"/>
  <c r="J246" i="64"/>
  <c r="S206" i="64"/>
  <c r="N245" i="64"/>
  <c r="P245" i="64"/>
  <c r="K245" i="64"/>
  <c r="K234" i="64"/>
  <c r="M234" i="64"/>
  <c r="K201" i="64"/>
  <c r="K202" i="64"/>
  <c r="K203" i="64"/>
  <c r="K204" i="64"/>
  <c r="K205" i="64"/>
  <c r="K235" i="64"/>
  <c r="M235" i="64"/>
  <c r="K236" i="64"/>
  <c r="M236" i="64"/>
  <c r="K237" i="64"/>
  <c r="M201" i="64"/>
  <c r="M202" i="64"/>
  <c r="M203" i="64"/>
  <c r="M204" i="64"/>
  <c r="M205" i="64"/>
  <c r="M237" i="64"/>
  <c r="K238" i="64"/>
  <c r="M238" i="64"/>
  <c r="L241" i="64"/>
  <c r="M245" i="64"/>
  <c r="H245" i="64"/>
  <c r="J245" i="64"/>
  <c r="E245" i="64"/>
  <c r="G245" i="64"/>
  <c r="M206" i="64"/>
  <c r="H243" i="64"/>
  <c r="J243" i="64"/>
  <c r="E243" i="64"/>
  <c r="G243" i="64"/>
  <c r="B243" i="64"/>
  <c r="K206" i="64"/>
  <c r="Q206" i="64"/>
  <c r="Y206" i="64"/>
  <c r="AC206" i="64"/>
  <c r="Z243" i="64"/>
  <c r="AB243" i="64"/>
  <c r="W243" i="64"/>
  <c r="Y243" i="64"/>
  <c r="T234" i="64"/>
  <c r="V234" i="64"/>
  <c r="T201" i="64"/>
  <c r="T202" i="64"/>
  <c r="T203" i="64"/>
  <c r="T204" i="64"/>
  <c r="T205" i="64"/>
  <c r="T235" i="64"/>
  <c r="V235" i="64"/>
  <c r="T236" i="64"/>
  <c r="V201" i="64"/>
  <c r="V202" i="64"/>
  <c r="V203" i="64"/>
  <c r="V204" i="64"/>
  <c r="V205" i="64"/>
  <c r="V236" i="64"/>
  <c r="T237" i="64"/>
  <c r="V237" i="64"/>
  <c r="T238" i="64"/>
  <c r="V238" i="64"/>
  <c r="U241" i="64"/>
  <c r="T243" i="64"/>
  <c r="Q243" i="64"/>
  <c r="S243" i="64"/>
  <c r="N243" i="64"/>
  <c r="P243" i="64"/>
  <c r="K243" i="64"/>
  <c r="T206" i="64"/>
  <c r="Q244" i="64"/>
  <c r="S244" i="64"/>
  <c r="N244" i="64"/>
  <c r="P244" i="64"/>
  <c r="V206" i="64"/>
  <c r="AE206" i="64"/>
  <c r="AT250" i="64"/>
  <c r="AC243" i="64"/>
  <c r="AE243" i="64"/>
  <c r="AT251" i="64"/>
  <c r="AC244" i="64"/>
  <c r="AE244" i="64"/>
  <c r="Z234" i="64"/>
  <c r="AB234" i="64"/>
  <c r="Z235" i="64"/>
  <c r="AB235" i="64"/>
  <c r="Z201" i="64"/>
  <c r="Z202" i="64"/>
  <c r="Z203" i="64"/>
  <c r="Z204" i="64"/>
  <c r="Z205" i="64"/>
  <c r="Z236" i="64"/>
  <c r="AB236" i="64"/>
  <c r="Z237" i="64"/>
  <c r="AB201" i="64"/>
  <c r="AB202" i="64"/>
  <c r="AB203" i="64"/>
  <c r="AB204" i="64"/>
  <c r="AB205" i="64"/>
  <c r="AB237" i="64"/>
  <c r="Z238" i="64"/>
  <c r="AB238" i="64"/>
  <c r="AA241" i="64"/>
  <c r="Z244" i="64"/>
  <c r="W244" i="64"/>
  <c r="Y244" i="64"/>
  <c r="T244" i="64"/>
  <c r="V244" i="64"/>
  <c r="Z206" i="64"/>
  <c r="W245" i="64"/>
  <c r="Y245" i="64"/>
  <c r="T245" i="64"/>
  <c r="V245" i="64"/>
  <c r="Q245" i="64"/>
  <c r="AB206" i="64"/>
  <c r="AT252" i="64"/>
  <c r="AC245" i="64"/>
  <c r="AE245" i="64"/>
  <c r="Z245" i="64"/>
  <c r="AB245" i="64"/>
  <c r="AT253" i="64"/>
  <c r="AC246" i="64"/>
  <c r="AE246" i="64"/>
  <c r="Z246" i="64"/>
  <c r="AB246" i="64"/>
  <c r="W246" i="64"/>
  <c r="Y246" i="64"/>
  <c r="Y256" i="64"/>
  <c r="Y257" i="64"/>
  <c r="Y253" i="64"/>
  <c r="AB253" i="64"/>
  <c r="AE253" i="64"/>
  <c r="AU253" i="64"/>
  <c r="J358" i="64"/>
  <c r="J359" i="64"/>
  <c r="J360" i="64"/>
  <c r="J361" i="64"/>
  <c r="B358" i="64"/>
  <c r="B359" i="64"/>
  <c r="B360" i="64"/>
  <c r="B361" i="64"/>
  <c r="D358" i="64"/>
  <c r="D359" i="64"/>
  <c r="D360" i="64"/>
  <c r="D361" i="64"/>
  <c r="H357" i="64"/>
  <c r="B60" i="64"/>
  <c r="D60" i="64"/>
  <c r="E60" i="64"/>
  <c r="G60" i="64"/>
  <c r="H39" i="64"/>
  <c r="J39" i="64"/>
  <c r="H40" i="64"/>
  <c r="J40" i="64"/>
  <c r="H41" i="64"/>
  <c r="J41" i="64"/>
  <c r="H42" i="64"/>
  <c r="J42" i="64"/>
  <c r="H43" i="64"/>
  <c r="J43" i="64"/>
  <c r="H44" i="64"/>
  <c r="H60" i="64"/>
  <c r="J60" i="64"/>
  <c r="K60" i="64"/>
  <c r="M60" i="64"/>
  <c r="N60" i="64"/>
  <c r="N39" i="64"/>
  <c r="P39" i="64"/>
  <c r="N40" i="64"/>
  <c r="P40" i="64"/>
  <c r="N41" i="64"/>
  <c r="P41" i="64"/>
  <c r="N42" i="64"/>
  <c r="P42" i="64"/>
  <c r="N43" i="64"/>
  <c r="P43" i="64"/>
  <c r="N44" i="64"/>
  <c r="P60" i="64"/>
  <c r="Q60" i="64"/>
  <c r="S60" i="64"/>
  <c r="T60" i="64"/>
  <c r="T39" i="64"/>
  <c r="V39" i="64"/>
  <c r="T40" i="64"/>
  <c r="V40" i="64"/>
  <c r="T41" i="64"/>
  <c r="V41" i="64"/>
  <c r="T42" i="64"/>
  <c r="V42" i="64"/>
  <c r="T43" i="64"/>
  <c r="V43" i="64"/>
  <c r="T44" i="64"/>
  <c r="V60" i="64"/>
  <c r="W60" i="64"/>
  <c r="Y60" i="64"/>
  <c r="Z39" i="64"/>
  <c r="AB39" i="64"/>
  <c r="Z40" i="64"/>
  <c r="AB40" i="64"/>
  <c r="Z41" i="64"/>
  <c r="AB41" i="64"/>
  <c r="Z42" i="64"/>
  <c r="AB42" i="64"/>
  <c r="Z43" i="64"/>
  <c r="AB43" i="64"/>
  <c r="Z44" i="64"/>
  <c r="Z60" i="64"/>
  <c r="AB60" i="64"/>
  <c r="AC60" i="64"/>
  <c r="AE60" i="64"/>
  <c r="AF60" i="64"/>
  <c r="AG26" i="64"/>
  <c r="AH26" i="64"/>
  <c r="H30" i="64"/>
  <c r="J30" i="64"/>
  <c r="AI26" i="64"/>
  <c r="AJ26" i="64"/>
  <c r="P30" i="64"/>
  <c r="N30" i="64"/>
  <c r="AK26" i="64"/>
  <c r="AL26" i="64"/>
  <c r="V30" i="64"/>
  <c r="T30" i="64"/>
  <c r="AM26" i="64"/>
  <c r="AN26" i="64"/>
  <c r="Z30" i="64"/>
  <c r="AB30" i="64"/>
  <c r="AO26" i="64"/>
  <c r="AP26" i="64"/>
  <c r="AQ26" i="64"/>
  <c r="Z12" i="64"/>
  <c r="J264" i="64"/>
  <c r="B124" i="64"/>
  <c r="D124" i="64"/>
  <c r="B125" i="64"/>
  <c r="D125" i="64"/>
  <c r="B126" i="64"/>
  <c r="D126" i="64"/>
  <c r="B127" i="64"/>
  <c r="D127" i="64"/>
  <c r="B128" i="64"/>
  <c r="D128" i="64"/>
  <c r="B129" i="64"/>
  <c r="B144" i="64"/>
  <c r="D144" i="64"/>
  <c r="E144" i="64"/>
  <c r="G144" i="64"/>
  <c r="H144" i="64"/>
  <c r="J144" i="64"/>
  <c r="K124" i="64"/>
  <c r="M124" i="64"/>
  <c r="K125" i="64"/>
  <c r="M125" i="64"/>
  <c r="K126" i="64"/>
  <c r="M126" i="64"/>
  <c r="K127" i="64"/>
  <c r="M127" i="64"/>
  <c r="K128" i="64"/>
  <c r="M128" i="64"/>
  <c r="K129" i="64"/>
  <c r="K144" i="64"/>
  <c r="M144" i="64"/>
  <c r="N144" i="64"/>
  <c r="P144" i="64"/>
  <c r="Q144" i="64"/>
  <c r="S144" i="64"/>
  <c r="T124" i="64"/>
  <c r="V124" i="64"/>
  <c r="T125" i="64"/>
  <c r="V125" i="64"/>
  <c r="T126" i="64"/>
  <c r="V126" i="64"/>
  <c r="T127" i="64"/>
  <c r="V127" i="64"/>
  <c r="T128" i="64"/>
  <c r="V128" i="64"/>
  <c r="T129" i="64"/>
  <c r="T144" i="64"/>
  <c r="V144" i="64"/>
  <c r="Z144" i="64"/>
  <c r="AB144" i="64"/>
  <c r="AC144" i="64"/>
  <c r="AC124" i="64"/>
  <c r="AE124" i="64"/>
  <c r="AC125" i="64"/>
  <c r="AE125" i="64"/>
  <c r="AC126" i="64"/>
  <c r="AE126" i="64"/>
  <c r="AC127" i="64"/>
  <c r="AE127" i="64"/>
  <c r="AC128" i="64"/>
  <c r="AE128" i="64"/>
  <c r="AC129" i="64"/>
  <c r="AE144" i="64"/>
  <c r="B115" i="64"/>
  <c r="D115" i="64"/>
  <c r="AG110" i="64"/>
  <c r="AH110" i="64"/>
  <c r="AI110" i="64"/>
  <c r="K115" i="64"/>
  <c r="M115" i="64"/>
  <c r="AJ110" i="64"/>
  <c r="AK110" i="64"/>
  <c r="AL110" i="64"/>
  <c r="T115" i="64"/>
  <c r="V115" i="64"/>
  <c r="AM110" i="64"/>
  <c r="AO110" i="64"/>
  <c r="AE115" i="64"/>
  <c r="AC115" i="64"/>
  <c r="AP110" i="64"/>
  <c r="B228" i="64"/>
  <c r="D228" i="64"/>
  <c r="E209" i="64"/>
  <c r="G209" i="64"/>
  <c r="E210" i="64"/>
  <c r="G210" i="64"/>
  <c r="E211" i="64"/>
  <c r="G211" i="64"/>
  <c r="E212" i="64"/>
  <c r="G212" i="64"/>
  <c r="E213" i="64"/>
  <c r="G213" i="64"/>
  <c r="E214" i="64"/>
  <c r="E228" i="64"/>
  <c r="G228" i="64"/>
  <c r="H228" i="64"/>
  <c r="J228" i="64"/>
  <c r="K228" i="64"/>
  <c r="M228" i="64"/>
  <c r="N209" i="64"/>
  <c r="P209" i="64"/>
  <c r="N210" i="64"/>
  <c r="P210" i="64"/>
  <c r="N211" i="64"/>
  <c r="P211" i="64"/>
  <c r="N212" i="64"/>
  <c r="P212" i="64"/>
  <c r="N213" i="64"/>
  <c r="P213" i="64"/>
  <c r="N214" i="64"/>
  <c r="N228" i="64"/>
  <c r="P228" i="64"/>
  <c r="Q228" i="64"/>
  <c r="S228" i="64"/>
  <c r="T228" i="64"/>
  <c r="V228" i="64"/>
  <c r="W209" i="64"/>
  <c r="Y209" i="64"/>
  <c r="W210" i="64"/>
  <c r="Y210" i="64"/>
  <c r="W211" i="64"/>
  <c r="Y211" i="64"/>
  <c r="W212" i="64"/>
  <c r="Y212" i="64"/>
  <c r="W213" i="64"/>
  <c r="Y213" i="64"/>
  <c r="W214" i="64"/>
  <c r="W228" i="64"/>
  <c r="Y228" i="64"/>
  <c r="Z228" i="64"/>
  <c r="AB228" i="64"/>
  <c r="AC209" i="64"/>
  <c r="AE209" i="64"/>
  <c r="AC210" i="64"/>
  <c r="AE210" i="64"/>
  <c r="AC211" i="64"/>
  <c r="AE211" i="64"/>
  <c r="AC212" i="64"/>
  <c r="AE212" i="64"/>
  <c r="AC213" i="64"/>
  <c r="AE213" i="64"/>
  <c r="AC214" i="64"/>
  <c r="AC228" i="64"/>
  <c r="AE228" i="64"/>
  <c r="AF228" i="64"/>
  <c r="AG194" i="64"/>
  <c r="E200" i="64"/>
  <c r="G200" i="64"/>
  <c r="AH194" i="64"/>
  <c r="AI194" i="64"/>
  <c r="AJ194" i="64"/>
  <c r="N200" i="64"/>
  <c r="P200" i="64"/>
  <c r="AK194" i="64"/>
  <c r="AL194" i="64"/>
  <c r="AM194" i="64"/>
  <c r="W200" i="64"/>
  <c r="Y200" i="64"/>
  <c r="AN194" i="64"/>
  <c r="AO194" i="64"/>
  <c r="AC200" i="64"/>
  <c r="AE200" i="64"/>
  <c r="AP194" i="64"/>
  <c r="AQ194" i="64"/>
  <c r="Z178" i="64"/>
  <c r="J266" i="64"/>
  <c r="B61" i="64"/>
  <c r="D61" i="64"/>
  <c r="E61" i="64"/>
  <c r="E39" i="64"/>
  <c r="G39" i="64"/>
  <c r="E40" i="64"/>
  <c r="G40" i="64"/>
  <c r="E41" i="64"/>
  <c r="G41" i="64"/>
  <c r="E42" i="64"/>
  <c r="G42" i="64"/>
  <c r="E43" i="64"/>
  <c r="G43" i="64"/>
  <c r="E44" i="64"/>
  <c r="G61" i="64"/>
  <c r="H61" i="64"/>
  <c r="J61" i="64"/>
  <c r="K61" i="64"/>
  <c r="K39" i="64"/>
  <c r="M39" i="64"/>
  <c r="K40" i="64"/>
  <c r="M40" i="64"/>
  <c r="K41" i="64"/>
  <c r="M41" i="64"/>
  <c r="K42" i="64"/>
  <c r="M42" i="64"/>
  <c r="K43" i="64"/>
  <c r="M43" i="64"/>
  <c r="K44" i="64"/>
  <c r="M61" i="64"/>
  <c r="N61" i="64"/>
  <c r="P61" i="64"/>
  <c r="Q39" i="64"/>
  <c r="S39" i="64"/>
  <c r="Q40" i="64"/>
  <c r="S40" i="64"/>
  <c r="Q41" i="64"/>
  <c r="S41" i="64"/>
  <c r="Q42" i="64"/>
  <c r="S42" i="64"/>
  <c r="Q43" i="64"/>
  <c r="S43" i="64"/>
  <c r="Q44" i="64"/>
  <c r="Q61" i="64"/>
  <c r="S61" i="64"/>
  <c r="T61" i="64"/>
  <c r="V61" i="64"/>
  <c r="W61" i="64"/>
  <c r="Y61" i="64"/>
  <c r="Z61" i="64"/>
  <c r="AB61" i="64"/>
  <c r="AC61" i="64"/>
  <c r="AE61" i="64"/>
  <c r="AF61" i="64"/>
  <c r="AG27" i="64"/>
  <c r="G30" i="64"/>
  <c r="E30" i="64"/>
  <c r="AH27" i="64"/>
  <c r="AI27" i="64"/>
  <c r="M30" i="64"/>
  <c r="K30" i="64"/>
  <c r="AJ27" i="64"/>
  <c r="AK27" i="64"/>
  <c r="Q30" i="64"/>
  <c r="S30" i="64"/>
  <c r="AL27" i="64"/>
  <c r="AM27" i="64"/>
  <c r="AN27" i="64"/>
  <c r="AO27" i="64"/>
  <c r="AP27" i="64"/>
  <c r="AQ27" i="64"/>
  <c r="Z14" i="64"/>
  <c r="AF264" i="64"/>
  <c r="B146" i="64"/>
  <c r="D146" i="64"/>
  <c r="E146" i="64"/>
  <c r="E124" i="64"/>
  <c r="G124" i="64"/>
  <c r="E125" i="64"/>
  <c r="G125" i="64"/>
  <c r="E126" i="64"/>
  <c r="G126" i="64"/>
  <c r="E127" i="64"/>
  <c r="G127" i="64"/>
  <c r="E128" i="64"/>
  <c r="G128" i="64"/>
  <c r="E129" i="64"/>
  <c r="G146" i="64"/>
  <c r="H146" i="64"/>
  <c r="J146" i="64"/>
  <c r="K146" i="64"/>
  <c r="M146" i="64"/>
  <c r="N146" i="64"/>
  <c r="P146" i="64"/>
  <c r="Q124" i="64"/>
  <c r="S124" i="64"/>
  <c r="Q125" i="64"/>
  <c r="S125" i="64"/>
  <c r="Q126" i="64"/>
  <c r="S126" i="64"/>
  <c r="Q127" i="64"/>
  <c r="S127" i="64"/>
  <c r="Q128" i="64"/>
  <c r="S128" i="64"/>
  <c r="Q129" i="64"/>
  <c r="Q146" i="64"/>
  <c r="S146" i="64"/>
  <c r="T146" i="64"/>
  <c r="V146" i="64"/>
  <c r="Z146" i="64"/>
  <c r="Z124" i="64"/>
  <c r="AB124" i="64"/>
  <c r="Z125" i="64"/>
  <c r="AB125" i="64"/>
  <c r="Z126" i="64"/>
  <c r="AB126" i="64"/>
  <c r="Z127" i="64"/>
  <c r="AB127" i="64"/>
  <c r="Z128" i="64"/>
  <c r="AB128" i="64"/>
  <c r="Z129" i="64"/>
  <c r="AB146" i="64"/>
  <c r="AC146" i="64"/>
  <c r="AE146" i="64"/>
  <c r="AG112" i="64"/>
  <c r="G115" i="64"/>
  <c r="E115" i="64"/>
  <c r="AH112" i="64"/>
  <c r="AI112" i="64"/>
  <c r="AJ112" i="64"/>
  <c r="AK112" i="64"/>
  <c r="Q115" i="64"/>
  <c r="S115" i="64"/>
  <c r="AL112" i="64"/>
  <c r="AM112" i="64"/>
  <c r="AB115" i="64"/>
  <c r="Z115" i="64"/>
  <c r="AO112" i="64"/>
  <c r="AP112" i="64"/>
  <c r="B230" i="64"/>
  <c r="D230" i="64"/>
  <c r="E230" i="64"/>
  <c r="G230" i="64"/>
  <c r="H209" i="64"/>
  <c r="J209" i="64"/>
  <c r="H210" i="64"/>
  <c r="J210" i="64"/>
  <c r="H211" i="64"/>
  <c r="J211" i="64"/>
  <c r="H212" i="64"/>
  <c r="J212" i="64"/>
  <c r="H213" i="64"/>
  <c r="J213" i="64"/>
  <c r="H214" i="64"/>
  <c r="H230" i="64"/>
  <c r="J230" i="64"/>
  <c r="K230" i="64"/>
  <c r="M230" i="64"/>
  <c r="N230" i="64"/>
  <c r="P230" i="64"/>
  <c r="Q230" i="64"/>
  <c r="S230" i="64"/>
  <c r="T230" i="64"/>
  <c r="T209" i="64"/>
  <c r="V209" i="64"/>
  <c r="T210" i="64"/>
  <c r="V210" i="64"/>
  <c r="T211" i="64"/>
  <c r="V211" i="64"/>
  <c r="T212" i="64"/>
  <c r="V212" i="64"/>
  <c r="T213" i="64"/>
  <c r="V213" i="64"/>
  <c r="T214" i="64"/>
  <c r="V230" i="64"/>
  <c r="W230" i="64"/>
  <c r="Y230" i="64"/>
  <c r="Z209" i="64"/>
  <c r="AB209" i="64"/>
  <c r="Z210" i="64"/>
  <c r="AB210" i="64"/>
  <c r="Z211" i="64"/>
  <c r="AB211" i="64"/>
  <c r="Z212" i="64"/>
  <c r="AB212" i="64"/>
  <c r="Z213" i="64"/>
  <c r="AB213" i="64"/>
  <c r="Z214" i="64"/>
  <c r="Z230" i="64"/>
  <c r="AB230" i="64"/>
  <c r="AC230" i="64"/>
  <c r="AE230" i="64"/>
  <c r="AF230" i="64"/>
  <c r="AG196" i="64"/>
  <c r="AH196" i="64"/>
  <c r="H200" i="64"/>
  <c r="J200" i="64"/>
  <c r="AI196" i="64"/>
  <c r="AJ196" i="64"/>
  <c r="AK196" i="64"/>
  <c r="AL196" i="64"/>
  <c r="V200" i="64"/>
  <c r="T200" i="64"/>
  <c r="AM196" i="64"/>
  <c r="AN196" i="64"/>
  <c r="Z200" i="64"/>
  <c r="AB200" i="64"/>
  <c r="AO196" i="64"/>
  <c r="AP196" i="64"/>
  <c r="AQ196" i="64"/>
  <c r="Z182" i="64"/>
  <c r="AF266" i="64"/>
  <c r="X264" i="64"/>
  <c r="AH266" i="64"/>
  <c r="B352" i="64"/>
  <c r="B369" i="64"/>
  <c r="H358" i="64"/>
  <c r="H359" i="64"/>
  <c r="H360" i="64"/>
  <c r="H361" i="64"/>
  <c r="AU371" i="64"/>
  <c r="AT371" i="64"/>
  <c r="AU370" i="64"/>
  <c r="AT370" i="64"/>
  <c r="AU369" i="64"/>
  <c r="AT369" i="64"/>
  <c r="AT368" i="64"/>
  <c r="AT366" i="64"/>
  <c r="K362" i="64"/>
  <c r="E181" i="64"/>
  <c r="AK266" i="64"/>
  <c r="K352" i="64"/>
  <c r="E98" i="64"/>
  <c r="AK265" i="64"/>
  <c r="K351" i="64"/>
  <c r="E17" i="64"/>
  <c r="AK264" i="64"/>
  <c r="K350" i="64"/>
  <c r="E15" i="64"/>
  <c r="AC264" i="64"/>
  <c r="AF271" i="64"/>
  <c r="K349" i="64"/>
  <c r="A343" i="64"/>
  <c r="F342" i="64"/>
  <c r="A338" i="64"/>
  <c r="J337" i="64"/>
  <c r="A334" i="64"/>
  <c r="F332" i="64"/>
  <c r="A332" i="64"/>
  <c r="A329" i="64"/>
  <c r="W310" i="64"/>
  <c r="W311" i="64"/>
  <c r="W312" i="64"/>
  <c r="W313" i="64"/>
  <c r="Y310" i="64"/>
  <c r="Y311" i="64"/>
  <c r="Y312" i="64"/>
  <c r="Y313" i="64"/>
  <c r="AC309" i="64"/>
  <c r="Z310" i="64"/>
  <c r="Z311" i="64"/>
  <c r="Z312" i="64"/>
  <c r="Z313" i="64"/>
  <c r="AB310" i="64"/>
  <c r="AB311" i="64"/>
  <c r="AB312" i="64"/>
  <c r="AB313" i="64"/>
  <c r="AE309" i="64"/>
  <c r="X266" i="64"/>
  <c r="B58" i="64"/>
  <c r="D58" i="64"/>
  <c r="E58" i="64"/>
  <c r="G58" i="64"/>
  <c r="H58" i="64"/>
  <c r="J58" i="64"/>
  <c r="K58" i="64"/>
  <c r="M58" i="64"/>
  <c r="N58" i="64"/>
  <c r="P58" i="64"/>
  <c r="Q58" i="64"/>
  <c r="S58" i="64"/>
  <c r="T58" i="64"/>
  <c r="V58" i="64"/>
  <c r="W39" i="64"/>
  <c r="Y39" i="64"/>
  <c r="W40" i="64"/>
  <c r="Y40" i="64"/>
  <c r="W41" i="64"/>
  <c r="Y41" i="64"/>
  <c r="W42" i="64"/>
  <c r="Y42" i="64"/>
  <c r="W43" i="64"/>
  <c r="Y43" i="64"/>
  <c r="W44" i="64"/>
  <c r="W58" i="64"/>
  <c r="Y58" i="64"/>
  <c r="Z58" i="64"/>
  <c r="AB58" i="64"/>
  <c r="AC39" i="64"/>
  <c r="AE39" i="64"/>
  <c r="AC40" i="64"/>
  <c r="AE40" i="64"/>
  <c r="AC41" i="64"/>
  <c r="AE41" i="64"/>
  <c r="AC42" i="64"/>
  <c r="AE42" i="64"/>
  <c r="AC43" i="64"/>
  <c r="AE43" i="64"/>
  <c r="AC44" i="64"/>
  <c r="AC58" i="64"/>
  <c r="AE58" i="64"/>
  <c r="AF58" i="64"/>
  <c r="AG24" i="64"/>
  <c r="AH24" i="64"/>
  <c r="AI24" i="64"/>
  <c r="AJ24" i="64"/>
  <c r="AK24" i="64"/>
  <c r="AL24" i="64"/>
  <c r="AM24" i="64"/>
  <c r="W30" i="64"/>
  <c r="Y30" i="64"/>
  <c r="AN24" i="64"/>
  <c r="AO24" i="64"/>
  <c r="AC30" i="64"/>
  <c r="AE30" i="64"/>
  <c r="AP24" i="64"/>
  <c r="AQ24" i="64"/>
  <c r="Z8" i="64"/>
  <c r="U264" i="64"/>
  <c r="B143" i="64"/>
  <c r="D143" i="64"/>
  <c r="E143" i="64"/>
  <c r="G143" i="64"/>
  <c r="H143" i="64"/>
  <c r="J143" i="64"/>
  <c r="K143" i="64"/>
  <c r="M143" i="64"/>
  <c r="N124" i="64"/>
  <c r="P124" i="64"/>
  <c r="N125" i="64"/>
  <c r="P125" i="64"/>
  <c r="N126" i="64"/>
  <c r="P126" i="64"/>
  <c r="N127" i="64"/>
  <c r="P127" i="64"/>
  <c r="N128" i="64"/>
  <c r="P128" i="64"/>
  <c r="N129" i="64"/>
  <c r="N143" i="64"/>
  <c r="P143" i="64"/>
  <c r="Q143" i="64"/>
  <c r="S143" i="64"/>
  <c r="T143" i="64"/>
  <c r="V143" i="64"/>
  <c r="W124" i="64"/>
  <c r="Y124" i="64"/>
  <c r="W125" i="64"/>
  <c r="Y125" i="64"/>
  <c r="W127" i="64"/>
  <c r="Y127" i="64"/>
  <c r="W128" i="64"/>
  <c r="Y128" i="64"/>
  <c r="Z143" i="64"/>
  <c r="AB143" i="64"/>
  <c r="AC143" i="64"/>
  <c r="AE143" i="64"/>
  <c r="AG109" i="64"/>
  <c r="AH109" i="64"/>
  <c r="AI109" i="64"/>
  <c r="AJ109" i="64"/>
  <c r="N115" i="64"/>
  <c r="P115" i="64"/>
  <c r="AK109" i="64"/>
  <c r="AL109" i="64"/>
  <c r="AM109" i="64"/>
  <c r="Y115" i="64"/>
  <c r="AO109" i="64"/>
  <c r="AP109" i="64"/>
  <c r="B231" i="64"/>
  <c r="D231" i="64"/>
  <c r="E231" i="64"/>
  <c r="G231" i="64"/>
  <c r="H231" i="64"/>
  <c r="J231" i="64"/>
  <c r="K231" i="64"/>
  <c r="K209" i="64"/>
  <c r="M209" i="64"/>
  <c r="K210" i="64"/>
  <c r="M210" i="64"/>
  <c r="K211" i="64"/>
  <c r="M211" i="64"/>
  <c r="K212" i="64"/>
  <c r="M212" i="64"/>
  <c r="K213" i="64"/>
  <c r="M213" i="64"/>
  <c r="K214" i="64"/>
  <c r="M231" i="64"/>
  <c r="N231" i="64"/>
  <c r="P231" i="64"/>
  <c r="Q209" i="64"/>
  <c r="S209" i="64"/>
  <c r="Q210" i="64"/>
  <c r="S210" i="64"/>
  <c r="Q211" i="64"/>
  <c r="S211" i="64"/>
  <c r="Q212" i="64"/>
  <c r="S212" i="64"/>
  <c r="Q213" i="64"/>
  <c r="S213" i="64"/>
  <c r="Q214" i="64"/>
  <c r="Q231" i="64"/>
  <c r="S231" i="64"/>
  <c r="T231" i="64"/>
  <c r="V231" i="64"/>
  <c r="W231" i="64"/>
  <c r="Y231" i="64"/>
  <c r="Z231" i="64"/>
  <c r="AB231" i="64"/>
  <c r="AC231" i="64"/>
  <c r="AE231" i="64"/>
  <c r="AF231" i="64"/>
  <c r="AG197" i="64"/>
  <c r="AH197" i="64"/>
  <c r="AI197" i="64"/>
  <c r="M200" i="64"/>
  <c r="K200" i="64"/>
  <c r="AJ197" i="64"/>
  <c r="AK197" i="64"/>
  <c r="Q200" i="64"/>
  <c r="S200" i="64"/>
  <c r="AL197" i="64"/>
  <c r="AM197" i="64"/>
  <c r="AN197" i="64"/>
  <c r="AO197" i="64"/>
  <c r="AP197" i="64"/>
  <c r="AQ197" i="64"/>
  <c r="Z184" i="64"/>
  <c r="U266" i="64"/>
  <c r="M264" i="64"/>
  <c r="AE310" i="64"/>
  <c r="AE311" i="64"/>
  <c r="AE312" i="64"/>
  <c r="AE313" i="64"/>
  <c r="AC310" i="64"/>
  <c r="AC311" i="64"/>
  <c r="AC312" i="64"/>
  <c r="AC313" i="64"/>
  <c r="E310" i="64"/>
  <c r="E311" i="64"/>
  <c r="E312" i="64"/>
  <c r="E313" i="64"/>
  <c r="G310" i="64"/>
  <c r="G311" i="64"/>
  <c r="G312" i="64"/>
  <c r="G313" i="64"/>
  <c r="J309" i="64"/>
  <c r="B266" i="64"/>
  <c r="B303" i="64"/>
  <c r="B320" i="64"/>
  <c r="J310" i="64"/>
  <c r="J311" i="64"/>
  <c r="J312" i="64"/>
  <c r="J313" i="64"/>
  <c r="B310" i="64"/>
  <c r="B311" i="64"/>
  <c r="B312" i="64"/>
  <c r="B313" i="64"/>
  <c r="D310" i="64"/>
  <c r="D311" i="64"/>
  <c r="D312" i="64"/>
  <c r="D313" i="64"/>
  <c r="H309" i="64"/>
  <c r="M266" i="64"/>
  <c r="B264" i="64"/>
  <c r="B301" i="64"/>
  <c r="B318" i="64"/>
  <c r="H310" i="64"/>
  <c r="H311" i="64"/>
  <c r="H312" i="64"/>
  <c r="H313" i="64"/>
  <c r="AT319" i="64"/>
  <c r="AT317" i="64"/>
  <c r="AF314" i="64"/>
  <c r="K314" i="64"/>
  <c r="E183" i="64"/>
  <c r="AC266" i="64"/>
  <c r="AF270" i="64"/>
  <c r="AG304" i="64"/>
  <c r="E185" i="64"/>
  <c r="R266" i="64"/>
  <c r="T269" i="64"/>
  <c r="K304" i="64"/>
  <c r="E100" i="64"/>
  <c r="AC265" i="64"/>
  <c r="AF269" i="64"/>
  <c r="AG303" i="64"/>
  <c r="E179" i="64"/>
  <c r="F266" i="64"/>
  <c r="K303" i="64"/>
  <c r="E9" i="64"/>
  <c r="R264" i="64"/>
  <c r="T271" i="64"/>
  <c r="AG302" i="64"/>
  <c r="E96" i="64"/>
  <c r="F265" i="64"/>
  <c r="K302" i="64"/>
  <c r="E94" i="64"/>
  <c r="R265" i="64"/>
  <c r="T270" i="64"/>
  <c r="AG301" i="64"/>
  <c r="E13" i="64"/>
  <c r="F264" i="64"/>
  <c r="K301" i="64"/>
  <c r="V295" i="64"/>
  <c r="A295" i="64"/>
  <c r="AC294" i="64"/>
  <c r="F294" i="64"/>
  <c r="V290" i="64"/>
  <c r="A290" i="64"/>
  <c r="AG289" i="64"/>
  <c r="J289" i="64"/>
  <c r="V286" i="64"/>
  <c r="A286" i="64"/>
  <c r="AC284" i="64"/>
  <c r="U284" i="64"/>
  <c r="F284" i="64"/>
  <c r="A284" i="64"/>
  <c r="V281" i="64"/>
  <c r="A281" i="64"/>
  <c r="B62" i="64"/>
  <c r="B39" i="64"/>
  <c r="D39" i="64"/>
  <c r="B40" i="64"/>
  <c r="D40" i="64"/>
  <c r="B41" i="64"/>
  <c r="D41" i="64"/>
  <c r="B42" i="64"/>
  <c r="D42" i="64"/>
  <c r="B43" i="64"/>
  <c r="D43" i="64"/>
  <c r="B44" i="64"/>
  <c r="D62" i="64"/>
  <c r="E62" i="64"/>
  <c r="G62" i="64"/>
  <c r="H62" i="64"/>
  <c r="J62" i="64"/>
  <c r="K62" i="64"/>
  <c r="M62" i="64"/>
  <c r="N62" i="64"/>
  <c r="P62" i="64"/>
  <c r="Q62" i="64"/>
  <c r="S62" i="64"/>
  <c r="T62" i="64"/>
  <c r="V62" i="64"/>
  <c r="W62" i="64"/>
  <c r="Y62" i="64"/>
  <c r="Z62" i="64"/>
  <c r="AB62" i="64"/>
  <c r="AC62" i="64"/>
  <c r="AE62" i="64"/>
  <c r="AF62" i="64"/>
  <c r="D30" i="64"/>
  <c r="B30" i="64"/>
  <c r="AG28" i="64"/>
  <c r="AH28" i="64"/>
  <c r="AI28" i="64"/>
  <c r="AJ28" i="64"/>
  <c r="AK28" i="64"/>
  <c r="AL28" i="64"/>
  <c r="AM28" i="64"/>
  <c r="AN28" i="64"/>
  <c r="AO28" i="64"/>
  <c r="AP28" i="64"/>
  <c r="AQ28" i="64"/>
  <c r="Z16" i="64"/>
  <c r="AN264" i="64"/>
  <c r="B145" i="64"/>
  <c r="D145" i="64"/>
  <c r="E145" i="64"/>
  <c r="G145" i="64"/>
  <c r="H124" i="64"/>
  <c r="J124" i="64"/>
  <c r="H125" i="64"/>
  <c r="J125" i="64"/>
  <c r="H126" i="64"/>
  <c r="J126" i="64"/>
  <c r="H127" i="64"/>
  <c r="J127" i="64"/>
  <c r="H128" i="64"/>
  <c r="J128" i="64"/>
  <c r="H129" i="64"/>
  <c r="H145" i="64"/>
  <c r="J145" i="64"/>
  <c r="K145" i="64"/>
  <c r="M145" i="64"/>
  <c r="N145" i="64"/>
  <c r="P145" i="64"/>
  <c r="Q145" i="64"/>
  <c r="S145" i="64"/>
  <c r="T145" i="64"/>
  <c r="V145" i="64"/>
  <c r="W145" i="64"/>
  <c r="Y145" i="64"/>
  <c r="Z145" i="64"/>
  <c r="AB145" i="64"/>
  <c r="AC145" i="64"/>
  <c r="AE145" i="64"/>
  <c r="AF145" i="64"/>
  <c r="AG111" i="64"/>
  <c r="AH111" i="64"/>
  <c r="H115" i="64"/>
  <c r="J115" i="64"/>
  <c r="AI111" i="64"/>
  <c r="AJ111" i="64"/>
  <c r="AK111" i="64"/>
  <c r="AL111" i="64"/>
  <c r="AM111" i="64"/>
  <c r="AN111" i="64"/>
  <c r="AO111" i="64"/>
  <c r="AP111" i="64"/>
  <c r="AQ111" i="64"/>
  <c r="Z97" i="64"/>
  <c r="AN265" i="64"/>
  <c r="B209" i="64"/>
  <c r="D209" i="64"/>
  <c r="B210" i="64"/>
  <c r="D210" i="64"/>
  <c r="B211" i="64"/>
  <c r="D211" i="64"/>
  <c r="B212" i="64"/>
  <c r="D212" i="64"/>
  <c r="B213" i="64"/>
  <c r="D213" i="64"/>
  <c r="B214" i="64"/>
  <c r="B229" i="64"/>
  <c r="D229" i="64"/>
  <c r="E229" i="64"/>
  <c r="G229" i="64"/>
  <c r="H229" i="64"/>
  <c r="J229" i="64"/>
  <c r="K229" i="64"/>
  <c r="M229" i="64"/>
  <c r="N229" i="64"/>
  <c r="P229" i="64"/>
  <c r="Q229" i="64"/>
  <c r="S229" i="64"/>
  <c r="T229" i="64"/>
  <c r="V229" i="64"/>
  <c r="W229" i="64"/>
  <c r="Y229" i="64"/>
  <c r="Z229" i="64"/>
  <c r="AB229" i="64"/>
  <c r="AC229" i="64"/>
  <c r="AE229" i="64"/>
  <c r="AF229" i="64"/>
  <c r="B200" i="64"/>
  <c r="D200" i="64"/>
  <c r="AG195" i="64"/>
  <c r="AH195" i="64"/>
  <c r="AI195" i="64"/>
  <c r="AJ195" i="64"/>
  <c r="AK195" i="64"/>
  <c r="AL195" i="64"/>
  <c r="AM195" i="64"/>
  <c r="AN195" i="64"/>
  <c r="AO195" i="64"/>
  <c r="AP195" i="64"/>
  <c r="AQ195" i="64"/>
  <c r="Z180" i="64"/>
  <c r="AN266" i="64"/>
  <c r="AP264" i="64"/>
  <c r="AN271" i="64"/>
  <c r="AH271" i="64"/>
  <c r="L264" i="64"/>
  <c r="I271" i="64"/>
  <c r="B271" i="64"/>
  <c r="AP265" i="64"/>
  <c r="AN270" i="64"/>
  <c r="AH270" i="64"/>
  <c r="L265" i="64"/>
  <c r="L266" i="64"/>
  <c r="I270" i="64"/>
  <c r="B270" i="64"/>
  <c r="AP266" i="64"/>
  <c r="AN269" i="64"/>
  <c r="AH269" i="64"/>
  <c r="I269" i="64"/>
  <c r="B269" i="64"/>
  <c r="A259" i="64"/>
  <c r="AF246" i="64"/>
  <c r="S245" i="64"/>
  <c r="AF245" i="64"/>
  <c r="J244" i="64"/>
  <c r="AB244" i="64"/>
  <c r="AF244" i="64"/>
  <c r="D243" i="64"/>
  <c r="M243" i="64"/>
  <c r="V243" i="64"/>
  <c r="AF243" i="64"/>
  <c r="G242" i="64"/>
  <c r="P242" i="64"/>
  <c r="Y242" i="64"/>
  <c r="AE242" i="64"/>
  <c r="AF242" i="64"/>
  <c r="AF238" i="64"/>
  <c r="AG238" i="64"/>
  <c r="AF237" i="64"/>
  <c r="AG237" i="64"/>
  <c r="AF236" i="64"/>
  <c r="AG236" i="64"/>
  <c r="AF235" i="64"/>
  <c r="AG235" i="64"/>
  <c r="AF234" i="64"/>
  <c r="AG234" i="64"/>
  <c r="B232" i="64"/>
  <c r="D232" i="64"/>
  <c r="E232" i="64"/>
  <c r="G232" i="64"/>
  <c r="H232" i="64"/>
  <c r="J232" i="64"/>
  <c r="K232" i="64"/>
  <c r="M232" i="64"/>
  <c r="N232" i="64"/>
  <c r="P232" i="64"/>
  <c r="Q232" i="64"/>
  <c r="S232" i="64"/>
  <c r="T232" i="64"/>
  <c r="V232" i="64"/>
  <c r="W232" i="64"/>
  <c r="Y232" i="64"/>
  <c r="Z232" i="64"/>
  <c r="AB232" i="64"/>
  <c r="AC232" i="64"/>
  <c r="AE232" i="64"/>
  <c r="AF232" i="64"/>
  <c r="B226" i="64"/>
  <c r="B207" i="64"/>
  <c r="D207" i="64"/>
  <c r="C207" i="64"/>
  <c r="D226" i="64"/>
  <c r="E226" i="64"/>
  <c r="G226" i="64"/>
  <c r="H226" i="64"/>
  <c r="H207" i="64"/>
  <c r="J207" i="64"/>
  <c r="I207" i="64"/>
  <c r="J226" i="64"/>
  <c r="K226" i="64"/>
  <c r="M226" i="64"/>
  <c r="N226" i="64"/>
  <c r="P226" i="64"/>
  <c r="Q226" i="64"/>
  <c r="Q207" i="64"/>
  <c r="S207" i="64"/>
  <c r="R207" i="64"/>
  <c r="S226" i="64"/>
  <c r="T226" i="64"/>
  <c r="V226" i="64"/>
  <c r="W226" i="64"/>
  <c r="W207" i="64"/>
  <c r="Y207" i="64"/>
  <c r="X207" i="64"/>
  <c r="Y226" i="64"/>
  <c r="Z226" i="64"/>
  <c r="AB226" i="64"/>
  <c r="AC226" i="64"/>
  <c r="AE226" i="64"/>
  <c r="AF226" i="64"/>
  <c r="B225" i="64"/>
  <c r="D225" i="64"/>
  <c r="E225" i="64"/>
  <c r="E207" i="64"/>
  <c r="G207" i="64"/>
  <c r="F207" i="64"/>
  <c r="G225" i="64"/>
  <c r="H225" i="64"/>
  <c r="J225" i="64"/>
  <c r="K225" i="64"/>
  <c r="K207" i="64"/>
  <c r="M207" i="64"/>
  <c r="L207" i="64"/>
  <c r="M225" i="64"/>
  <c r="N225" i="64"/>
  <c r="P225" i="64"/>
  <c r="Q225" i="64"/>
  <c r="S225" i="64"/>
  <c r="T225" i="64"/>
  <c r="V225" i="64"/>
  <c r="W225" i="64"/>
  <c r="Y225" i="64"/>
  <c r="Z225" i="64"/>
  <c r="Z207" i="64"/>
  <c r="AB207" i="64"/>
  <c r="AA207" i="64"/>
  <c r="AB225" i="64"/>
  <c r="AC225" i="64"/>
  <c r="AE225" i="64"/>
  <c r="AF225" i="64"/>
  <c r="B224" i="64"/>
  <c r="D224" i="64"/>
  <c r="E224" i="64"/>
  <c r="G224" i="64"/>
  <c r="H224" i="64"/>
  <c r="J224" i="64"/>
  <c r="K224" i="64"/>
  <c r="M224" i="64"/>
  <c r="N224" i="64"/>
  <c r="N207" i="64"/>
  <c r="P207" i="64"/>
  <c r="O207" i="64"/>
  <c r="P224" i="64"/>
  <c r="Q224" i="64"/>
  <c r="S224" i="64"/>
  <c r="T224" i="64"/>
  <c r="T207" i="64"/>
  <c r="V207" i="64"/>
  <c r="U207" i="64"/>
  <c r="V224" i="64"/>
  <c r="W224" i="64"/>
  <c r="Y224" i="64"/>
  <c r="Z224" i="64"/>
  <c r="AB224" i="64"/>
  <c r="AC224" i="64"/>
  <c r="AE224" i="64"/>
  <c r="AF224" i="64"/>
  <c r="B223" i="64"/>
  <c r="D223" i="64"/>
  <c r="E223" i="64"/>
  <c r="G223" i="64"/>
  <c r="H223" i="64"/>
  <c r="J223" i="64"/>
  <c r="K223" i="64"/>
  <c r="M223" i="64"/>
  <c r="N223" i="64"/>
  <c r="P223" i="64"/>
  <c r="Q223" i="64"/>
  <c r="S223" i="64"/>
  <c r="T223" i="64"/>
  <c r="V223" i="64"/>
  <c r="W223" i="64"/>
  <c r="Y223" i="64"/>
  <c r="Z223" i="64"/>
  <c r="AB223" i="64"/>
  <c r="AC223" i="64"/>
  <c r="AC207" i="64"/>
  <c r="AE207" i="64"/>
  <c r="AD207" i="64"/>
  <c r="AE223" i="64"/>
  <c r="AF223" i="64"/>
  <c r="B222" i="64"/>
  <c r="D222" i="64"/>
  <c r="E222" i="64"/>
  <c r="G222" i="64"/>
  <c r="H222" i="64"/>
  <c r="J222" i="64"/>
  <c r="K222" i="64"/>
  <c r="M222" i="64"/>
  <c r="N222" i="64"/>
  <c r="P222" i="64"/>
  <c r="Q222" i="64"/>
  <c r="S222" i="64"/>
  <c r="T222" i="64"/>
  <c r="V222" i="64"/>
  <c r="W222" i="64"/>
  <c r="Y222" i="64"/>
  <c r="Z222" i="64"/>
  <c r="AB222" i="64"/>
  <c r="AC222" i="64"/>
  <c r="AE222" i="64"/>
  <c r="AF222" i="64"/>
  <c r="B220" i="64"/>
  <c r="D220" i="64"/>
  <c r="E220" i="64"/>
  <c r="G220" i="64"/>
  <c r="H220" i="64"/>
  <c r="J220" i="64"/>
  <c r="K220" i="64"/>
  <c r="M220" i="64"/>
  <c r="N220" i="64"/>
  <c r="P220" i="64"/>
  <c r="Q220" i="64"/>
  <c r="S220" i="64"/>
  <c r="T220" i="64"/>
  <c r="V220" i="64"/>
  <c r="W220" i="64"/>
  <c r="Y220" i="64"/>
  <c r="Z220" i="64"/>
  <c r="AB220" i="64"/>
  <c r="AC220" i="64"/>
  <c r="AE220" i="64"/>
  <c r="AF220" i="64"/>
  <c r="AG220" i="64"/>
  <c r="B219" i="64"/>
  <c r="D219" i="64"/>
  <c r="E219" i="64"/>
  <c r="G219" i="64"/>
  <c r="H219" i="64"/>
  <c r="J219" i="64"/>
  <c r="K219" i="64"/>
  <c r="M219" i="64"/>
  <c r="N219" i="64"/>
  <c r="P219" i="64"/>
  <c r="Q219" i="64"/>
  <c r="S219" i="64"/>
  <c r="T219" i="64"/>
  <c r="V219" i="64"/>
  <c r="W219" i="64"/>
  <c r="Y219" i="64"/>
  <c r="Z219" i="64"/>
  <c r="AB219" i="64"/>
  <c r="AC219" i="64"/>
  <c r="AE219" i="64"/>
  <c r="AF219" i="64"/>
  <c r="AG219" i="64"/>
  <c r="B218" i="64"/>
  <c r="D218" i="64"/>
  <c r="E218" i="64"/>
  <c r="G218" i="64"/>
  <c r="H218" i="64"/>
  <c r="J218" i="64"/>
  <c r="K218" i="64"/>
  <c r="M218" i="64"/>
  <c r="N218" i="64"/>
  <c r="P218" i="64"/>
  <c r="Q218" i="64"/>
  <c r="S218" i="64"/>
  <c r="T218" i="64"/>
  <c r="V218" i="64"/>
  <c r="W218" i="64"/>
  <c r="Y218" i="64"/>
  <c r="Z218" i="64"/>
  <c r="AB218" i="64"/>
  <c r="AC218" i="64"/>
  <c r="AE218" i="64"/>
  <c r="AF218" i="64"/>
  <c r="AG218" i="64"/>
  <c r="B217" i="64"/>
  <c r="D217" i="64"/>
  <c r="E217" i="64"/>
  <c r="G217" i="64"/>
  <c r="H217" i="64"/>
  <c r="J217" i="64"/>
  <c r="K217" i="64"/>
  <c r="M217" i="64"/>
  <c r="N217" i="64"/>
  <c r="P217" i="64"/>
  <c r="Q217" i="64"/>
  <c r="S217" i="64"/>
  <c r="T217" i="64"/>
  <c r="V217" i="64"/>
  <c r="W217" i="64"/>
  <c r="Y217" i="64"/>
  <c r="Z217" i="64"/>
  <c r="AB217" i="64"/>
  <c r="AC217" i="64"/>
  <c r="AE217" i="64"/>
  <c r="AF217" i="64"/>
  <c r="AG217" i="64"/>
  <c r="B216" i="64"/>
  <c r="D216" i="64"/>
  <c r="E216" i="64"/>
  <c r="G216" i="64"/>
  <c r="H216" i="64"/>
  <c r="J216" i="64"/>
  <c r="K216" i="64"/>
  <c r="M216" i="64"/>
  <c r="N216" i="64"/>
  <c r="P216" i="64"/>
  <c r="Q216" i="64"/>
  <c r="S216" i="64"/>
  <c r="T216" i="64"/>
  <c r="V216" i="64"/>
  <c r="W216" i="64"/>
  <c r="Y216" i="64"/>
  <c r="Z216" i="64"/>
  <c r="AB216" i="64"/>
  <c r="AC216" i="64"/>
  <c r="AE216" i="64"/>
  <c r="AF216" i="64"/>
  <c r="AG216" i="64"/>
  <c r="AD199" i="64"/>
  <c r="AA199" i="64"/>
  <c r="X199" i="64"/>
  <c r="U199" i="64"/>
  <c r="R199" i="64"/>
  <c r="O199" i="64"/>
  <c r="L199" i="64"/>
  <c r="I199" i="64"/>
  <c r="F199" i="64"/>
  <c r="A199" i="64"/>
  <c r="AG198" i="64"/>
  <c r="AH198" i="64"/>
  <c r="AI198" i="64"/>
  <c r="AJ198" i="64"/>
  <c r="AK198" i="64"/>
  <c r="AL198" i="64"/>
  <c r="AM198" i="64"/>
  <c r="AN198" i="64"/>
  <c r="AO198" i="64"/>
  <c r="AP198" i="64"/>
  <c r="AQ198" i="64"/>
  <c r="AF198" i="64"/>
  <c r="AD198" i="64"/>
  <c r="AA198" i="64"/>
  <c r="X198" i="64"/>
  <c r="U198" i="64"/>
  <c r="R198" i="64"/>
  <c r="O198" i="64"/>
  <c r="L198" i="64"/>
  <c r="I198" i="64"/>
  <c r="F198" i="64"/>
  <c r="A198" i="64"/>
  <c r="AF197" i="64"/>
  <c r="AD197" i="64"/>
  <c r="AA197" i="64"/>
  <c r="X197" i="64"/>
  <c r="U197" i="64"/>
  <c r="R197" i="64"/>
  <c r="O197" i="64"/>
  <c r="L197" i="64"/>
  <c r="I197" i="64"/>
  <c r="F197" i="64"/>
  <c r="A197" i="64"/>
  <c r="AF196" i="64"/>
  <c r="AD196" i="64"/>
  <c r="AA196" i="64"/>
  <c r="X196" i="64"/>
  <c r="U196" i="64"/>
  <c r="R196" i="64"/>
  <c r="O196" i="64"/>
  <c r="L196" i="64"/>
  <c r="I196" i="64"/>
  <c r="F196" i="64"/>
  <c r="A196" i="64"/>
  <c r="AF195" i="64"/>
  <c r="AD195" i="64"/>
  <c r="AA195" i="64"/>
  <c r="X195" i="64"/>
  <c r="U195" i="64"/>
  <c r="R195" i="64"/>
  <c r="O195" i="64"/>
  <c r="L195" i="64"/>
  <c r="I195" i="64"/>
  <c r="F195" i="64"/>
  <c r="AF194" i="64"/>
  <c r="AD194" i="64"/>
  <c r="AA194" i="64"/>
  <c r="X194" i="64"/>
  <c r="U194" i="64"/>
  <c r="R194" i="64"/>
  <c r="O194" i="64"/>
  <c r="L194" i="64"/>
  <c r="I194" i="64"/>
  <c r="F194" i="64"/>
  <c r="AC192" i="64"/>
  <c r="Z192" i="64"/>
  <c r="W192" i="64"/>
  <c r="T192" i="64"/>
  <c r="Q192" i="64"/>
  <c r="N192" i="64"/>
  <c r="K192" i="64"/>
  <c r="H192" i="64"/>
  <c r="E192" i="64"/>
  <c r="E187" i="64"/>
  <c r="AC186" i="64"/>
  <c r="Z186" i="64"/>
  <c r="W186" i="64"/>
  <c r="R186" i="64"/>
  <c r="L186" i="64"/>
  <c r="A186" i="64"/>
  <c r="AC184" i="64"/>
  <c r="W184" i="64"/>
  <c r="R184" i="64"/>
  <c r="L184" i="64"/>
  <c r="A184" i="64"/>
  <c r="AC182" i="64"/>
  <c r="W182" i="64"/>
  <c r="R182" i="64"/>
  <c r="L182" i="64"/>
  <c r="A182" i="64"/>
  <c r="AC180" i="64"/>
  <c r="W180" i="64"/>
  <c r="R180" i="64"/>
  <c r="L180" i="64"/>
  <c r="A180" i="64"/>
  <c r="AC178" i="64"/>
  <c r="W178" i="64"/>
  <c r="R178" i="64"/>
  <c r="L178" i="64"/>
  <c r="A178" i="64"/>
  <c r="R177" i="64"/>
  <c r="L177" i="64"/>
  <c r="K176" i="64"/>
  <c r="A174" i="64"/>
  <c r="AF161" i="64"/>
  <c r="S160" i="64"/>
  <c r="AF160" i="64"/>
  <c r="J159" i="64"/>
  <c r="AB159" i="64"/>
  <c r="AF159" i="64"/>
  <c r="D158" i="64"/>
  <c r="M158" i="64"/>
  <c r="V158" i="64"/>
  <c r="AF158" i="64"/>
  <c r="G157" i="64"/>
  <c r="P157" i="64"/>
  <c r="Y157" i="64"/>
  <c r="AE157" i="64"/>
  <c r="AF157" i="64"/>
  <c r="AF153" i="64"/>
  <c r="AG153" i="64"/>
  <c r="AF152" i="64"/>
  <c r="AG152" i="64"/>
  <c r="AF151" i="64"/>
  <c r="AG151" i="64"/>
  <c r="AF150" i="64"/>
  <c r="AG150" i="64"/>
  <c r="AF149" i="64"/>
  <c r="AG149" i="64"/>
  <c r="B147" i="64"/>
  <c r="D147" i="64"/>
  <c r="E147" i="64"/>
  <c r="G147" i="64"/>
  <c r="H147" i="64"/>
  <c r="J147" i="64"/>
  <c r="K147" i="64"/>
  <c r="M147" i="64"/>
  <c r="N147" i="64"/>
  <c r="P147" i="64"/>
  <c r="Q147" i="64"/>
  <c r="S147" i="64"/>
  <c r="T147" i="64"/>
  <c r="V147" i="64"/>
  <c r="W147" i="64"/>
  <c r="Y147" i="64"/>
  <c r="Z147" i="64"/>
  <c r="AB147" i="64"/>
  <c r="AC147" i="64"/>
  <c r="AE147" i="64"/>
  <c r="AF147" i="64"/>
  <c r="B141" i="64"/>
  <c r="B122" i="64"/>
  <c r="D122" i="64"/>
  <c r="C122" i="64"/>
  <c r="D141" i="64"/>
  <c r="E141" i="64"/>
  <c r="G141" i="64"/>
  <c r="H141" i="64"/>
  <c r="H122" i="64"/>
  <c r="J122" i="64"/>
  <c r="I122" i="64"/>
  <c r="J141" i="64"/>
  <c r="K141" i="64"/>
  <c r="M141" i="64"/>
  <c r="N141" i="64"/>
  <c r="P141" i="64"/>
  <c r="Q141" i="64"/>
  <c r="Q122" i="64"/>
  <c r="S122" i="64"/>
  <c r="R122" i="64"/>
  <c r="S141" i="64"/>
  <c r="T141" i="64"/>
  <c r="V141" i="64"/>
  <c r="W141" i="64"/>
  <c r="W122" i="64"/>
  <c r="Y122" i="64"/>
  <c r="X122" i="64"/>
  <c r="Y141" i="64"/>
  <c r="Z141" i="64"/>
  <c r="AB141" i="64"/>
  <c r="AC141" i="64"/>
  <c r="AE141" i="64"/>
  <c r="AF141" i="64"/>
  <c r="B140" i="64"/>
  <c r="D140" i="64"/>
  <c r="E140" i="64"/>
  <c r="E122" i="64"/>
  <c r="G122" i="64"/>
  <c r="F122" i="64"/>
  <c r="G140" i="64"/>
  <c r="H140" i="64"/>
  <c r="J140" i="64"/>
  <c r="K140" i="64"/>
  <c r="K122" i="64"/>
  <c r="M122" i="64"/>
  <c r="L122" i="64"/>
  <c r="M140" i="64"/>
  <c r="N140" i="64"/>
  <c r="P140" i="64"/>
  <c r="Q140" i="64"/>
  <c r="S140" i="64"/>
  <c r="T140" i="64"/>
  <c r="V140" i="64"/>
  <c r="W140" i="64"/>
  <c r="Y140" i="64"/>
  <c r="Z140" i="64"/>
  <c r="Z122" i="64"/>
  <c r="AB122" i="64"/>
  <c r="AA122" i="64"/>
  <c r="AB140" i="64"/>
  <c r="AC140" i="64"/>
  <c r="AE140" i="64"/>
  <c r="AF140" i="64"/>
  <c r="B139" i="64"/>
  <c r="D139" i="64"/>
  <c r="E139" i="64"/>
  <c r="G139" i="64"/>
  <c r="H139" i="64"/>
  <c r="J139" i="64"/>
  <c r="K139" i="64"/>
  <c r="M139" i="64"/>
  <c r="N139" i="64"/>
  <c r="N122" i="64"/>
  <c r="P122" i="64"/>
  <c r="O122" i="64"/>
  <c r="P139" i="64"/>
  <c r="Q139" i="64"/>
  <c r="S139" i="64"/>
  <c r="T139" i="64"/>
  <c r="T122" i="64"/>
  <c r="V122" i="64"/>
  <c r="U122" i="64"/>
  <c r="V139" i="64"/>
  <c r="W139" i="64"/>
  <c r="Y139" i="64"/>
  <c r="Z139" i="64"/>
  <c r="AB139" i="64"/>
  <c r="AC139" i="64"/>
  <c r="AE139" i="64"/>
  <c r="AF139" i="64"/>
  <c r="B138" i="64"/>
  <c r="D138" i="64"/>
  <c r="E138" i="64"/>
  <c r="G138" i="64"/>
  <c r="H138" i="64"/>
  <c r="J138" i="64"/>
  <c r="K138" i="64"/>
  <c r="M138" i="64"/>
  <c r="N138" i="64"/>
  <c r="P138" i="64"/>
  <c r="Q138" i="64"/>
  <c r="S138" i="64"/>
  <c r="T138" i="64"/>
  <c r="V138" i="64"/>
  <c r="W138" i="64"/>
  <c r="Y138" i="64"/>
  <c r="Z138" i="64"/>
  <c r="AB138" i="64"/>
  <c r="AC138" i="64"/>
  <c r="AC122" i="64"/>
  <c r="AE122" i="64"/>
  <c r="AD122" i="64"/>
  <c r="AE138" i="64"/>
  <c r="AF138" i="64"/>
  <c r="B137" i="64"/>
  <c r="D137" i="64"/>
  <c r="E137" i="64"/>
  <c r="G137" i="64"/>
  <c r="H137" i="64"/>
  <c r="J137" i="64"/>
  <c r="K137" i="64"/>
  <c r="M137" i="64"/>
  <c r="N137" i="64"/>
  <c r="P137" i="64"/>
  <c r="Q137" i="64"/>
  <c r="S137" i="64"/>
  <c r="T137" i="64"/>
  <c r="V137" i="64"/>
  <c r="W137" i="64"/>
  <c r="Y137" i="64"/>
  <c r="Z137" i="64"/>
  <c r="AB137" i="64"/>
  <c r="AC137" i="64"/>
  <c r="AE137" i="64"/>
  <c r="AF137" i="64"/>
  <c r="B135" i="64"/>
  <c r="D135" i="64"/>
  <c r="E135" i="64"/>
  <c r="G135" i="64"/>
  <c r="H135" i="64"/>
  <c r="J135" i="64"/>
  <c r="K135" i="64"/>
  <c r="M135" i="64"/>
  <c r="N135" i="64"/>
  <c r="P135" i="64"/>
  <c r="Q135" i="64"/>
  <c r="S135" i="64"/>
  <c r="T135" i="64"/>
  <c r="V135" i="64"/>
  <c r="W135" i="64"/>
  <c r="Y135" i="64"/>
  <c r="Z135" i="64"/>
  <c r="AB135" i="64"/>
  <c r="AC135" i="64"/>
  <c r="AE135" i="64"/>
  <c r="AF135" i="64"/>
  <c r="AG135" i="64"/>
  <c r="B134" i="64"/>
  <c r="D134" i="64"/>
  <c r="E134" i="64"/>
  <c r="G134" i="64"/>
  <c r="H134" i="64"/>
  <c r="J134" i="64"/>
  <c r="K134" i="64"/>
  <c r="M134" i="64"/>
  <c r="N134" i="64"/>
  <c r="P134" i="64"/>
  <c r="Q134" i="64"/>
  <c r="S134" i="64"/>
  <c r="T134" i="64"/>
  <c r="V134" i="64"/>
  <c r="W134" i="64"/>
  <c r="Y134" i="64"/>
  <c r="Z134" i="64"/>
  <c r="AB134" i="64"/>
  <c r="AC134" i="64"/>
  <c r="AE134" i="64"/>
  <c r="AF134" i="64"/>
  <c r="AG134" i="64"/>
  <c r="B133" i="64"/>
  <c r="D133" i="64"/>
  <c r="E133" i="64"/>
  <c r="G133" i="64"/>
  <c r="H133" i="64"/>
  <c r="J133" i="64"/>
  <c r="K133" i="64"/>
  <c r="M133" i="64"/>
  <c r="N133" i="64"/>
  <c r="P133" i="64"/>
  <c r="Q133" i="64"/>
  <c r="S133" i="64"/>
  <c r="T133" i="64"/>
  <c r="V133" i="64"/>
  <c r="W133" i="64"/>
  <c r="Y133" i="64"/>
  <c r="Z133" i="64"/>
  <c r="AB133" i="64"/>
  <c r="AC133" i="64"/>
  <c r="AE133" i="64"/>
  <c r="AF133" i="64"/>
  <c r="AG133" i="64"/>
  <c r="B132" i="64"/>
  <c r="D132" i="64"/>
  <c r="E132" i="64"/>
  <c r="G132" i="64"/>
  <c r="H132" i="64"/>
  <c r="J132" i="64"/>
  <c r="K132" i="64"/>
  <c r="M132" i="64"/>
  <c r="N132" i="64"/>
  <c r="P132" i="64"/>
  <c r="Q132" i="64"/>
  <c r="S132" i="64"/>
  <c r="T132" i="64"/>
  <c r="V132" i="64"/>
  <c r="W132" i="64"/>
  <c r="Y132" i="64"/>
  <c r="Z132" i="64"/>
  <c r="AB132" i="64"/>
  <c r="AC132" i="64"/>
  <c r="AE132" i="64"/>
  <c r="AF132" i="64"/>
  <c r="AG132" i="64"/>
  <c r="B131" i="64"/>
  <c r="D131" i="64"/>
  <c r="E131" i="64"/>
  <c r="G131" i="64"/>
  <c r="H131" i="64"/>
  <c r="J131" i="64"/>
  <c r="K131" i="64"/>
  <c r="M131" i="64"/>
  <c r="N131" i="64"/>
  <c r="P131" i="64"/>
  <c r="Q131" i="64"/>
  <c r="S131" i="64"/>
  <c r="T131" i="64"/>
  <c r="V131" i="64"/>
  <c r="W131" i="64"/>
  <c r="Y131" i="64"/>
  <c r="Z131" i="64"/>
  <c r="AB131" i="64"/>
  <c r="AC131" i="64"/>
  <c r="AE131" i="64"/>
  <c r="AF131" i="64"/>
  <c r="AG131" i="64"/>
  <c r="AD114" i="64"/>
  <c r="AA114" i="64"/>
  <c r="X114" i="64"/>
  <c r="U114" i="64"/>
  <c r="R114" i="64"/>
  <c r="O114" i="64"/>
  <c r="L114" i="64"/>
  <c r="I114" i="64"/>
  <c r="F114" i="64"/>
  <c r="A114" i="64"/>
  <c r="AG113" i="64"/>
  <c r="AH113" i="64"/>
  <c r="AI113" i="64"/>
  <c r="AJ113" i="64"/>
  <c r="AK113" i="64"/>
  <c r="AL113" i="64"/>
  <c r="AM113" i="64"/>
  <c r="AN113" i="64"/>
  <c r="AO113" i="64"/>
  <c r="AP113" i="64"/>
  <c r="AQ113" i="64"/>
  <c r="AF113" i="64"/>
  <c r="AD113" i="64"/>
  <c r="AA113" i="64"/>
  <c r="X113" i="64"/>
  <c r="U113" i="64"/>
  <c r="R113" i="64"/>
  <c r="O113" i="64"/>
  <c r="L113" i="64"/>
  <c r="I113" i="64"/>
  <c r="F113" i="64"/>
  <c r="A113" i="64"/>
  <c r="AF112" i="64"/>
  <c r="AD112" i="64"/>
  <c r="AA112" i="64"/>
  <c r="X112" i="64"/>
  <c r="U112" i="64"/>
  <c r="R112" i="64"/>
  <c r="O112" i="64"/>
  <c r="L112" i="64"/>
  <c r="I112" i="64"/>
  <c r="F112" i="64"/>
  <c r="A112" i="64"/>
  <c r="AF111" i="64"/>
  <c r="AD111" i="64"/>
  <c r="AA111" i="64"/>
  <c r="X111" i="64"/>
  <c r="U111" i="64"/>
  <c r="R111" i="64"/>
  <c r="O111" i="64"/>
  <c r="L111" i="64"/>
  <c r="I111" i="64"/>
  <c r="F111" i="64"/>
  <c r="A111" i="64"/>
  <c r="AF110" i="64"/>
  <c r="AD110" i="64"/>
  <c r="AA110" i="64"/>
  <c r="X110" i="64"/>
  <c r="U110" i="64"/>
  <c r="R110" i="64"/>
  <c r="O110" i="64"/>
  <c r="L110" i="64"/>
  <c r="I110" i="64"/>
  <c r="F110" i="64"/>
  <c r="AF109" i="64"/>
  <c r="AD109" i="64"/>
  <c r="AA109" i="64"/>
  <c r="X109" i="64"/>
  <c r="U109" i="64"/>
  <c r="R109" i="64"/>
  <c r="O109" i="64"/>
  <c r="L109" i="64"/>
  <c r="I109" i="64"/>
  <c r="F109" i="64"/>
  <c r="AC107" i="64"/>
  <c r="Z107" i="64"/>
  <c r="W107" i="64"/>
  <c r="T107" i="64"/>
  <c r="Q107" i="64"/>
  <c r="N107" i="64"/>
  <c r="K107" i="64"/>
  <c r="H107" i="64"/>
  <c r="E107" i="64"/>
  <c r="E102" i="64"/>
  <c r="AC101" i="64"/>
  <c r="Z101" i="64"/>
  <c r="W101" i="64"/>
  <c r="R101" i="64"/>
  <c r="L101" i="64"/>
  <c r="A101" i="64"/>
  <c r="AC99" i="64"/>
  <c r="W99" i="64"/>
  <c r="R99" i="64"/>
  <c r="L99" i="64"/>
  <c r="A99" i="64"/>
  <c r="AC97" i="64"/>
  <c r="W97" i="64"/>
  <c r="R97" i="64"/>
  <c r="L97" i="64"/>
  <c r="A97" i="64"/>
  <c r="AC95" i="64"/>
  <c r="W95" i="64"/>
  <c r="R95" i="64"/>
  <c r="L95" i="64"/>
  <c r="A95" i="64"/>
  <c r="AC93" i="64"/>
  <c r="W93" i="64"/>
  <c r="R93" i="64"/>
  <c r="L93" i="64"/>
  <c r="A93" i="64"/>
  <c r="R92" i="64"/>
  <c r="L92" i="64"/>
  <c r="K91" i="64"/>
  <c r="A89" i="64"/>
  <c r="AF76" i="64"/>
  <c r="S75" i="64"/>
  <c r="AF75" i="64"/>
  <c r="J74" i="64"/>
  <c r="AB74" i="64"/>
  <c r="AF74" i="64"/>
  <c r="D73" i="64"/>
  <c r="M73" i="64"/>
  <c r="V73" i="64"/>
  <c r="AF73" i="64"/>
  <c r="G72" i="64"/>
  <c r="P72" i="64"/>
  <c r="Y72" i="64"/>
  <c r="AE72" i="64"/>
  <c r="AF72" i="64"/>
  <c r="AF68" i="64"/>
  <c r="AG68" i="64"/>
  <c r="AF67" i="64"/>
  <c r="AG67" i="64"/>
  <c r="AF66" i="64"/>
  <c r="AG66" i="64"/>
  <c r="AF65" i="64"/>
  <c r="AG65" i="64"/>
  <c r="AF64" i="64"/>
  <c r="AG64" i="64"/>
  <c r="B59" i="64"/>
  <c r="D59" i="64"/>
  <c r="E59" i="64"/>
  <c r="G59" i="64"/>
  <c r="H59" i="64"/>
  <c r="J59" i="64"/>
  <c r="K59" i="64"/>
  <c r="M59" i="64"/>
  <c r="N59" i="64"/>
  <c r="P59" i="64"/>
  <c r="Q59" i="64"/>
  <c r="S59" i="64"/>
  <c r="T59" i="64"/>
  <c r="V59" i="64"/>
  <c r="W59" i="64"/>
  <c r="Y59" i="64"/>
  <c r="Z59" i="64"/>
  <c r="AB59" i="64"/>
  <c r="AC59" i="64"/>
  <c r="AE59" i="64"/>
  <c r="AF59" i="64"/>
  <c r="B56" i="64"/>
  <c r="B37" i="64"/>
  <c r="D37" i="64"/>
  <c r="C37" i="64"/>
  <c r="D56" i="64"/>
  <c r="E56" i="64"/>
  <c r="G56" i="64"/>
  <c r="H56" i="64"/>
  <c r="H37" i="64"/>
  <c r="J37" i="64"/>
  <c r="I37" i="64"/>
  <c r="J56" i="64"/>
  <c r="K56" i="64"/>
  <c r="M56" i="64"/>
  <c r="N56" i="64"/>
  <c r="P56" i="64"/>
  <c r="Q56" i="64"/>
  <c r="Q37" i="64"/>
  <c r="S37" i="64"/>
  <c r="R37" i="64"/>
  <c r="S56" i="64"/>
  <c r="T56" i="64"/>
  <c r="V56" i="64"/>
  <c r="W56" i="64"/>
  <c r="W37" i="64"/>
  <c r="Y37" i="64"/>
  <c r="X37" i="64"/>
  <c r="Y56" i="64"/>
  <c r="Z56" i="64"/>
  <c r="AB56" i="64"/>
  <c r="AC56" i="64"/>
  <c r="AE56" i="64"/>
  <c r="AF56" i="64"/>
  <c r="B55" i="64"/>
  <c r="D55" i="64"/>
  <c r="E55" i="64"/>
  <c r="E37" i="64"/>
  <c r="G37" i="64"/>
  <c r="F37" i="64"/>
  <c r="G55" i="64"/>
  <c r="H55" i="64"/>
  <c r="J55" i="64"/>
  <c r="K55" i="64"/>
  <c r="K37" i="64"/>
  <c r="M37" i="64"/>
  <c r="L37" i="64"/>
  <c r="M55" i="64"/>
  <c r="N55" i="64"/>
  <c r="P55" i="64"/>
  <c r="Q55" i="64"/>
  <c r="S55" i="64"/>
  <c r="T55" i="64"/>
  <c r="V55" i="64"/>
  <c r="W55" i="64"/>
  <c r="Y55" i="64"/>
  <c r="Z55" i="64"/>
  <c r="Z37" i="64"/>
  <c r="AB37" i="64"/>
  <c r="AA37" i="64"/>
  <c r="AB55" i="64"/>
  <c r="AC55" i="64"/>
  <c r="AE55" i="64"/>
  <c r="AF55" i="64"/>
  <c r="B54" i="64"/>
  <c r="D54" i="64"/>
  <c r="E54" i="64"/>
  <c r="G54" i="64"/>
  <c r="H54" i="64"/>
  <c r="J54" i="64"/>
  <c r="K54" i="64"/>
  <c r="M54" i="64"/>
  <c r="N54" i="64"/>
  <c r="N37" i="64"/>
  <c r="P37" i="64"/>
  <c r="O37" i="64"/>
  <c r="P54" i="64"/>
  <c r="Q54" i="64"/>
  <c r="S54" i="64"/>
  <c r="T54" i="64"/>
  <c r="T37" i="64"/>
  <c r="V37" i="64"/>
  <c r="U37" i="64"/>
  <c r="V54" i="64"/>
  <c r="W54" i="64"/>
  <c r="Y54" i="64"/>
  <c r="Z54" i="64"/>
  <c r="AB54" i="64"/>
  <c r="AC54" i="64"/>
  <c r="AE54" i="64"/>
  <c r="AF54" i="64"/>
  <c r="B53" i="64"/>
  <c r="D53" i="64"/>
  <c r="E53" i="64"/>
  <c r="G53" i="64"/>
  <c r="H53" i="64"/>
  <c r="J53" i="64"/>
  <c r="K53" i="64"/>
  <c r="M53" i="64"/>
  <c r="N53" i="64"/>
  <c r="P53" i="64"/>
  <c r="Q53" i="64"/>
  <c r="S53" i="64"/>
  <c r="T53" i="64"/>
  <c r="V53" i="64"/>
  <c r="W53" i="64"/>
  <c r="Y53" i="64"/>
  <c r="Z53" i="64"/>
  <c r="AB53" i="64"/>
  <c r="AC53" i="64"/>
  <c r="AC37" i="64"/>
  <c r="AE37" i="64"/>
  <c r="AD37" i="64"/>
  <c r="AE53" i="64"/>
  <c r="AF53" i="64"/>
  <c r="B52" i="64"/>
  <c r="D52" i="64"/>
  <c r="E52" i="64"/>
  <c r="G52" i="64"/>
  <c r="H52" i="64"/>
  <c r="J52" i="64"/>
  <c r="K52" i="64"/>
  <c r="M52" i="64"/>
  <c r="N52" i="64"/>
  <c r="P52" i="64"/>
  <c r="Q52" i="64"/>
  <c r="S52" i="64"/>
  <c r="T52" i="64"/>
  <c r="V52" i="64"/>
  <c r="W52" i="64"/>
  <c r="Y52" i="64"/>
  <c r="Z52" i="64"/>
  <c r="AB52" i="64"/>
  <c r="AC52" i="64"/>
  <c r="AE52" i="64"/>
  <c r="AF52" i="64"/>
  <c r="B50" i="64"/>
  <c r="D50" i="64"/>
  <c r="E50" i="64"/>
  <c r="G50" i="64"/>
  <c r="H50" i="64"/>
  <c r="J50" i="64"/>
  <c r="K50" i="64"/>
  <c r="M50" i="64"/>
  <c r="N50" i="64"/>
  <c r="P50" i="64"/>
  <c r="Q50" i="64"/>
  <c r="S50" i="64"/>
  <c r="T50" i="64"/>
  <c r="V50" i="64"/>
  <c r="W50" i="64"/>
  <c r="Y50" i="64"/>
  <c r="Z50" i="64"/>
  <c r="AB50" i="64"/>
  <c r="AC50" i="64"/>
  <c r="AE50" i="64"/>
  <c r="AF50" i="64"/>
  <c r="AG50" i="64"/>
  <c r="B49" i="64"/>
  <c r="D49" i="64"/>
  <c r="E49" i="64"/>
  <c r="G49" i="64"/>
  <c r="H49" i="64"/>
  <c r="J49" i="64"/>
  <c r="K49" i="64"/>
  <c r="M49" i="64"/>
  <c r="N49" i="64"/>
  <c r="P49" i="64"/>
  <c r="Q49" i="64"/>
  <c r="S49" i="64"/>
  <c r="T49" i="64"/>
  <c r="V49" i="64"/>
  <c r="W49" i="64"/>
  <c r="Y49" i="64"/>
  <c r="Z49" i="64"/>
  <c r="AB49" i="64"/>
  <c r="AC49" i="64"/>
  <c r="AE49" i="64"/>
  <c r="AF49" i="64"/>
  <c r="AG49" i="64"/>
  <c r="B48" i="64"/>
  <c r="D48" i="64"/>
  <c r="E48" i="64"/>
  <c r="G48" i="64"/>
  <c r="H48" i="64"/>
  <c r="J48" i="64"/>
  <c r="K48" i="64"/>
  <c r="M48" i="64"/>
  <c r="N48" i="64"/>
  <c r="P48" i="64"/>
  <c r="Q48" i="64"/>
  <c r="S48" i="64"/>
  <c r="T48" i="64"/>
  <c r="V48" i="64"/>
  <c r="W48" i="64"/>
  <c r="Y48" i="64"/>
  <c r="Z48" i="64"/>
  <c r="AB48" i="64"/>
  <c r="AC48" i="64"/>
  <c r="AE48" i="64"/>
  <c r="AF48" i="64"/>
  <c r="AG48" i="64"/>
  <c r="B47" i="64"/>
  <c r="D47" i="64"/>
  <c r="E47" i="64"/>
  <c r="G47" i="64"/>
  <c r="H47" i="64"/>
  <c r="J47" i="64"/>
  <c r="K47" i="64"/>
  <c r="M47" i="64"/>
  <c r="N47" i="64"/>
  <c r="P47" i="64"/>
  <c r="Q47" i="64"/>
  <c r="S47" i="64"/>
  <c r="T47" i="64"/>
  <c r="V47" i="64"/>
  <c r="W47" i="64"/>
  <c r="Y47" i="64"/>
  <c r="Z47" i="64"/>
  <c r="AB47" i="64"/>
  <c r="AC47" i="64"/>
  <c r="AE47" i="64"/>
  <c r="AF47" i="64"/>
  <c r="AG47" i="64"/>
  <c r="B46" i="64"/>
  <c r="D46" i="64"/>
  <c r="E46" i="64"/>
  <c r="G46" i="64"/>
  <c r="H46" i="64"/>
  <c r="J46" i="64"/>
  <c r="K46" i="64"/>
  <c r="M46" i="64"/>
  <c r="N46" i="64"/>
  <c r="P46" i="64"/>
  <c r="Q46" i="64"/>
  <c r="S46" i="64"/>
  <c r="T46" i="64"/>
  <c r="V46" i="64"/>
  <c r="W46" i="64"/>
  <c r="Y46" i="64"/>
  <c r="Z46" i="64"/>
  <c r="AB46" i="64"/>
  <c r="AC46" i="64"/>
  <c r="AE46" i="64"/>
  <c r="AF46" i="64"/>
  <c r="AG46" i="64"/>
  <c r="AD29" i="64"/>
  <c r="AA29" i="64"/>
  <c r="X29" i="64"/>
  <c r="U29" i="64"/>
  <c r="R29" i="64"/>
  <c r="O29" i="64"/>
  <c r="L29" i="64"/>
  <c r="I29" i="64"/>
  <c r="F29" i="64"/>
  <c r="A29" i="64"/>
  <c r="AF28" i="64"/>
  <c r="AD28" i="64"/>
  <c r="AA28" i="64"/>
  <c r="X28" i="64"/>
  <c r="U28" i="64"/>
  <c r="R28" i="64"/>
  <c r="O28" i="64"/>
  <c r="L28" i="64"/>
  <c r="I28" i="64"/>
  <c r="F28" i="64"/>
  <c r="A28" i="64"/>
  <c r="AF27" i="64"/>
  <c r="AD27" i="64"/>
  <c r="AA27" i="64"/>
  <c r="X27" i="64"/>
  <c r="U27" i="64"/>
  <c r="R27" i="64"/>
  <c r="O27" i="64"/>
  <c r="L27" i="64"/>
  <c r="I27" i="64"/>
  <c r="F27" i="64"/>
  <c r="A27" i="64"/>
  <c r="AF26" i="64"/>
  <c r="AD26" i="64"/>
  <c r="AA26" i="64"/>
  <c r="X26" i="64"/>
  <c r="U26" i="64"/>
  <c r="R26" i="64"/>
  <c r="O26" i="64"/>
  <c r="L26" i="64"/>
  <c r="I26" i="64"/>
  <c r="F26" i="64"/>
  <c r="A26" i="64"/>
  <c r="AG25" i="64"/>
  <c r="AH25" i="64"/>
  <c r="AI25" i="64"/>
  <c r="AJ25" i="64"/>
  <c r="AK25" i="64"/>
  <c r="AL25" i="64"/>
  <c r="AM25" i="64"/>
  <c r="AN25" i="64"/>
  <c r="AO25" i="64"/>
  <c r="AP25" i="64"/>
  <c r="AQ25" i="64"/>
  <c r="AF25" i="64"/>
  <c r="AD25" i="64"/>
  <c r="AA25" i="64"/>
  <c r="X25" i="64"/>
  <c r="U25" i="64"/>
  <c r="R25" i="64"/>
  <c r="O25" i="64"/>
  <c r="L25" i="64"/>
  <c r="I25" i="64"/>
  <c r="F25" i="64"/>
  <c r="AF24" i="64"/>
  <c r="AD24" i="64"/>
  <c r="AA24" i="64"/>
  <c r="X24" i="64"/>
  <c r="U24" i="64"/>
  <c r="R24" i="64"/>
  <c r="O24" i="64"/>
  <c r="L24" i="64"/>
  <c r="I24" i="64"/>
  <c r="F24" i="64"/>
  <c r="AC22" i="64"/>
  <c r="Z22" i="64"/>
  <c r="W22" i="64"/>
  <c r="T22" i="64"/>
  <c r="Q22" i="64"/>
  <c r="N22" i="64"/>
  <c r="K22" i="64"/>
  <c r="H22" i="64"/>
  <c r="E22" i="64"/>
  <c r="AX17" i="64"/>
  <c r="AY17" i="64"/>
  <c r="AX16" i="64"/>
  <c r="AY16" i="64"/>
  <c r="AC16" i="64"/>
  <c r="W16" i="64"/>
  <c r="R16" i="64"/>
  <c r="L16" i="64"/>
  <c r="A16" i="64"/>
  <c r="AY15" i="64"/>
  <c r="AY14" i="64"/>
  <c r="AC14" i="64"/>
  <c r="W14" i="64"/>
  <c r="R14" i="64"/>
  <c r="L14" i="64"/>
  <c r="A14" i="64"/>
  <c r="AY13" i="64"/>
  <c r="AY12" i="64"/>
  <c r="AC12" i="64"/>
  <c r="W12" i="64"/>
  <c r="R12" i="64"/>
  <c r="L12" i="64"/>
  <c r="A12" i="64"/>
  <c r="AY11" i="64"/>
  <c r="E11" i="64"/>
  <c r="AY10" i="64"/>
  <c r="AC10" i="64"/>
  <c r="Z10" i="64"/>
  <c r="W10" i="64"/>
  <c r="R10" i="64"/>
  <c r="L10" i="64"/>
  <c r="A10" i="64"/>
  <c r="AC8" i="64"/>
  <c r="W8" i="64"/>
  <c r="R8" i="64"/>
  <c r="L8" i="64"/>
  <c r="A8" i="64"/>
  <c r="R7" i="64"/>
  <c r="L7" i="64"/>
  <c r="AY6" i="64"/>
  <c r="K6" i="64"/>
  <c r="AY5" i="64"/>
  <c r="AY4" i="64"/>
  <c r="AY3" i="64"/>
  <c r="K6" i="47"/>
  <c r="L7" i="47"/>
  <c r="R7" i="47"/>
  <c r="A8" i="47"/>
  <c r="E8" i="47"/>
  <c r="E9" i="47"/>
  <c r="A10" i="47"/>
  <c r="E10" i="47"/>
  <c r="E11" i="47"/>
  <c r="A12" i="47"/>
  <c r="E12" i="47"/>
  <c r="E13" i="47"/>
  <c r="A14" i="47"/>
  <c r="E14" i="47"/>
  <c r="E15" i="47"/>
  <c r="A16" i="47"/>
  <c r="E16" i="47"/>
  <c r="E17" i="47"/>
  <c r="E22" i="47"/>
  <c r="H22" i="47"/>
  <c r="K22" i="47"/>
  <c r="N22" i="47"/>
  <c r="Q22" i="47"/>
  <c r="T22" i="47"/>
  <c r="W22" i="47"/>
  <c r="Z22" i="47"/>
  <c r="AC22" i="47"/>
  <c r="F24" i="47"/>
  <c r="I24" i="47"/>
  <c r="L24" i="47"/>
  <c r="O24" i="47"/>
  <c r="R24" i="47"/>
  <c r="U24" i="47"/>
  <c r="X24" i="47"/>
  <c r="AA24" i="47"/>
  <c r="AD24" i="47"/>
  <c r="AF24" i="47"/>
  <c r="AG24" i="47"/>
  <c r="AI24" i="47"/>
  <c r="AJ24" i="47"/>
  <c r="AL24" i="47"/>
  <c r="AM24" i="47"/>
  <c r="AO24" i="47"/>
  <c r="F25" i="47"/>
  <c r="I25" i="47"/>
  <c r="L25" i="47"/>
  <c r="O25" i="47"/>
  <c r="R25" i="47"/>
  <c r="U25" i="47"/>
  <c r="X25" i="47"/>
  <c r="AA25" i="47"/>
  <c r="AD25" i="47"/>
  <c r="AF25" i="47"/>
  <c r="AH25" i="47"/>
  <c r="AI25" i="47"/>
  <c r="AK25" i="47"/>
  <c r="AL25" i="47"/>
  <c r="T30" i="47"/>
  <c r="V30" i="47"/>
  <c r="AM25" i="47"/>
  <c r="AN25" i="47"/>
  <c r="AO25" i="47"/>
  <c r="A26" i="47"/>
  <c r="F26" i="47"/>
  <c r="I26" i="47"/>
  <c r="L26" i="47"/>
  <c r="O26" i="47"/>
  <c r="R26" i="47"/>
  <c r="U26" i="47"/>
  <c r="X26" i="47"/>
  <c r="AA26" i="47"/>
  <c r="AD26" i="47"/>
  <c r="AF26" i="47"/>
  <c r="AG26" i="47"/>
  <c r="AH26" i="47"/>
  <c r="H30" i="47"/>
  <c r="J30" i="47"/>
  <c r="AI26" i="47"/>
  <c r="AJ26" i="47"/>
  <c r="P30" i="47"/>
  <c r="N30" i="47"/>
  <c r="AK26" i="47"/>
  <c r="AL26" i="47"/>
  <c r="AM26" i="47"/>
  <c r="AN26" i="47"/>
  <c r="Z30" i="47"/>
  <c r="AB30" i="47"/>
  <c r="AO26" i="47"/>
  <c r="AP26" i="47"/>
  <c r="AQ26" i="47"/>
  <c r="W12" i="47"/>
  <c r="A27" i="47"/>
  <c r="F27" i="47"/>
  <c r="I27" i="47"/>
  <c r="L27" i="47"/>
  <c r="O27" i="47"/>
  <c r="R27" i="47"/>
  <c r="U27" i="47"/>
  <c r="X27" i="47"/>
  <c r="AA27" i="47"/>
  <c r="AD27" i="47"/>
  <c r="AF27" i="47"/>
  <c r="AG27" i="47"/>
  <c r="AI27" i="47"/>
  <c r="AK27" i="47"/>
  <c r="AM27" i="47"/>
  <c r="AN27" i="47"/>
  <c r="AP27" i="47"/>
  <c r="A28" i="47"/>
  <c r="F28" i="47"/>
  <c r="I28" i="47"/>
  <c r="L28" i="47"/>
  <c r="O28" i="47"/>
  <c r="R28" i="47"/>
  <c r="U28" i="47"/>
  <c r="X28" i="47"/>
  <c r="AA28" i="47"/>
  <c r="AD28" i="47"/>
  <c r="AF28" i="47"/>
  <c r="D30" i="47"/>
  <c r="B30" i="47"/>
  <c r="AG28" i="47"/>
  <c r="AH28" i="47"/>
  <c r="AJ28" i="47"/>
  <c r="AK28" i="47"/>
  <c r="AM28" i="47"/>
  <c r="AO28" i="47"/>
  <c r="AP28" i="47"/>
  <c r="A29" i="47"/>
  <c r="F29" i="47"/>
  <c r="I29" i="47"/>
  <c r="L29" i="47"/>
  <c r="O29" i="47"/>
  <c r="R29" i="47"/>
  <c r="U29" i="47"/>
  <c r="X29" i="47"/>
  <c r="AA29" i="47"/>
  <c r="AD29" i="47"/>
  <c r="AG25" i="47"/>
  <c r="E30" i="47"/>
  <c r="G30" i="47"/>
  <c r="AH24" i="47"/>
  <c r="AH27" i="47"/>
  <c r="AI28" i="47"/>
  <c r="K30" i="47"/>
  <c r="M30" i="47"/>
  <c r="AJ25" i="47"/>
  <c r="AK24" i="47"/>
  <c r="Q30" i="47"/>
  <c r="S30" i="47"/>
  <c r="AL27" i="47"/>
  <c r="AL28" i="47"/>
  <c r="W30" i="47"/>
  <c r="Y30" i="47"/>
  <c r="AN28" i="47"/>
  <c r="AO27" i="47"/>
  <c r="AC30" i="47"/>
  <c r="AE30" i="47"/>
  <c r="AP24" i="47"/>
  <c r="AP25" i="47"/>
  <c r="B31" i="47"/>
  <c r="D31" i="47"/>
  <c r="E31" i="47"/>
  <c r="G31" i="47"/>
  <c r="H31" i="47"/>
  <c r="J31" i="47"/>
  <c r="K31" i="47"/>
  <c r="M31" i="47"/>
  <c r="N31" i="47"/>
  <c r="P31" i="47"/>
  <c r="Q31" i="47"/>
  <c r="S31" i="47"/>
  <c r="T31" i="47"/>
  <c r="V31" i="47"/>
  <c r="W31" i="47"/>
  <c r="Y31" i="47"/>
  <c r="Z31" i="47"/>
  <c r="AB31" i="47"/>
  <c r="AC31" i="47"/>
  <c r="AE31" i="47"/>
  <c r="B32" i="47"/>
  <c r="D32" i="47"/>
  <c r="E32" i="47"/>
  <c r="G32" i="47"/>
  <c r="H32" i="47"/>
  <c r="J32" i="47"/>
  <c r="K32" i="47"/>
  <c r="M32" i="47"/>
  <c r="N32" i="47"/>
  <c r="P32" i="47"/>
  <c r="Q32" i="47"/>
  <c r="S32" i="47"/>
  <c r="T32" i="47"/>
  <c r="V32" i="47"/>
  <c r="W32" i="47"/>
  <c r="Y32" i="47"/>
  <c r="Z32" i="47"/>
  <c r="AB32" i="47"/>
  <c r="AC32" i="47"/>
  <c r="AE32" i="47"/>
  <c r="B33" i="47"/>
  <c r="D33" i="47"/>
  <c r="E33" i="47"/>
  <c r="G33" i="47"/>
  <c r="H33" i="47"/>
  <c r="J33" i="47"/>
  <c r="K33" i="47"/>
  <c r="M33" i="47"/>
  <c r="N33" i="47"/>
  <c r="P33" i="47"/>
  <c r="Q33" i="47"/>
  <c r="S33" i="47"/>
  <c r="T33" i="47"/>
  <c r="V33" i="47"/>
  <c r="W33" i="47"/>
  <c r="Y33" i="47"/>
  <c r="Z33" i="47"/>
  <c r="AB33" i="47"/>
  <c r="AC33" i="47"/>
  <c r="AE33" i="47"/>
  <c r="B34" i="47"/>
  <c r="D34" i="47"/>
  <c r="E34" i="47"/>
  <c r="G34" i="47"/>
  <c r="H34" i="47"/>
  <c r="J34" i="47"/>
  <c r="K34" i="47"/>
  <c r="M34" i="47"/>
  <c r="N34" i="47"/>
  <c r="P34" i="47"/>
  <c r="Q34" i="47"/>
  <c r="S34" i="47"/>
  <c r="T34" i="47"/>
  <c r="V34" i="47"/>
  <c r="W34" i="47"/>
  <c r="Y34" i="47"/>
  <c r="Z34" i="47"/>
  <c r="AB34" i="47"/>
  <c r="AC34" i="47"/>
  <c r="AE34" i="47"/>
  <c r="B35" i="47"/>
  <c r="D35" i="47"/>
  <c r="E35" i="47"/>
  <c r="G35" i="47"/>
  <c r="H35" i="47"/>
  <c r="J35" i="47"/>
  <c r="K35" i="47"/>
  <c r="M35" i="47"/>
  <c r="N35" i="47"/>
  <c r="P35" i="47"/>
  <c r="Q35" i="47"/>
  <c r="S35" i="47"/>
  <c r="T35" i="47"/>
  <c r="V35" i="47"/>
  <c r="W35" i="47"/>
  <c r="Y35" i="47"/>
  <c r="Z35" i="47"/>
  <c r="AB35" i="47"/>
  <c r="AC35" i="47"/>
  <c r="AE35" i="47"/>
  <c r="B36" i="47"/>
  <c r="D36" i="47"/>
  <c r="B64" i="47"/>
  <c r="D64" i="47"/>
  <c r="B65" i="47"/>
  <c r="D65" i="47"/>
  <c r="B66" i="47"/>
  <c r="D66" i="47"/>
  <c r="B67" i="47"/>
  <c r="D67" i="47"/>
  <c r="B68" i="47"/>
  <c r="D68" i="47"/>
  <c r="C71" i="47"/>
  <c r="D37" i="47"/>
  <c r="D50" i="47"/>
  <c r="B50" i="47"/>
  <c r="E50" i="47"/>
  <c r="G50" i="47"/>
  <c r="H50" i="47"/>
  <c r="J36" i="47"/>
  <c r="H36" i="47"/>
  <c r="H64" i="47"/>
  <c r="J64" i="47"/>
  <c r="H65" i="47"/>
  <c r="J65" i="47"/>
  <c r="H66" i="47"/>
  <c r="J66" i="47"/>
  <c r="H67" i="47"/>
  <c r="J67" i="47"/>
  <c r="H68" i="47"/>
  <c r="J68" i="47"/>
  <c r="I71" i="47"/>
  <c r="J37" i="47"/>
  <c r="J50" i="47"/>
  <c r="K50" i="47"/>
  <c r="M50" i="47"/>
  <c r="N50" i="47"/>
  <c r="P50" i="47"/>
  <c r="Q50" i="47"/>
  <c r="S36" i="47"/>
  <c r="Q36" i="47"/>
  <c r="S37" i="47"/>
  <c r="S50" i="47"/>
  <c r="T50" i="47"/>
  <c r="V50" i="47"/>
  <c r="W50" i="47"/>
  <c r="Y36" i="47"/>
  <c r="W36" i="47"/>
  <c r="Y37" i="47"/>
  <c r="Y50" i="47"/>
  <c r="Z50" i="47"/>
  <c r="AB50" i="47"/>
  <c r="AC50" i="47"/>
  <c r="AE50" i="47"/>
  <c r="AF50" i="47"/>
  <c r="E36" i="47"/>
  <c r="G36" i="47"/>
  <c r="H37" i="47"/>
  <c r="K36" i="47"/>
  <c r="M36" i="47"/>
  <c r="N36" i="47"/>
  <c r="P36" i="47"/>
  <c r="P37" i="47"/>
  <c r="P48" i="47"/>
  <c r="T36" i="47"/>
  <c r="V36" i="47"/>
  <c r="T37" i="47"/>
  <c r="Z36" i="47"/>
  <c r="AB36" i="47"/>
  <c r="Z64" i="47"/>
  <c r="AB64" i="47"/>
  <c r="Z65" i="47"/>
  <c r="AB65" i="47"/>
  <c r="Z66" i="47"/>
  <c r="AB66" i="47"/>
  <c r="Z67" i="47"/>
  <c r="AB67" i="47"/>
  <c r="Z68" i="47"/>
  <c r="AB68" i="47"/>
  <c r="AA71" i="47"/>
  <c r="AB37" i="47"/>
  <c r="AB49" i="47"/>
  <c r="AC36" i="47"/>
  <c r="AE36" i="47"/>
  <c r="B37" i="47"/>
  <c r="E64" i="47"/>
  <c r="G64" i="47"/>
  <c r="E65" i="47"/>
  <c r="G65" i="47"/>
  <c r="E66" i="47"/>
  <c r="G66" i="47"/>
  <c r="E67" i="47"/>
  <c r="G67" i="47"/>
  <c r="E68" i="47"/>
  <c r="G68" i="47"/>
  <c r="F71" i="47"/>
  <c r="E37" i="47"/>
  <c r="G37" i="47"/>
  <c r="F37" i="47"/>
  <c r="K37" i="47"/>
  <c r="K64" i="47"/>
  <c r="M64" i="47"/>
  <c r="K65" i="47"/>
  <c r="M65" i="47"/>
  <c r="K66" i="47"/>
  <c r="M66" i="47"/>
  <c r="K67" i="47"/>
  <c r="M67" i="47"/>
  <c r="K68" i="47"/>
  <c r="M68" i="47"/>
  <c r="L71" i="47"/>
  <c r="M37" i="47"/>
  <c r="L37" i="47"/>
  <c r="N64" i="47"/>
  <c r="P64" i="47"/>
  <c r="N65" i="47"/>
  <c r="P65" i="47"/>
  <c r="N66" i="47"/>
  <c r="P66" i="47"/>
  <c r="N67" i="47"/>
  <c r="P67" i="47"/>
  <c r="N68" i="47"/>
  <c r="P68" i="47"/>
  <c r="O71" i="47"/>
  <c r="N37" i="47"/>
  <c r="Q64" i="47"/>
  <c r="S64" i="47"/>
  <c r="Q65" i="47"/>
  <c r="S65" i="47"/>
  <c r="Q66" i="47"/>
  <c r="S66" i="47"/>
  <c r="Q67" i="47"/>
  <c r="S67" i="47"/>
  <c r="Q68" i="47"/>
  <c r="S68" i="47"/>
  <c r="R71" i="47"/>
  <c r="Q37" i="47"/>
  <c r="R37" i="47"/>
  <c r="T64" i="47"/>
  <c r="V64" i="47"/>
  <c r="T65" i="47"/>
  <c r="V65" i="47"/>
  <c r="T66" i="47"/>
  <c r="V66" i="47"/>
  <c r="T67" i="47"/>
  <c r="V67" i="47"/>
  <c r="T68" i="47"/>
  <c r="V68" i="47"/>
  <c r="U71" i="47"/>
  <c r="V37" i="47"/>
  <c r="W64" i="47"/>
  <c r="Y64" i="47"/>
  <c r="W65" i="47"/>
  <c r="Y65" i="47"/>
  <c r="W66" i="47"/>
  <c r="Y66" i="47"/>
  <c r="W67" i="47"/>
  <c r="Y67" i="47"/>
  <c r="W68" i="47"/>
  <c r="Y68" i="47"/>
  <c r="X71" i="47"/>
  <c r="W37" i="47"/>
  <c r="X37" i="47"/>
  <c r="Z37" i="47"/>
  <c r="AA37" i="47"/>
  <c r="AC64" i="47"/>
  <c r="AE64" i="47"/>
  <c r="AC65" i="47"/>
  <c r="AE65" i="47"/>
  <c r="AC66" i="47"/>
  <c r="AE66" i="47"/>
  <c r="AC67" i="47"/>
  <c r="AE67" i="47"/>
  <c r="AC68" i="47"/>
  <c r="AE68" i="47"/>
  <c r="AD71" i="47"/>
  <c r="AC37" i="47"/>
  <c r="AE37" i="47"/>
  <c r="AD37" i="47"/>
  <c r="B39" i="47"/>
  <c r="D39" i="47"/>
  <c r="B40" i="47"/>
  <c r="D40" i="47"/>
  <c r="B41" i="47"/>
  <c r="D41" i="47"/>
  <c r="B42" i="47"/>
  <c r="D42" i="47"/>
  <c r="B43" i="47"/>
  <c r="D43" i="47"/>
  <c r="B44" i="47"/>
  <c r="E39" i="47"/>
  <c r="G39" i="47"/>
  <c r="H39" i="47"/>
  <c r="J39" i="47"/>
  <c r="K39" i="47"/>
  <c r="M39" i="47"/>
  <c r="N39" i="47"/>
  <c r="P39" i="47"/>
  <c r="N40" i="47"/>
  <c r="P40" i="47"/>
  <c r="N41" i="47"/>
  <c r="P41" i="47"/>
  <c r="N42" i="47"/>
  <c r="P42" i="47"/>
  <c r="N43" i="47"/>
  <c r="P43" i="47"/>
  <c r="N44" i="47"/>
  <c r="Q39" i="47"/>
  <c r="S39" i="47"/>
  <c r="T39" i="47"/>
  <c r="V39" i="47"/>
  <c r="W39" i="47"/>
  <c r="Y39" i="47"/>
  <c r="Z39" i="47"/>
  <c r="AB39" i="47"/>
  <c r="Z40" i="47"/>
  <c r="AB40" i="47"/>
  <c r="Z41" i="47"/>
  <c r="AB41" i="47"/>
  <c r="Z42" i="47"/>
  <c r="AB42" i="47"/>
  <c r="Z43" i="47"/>
  <c r="AB43" i="47"/>
  <c r="Z44" i="47"/>
  <c r="AC39" i="47"/>
  <c r="AE39" i="47"/>
  <c r="E40" i="47"/>
  <c r="G40" i="47"/>
  <c r="H40" i="47"/>
  <c r="J40" i="47"/>
  <c r="K40" i="47"/>
  <c r="M40" i="47"/>
  <c r="Q40" i="47"/>
  <c r="S40" i="47"/>
  <c r="T40" i="47"/>
  <c r="V40" i="47"/>
  <c r="W40" i="47"/>
  <c r="Y40" i="47"/>
  <c r="AC40" i="47"/>
  <c r="AE40" i="47"/>
  <c r="E41" i="47"/>
  <c r="G41" i="47"/>
  <c r="H41" i="47"/>
  <c r="J41" i="47"/>
  <c r="K41" i="47"/>
  <c r="M41" i="47"/>
  <c r="Q41" i="47"/>
  <c r="S41" i="47"/>
  <c r="T41" i="47"/>
  <c r="V41" i="47"/>
  <c r="W41" i="47"/>
  <c r="Y41" i="47"/>
  <c r="AC41" i="47"/>
  <c r="AE41" i="47"/>
  <c r="E42" i="47"/>
  <c r="G42" i="47"/>
  <c r="H42" i="47"/>
  <c r="J42" i="47"/>
  <c r="K42" i="47"/>
  <c r="M42" i="47"/>
  <c r="Q42" i="47"/>
  <c r="S42" i="47"/>
  <c r="T42" i="47"/>
  <c r="V42" i="47"/>
  <c r="W42" i="47"/>
  <c r="Y42" i="47"/>
  <c r="AC42" i="47"/>
  <c r="AE42" i="47"/>
  <c r="E43" i="47"/>
  <c r="G43" i="47"/>
  <c r="H43" i="47"/>
  <c r="J43" i="47"/>
  <c r="K43" i="47"/>
  <c r="M43" i="47"/>
  <c r="Q43" i="47"/>
  <c r="S43" i="47"/>
  <c r="T43" i="47"/>
  <c r="V43" i="47"/>
  <c r="W43" i="47"/>
  <c r="Y43" i="47"/>
  <c r="AC43" i="47"/>
  <c r="AE43" i="47"/>
  <c r="E44" i="47"/>
  <c r="H44" i="47"/>
  <c r="K44" i="47"/>
  <c r="Q44" i="47"/>
  <c r="T44" i="47"/>
  <c r="W44" i="47"/>
  <c r="AC44" i="47"/>
  <c r="B46" i="47"/>
  <c r="D46" i="47"/>
  <c r="E46" i="47"/>
  <c r="G46" i="47"/>
  <c r="H46" i="47"/>
  <c r="J46" i="47"/>
  <c r="K46" i="47"/>
  <c r="M46" i="47"/>
  <c r="N46" i="47"/>
  <c r="P46" i="47"/>
  <c r="Q46" i="47"/>
  <c r="S46" i="47"/>
  <c r="T46" i="47"/>
  <c r="V46" i="47"/>
  <c r="W46" i="47"/>
  <c r="Y46" i="47"/>
  <c r="Z46" i="47"/>
  <c r="AB46" i="47"/>
  <c r="AC46" i="47"/>
  <c r="AE46" i="47"/>
  <c r="AF46" i="47"/>
  <c r="B47" i="47"/>
  <c r="D47" i="47"/>
  <c r="E47" i="47"/>
  <c r="G47" i="47"/>
  <c r="H47" i="47"/>
  <c r="J47" i="47"/>
  <c r="K47" i="47"/>
  <c r="M47" i="47"/>
  <c r="N47" i="47"/>
  <c r="P47" i="47"/>
  <c r="Q47" i="47"/>
  <c r="S47" i="47"/>
  <c r="V47" i="47"/>
  <c r="W47" i="47"/>
  <c r="Y47" i="47"/>
  <c r="Z47" i="47"/>
  <c r="AB47" i="47"/>
  <c r="AC47" i="47"/>
  <c r="AE47" i="47"/>
  <c r="B48" i="47"/>
  <c r="D48" i="47"/>
  <c r="E48" i="47"/>
  <c r="G48" i="47"/>
  <c r="J48" i="47"/>
  <c r="K48" i="47"/>
  <c r="M48" i="47"/>
  <c r="N48" i="47"/>
  <c r="Q48" i="47"/>
  <c r="S48" i="47"/>
  <c r="T48" i="47"/>
  <c r="V48" i="47"/>
  <c r="W48" i="47"/>
  <c r="Y48" i="47"/>
  <c r="Z48" i="47"/>
  <c r="AB48" i="47"/>
  <c r="AC48" i="47"/>
  <c r="AE48" i="47"/>
  <c r="B49" i="47"/>
  <c r="D49" i="47"/>
  <c r="E49" i="47"/>
  <c r="G49" i="47"/>
  <c r="H49" i="47"/>
  <c r="J49" i="47"/>
  <c r="K49" i="47"/>
  <c r="M49" i="47"/>
  <c r="N49" i="47"/>
  <c r="P49" i="47"/>
  <c r="Q49" i="47"/>
  <c r="S49" i="47"/>
  <c r="T49" i="47"/>
  <c r="V49" i="47"/>
  <c r="W49" i="47"/>
  <c r="Y49" i="47"/>
  <c r="Z49" i="47"/>
  <c r="AC49" i="47"/>
  <c r="AE49" i="47"/>
  <c r="AF49" i="47"/>
  <c r="B52" i="47"/>
  <c r="D52" i="47"/>
  <c r="G52" i="47"/>
  <c r="H52" i="47"/>
  <c r="J52" i="47"/>
  <c r="K52" i="47"/>
  <c r="M52" i="47"/>
  <c r="P52" i="47"/>
  <c r="Q52" i="47"/>
  <c r="S52" i="47"/>
  <c r="T52" i="47"/>
  <c r="V52" i="47"/>
  <c r="Y52" i="47"/>
  <c r="Z52" i="47"/>
  <c r="AB52" i="47"/>
  <c r="AC52" i="47"/>
  <c r="AE52" i="47"/>
  <c r="D53" i="47"/>
  <c r="E53" i="47"/>
  <c r="G53" i="47"/>
  <c r="H53" i="47"/>
  <c r="J53" i="47"/>
  <c r="M53" i="47"/>
  <c r="N53" i="47"/>
  <c r="P53" i="47"/>
  <c r="Q53" i="47"/>
  <c r="S53" i="47"/>
  <c r="V53" i="47"/>
  <c r="W53" i="47"/>
  <c r="Y53" i="47"/>
  <c r="Z53" i="47"/>
  <c r="AB53" i="47"/>
  <c r="AC53" i="47"/>
  <c r="AE53" i="47"/>
  <c r="B54" i="47"/>
  <c r="D54" i="47"/>
  <c r="E54" i="47"/>
  <c r="G54" i="47"/>
  <c r="J54" i="47"/>
  <c r="K54" i="47"/>
  <c r="M54" i="47"/>
  <c r="N54" i="47"/>
  <c r="Q54" i="47"/>
  <c r="S54" i="47"/>
  <c r="T54" i="47"/>
  <c r="W54" i="47"/>
  <c r="Y54" i="47"/>
  <c r="AB54" i="47"/>
  <c r="AC54" i="47"/>
  <c r="AE54" i="47"/>
  <c r="B55" i="47"/>
  <c r="D55" i="47"/>
  <c r="E55" i="47"/>
  <c r="H55" i="47"/>
  <c r="J55" i="47"/>
  <c r="K55" i="47"/>
  <c r="N55" i="47"/>
  <c r="P55" i="47"/>
  <c r="Q55" i="47"/>
  <c r="S55" i="47"/>
  <c r="T55" i="47"/>
  <c r="V55" i="47"/>
  <c r="W55" i="47"/>
  <c r="Y55" i="47"/>
  <c r="Z55" i="47"/>
  <c r="AC55" i="47"/>
  <c r="AE55" i="47"/>
  <c r="B56" i="47"/>
  <c r="E56" i="47"/>
  <c r="G56" i="47"/>
  <c r="H56" i="47"/>
  <c r="K56" i="47"/>
  <c r="M56" i="47"/>
  <c r="N56" i="47"/>
  <c r="P56" i="47"/>
  <c r="Q56" i="47"/>
  <c r="S56" i="47"/>
  <c r="T56" i="47"/>
  <c r="V56" i="47"/>
  <c r="W56" i="47"/>
  <c r="Z56" i="47"/>
  <c r="AB56" i="47"/>
  <c r="AC56" i="47"/>
  <c r="AE56" i="47"/>
  <c r="B58" i="47"/>
  <c r="D58" i="47"/>
  <c r="E58" i="47"/>
  <c r="G58" i="47"/>
  <c r="H58" i="47"/>
  <c r="J58" i="47"/>
  <c r="K58" i="47"/>
  <c r="M58" i="47"/>
  <c r="P58" i="47"/>
  <c r="Q58" i="47"/>
  <c r="S58" i="47"/>
  <c r="T58" i="47"/>
  <c r="V58" i="47"/>
  <c r="W58" i="47"/>
  <c r="Y58" i="47"/>
  <c r="Z58" i="47"/>
  <c r="AB58" i="47"/>
  <c r="AC58" i="47"/>
  <c r="AE58" i="47"/>
  <c r="D59" i="47"/>
  <c r="E59" i="47"/>
  <c r="G59" i="47"/>
  <c r="H59" i="47"/>
  <c r="J59" i="47"/>
  <c r="K59" i="47"/>
  <c r="M59" i="47"/>
  <c r="N59" i="47"/>
  <c r="P59" i="47"/>
  <c r="Q59" i="47"/>
  <c r="S59" i="47"/>
  <c r="T59" i="47"/>
  <c r="V59" i="47"/>
  <c r="W59" i="47"/>
  <c r="Y59" i="47"/>
  <c r="Z59" i="47"/>
  <c r="AB59" i="47"/>
  <c r="AC59" i="47"/>
  <c r="AE59" i="47"/>
  <c r="B60" i="47"/>
  <c r="D60" i="47"/>
  <c r="E60" i="47"/>
  <c r="G60" i="47"/>
  <c r="H60" i="47"/>
  <c r="J60" i="47"/>
  <c r="K60" i="47"/>
  <c r="M60" i="47"/>
  <c r="N60" i="47"/>
  <c r="Q60" i="47"/>
  <c r="S60" i="47"/>
  <c r="T60" i="47"/>
  <c r="V60" i="47"/>
  <c r="W60" i="47"/>
  <c r="Y60" i="47"/>
  <c r="AB60" i="47"/>
  <c r="AC60" i="47"/>
  <c r="AE60" i="47"/>
  <c r="B61" i="47"/>
  <c r="D61" i="47"/>
  <c r="E61" i="47"/>
  <c r="G61" i="47"/>
  <c r="H61" i="47"/>
  <c r="J61" i="47"/>
  <c r="K61" i="47"/>
  <c r="M61" i="47"/>
  <c r="N61" i="47"/>
  <c r="P61" i="47"/>
  <c r="Q61" i="47"/>
  <c r="S61" i="47"/>
  <c r="T61" i="47"/>
  <c r="V61" i="47"/>
  <c r="W61" i="47"/>
  <c r="Y61" i="47"/>
  <c r="Z61" i="47"/>
  <c r="AC61" i="47"/>
  <c r="AE61" i="47"/>
  <c r="B62" i="47"/>
  <c r="E62" i="47"/>
  <c r="G62" i="47"/>
  <c r="H62" i="47"/>
  <c r="J62" i="47"/>
  <c r="K62" i="47"/>
  <c r="M62" i="47"/>
  <c r="N62" i="47"/>
  <c r="P62" i="47"/>
  <c r="Q62" i="47"/>
  <c r="S62" i="47"/>
  <c r="T62" i="47"/>
  <c r="V62" i="47"/>
  <c r="W62" i="47"/>
  <c r="Y62" i="47"/>
  <c r="Z62" i="47"/>
  <c r="AB62" i="47"/>
  <c r="AC62" i="47"/>
  <c r="AE62" i="47"/>
  <c r="AF64" i="47"/>
  <c r="L8" i="47"/>
  <c r="AF65" i="47"/>
  <c r="L10" i="47"/>
  <c r="AF66" i="47"/>
  <c r="L12" i="47"/>
  <c r="AF67" i="47"/>
  <c r="L14" i="47"/>
  <c r="AF68" i="47"/>
  <c r="L16" i="47"/>
  <c r="N72" i="47"/>
  <c r="B72" i="47"/>
  <c r="D72" i="47"/>
  <c r="G72" i="47"/>
  <c r="H72" i="47"/>
  <c r="J72" i="47"/>
  <c r="K72" i="47"/>
  <c r="M72" i="47"/>
  <c r="P72" i="47"/>
  <c r="Q72" i="47"/>
  <c r="S72" i="47"/>
  <c r="T72" i="47"/>
  <c r="V72" i="47"/>
  <c r="Y72" i="47"/>
  <c r="Z72" i="47"/>
  <c r="AB72" i="47"/>
  <c r="AE72" i="47"/>
  <c r="B73" i="47"/>
  <c r="D73" i="47"/>
  <c r="E73" i="47"/>
  <c r="G73" i="47"/>
  <c r="H73" i="47"/>
  <c r="J73" i="47"/>
  <c r="M73" i="47"/>
  <c r="N73" i="47"/>
  <c r="P73" i="47"/>
  <c r="Q73" i="47"/>
  <c r="S73" i="47"/>
  <c r="T73" i="47"/>
  <c r="V73" i="47"/>
  <c r="W73" i="47"/>
  <c r="Y73" i="47"/>
  <c r="Z73" i="47"/>
  <c r="AB73" i="47"/>
  <c r="AC73" i="47"/>
  <c r="B74" i="47"/>
  <c r="D74" i="47"/>
  <c r="E74" i="47"/>
  <c r="G74" i="47"/>
  <c r="H74" i="47"/>
  <c r="J74" i="47"/>
  <c r="K74" i="47"/>
  <c r="M74" i="47"/>
  <c r="N74" i="47"/>
  <c r="Q74" i="47"/>
  <c r="S74" i="47"/>
  <c r="T74" i="47"/>
  <c r="V74" i="47"/>
  <c r="W74" i="47"/>
  <c r="Y74" i="47"/>
  <c r="Z74" i="47"/>
  <c r="AB74" i="47"/>
  <c r="AC74" i="47"/>
  <c r="AE74" i="47"/>
  <c r="B75" i="47"/>
  <c r="D75" i="47"/>
  <c r="E75" i="47"/>
  <c r="H75" i="47"/>
  <c r="J75" i="47"/>
  <c r="K75" i="47"/>
  <c r="N75" i="47"/>
  <c r="P75" i="47"/>
  <c r="S75" i="47"/>
  <c r="T75" i="47"/>
  <c r="V75" i="47"/>
  <c r="W75" i="47"/>
  <c r="Y75" i="47"/>
  <c r="Z75" i="47"/>
  <c r="AB75" i="47"/>
  <c r="AC75" i="47"/>
  <c r="AE75" i="47"/>
  <c r="B76" i="47"/>
  <c r="D76" i="47"/>
  <c r="E76" i="47"/>
  <c r="G76" i="47"/>
  <c r="H76" i="47"/>
  <c r="J76" i="47"/>
  <c r="K76" i="47"/>
  <c r="M76" i="47"/>
  <c r="N76" i="47"/>
  <c r="P76" i="47"/>
  <c r="Q76" i="47"/>
  <c r="T76" i="47"/>
  <c r="V76" i="47"/>
  <c r="W76" i="47"/>
  <c r="Z76" i="47"/>
  <c r="AB76" i="47"/>
  <c r="AC76" i="47"/>
  <c r="AE76" i="47"/>
  <c r="B79" i="47"/>
  <c r="AT79" i="47"/>
  <c r="B80" i="47"/>
  <c r="AT80" i="47"/>
  <c r="B81" i="47"/>
  <c r="AT81" i="47"/>
  <c r="B82" i="47"/>
  <c r="AT82" i="47"/>
  <c r="B83" i="47"/>
  <c r="AT83" i="47"/>
  <c r="A89" i="47"/>
  <c r="K91" i="47"/>
  <c r="L92" i="47"/>
  <c r="R92" i="47"/>
  <c r="A93" i="47"/>
  <c r="E93" i="47"/>
  <c r="E94" i="47"/>
  <c r="A95" i="47"/>
  <c r="E95" i="47"/>
  <c r="E96" i="47"/>
  <c r="A97" i="47"/>
  <c r="E97" i="47"/>
  <c r="E98" i="47"/>
  <c r="A99" i="47"/>
  <c r="E99" i="47"/>
  <c r="E100" i="47"/>
  <c r="A101" i="47"/>
  <c r="E101" i="47"/>
  <c r="E102" i="47"/>
  <c r="E107" i="47"/>
  <c r="H107" i="47"/>
  <c r="K107" i="47"/>
  <c r="N107" i="47"/>
  <c r="Q107" i="47"/>
  <c r="T107" i="47"/>
  <c r="W107" i="47"/>
  <c r="Z107" i="47"/>
  <c r="AC107" i="47"/>
  <c r="F109" i="47"/>
  <c r="I109" i="47"/>
  <c r="L109" i="47"/>
  <c r="O109" i="47"/>
  <c r="R109" i="47"/>
  <c r="U109" i="47"/>
  <c r="X109" i="47"/>
  <c r="AA109" i="47"/>
  <c r="AD109" i="47"/>
  <c r="AF109" i="47"/>
  <c r="AG109" i="47"/>
  <c r="AI109" i="47"/>
  <c r="AJ109" i="47"/>
  <c r="AL109" i="47"/>
  <c r="AM109" i="47"/>
  <c r="AO109" i="47"/>
  <c r="F110" i="47"/>
  <c r="I110" i="47"/>
  <c r="L110" i="47"/>
  <c r="O110" i="47"/>
  <c r="R110" i="47"/>
  <c r="U110" i="47"/>
  <c r="X110" i="47"/>
  <c r="AA110" i="47"/>
  <c r="AD110" i="47"/>
  <c r="AF110" i="47"/>
  <c r="AH110" i="47"/>
  <c r="AI110" i="47"/>
  <c r="AK110" i="47"/>
  <c r="AL110" i="47"/>
  <c r="AN110" i="47"/>
  <c r="AO110" i="47"/>
  <c r="A111" i="47"/>
  <c r="F111" i="47"/>
  <c r="I111" i="47"/>
  <c r="L111" i="47"/>
  <c r="O111" i="47"/>
  <c r="R111" i="47"/>
  <c r="U111" i="47"/>
  <c r="X111" i="47"/>
  <c r="AA111" i="47"/>
  <c r="AD111" i="47"/>
  <c r="AF111" i="47"/>
  <c r="AG111" i="47"/>
  <c r="AH111" i="47"/>
  <c r="AJ111" i="47"/>
  <c r="AL111" i="47"/>
  <c r="AN111" i="47"/>
  <c r="AP111" i="47"/>
  <c r="A112" i="47"/>
  <c r="F112" i="47"/>
  <c r="I112" i="47"/>
  <c r="L112" i="47"/>
  <c r="O112" i="47"/>
  <c r="R112" i="47"/>
  <c r="U112" i="47"/>
  <c r="X112" i="47"/>
  <c r="AA112" i="47"/>
  <c r="AD112" i="47"/>
  <c r="AF112" i="47"/>
  <c r="AG112" i="47"/>
  <c r="AI112" i="47"/>
  <c r="M115" i="47"/>
  <c r="K115" i="47"/>
  <c r="AJ112" i="47"/>
  <c r="AK112" i="47"/>
  <c r="AM112" i="47"/>
  <c r="AN112" i="47"/>
  <c r="AP112" i="47"/>
  <c r="A113" i="47"/>
  <c r="F113" i="47"/>
  <c r="I113" i="47"/>
  <c r="L113" i="47"/>
  <c r="O113" i="47"/>
  <c r="R113" i="47"/>
  <c r="U113" i="47"/>
  <c r="X113" i="47"/>
  <c r="AA113" i="47"/>
  <c r="AD113" i="47"/>
  <c r="AF113" i="47"/>
  <c r="AH113" i="47"/>
  <c r="AJ113" i="47"/>
  <c r="AK113" i="47"/>
  <c r="S115" i="47"/>
  <c r="Q115" i="47"/>
  <c r="AL113" i="47"/>
  <c r="AM113" i="47"/>
  <c r="AO113" i="47"/>
  <c r="AP113" i="47"/>
  <c r="A114" i="47"/>
  <c r="F114" i="47"/>
  <c r="I114" i="47"/>
  <c r="L114" i="47"/>
  <c r="O114" i="47"/>
  <c r="R114" i="47"/>
  <c r="U114" i="47"/>
  <c r="X114" i="47"/>
  <c r="AA114" i="47"/>
  <c r="AD114" i="47"/>
  <c r="B115" i="47"/>
  <c r="D115" i="47"/>
  <c r="AG110" i="47"/>
  <c r="AG113" i="47"/>
  <c r="E115" i="47"/>
  <c r="G115" i="47"/>
  <c r="AH109" i="47"/>
  <c r="H115" i="47"/>
  <c r="J115" i="47"/>
  <c r="AI111" i="47"/>
  <c r="AI113" i="47"/>
  <c r="AJ110" i="47"/>
  <c r="N115" i="47"/>
  <c r="P115" i="47"/>
  <c r="AK109" i="47"/>
  <c r="AL112" i="47"/>
  <c r="T115" i="47"/>
  <c r="V115" i="47"/>
  <c r="AM110" i="47"/>
  <c r="AM111" i="47"/>
  <c r="W115" i="47"/>
  <c r="Y115" i="47"/>
  <c r="AN109" i="47"/>
  <c r="Z115" i="47"/>
  <c r="AB115" i="47"/>
  <c r="AO111" i="47"/>
  <c r="AO112" i="47"/>
  <c r="AC115" i="47"/>
  <c r="AE115" i="47"/>
  <c r="AP109" i="47"/>
  <c r="B116" i="47"/>
  <c r="B124" i="47"/>
  <c r="D116" i="47"/>
  <c r="E116" i="47"/>
  <c r="G116" i="47"/>
  <c r="H116" i="47"/>
  <c r="H124" i="47"/>
  <c r="J116" i="47"/>
  <c r="K116" i="47"/>
  <c r="M116" i="47"/>
  <c r="N116" i="47"/>
  <c r="N124" i="47"/>
  <c r="P116" i="47"/>
  <c r="Q116" i="47"/>
  <c r="S116" i="47"/>
  <c r="T116" i="47"/>
  <c r="T124" i="47"/>
  <c r="V116" i="47"/>
  <c r="V124" i="47"/>
  <c r="T117" i="47"/>
  <c r="T125" i="47"/>
  <c r="V117" i="47"/>
  <c r="V125" i="47"/>
  <c r="T118" i="47"/>
  <c r="T126" i="47"/>
  <c r="V118" i="47"/>
  <c r="V126" i="47"/>
  <c r="T119" i="47"/>
  <c r="T127" i="47"/>
  <c r="V119" i="47"/>
  <c r="V127" i="47"/>
  <c r="T120" i="47"/>
  <c r="T128" i="47"/>
  <c r="V120" i="47"/>
  <c r="V128" i="47"/>
  <c r="T129" i="47"/>
  <c r="W116" i="47"/>
  <c r="Y116" i="47"/>
  <c r="Z116" i="47"/>
  <c r="Z124" i="47"/>
  <c r="AB116" i="47"/>
  <c r="AC116" i="47"/>
  <c r="AE116" i="47"/>
  <c r="B117" i="47"/>
  <c r="B125" i="47"/>
  <c r="D117" i="47"/>
  <c r="E117" i="47"/>
  <c r="G117" i="47"/>
  <c r="H117" i="47"/>
  <c r="H125" i="47"/>
  <c r="J117" i="47"/>
  <c r="K117" i="47"/>
  <c r="M117" i="47"/>
  <c r="N117" i="47"/>
  <c r="N125" i="47"/>
  <c r="P117" i="47"/>
  <c r="Q117" i="47"/>
  <c r="S117" i="47"/>
  <c r="W117" i="47"/>
  <c r="Y117" i="47"/>
  <c r="Z117" i="47"/>
  <c r="Z125" i="47"/>
  <c r="AB117" i="47"/>
  <c r="AC117" i="47"/>
  <c r="AE117" i="47"/>
  <c r="B118" i="47"/>
  <c r="B126" i="47"/>
  <c r="D118" i="47"/>
  <c r="E118" i="47"/>
  <c r="G118" i="47"/>
  <c r="H118" i="47"/>
  <c r="H126" i="47"/>
  <c r="J118" i="47"/>
  <c r="J126" i="47"/>
  <c r="K118" i="47"/>
  <c r="M118" i="47"/>
  <c r="N118" i="47"/>
  <c r="N126" i="47"/>
  <c r="P118" i="47"/>
  <c r="P126" i="47"/>
  <c r="Q118" i="47"/>
  <c r="S118" i="47"/>
  <c r="W118" i="47"/>
  <c r="Y118" i="47"/>
  <c r="Z118" i="47"/>
  <c r="Z126" i="47"/>
  <c r="AB118" i="47"/>
  <c r="AB126" i="47"/>
  <c r="AC118" i="47"/>
  <c r="AE118" i="47"/>
  <c r="B119" i="47"/>
  <c r="B127" i="47"/>
  <c r="D119" i="47"/>
  <c r="D127" i="47"/>
  <c r="E119" i="47"/>
  <c r="G119" i="47"/>
  <c r="H119" i="47"/>
  <c r="H127" i="47"/>
  <c r="J119" i="47"/>
  <c r="J127" i="47"/>
  <c r="K119" i="47"/>
  <c r="M119" i="47"/>
  <c r="N119" i="47"/>
  <c r="N127" i="47"/>
  <c r="P119" i="47"/>
  <c r="P127" i="47"/>
  <c r="Q119" i="47"/>
  <c r="S119" i="47"/>
  <c r="W119" i="47"/>
  <c r="Y119" i="47"/>
  <c r="Z119" i="47"/>
  <c r="Z127" i="47"/>
  <c r="AB119" i="47"/>
  <c r="AB127" i="47"/>
  <c r="AC119" i="47"/>
  <c r="AE119" i="47"/>
  <c r="B120" i="47"/>
  <c r="B128" i="47"/>
  <c r="D120" i="47"/>
  <c r="D128" i="47"/>
  <c r="E120" i="47"/>
  <c r="G120" i="47"/>
  <c r="H120" i="47"/>
  <c r="H128" i="47"/>
  <c r="J120" i="47"/>
  <c r="J128" i="47"/>
  <c r="K120" i="47"/>
  <c r="M120" i="47"/>
  <c r="N120" i="47"/>
  <c r="N128" i="47"/>
  <c r="P120" i="47"/>
  <c r="P128" i="47"/>
  <c r="Q120" i="47"/>
  <c r="S120" i="47"/>
  <c r="W120" i="47"/>
  <c r="Y120" i="47"/>
  <c r="Z120" i="47"/>
  <c r="Z128" i="47"/>
  <c r="AB120" i="47"/>
  <c r="AB128" i="47"/>
  <c r="AC120" i="47"/>
  <c r="AE120" i="47"/>
  <c r="B121" i="47"/>
  <c r="D121" i="47"/>
  <c r="B149" i="47"/>
  <c r="D149" i="47"/>
  <c r="B150" i="47"/>
  <c r="D150" i="47"/>
  <c r="B151" i="47"/>
  <c r="D151" i="47"/>
  <c r="B152" i="47"/>
  <c r="D152" i="47"/>
  <c r="B153" i="47"/>
  <c r="D153" i="47"/>
  <c r="C156" i="47"/>
  <c r="D122" i="47"/>
  <c r="D135" i="47"/>
  <c r="E121" i="47"/>
  <c r="G121" i="47"/>
  <c r="E122" i="47"/>
  <c r="H121" i="47"/>
  <c r="J121" i="47"/>
  <c r="H122" i="47"/>
  <c r="H149" i="47"/>
  <c r="J149" i="47"/>
  <c r="H150" i="47"/>
  <c r="J150" i="47"/>
  <c r="H151" i="47"/>
  <c r="J151" i="47"/>
  <c r="H152" i="47"/>
  <c r="J152" i="47"/>
  <c r="H153" i="47"/>
  <c r="J153" i="47"/>
  <c r="I156" i="47"/>
  <c r="J122" i="47"/>
  <c r="I122" i="47"/>
  <c r="J141" i="47"/>
  <c r="K121" i="47"/>
  <c r="M121" i="47"/>
  <c r="K149" i="47"/>
  <c r="M149" i="47"/>
  <c r="K150" i="47"/>
  <c r="M150" i="47"/>
  <c r="K151" i="47"/>
  <c r="M151" i="47"/>
  <c r="K152" i="47"/>
  <c r="M152" i="47"/>
  <c r="K153" i="47"/>
  <c r="M153" i="47"/>
  <c r="L156" i="47"/>
  <c r="M122" i="47"/>
  <c r="M134" i="47"/>
  <c r="N121" i="47"/>
  <c r="P121" i="47"/>
  <c r="P122" i="47"/>
  <c r="P133" i="47"/>
  <c r="Q121" i="47"/>
  <c r="S121" i="47"/>
  <c r="Q149" i="47"/>
  <c r="S149" i="47"/>
  <c r="Q150" i="47"/>
  <c r="S150" i="47"/>
  <c r="Q151" i="47"/>
  <c r="S151" i="47"/>
  <c r="Q152" i="47"/>
  <c r="S152" i="47"/>
  <c r="Q153" i="47"/>
  <c r="S153" i="47"/>
  <c r="R156" i="47"/>
  <c r="Q122" i="47"/>
  <c r="T121" i="47"/>
  <c r="V121" i="47"/>
  <c r="T149" i="47"/>
  <c r="V149" i="47"/>
  <c r="T150" i="47"/>
  <c r="V150" i="47"/>
  <c r="T151" i="47"/>
  <c r="V151" i="47"/>
  <c r="T152" i="47"/>
  <c r="V152" i="47"/>
  <c r="T153" i="47"/>
  <c r="V153" i="47"/>
  <c r="U156" i="47"/>
  <c r="T122" i="47"/>
  <c r="W121" i="47"/>
  <c r="Y121" i="47"/>
  <c r="Y122" i="47"/>
  <c r="Y135" i="47"/>
  <c r="Z121" i="47"/>
  <c r="AB121" i="47"/>
  <c r="Z149" i="47"/>
  <c r="AB149" i="47"/>
  <c r="Z150" i="47"/>
  <c r="AB150" i="47"/>
  <c r="Z151" i="47"/>
  <c r="AB151" i="47"/>
  <c r="Z152" i="47"/>
  <c r="AB152" i="47"/>
  <c r="Z153" i="47"/>
  <c r="AB153" i="47"/>
  <c r="AA156" i="47"/>
  <c r="AB122" i="47"/>
  <c r="AB134" i="47"/>
  <c r="AC121" i="47"/>
  <c r="AE121" i="47"/>
  <c r="AC149" i="47"/>
  <c r="AE149" i="47"/>
  <c r="AC150" i="47"/>
  <c r="AE150" i="47"/>
  <c r="AC151" i="47"/>
  <c r="AE151" i="47"/>
  <c r="AC152" i="47"/>
  <c r="AE152" i="47"/>
  <c r="AC153" i="47"/>
  <c r="AE153" i="47"/>
  <c r="AD156" i="47"/>
  <c r="AC122" i="47"/>
  <c r="B122" i="47"/>
  <c r="C122" i="47"/>
  <c r="J135" i="47"/>
  <c r="N149" i="47"/>
  <c r="P149" i="47"/>
  <c r="N150" i="47"/>
  <c r="P150" i="47"/>
  <c r="N151" i="47"/>
  <c r="P151" i="47"/>
  <c r="N152" i="47"/>
  <c r="P152" i="47"/>
  <c r="N153" i="47"/>
  <c r="P153" i="47"/>
  <c r="O156" i="47"/>
  <c r="N122" i="47"/>
  <c r="V122" i="47"/>
  <c r="V133" i="47"/>
  <c r="Z122" i="47"/>
  <c r="AA122" i="47"/>
  <c r="AB140" i="47"/>
  <c r="D124" i="47"/>
  <c r="E124" i="47"/>
  <c r="G124" i="47"/>
  <c r="E125" i="47"/>
  <c r="G125" i="47"/>
  <c r="E126" i="47"/>
  <c r="G126" i="47"/>
  <c r="E127" i="47"/>
  <c r="G127" i="47"/>
  <c r="E128" i="47"/>
  <c r="G128" i="47"/>
  <c r="E129" i="47"/>
  <c r="J124" i="47"/>
  <c r="K124" i="47"/>
  <c r="M124" i="47"/>
  <c r="K125" i="47"/>
  <c r="M125" i="47"/>
  <c r="K126" i="47"/>
  <c r="M126" i="47"/>
  <c r="K127" i="47"/>
  <c r="M127" i="47"/>
  <c r="K128" i="47"/>
  <c r="M128" i="47"/>
  <c r="K129" i="47"/>
  <c r="P124" i="47"/>
  <c r="Q124" i="47"/>
  <c r="S124" i="47"/>
  <c r="Q125" i="47"/>
  <c r="S125" i="47"/>
  <c r="Q126" i="47"/>
  <c r="S126" i="47"/>
  <c r="Q127" i="47"/>
  <c r="S127" i="47"/>
  <c r="Q128" i="47"/>
  <c r="S128" i="47"/>
  <c r="Q129" i="47"/>
  <c r="S147" i="47"/>
  <c r="W124" i="47"/>
  <c r="Y124" i="47"/>
  <c r="W125" i="47"/>
  <c r="Y125" i="47"/>
  <c r="W126" i="47"/>
  <c r="Y126" i="47"/>
  <c r="W127" i="47"/>
  <c r="Y127" i="47"/>
  <c r="W128" i="47"/>
  <c r="Y128" i="47"/>
  <c r="W129" i="47"/>
  <c r="AB124" i="47"/>
  <c r="AC124" i="47"/>
  <c r="AE124" i="47"/>
  <c r="AC125" i="47"/>
  <c r="AE125" i="47"/>
  <c r="AC126" i="47"/>
  <c r="AE126" i="47"/>
  <c r="AC127" i="47"/>
  <c r="AE127" i="47"/>
  <c r="AC128" i="47"/>
  <c r="AE128" i="47"/>
  <c r="AC129" i="47"/>
  <c r="D125" i="47"/>
  <c r="J125" i="47"/>
  <c r="P125" i="47"/>
  <c r="AB125" i="47"/>
  <c r="D126" i="47"/>
  <c r="B131" i="47"/>
  <c r="D131" i="47"/>
  <c r="G131" i="47"/>
  <c r="H131" i="47"/>
  <c r="J131" i="47"/>
  <c r="K131" i="47"/>
  <c r="M131" i="47"/>
  <c r="N131" i="47"/>
  <c r="P131" i="47"/>
  <c r="Q131" i="47"/>
  <c r="S131" i="47"/>
  <c r="T131" i="47"/>
  <c r="V131" i="47"/>
  <c r="Y131" i="47"/>
  <c r="Z131" i="47"/>
  <c r="AB131" i="47"/>
  <c r="AE131" i="47"/>
  <c r="D132" i="47"/>
  <c r="E132" i="47"/>
  <c r="G132" i="47"/>
  <c r="H132" i="47"/>
  <c r="J132" i="47"/>
  <c r="M132" i="47"/>
  <c r="N132" i="47"/>
  <c r="P132" i="47"/>
  <c r="Q132" i="47"/>
  <c r="S132" i="47"/>
  <c r="V132" i="47"/>
  <c r="W132" i="47"/>
  <c r="Y132" i="47"/>
  <c r="Z132" i="47"/>
  <c r="AB132" i="47"/>
  <c r="AC132" i="47"/>
  <c r="B133" i="47"/>
  <c r="D133" i="47"/>
  <c r="E133" i="47"/>
  <c r="G133" i="47"/>
  <c r="J133" i="47"/>
  <c r="K133" i="47"/>
  <c r="M133" i="47"/>
  <c r="N133" i="47"/>
  <c r="Q133" i="47"/>
  <c r="S133" i="47"/>
  <c r="T133" i="47"/>
  <c r="W133" i="47"/>
  <c r="Y133" i="47"/>
  <c r="Z133" i="47"/>
  <c r="AB133" i="47"/>
  <c r="AC133" i="47"/>
  <c r="AE133" i="47"/>
  <c r="B134" i="47"/>
  <c r="D134" i="47"/>
  <c r="E134" i="47"/>
  <c r="H134" i="47"/>
  <c r="J134" i="47"/>
  <c r="K134" i="47"/>
  <c r="N134" i="47"/>
  <c r="P134" i="47"/>
  <c r="Q134" i="47"/>
  <c r="S134" i="47"/>
  <c r="T134" i="47"/>
  <c r="V134" i="47"/>
  <c r="W134" i="47"/>
  <c r="Y134" i="47"/>
  <c r="Z134" i="47"/>
  <c r="AC134" i="47"/>
  <c r="AE134" i="47"/>
  <c r="B135" i="47"/>
  <c r="E135" i="47"/>
  <c r="G135" i="47"/>
  <c r="H135" i="47"/>
  <c r="K135" i="47"/>
  <c r="M135" i="47"/>
  <c r="N135" i="47"/>
  <c r="P135" i="47"/>
  <c r="Q135" i="47"/>
  <c r="T135" i="47"/>
  <c r="V135" i="47"/>
  <c r="W135" i="47"/>
  <c r="Z135" i="47"/>
  <c r="AB135" i="47"/>
  <c r="AC135" i="47"/>
  <c r="AE135" i="47"/>
  <c r="B137" i="47"/>
  <c r="D137" i="47"/>
  <c r="G137" i="47"/>
  <c r="H137" i="47"/>
  <c r="J137" i="47"/>
  <c r="K137" i="47"/>
  <c r="M137" i="47"/>
  <c r="P137" i="47"/>
  <c r="Q137" i="47"/>
  <c r="S137" i="47"/>
  <c r="T137" i="47"/>
  <c r="V137" i="47"/>
  <c r="Y137" i="47"/>
  <c r="Z137" i="47"/>
  <c r="AB137" i="47"/>
  <c r="AE137" i="47"/>
  <c r="D138" i="47"/>
  <c r="E138" i="47"/>
  <c r="G138" i="47"/>
  <c r="H138" i="47"/>
  <c r="J138" i="47"/>
  <c r="M138" i="47"/>
  <c r="N138" i="47"/>
  <c r="P138" i="47"/>
  <c r="Q138" i="47"/>
  <c r="S138" i="47"/>
  <c r="V138" i="47"/>
  <c r="W138" i="47"/>
  <c r="Y138" i="47"/>
  <c r="Z138" i="47"/>
  <c r="AB138" i="47"/>
  <c r="AC138" i="47"/>
  <c r="B139" i="47"/>
  <c r="D139" i="47"/>
  <c r="E139" i="47"/>
  <c r="G139" i="47"/>
  <c r="J139" i="47"/>
  <c r="K139" i="47"/>
  <c r="M139" i="47"/>
  <c r="N139" i="47"/>
  <c r="Q139" i="47"/>
  <c r="S139" i="47"/>
  <c r="T139" i="47"/>
  <c r="W139" i="47"/>
  <c r="Y139" i="47"/>
  <c r="Z139" i="47"/>
  <c r="AB139" i="47"/>
  <c r="AC139" i="47"/>
  <c r="AE139" i="47"/>
  <c r="B140" i="47"/>
  <c r="D140" i="47"/>
  <c r="E140" i="47"/>
  <c r="H140" i="47"/>
  <c r="J140" i="47"/>
  <c r="K140" i="47"/>
  <c r="N140" i="47"/>
  <c r="P140" i="47"/>
  <c r="S140" i="47"/>
  <c r="T140" i="47"/>
  <c r="V140" i="47"/>
  <c r="W140" i="47"/>
  <c r="Y140" i="47"/>
  <c r="Z140" i="47"/>
  <c r="AC140" i="47"/>
  <c r="AE140" i="47"/>
  <c r="B141" i="47"/>
  <c r="E141" i="47"/>
  <c r="G141" i="47"/>
  <c r="H141" i="47"/>
  <c r="K141" i="47"/>
  <c r="M141" i="47"/>
  <c r="N141" i="47"/>
  <c r="P141" i="47"/>
  <c r="Q141" i="47"/>
  <c r="T141" i="47"/>
  <c r="V141" i="47"/>
  <c r="W141" i="47"/>
  <c r="Z141" i="47"/>
  <c r="AB141" i="47"/>
  <c r="AC141" i="47"/>
  <c r="AE141" i="47"/>
  <c r="B143" i="47"/>
  <c r="D143" i="47"/>
  <c r="G143" i="47"/>
  <c r="H143" i="47"/>
  <c r="J143" i="47"/>
  <c r="K143" i="47"/>
  <c r="M143" i="47"/>
  <c r="P143" i="47"/>
  <c r="Q143" i="47"/>
  <c r="S143" i="47"/>
  <c r="T143" i="47"/>
  <c r="V143" i="47"/>
  <c r="Y143" i="47"/>
  <c r="Z143" i="47"/>
  <c r="AB143" i="47"/>
  <c r="AE143" i="47"/>
  <c r="D144" i="47"/>
  <c r="E144" i="47"/>
  <c r="G144" i="47"/>
  <c r="H144" i="47"/>
  <c r="J144" i="47"/>
  <c r="M144" i="47"/>
  <c r="N144" i="47"/>
  <c r="P144" i="47"/>
  <c r="Q144" i="47"/>
  <c r="S144" i="47"/>
  <c r="V144" i="47"/>
  <c r="W144" i="47"/>
  <c r="Y144" i="47"/>
  <c r="Z144" i="47"/>
  <c r="AB144" i="47"/>
  <c r="AC144" i="47"/>
  <c r="B145" i="47"/>
  <c r="D145" i="47"/>
  <c r="E145" i="47"/>
  <c r="G145" i="47"/>
  <c r="J145" i="47"/>
  <c r="K145" i="47"/>
  <c r="M145" i="47"/>
  <c r="N145" i="47"/>
  <c r="Q145" i="47"/>
  <c r="S145" i="47"/>
  <c r="T145" i="47"/>
  <c r="W145" i="47"/>
  <c r="Y145" i="47"/>
  <c r="AB145" i="47"/>
  <c r="AC145" i="47"/>
  <c r="AE145" i="47"/>
  <c r="B146" i="47"/>
  <c r="D146" i="47"/>
  <c r="E146" i="47"/>
  <c r="H146" i="47"/>
  <c r="J146" i="47"/>
  <c r="K146" i="47"/>
  <c r="N146" i="47"/>
  <c r="P146" i="47"/>
  <c r="S146" i="47"/>
  <c r="T146" i="47"/>
  <c r="V146" i="47"/>
  <c r="W146" i="47"/>
  <c r="Y146" i="47"/>
  <c r="Z146" i="47"/>
  <c r="AC146" i="47"/>
  <c r="AE146" i="47"/>
  <c r="B147" i="47"/>
  <c r="E147" i="47"/>
  <c r="G147" i="47"/>
  <c r="H147" i="47"/>
  <c r="K147" i="47"/>
  <c r="M147" i="47"/>
  <c r="N147" i="47"/>
  <c r="P147" i="47"/>
  <c r="Q147" i="47"/>
  <c r="T147" i="47"/>
  <c r="V147" i="47"/>
  <c r="W147" i="47"/>
  <c r="Z147" i="47"/>
  <c r="AB147" i="47"/>
  <c r="AC147" i="47"/>
  <c r="AE147" i="47"/>
  <c r="E149" i="47"/>
  <c r="G149" i="47"/>
  <c r="W149" i="47"/>
  <c r="Y149" i="47"/>
  <c r="AF149" i="47"/>
  <c r="L93" i="47"/>
  <c r="E150" i="47"/>
  <c r="G150" i="47"/>
  <c r="W150" i="47"/>
  <c r="Y150" i="47"/>
  <c r="E151" i="47"/>
  <c r="G151" i="47"/>
  <c r="W151" i="47"/>
  <c r="Y151" i="47"/>
  <c r="AF151" i="47"/>
  <c r="L97" i="47"/>
  <c r="E152" i="47"/>
  <c r="G152" i="47"/>
  <c r="W152" i="47"/>
  <c r="Y152" i="47"/>
  <c r="AF152" i="47"/>
  <c r="L99" i="47"/>
  <c r="E153" i="47"/>
  <c r="G153" i="47"/>
  <c r="W153" i="47"/>
  <c r="Y153" i="47"/>
  <c r="AF153" i="47"/>
  <c r="L101" i="47"/>
  <c r="Z159" i="47"/>
  <c r="B157" i="47"/>
  <c r="D157" i="47"/>
  <c r="G157" i="47"/>
  <c r="H157" i="47"/>
  <c r="J157" i="47"/>
  <c r="K157" i="47"/>
  <c r="M157" i="47"/>
  <c r="P157" i="47"/>
  <c r="Q157" i="47"/>
  <c r="S157" i="47"/>
  <c r="T157" i="47"/>
  <c r="V157" i="47"/>
  <c r="Y157" i="47"/>
  <c r="Z157" i="47"/>
  <c r="AB157" i="47"/>
  <c r="AE157" i="47"/>
  <c r="D158" i="47"/>
  <c r="E158" i="47"/>
  <c r="G158" i="47"/>
  <c r="H158" i="47"/>
  <c r="J158" i="47"/>
  <c r="M158" i="47"/>
  <c r="N158" i="47"/>
  <c r="P158" i="47"/>
  <c r="Q158" i="47"/>
  <c r="S158" i="47"/>
  <c r="V158" i="47"/>
  <c r="W158" i="47"/>
  <c r="Y158" i="47"/>
  <c r="Z158" i="47"/>
  <c r="AB158" i="47"/>
  <c r="AC158" i="47"/>
  <c r="B159" i="47"/>
  <c r="D159" i="47"/>
  <c r="E159" i="47"/>
  <c r="G159" i="47"/>
  <c r="J159" i="47"/>
  <c r="K159" i="47"/>
  <c r="M159" i="47"/>
  <c r="N159" i="47"/>
  <c r="Q159" i="47"/>
  <c r="S159" i="47"/>
  <c r="T159" i="47"/>
  <c r="W159" i="47"/>
  <c r="Y159" i="47"/>
  <c r="AB159" i="47"/>
  <c r="AC159" i="47"/>
  <c r="AE159" i="47"/>
  <c r="B160" i="47"/>
  <c r="D160" i="47"/>
  <c r="E160" i="47"/>
  <c r="H160" i="47"/>
  <c r="J160" i="47"/>
  <c r="K160" i="47"/>
  <c r="N160" i="47"/>
  <c r="P160" i="47"/>
  <c r="S160" i="47"/>
  <c r="T160" i="47"/>
  <c r="V160" i="47"/>
  <c r="W160" i="47"/>
  <c r="Y160" i="47"/>
  <c r="Z160" i="47"/>
  <c r="AC160" i="47"/>
  <c r="AE160" i="47"/>
  <c r="B161" i="47"/>
  <c r="E161" i="47"/>
  <c r="G161" i="47"/>
  <c r="H161" i="47"/>
  <c r="K161" i="47"/>
  <c r="M161" i="47"/>
  <c r="N161" i="47"/>
  <c r="P161" i="47"/>
  <c r="Q161" i="47"/>
  <c r="T161" i="47"/>
  <c r="V161" i="47"/>
  <c r="W161" i="47"/>
  <c r="Z161" i="47"/>
  <c r="AB161" i="47"/>
  <c r="AC161" i="47"/>
  <c r="AE161" i="47"/>
  <c r="B164" i="47"/>
  <c r="AT164" i="47"/>
  <c r="B165" i="47"/>
  <c r="AT165" i="47"/>
  <c r="B166" i="47"/>
  <c r="B167" i="47"/>
  <c r="AT167" i="47"/>
  <c r="B168" i="47"/>
  <c r="A174" i="47"/>
  <c r="K176" i="47"/>
  <c r="L177" i="47"/>
  <c r="R177" i="47"/>
  <c r="A178" i="47"/>
  <c r="E178" i="47"/>
  <c r="E179" i="47"/>
  <c r="A180" i="47"/>
  <c r="E180" i="47"/>
  <c r="E181" i="47"/>
  <c r="A182" i="47"/>
  <c r="E182" i="47"/>
  <c r="E183" i="47"/>
  <c r="A184" i="47"/>
  <c r="E184" i="47"/>
  <c r="E185" i="47"/>
  <c r="A186" i="47"/>
  <c r="E186" i="47"/>
  <c r="E187" i="47"/>
  <c r="E192" i="47"/>
  <c r="H192" i="47"/>
  <c r="K192" i="47"/>
  <c r="N192" i="47"/>
  <c r="Q192" i="47"/>
  <c r="T192" i="47"/>
  <c r="W192" i="47"/>
  <c r="Z192" i="47"/>
  <c r="AC192" i="47"/>
  <c r="F194" i="47"/>
  <c r="I194" i="47"/>
  <c r="L194" i="47"/>
  <c r="O194" i="47"/>
  <c r="R194" i="47"/>
  <c r="U194" i="47"/>
  <c r="X194" i="47"/>
  <c r="AA194" i="47"/>
  <c r="AD194" i="47"/>
  <c r="AF194" i="47"/>
  <c r="AG194" i="47"/>
  <c r="AI194" i="47"/>
  <c r="AJ194" i="47"/>
  <c r="AL194" i="47"/>
  <c r="AM194" i="47"/>
  <c r="AO194" i="47"/>
  <c r="F195" i="47"/>
  <c r="I195" i="47"/>
  <c r="L195" i="47"/>
  <c r="O195" i="47"/>
  <c r="R195" i="47"/>
  <c r="U195" i="47"/>
  <c r="X195" i="47"/>
  <c r="AA195" i="47"/>
  <c r="AD195" i="47"/>
  <c r="AF195" i="47"/>
  <c r="AH195" i="47"/>
  <c r="AI195" i="47"/>
  <c r="AK195" i="47"/>
  <c r="AL195" i="47"/>
  <c r="T200" i="47"/>
  <c r="V200" i="47"/>
  <c r="AM195" i="47"/>
  <c r="AN195" i="47"/>
  <c r="AO195" i="47"/>
  <c r="A196" i="47"/>
  <c r="F196" i="47"/>
  <c r="I196" i="47"/>
  <c r="L196" i="47"/>
  <c r="O196" i="47"/>
  <c r="R196" i="47"/>
  <c r="U196" i="47"/>
  <c r="X196" i="47"/>
  <c r="AA196" i="47"/>
  <c r="AD196" i="47"/>
  <c r="AF196" i="47"/>
  <c r="AG196" i="47"/>
  <c r="AH196" i="47"/>
  <c r="H200" i="47"/>
  <c r="J200" i="47"/>
  <c r="AI196" i="47"/>
  <c r="AJ196" i="47"/>
  <c r="P200" i="47"/>
  <c r="N200" i="47"/>
  <c r="AK196" i="47"/>
  <c r="AL196" i="47"/>
  <c r="AM196" i="47"/>
  <c r="AN196" i="47"/>
  <c r="Z200" i="47"/>
  <c r="AB200" i="47"/>
  <c r="AO196" i="47"/>
  <c r="AP196" i="47"/>
  <c r="AQ196" i="47"/>
  <c r="W182" i="47"/>
  <c r="A197" i="47"/>
  <c r="F197" i="47"/>
  <c r="I197" i="47"/>
  <c r="L197" i="47"/>
  <c r="O197" i="47"/>
  <c r="R197" i="47"/>
  <c r="U197" i="47"/>
  <c r="X197" i="47"/>
  <c r="AA197" i="47"/>
  <c r="AD197" i="47"/>
  <c r="AF197" i="47"/>
  <c r="AG197" i="47"/>
  <c r="AI197" i="47"/>
  <c r="AK197" i="47"/>
  <c r="AM197" i="47"/>
  <c r="AN197" i="47"/>
  <c r="AP197" i="47"/>
  <c r="A198" i="47"/>
  <c r="F198" i="47"/>
  <c r="I198" i="47"/>
  <c r="L198" i="47"/>
  <c r="O198" i="47"/>
  <c r="R198" i="47"/>
  <c r="U198" i="47"/>
  <c r="X198" i="47"/>
  <c r="AA198" i="47"/>
  <c r="AD198" i="47"/>
  <c r="AF198" i="47"/>
  <c r="D200" i="47"/>
  <c r="B200" i="47"/>
  <c r="AG198" i="47"/>
  <c r="AH198" i="47"/>
  <c r="AJ198" i="47"/>
  <c r="AK198" i="47"/>
  <c r="AM198" i="47"/>
  <c r="AO198" i="47"/>
  <c r="AP198" i="47"/>
  <c r="A199" i="47"/>
  <c r="F199" i="47"/>
  <c r="I199" i="47"/>
  <c r="L199" i="47"/>
  <c r="O199" i="47"/>
  <c r="R199" i="47"/>
  <c r="U199" i="47"/>
  <c r="X199" i="47"/>
  <c r="AA199" i="47"/>
  <c r="AD199" i="47"/>
  <c r="AG195" i="47"/>
  <c r="E200" i="47"/>
  <c r="G200" i="47"/>
  <c r="AH194" i="47"/>
  <c r="AH197" i="47"/>
  <c r="AI198" i="47"/>
  <c r="K200" i="47"/>
  <c r="M200" i="47"/>
  <c r="AJ195" i="47"/>
  <c r="AJ197" i="47"/>
  <c r="AK194" i="47"/>
  <c r="Q200" i="47"/>
  <c r="S200" i="47"/>
  <c r="AL197" i="47"/>
  <c r="AL198" i="47"/>
  <c r="W200" i="47"/>
  <c r="Y200" i="47"/>
  <c r="AN194" i="47"/>
  <c r="AN198" i="47"/>
  <c r="AO197" i="47"/>
  <c r="AC200" i="47"/>
  <c r="AE200" i="47"/>
  <c r="AP194" i="47"/>
  <c r="AP195" i="47"/>
  <c r="B201" i="47"/>
  <c r="D201" i="47"/>
  <c r="E201" i="47"/>
  <c r="E209" i="47"/>
  <c r="G201" i="47"/>
  <c r="G209" i="47"/>
  <c r="H201" i="47"/>
  <c r="J201" i="47"/>
  <c r="K201" i="47"/>
  <c r="K209" i="47"/>
  <c r="M201" i="47"/>
  <c r="M209" i="47"/>
  <c r="N201" i="47"/>
  <c r="P201" i="47"/>
  <c r="Q201" i="47"/>
  <c r="Q209" i="47"/>
  <c r="S201" i="47"/>
  <c r="S209" i="47"/>
  <c r="T201" i="47"/>
  <c r="V201" i="47"/>
  <c r="W201" i="47"/>
  <c r="W209" i="47"/>
  <c r="Y201" i="47"/>
  <c r="Y209" i="47"/>
  <c r="Z201" i="47"/>
  <c r="AB201" i="47"/>
  <c r="AC201" i="47"/>
  <c r="AC209" i="47"/>
  <c r="AE201" i="47"/>
  <c r="AE209" i="47"/>
  <c r="B202" i="47"/>
  <c r="D202" i="47"/>
  <c r="E202" i="47"/>
  <c r="E210" i="47"/>
  <c r="G202" i="47"/>
  <c r="G210" i="47"/>
  <c r="H202" i="47"/>
  <c r="J202" i="47"/>
  <c r="K202" i="47"/>
  <c r="K210" i="47"/>
  <c r="M202" i="47"/>
  <c r="M210" i="47"/>
  <c r="N202" i="47"/>
  <c r="P202" i="47"/>
  <c r="Q202" i="47"/>
  <c r="Q210" i="47"/>
  <c r="S202" i="47"/>
  <c r="S210" i="47"/>
  <c r="T202" i="47"/>
  <c r="V202" i="47"/>
  <c r="W202" i="47"/>
  <c r="W210" i="47"/>
  <c r="Y202" i="47"/>
  <c r="Y210" i="47"/>
  <c r="Z202" i="47"/>
  <c r="AB202" i="47"/>
  <c r="AC202" i="47"/>
  <c r="AC210" i="47"/>
  <c r="AE202" i="47"/>
  <c r="AE210" i="47"/>
  <c r="B203" i="47"/>
  <c r="D203" i="47"/>
  <c r="E203" i="47"/>
  <c r="E211" i="47"/>
  <c r="G203" i="47"/>
  <c r="G211" i="47"/>
  <c r="H203" i="47"/>
  <c r="J203" i="47"/>
  <c r="K203" i="47"/>
  <c r="K211" i="47"/>
  <c r="M203" i="47"/>
  <c r="M211" i="47"/>
  <c r="N203" i="47"/>
  <c r="P203" i="47"/>
  <c r="Q203" i="47"/>
  <c r="Q211" i="47"/>
  <c r="S203" i="47"/>
  <c r="S211" i="47"/>
  <c r="T203" i="47"/>
  <c r="V203" i="47"/>
  <c r="W203" i="47"/>
  <c r="W211" i="47"/>
  <c r="Y203" i="47"/>
  <c r="Y211" i="47"/>
  <c r="Z203" i="47"/>
  <c r="AB203" i="47"/>
  <c r="AC203" i="47"/>
  <c r="AC211" i="47"/>
  <c r="AE203" i="47"/>
  <c r="AE211" i="47"/>
  <c r="B204" i="47"/>
  <c r="D204" i="47"/>
  <c r="E204" i="47"/>
  <c r="E212" i="47"/>
  <c r="G204" i="47"/>
  <c r="G212" i="47"/>
  <c r="H204" i="47"/>
  <c r="J204" i="47"/>
  <c r="K204" i="47"/>
  <c r="K212" i="47"/>
  <c r="M204" i="47"/>
  <c r="M212" i="47"/>
  <c r="N204" i="47"/>
  <c r="P204" i="47"/>
  <c r="Q204" i="47"/>
  <c r="Q212" i="47"/>
  <c r="S204" i="47"/>
  <c r="S212" i="47"/>
  <c r="T204" i="47"/>
  <c r="V204" i="47"/>
  <c r="W204" i="47"/>
  <c r="W212" i="47"/>
  <c r="Y204" i="47"/>
  <c r="Y212" i="47"/>
  <c r="Z204" i="47"/>
  <c r="AB204" i="47"/>
  <c r="AC204" i="47"/>
  <c r="AC212" i="47"/>
  <c r="AE204" i="47"/>
  <c r="AE212" i="47"/>
  <c r="B205" i="47"/>
  <c r="D205" i="47"/>
  <c r="E205" i="47"/>
  <c r="E213" i="47"/>
  <c r="G205" i="47"/>
  <c r="G213" i="47"/>
  <c r="H205" i="47"/>
  <c r="J205" i="47"/>
  <c r="K205" i="47"/>
  <c r="K213" i="47"/>
  <c r="M205" i="47"/>
  <c r="M213" i="47"/>
  <c r="N205" i="47"/>
  <c r="P205" i="47"/>
  <c r="Q205" i="47"/>
  <c r="Q213" i="47"/>
  <c r="S205" i="47"/>
  <c r="S213" i="47"/>
  <c r="T205" i="47"/>
  <c r="V205" i="47"/>
  <c r="W205" i="47"/>
  <c r="W213" i="47"/>
  <c r="Y205" i="47"/>
  <c r="Y213" i="47"/>
  <c r="Z205" i="47"/>
  <c r="AB205" i="47"/>
  <c r="AC205" i="47"/>
  <c r="AC213" i="47"/>
  <c r="AE205" i="47"/>
  <c r="AE213" i="47"/>
  <c r="B206" i="47"/>
  <c r="D206" i="47"/>
  <c r="B207" i="47"/>
  <c r="E206" i="47"/>
  <c r="G206" i="47"/>
  <c r="E234" i="47"/>
  <c r="G234" i="47"/>
  <c r="E235" i="47"/>
  <c r="G235" i="47"/>
  <c r="E236" i="47"/>
  <c r="G236" i="47"/>
  <c r="E237" i="47"/>
  <c r="G237" i="47"/>
  <c r="E238" i="47"/>
  <c r="G238" i="47"/>
  <c r="F241" i="47"/>
  <c r="G207" i="47"/>
  <c r="G219" i="47"/>
  <c r="H206" i="47"/>
  <c r="J206" i="47"/>
  <c r="J207" i="47"/>
  <c r="K206" i="47"/>
  <c r="M206" i="47"/>
  <c r="K207" i="47"/>
  <c r="N206" i="47"/>
  <c r="P206" i="47"/>
  <c r="N234" i="47"/>
  <c r="P234" i="47"/>
  <c r="N235" i="47"/>
  <c r="P235" i="47"/>
  <c r="N236" i="47"/>
  <c r="P236" i="47"/>
  <c r="N237" i="47"/>
  <c r="P237" i="47"/>
  <c r="N238" i="47"/>
  <c r="P238" i="47"/>
  <c r="O241" i="47"/>
  <c r="N207" i="47"/>
  <c r="Q206" i="47"/>
  <c r="S206" i="47"/>
  <c r="S207" i="47"/>
  <c r="S220" i="47"/>
  <c r="T206" i="47"/>
  <c r="V206" i="47"/>
  <c r="T234" i="47"/>
  <c r="V234" i="47"/>
  <c r="T235" i="47"/>
  <c r="V235" i="47"/>
  <c r="T236" i="47"/>
  <c r="V236" i="47"/>
  <c r="T237" i="47"/>
  <c r="V237" i="47"/>
  <c r="T238" i="47"/>
  <c r="V238" i="47"/>
  <c r="U241" i="47"/>
  <c r="V207" i="47"/>
  <c r="W206" i="47"/>
  <c r="Y206" i="47"/>
  <c r="W207" i="47"/>
  <c r="Z206" i="47"/>
  <c r="AB206" i="47"/>
  <c r="Z207" i="47"/>
  <c r="AC206" i="47"/>
  <c r="AE206" i="47"/>
  <c r="AE207" i="47"/>
  <c r="AE217" i="47"/>
  <c r="B234" i="47"/>
  <c r="D234" i="47"/>
  <c r="B235" i="47"/>
  <c r="D235" i="47"/>
  <c r="B236" i="47"/>
  <c r="D236" i="47"/>
  <c r="B237" i="47"/>
  <c r="D237" i="47"/>
  <c r="B238" i="47"/>
  <c r="D238" i="47"/>
  <c r="C241" i="47"/>
  <c r="D207" i="47"/>
  <c r="D220" i="47"/>
  <c r="E207" i="47"/>
  <c r="H234" i="47"/>
  <c r="J234" i="47"/>
  <c r="H235" i="47"/>
  <c r="J235" i="47"/>
  <c r="H236" i="47"/>
  <c r="J236" i="47"/>
  <c r="H237" i="47"/>
  <c r="J237" i="47"/>
  <c r="H238" i="47"/>
  <c r="J238" i="47"/>
  <c r="I241" i="47"/>
  <c r="H207" i="47"/>
  <c r="H218" i="47"/>
  <c r="K234" i="47"/>
  <c r="M234" i="47"/>
  <c r="K235" i="47"/>
  <c r="M235" i="47"/>
  <c r="K236" i="47"/>
  <c r="M236" i="47"/>
  <c r="K237" i="47"/>
  <c r="M237" i="47"/>
  <c r="K238" i="47"/>
  <c r="M238" i="47"/>
  <c r="L241" i="47"/>
  <c r="M207" i="47"/>
  <c r="M219" i="47"/>
  <c r="P207" i="47"/>
  <c r="P218" i="47"/>
  <c r="Q234" i="47"/>
  <c r="S234" i="47"/>
  <c r="Q235" i="47"/>
  <c r="S235" i="47"/>
  <c r="Q236" i="47"/>
  <c r="S236" i="47"/>
  <c r="Q237" i="47"/>
  <c r="S237" i="47"/>
  <c r="Q238" i="47"/>
  <c r="S238" i="47"/>
  <c r="R241" i="47"/>
  <c r="Q207" i="47"/>
  <c r="T207" i="47"/>
  <c r="W234" i="47"/>
  <c r="Y234" i="47"/>
  <c r="W235" i="47"/>
  <c r="Y235" i="47"/>
  <c r="W236" i="47"/>
  <c r="Y236" i="47"/>
  <c r="W237" i="47"/>
  <c r="Y237" i="47"/>
  <c r="W238" i="47"/>
  <c r="Y238" i="47"/>
  <c r="X241" i="47"/>
  <c r="Y207" i="47"/>
  <c r="Z234" i="47"/>
  <c r="AB234" i="47"/>
  <c r="Z235" i="47"/>
  <c r="AB235" i="47"/>
  <c r="Z236" i="47"/>
  <c r="AB236" i="47"/>
  <c r="Z237" i="47"/>
  <c r="AB237" i="47"/>
  <c r="Z238" i="47"/>
  <c r="AB238" i="47"/>
  <c r="AA241" i="47"/>
  <c r="AB207" i="47"/>
  <c r="AC234" i="47"/>
  <c r="AE234" i="47"/>
  <c r="AC235" i="47"/>
  <c r="AE235" i="47"/>
  <c r="AC236" i="47"/>
  <c r="AE236" i="47"/>
  <c r="AC237" i="47"/>
  <c r="AE237" i="47"/>
  <c r="AC238" i="47"/>
  <c r="AE238" i="47"/>
  <c r="AD241" i="47"/>
  <c r="AC207" i="47"/>
  <c r="B209" i="47"/>
  <c r="D209" i="47"/>
  <c r="B210" i="47"/>
  <c r="D210" i="47"/>
  <c r="B211" i="47"/>
  <c r="D211" i="47"/>
  <c r="B212" i="47"/>
  <c r="D212" i="47"/>
  <c r="B213" i="47"/>
  <c r="D213" i="47"/>
  <c r="B214" i="47"/>
  <c r="H209" i="47"/>
  <c r="J209" i="47"/>
  <c r="H210" i="47"/>
  <c r="J210" i="47"/>
  <c r="H211" i="47"/>
  <c r="J211" i="47"/>
  <c r="H212" i="47"/>
  <c r="J212" i="47"/>
  <c r="H213" i="47"/>
  <c r="J213" i="47"/>
  <c r="H214" i="47"/>
  <c r="N209" i="47"/>
  <c r="P209" i="47"/>
  <c r="N210" i="47"/>
  <c r="P210" i="47"/>
  <c r="N211" i="47"/>
  <c r="P211" i="47"/>
  <c r="N212" i="47"/>
  <c r="P212" i="47"/>
  <c r="N213" i="47"/>
  <c r="P213" i="47"/>
  <c r="N214" i="47"/>
  <c r="P230" i="47"/>
  <c r="T209" i="47"/>
  <c r="V209" i="47"/>
  <c r="T210" i="47"/>
  <c r="V210" i="47"/>
  <c r="T211" i="47"/>
  <c r="V211" i="47"/>
  <c r="T212" i="47"/>
  <c r="V212" i="47"/>
  <c r="T213" i="47"/>
  <c r="V213" i="47"/>
  <c r="T214" i="47"/>
  <c r="Z209" i="47"/>
  <c r="AB209" i="47"/>
  <c r="Z210" i="47"/>
  <c r="AB210" i="47"/>
  <c r="Z211" i="47"/>
  <c r="AB211" i="47"/>
  <c r="Z212" i="47"/>
  <c r="AB212" i="47"/>
  <c r="Z213" i="47"/>
  <c r="AB213" i="47"/>
  <c r="Z214" i="47"/>
  <c r="Z230" i="47"/>
  <c r="B216" i="47"/>
  <c r="D216" i="47"/>
  <c r="G216" i="47"/>
  <c r="H216" i="47"/>
  <c r="J216" i="47"/>
  <c r="K216" i="47"/>
  <c r="M216" i="47"/>
  <c r="P216" i="47"/>
  <c r="Q216" i="47"/>
  <c r="S216" i="47"/>
  <c r="T216" i="47"/>
  <c r="V216" i="47"/>
  <c r="Y216" i="47"/>
  <c r="Z216" i="47"/>
  <c r="AB216" i="47"/>
  <c r="AE216" i="47"/>
  <c r="D217" i="47"/>
  <c r="E217" i="47"/>
  <c r="G217" i="47"/>
  <c r="H217" i="47"/>
  <c r="J217" i="47"/>
  <c r="M217" i="47"/>
  <c r="N217" i="47"/>
  <c r="P217" i="47"/>
  <c r="Q217" i="47"/>
  <c r="S217" i="47"/>
  <c r="T217" i="47"/>
  <c r="V217" i="47"/>
  <c r="W217" i="47"/>
  <c r="Y217" i="47"/>
  <c r="Z217" i="47"/>
  <c r="AB217" i="47"/>
  <c r="AC217" i="47"/>
  <c r="B218" i="47"/>
  <c r="D218" i="47"/>
  <c r="E218" i="47"/>
  <c r="G218" i="47"/>
  <c r="J218" i="47"/>
  <c r="K218" i="47"/>
  <c r="M218" i="47"/>
  <c r="N218" i="47"/>
  <c r="Q218" i="47"/>
  <c r="S218" i="47"/>
  <c r="T218" i="47"/>
  <c r="W218" i="47"/>
  <c r="Y218" i="47"/>
  <c r="AB218" i="47"/>
  <c r="AC218" i="47"/>
  <c r="AE218" i="47"/>
  <c r="B219" i="47"/>
  <c r="D219" i="47"/>
  <c r="E219" i="47"/>
  <c r="H219" i="47"/>
  <c r="J219" i="47"/>
  <c r="K219" i="47"/>
  <c r="N219" i="47"/>
  <c r="P219" i="47"/>
  <c r="S219" i="47"/>
  <c r="T219" i="47"/>
  <c r="V219" i="47"/>
  <c r="W219" i="47"/>
  <c r="Y219" i="47"/>
  <c r="Z219" i="47"/>
  <c r="AB219" i="47"/>
  <c r="AC219" i="47"/>
  <c r="AE219" i="47"/>
  <c r="B220" i="47"/>
  <c r="E220" i="47"/>
  <c r="G220" i="47"/>
  <c r="H220" i="47"/>
  <c r="K220" i="47"/>
  <c r="M220" i="47"/>
  <c r="N220" i="47"/>
  <c r="P220" i="47"/>
  <c r="Q220" i="47"/>
  <c r="T220" i="47"/>
  <c r="V220" i="47"/>
  <c r="W220" i="47"/>
  <c r="Y220" i="47"/>
  <c r="Z220" i="47"/>
  <c r="AB220" i="47"/>
  <c r="AC220" i="47"/>
  <c r="AE220" i="47"/>
  <c r="B222" i="47"/>
  <c r="D222" i="47"/>
  <c r="G222" i="47"/>
  <c r="H222" i="47"/>
  <c r="J222" i="47"/>
  <c r="K222" i="47"/>
  <c r="M222" i="47"/>
  <c r="P222" i="47"/>
  <c r="Q222" i="47"/>
  <c r="S222" i="47"/>
  <c r="T222" i="47"/>
  <c r="V222" i="47"/>
  <c r="Y222" i="47"/>
  <c r="Z222" i="47"/>
  <c r="AB222" i="47"/>
  <c r="AE222" i="47"/>
  <c r="D223" i="47"/>
  <c r="E223" i="47"/>
  <c r="G223" i="47"/>
  <c r="H223" i="47"/>
  <c r="J223" i="47"/>
  <c r="M223" i="47"/>
  <c r="N223" i="47"/>
  <c r="P223" i="47"/>
  <c r="Q223" i="47"/>
  <c r="S223" i="47"/>
  <c r="V223" i="47"/>
  <c r="W223" i="47"/>
  <c r="Y223" i="47"/>
  <c r="Z223" i="47"/>
  <c r="AB223" i="47"/>
  <c r="AC223" i="47"/>
  <c r="B224" i="47"/>
  <c r="D224" i="47"/>
  <c r="E224" i="47"/>
  <c r="G224" i="47"/>
  <c r="J224" i="47"/>
  <c r="K224" i="47"/>
  <c r="M224" i="47"/>
  <c r="N224" i="47"/>
  <c r="Q224" i="47"/>
  <c r="S224" i="47"/>
  <c r="T224" i="47"/>
  <c r="W224" i="47"/>
  <c r="Y224" i="47"/>
  <c r="AB224" i="47"/>
  <c r="AC224" i="47"/>
  <c r="AE224" i="47"/>
  <c r="B225" i="47"/>
  <c r="D225" i="47"/>
  <c r="E225" i="47"/>
  <c r="H225" i="47"/>
  <c r="J225" i="47"/>
  <c r="K225" i="47"/>
  <c r="N225" i="47"/>
  <c r="P225" i="47"/>
  <c r="S225" i="47"/>
  <c r="T225" i="47"/>
  <c r="V225" i="47"/>
  <c r="W225" i="47"/>
  <c r="Y225" i="47"/>
  <c r="Z225" i="47"/>
  <c r="AC225" i="47"/>
  <c r="AE225" i="47"/>
  <c r="B226" i="47"/>
  <c r="E226" i="47"/>
  <c r="G226" i="47"/>
  <c r="H226" i="47"/>
  <c r="K226" i="47"/>
  <c r="M226" i="47"/>
  <c r="N226" i="47"/>
  <c r="P226" i="47"/>
  <c r="Q226" i="47"/>
  <c r="T226" i="47"/>
  <c r="V226" i="47"/>
  <c r="W226" i="47"/>
  <c r="Z226" i="47"/>
  <c r="AB226" i="47"/>
  <c r="AC226" i="47"/>
  <c r="AE226" i="47"/>
  <c r="B228" i="47"/>
  <c r="D228" i="47"/>
  <c r="G228" i="47"/>
  <c r="H228" i="47"/>
  <c r="J228" i="47"/>
  <c r="K228" i="47"/>
  <c r="M228" i="47"/>
  <c r="N228" i="47"/>
  <c r="P228" i="47"/>
  <c r="Q228" i="47"/>
  <c r="S228" i="47"/>
  <c r="T228" i="47"/>
  <c r="V228" i="47"/>
  <c r="Y228" i="47"/>
  <c r="Z228" i="47"/>
  <c r="AB228" i="47"/>
  <c r="AE228" i="47"/>
  <c r="D229" i="47"/>
  <c r="E229" i="47"/>
  <c r="G229" i="47"/>
  <c r="H229" i="47"/>
  <c r="J229" i="47"/>
  <c r="M229" i="47"/>
  <c r="N229" i="47"/>
  <c r="P229" i="47"/>
  <c r="Q229" i="47"/>
  <c r="S229" i="47"/>
  <c r="V229" i="47"/>
  <c r="W229" i="47"/>
  <c r="Y229" i="47"/>
  <c r="Z229" i="47"/>
  <c r="AB229" i="47"/>
  <c r="AC229" i="47"/>
  <c r="B230" i="47"/>
  <c r="D230" i="47"/>
  <c r="E230" i="47"/>
  <c r="G230" i="47"/>
  <c r="J230" i="47"/>
  <c r="K230" i="47"/>
  <c r="M230" i="47"/>
  <c r="N230" i="47"/>
  <c r="Q230" i="47"/>
  <c r="S230" i="47"/>
  <c r="T230" i="47"/>
  <c r="W230" i="47"/>
  <c r="Y230" i="47"/>
  <c r="AB230" i="47"/>
  <c r="AC230" i="47"/>
  <c r="AE230" i="47"/>
  <c r="B231" i="47"/>
  <c r="D231" i="47"/>
  <c r="E231" i="47"/>
  <c r="H231" i="47"/>
  <c r="J231" i="47"/>
  <c r="K231" i="47"/>
  <c r="N231" i="47"/>
  <c r="P231" i="47"/>
  <c r="S231" i="47"/>
  <c r="T231" i="47"/>
  <c r="V231" i="47"/>
  <c r="W231" i="47"/>
  <c r="Y231" i="47"/>
  <c r="Z231" i="47"/>
  <c r="AC231" i="47"/>
  <c r="AE231" i="47"/>
  <c r="B232" i="47"/>
  <c r="E232" i="47"/>
  <c r="G232" i="47"/>
  <c r="H232" i="47"/>
  <c r="K232" i="47"/>
  <c r="M232" i="47"/>
  <c r="N232" i="47"/>
  <c r="P232" i="47"/>
  <c r="Q232" i="47"/>
  <c r="T232" i="47"/>
  <c r="V232" i="47"/>
  <c r="W232" i="47"/>
  <c r="Z232" i="47"/>
  <c r="AB232" i="47"/>
  <c r="AC232" i="47"/>
  <c r="AE232" i="47"/>
  <c r="B242" i="47"/>
  <c r="D242" i="47"/>
  <c r="G242" i="47"/>
  <c r="H242" i="47"/>
  <c r="J242" i="47"/>
  <c r="K242" i="47"/>
  <c r="M242" i="47"/>
  <c r="P242" i="47"/>
  <c r="Q242" i="47"/>
  <c r="S242" i="47"/>
  <c r="T242" i="47"/>
  <c r="V242" i="47"/>
  <c r="Y242" i="47"/>
  <c r="Z242" i="47"/>
  <c r="AB242" i="47"/>
  <c r="AE242" i="47"/>
  <c r="D243" i="47"/>
  <c r="E243" i="47"/>
  <c r="G243" i="47"/>
  <c r="H243" i="47"/>
  <c r="J243" i="47"/>
  <c r="M243" i="47"/>
  <c r="N243" i="47"/>
  <c r="P243" i="47"/>
  <c r="Q243" i="47"/>
  <c r="S243" i="47"/>
  <c r="V243" i="47"/>
  <c r="W243" i="47"/>
  <c r="Y243" i="47"/>
  <c r="Z243" i="47"/>
  <c r="AB243" i="47"/>
  <c r="AC243" i="47"/>
  <c r="B244" i="47"/>
  <c r="D244" i="47"/>
  <c r="E244" i="47"/>
  <c r="G244" i="47"/>
  <c r="J244" i="47"/>
  <c r="K244" i="47"/>
  <c r="M244" i="47"/>
  <c r="N244" i="47"/>
  <c r="Q244" i="47"/>
  <c r="S244" i="47"/>
  <c r="T244" i="47"/>
  <c r="W244" i="47"/>
  <c r="Y244" i="47"/>
  <c r="AB244" i="47"/>
  <c r="AC244" i="47"/>
  <c r="AE244" i="47"/>
  <c r="B245" i="47"/>
  <c r="D245" i="47"/>
  <c r="B252" i="47"/>
  <c r="E245" i="47"/>
  <c r="H245" i="47"/>
  <c r="J245" i="47"/>
  <c r="K245" i="47"/>
  <c r="N245" i="47"/>
  <c r="P245" i="47"/>
  <c r="S245" i="47"/>
  <c r="T245" i="47"/>
  <c r="V245" i="47"/>
  <c r="W245" i="47"/>
  <c r="Y245" i="47"/>
  <c r="Z245" i="47"/>
  <c r="AC245" i="47"/>
  <c r="AE245" i="47"/>
  <c r="B246" i="47"/>
  <c r="E246" i="47"/>
  <c r="G246" i="47"/>
  <c r="H246" i="47"/>
  <c r="K246" i="47"/>
  <c r="M246" i="47"/>
  <c r="N246" i="47"/>
  <c r="P246" i="47"/>
  <c r="Q246" i="47"/>
  <c r="T246" i="47"/>
  <c r="V246" i="47"/>
  <c r="W246" i="47"/>
  <c r="Z246" i="47"/>
  <c r="AB246" i="47"/>
  <c r="AC246" i="47"/>
  <c r="AE246" i="47"/>
  <c r="B249" i="47"/>
  <c r="AT249" i="47"/>
  <c r="B250" i="47"/>
  <c r="AT250" i="47"/>
  <c r="B251" i="47"/>
  <c r="AT251" i="47"/>
  <c r="AT252" i="47"/>
  <c r="B253" i="47"/>
  <c r="AT253" i="47"/>
  <c r="A259" i="47"/>
  <c r="B264" i="47"/>
  <c r="F264" i="47"/>
  <c r="N58" i="47"/>
  <c r="AF58" i="47"/>
  <c r="AN24" i="47"/>
  <c r="AQ24" i="47"/>
  <c r="Z8" i="47"/>
  <c r="J264" i="47"/>
  <c r="G146" i="47"/>
  <c r="M146" i="47"/>
  <c r="Q146" i="47"/>
  <c r="Z129" i="47"/>
  <c r="AB146" i="47"/>
  <c r="AF146" i="47"/>
  <c r="AH112" i="47"/>
  <c r="AQ112" i="47"/>
  <c r="Z99" i="47"/>
  <c r="J265" i="47"/>
  <c r="E214" i="47"/>
  <c r="G231" i="47"/>
  <c r="K214" i="47"/>
  <c r="M231" i="47"/>
  <c r="Q214" i="47"/>
  <c r="Q231" i="47"/>
  <c r="AB231" i="47"/>
  <c r="AF231" i="47"/>
  <c r="AQ197" i="47"/>
  <c r="Z184" i="47"/>
  <c r="J266" i="47"/>
  <c r="L264" i="47"/>
  <c r="M264" i="47"/>
  <c r="R264" i="47"/>
  <c r="AB61" i="47"/>
  <c r="AF61" i="47"/>
  <c r="AJ27" i="47"/>
  <c r="AQ27" i="47"/>
  <c r="Z14" i="47"/>
  <c r="U264" i="47"/>
  <c r="E143" i="47"/>
  <c r="N129" i="47"/>
  <c r="N143" i="47"/>
  <c r="W143" i="47"/>
  <c r="AC143" i="47"/>
  <c r="AF143" i="47"/>
  <c r="AQ109" i="47"/>
  <c r="Z93" i="47"/>
  <c r="U265" i="47"/>
  <c r="D232" i="47"/>
  <c r="J232" i="47"/>
  <c r="S232" i="47"/>
  <c r="W214" i="47"/>
  <c r="Y232" i="47"/>
  <c r="AF232" i="47"/>
  <c r="AQ198" i="47"/>
  <c r="Z186" i="47"/>
  <c r="U266" i="47"/>
  <c r="W264" i="47"/>
  <c r="X264" i="47"/>
  <c r="AC264" i="47"/>
  <c r="P60" i="47"/>
  <c r="Z60" i="47"/>
  <c r="AF60" i="47"/>
  <c r="Z12" i="47"/>
  <c r="AF264" i="47"/>
  <c r="B129" i="47"/>
  <c r="B144" i="47"/>
  <c r="K144" i="47"/>
  <c r="T144" i="47"/>
  <c r="AE144" i="47"/>
  <c r="AF144" i="47"/>
  <c r="AP110" i="47"/>
  <c r="AQ110" i="47"/>
  <c r="Z95" i="47"/>
  <c r="AF265" i="47"/>
  <c r="H230" i="47"/>
  <c r="V230" i="47"/>
  <c r="AF230" i="47"/>
  <c r="Z182" i="47"/>
  <c r="AF266" i="47"/>
  <c r="AG264" i="47"/>
  <c r="AG265" i="47"/>
  <c r="AG266" i="47"/>
  <c r="AC266" i="47"/>
  <c r="AC265" i="47"/>
  <c r="AF269" i="47"/>
  <c r="AG303" i="47"/>
  <c r="AH264" i="47"/>
  <c r="AK264" i="47"/>
  <c r="B59" i="47"/>
  <c r="AF59" i="47"/>
  <c r="AQ25" i="47"/>
  <c r="Z10" i="47"/>
  <c r="AN264" i="47"/>
  <c r="D147" i="47"/>
  <c r="H129" i="47"/>
  <c r="J147" i="47"/>
  <c r="Y147" i="47"/>
  <c r="AF147" i="47"/>
  <c r="AN113" i="47"/>
  <c r="AQ113" i="47"/>
  <c r="Z101" i="47"/>
  <c r="AN265" i="47"/>
  <c r="E228" i="47"/>
  <c r="W228" i="47"/>
  <c r="AC214" i="47"/>
  <c r="AC228" i="47"/>
  <c r="AF228" i="47"/>
  <c r="AQ194" i="47"/>
  <c r="Z178" i="47"/>
  <c r="AN266" i="47"/>
  <c r="AP264" i="47"/>
  <c r="B265" i="47"/>
  <c r="F265" i="47"/>
  <c r="L265" i="47"/>
  <c r="M265" i="47"/>
  <c r="R265" i="47"/>
  <c r="W265" i="47"/>
  <c r="X265" i="47"/>
  <c r="AH265" i="47"/>
  <c r="AK265" i="47"/>
  <c r="AP265" i="47"/>
  <c r="B266" i="47"/>
  <c r="F266" i="47"/>
  <c r="L266" i="47"/>
  <c r="M266" i="47"/>
  <c r="R266" i="47"/>
  <c r="W266" i="47"/>
  <c r="X266" i="47"/>
  <c r="AH266" i="47"/>
  <c r="AK266" i="47"/>
  <c r="AP266" i="47"/>
  <c r="M270" i="47"/>
  <c r="X301" i="47"/>
  <c r="AF271" i="47"/>
  <c r="K349" i="47"/>
  <c r="B303" i="47"/>
  <c r="A284" i="47"/>
  <c r="B302" i="47"/>
  <c r="A290" i="47"/>
  <c r="Z310" i="47"/>
  <c r="Z311" i="47"/>
  <c r="Z312" i="47"/>
  <c r="Z313" i="47"/>
  <c r="AB310" i="47"/>
  <c r="AB311" i="47"/>
  <c r="AB312" i="47"/>
  <c r="AB313" i="47"/>
  <c r="AE309" i="47"/>
  <c r="M271" i="47"/>
  <c r="X302" i="47"/>
  <c r="AC294" i="47"/>
  <c r="A295" i="47"/>
  <c r="B301" i="47"/>
  <c r="A281" i="47"/>
  <c r="K301" i="47"/>
  <c r="K302" i="47"/>
  <c r="K303" i="47"/>
  <c r="F156" i="47"/>
  <c r="E157" i="47"/>
  <c r="D161" i="47"/>
  <c r="H159" i="47"/>
  <c r="N157" i="47"/>
  <c r="J161" i="47"/>
  <c r="G160" i="47"/>
  <c r="B158" i="47"/>
  <c r="M160" i="47"/>
  <c r="S161" i="47"/>
  <c r="W171" i="47"/>
  <c r="W172" i="47"/>
  <c r="X156" i="47"/>
  <c r="W157" i="47"/>
  <c r="Y164" i="47"/>
  <c r="AB164" i="47"/>
  <c r="AC170" i="47"/>
  <c r="K158" i="47"/>
  <c r="P159" i="47"/>
  <c r="T171" i="47"/>
  <c r="T172" i="47"/>
  <c r="T158" i="47"/>
  <c r="V165" i="47"/>
  <c r="Y165" i="47"/>
  <c r="AB165" i="47"/>
  <c r="AE170" i="47"/>
  <c r="AC171" i="47"/>
  <c r="AC172" i="47"/>
  <c r="AC157" i="47"/>
  <c r="AE164" i="47"/>
  <c r="AU164" i="47"/>
  <c r="AX4" i="47"/>
  <c r="W319" i="47"/>
  <c r="X319" i="47"/>
  <c r="Y319" i="47"/>
  <c r="Z322" i="47"/>
  <c r="D246" i="47"/>
  <c r="H244" i="47"/>
  <c r="E242" i="47"/>
  <c r="P244" i="47"/>
  <c r="B243" i="47"/>
  <c r="G245" i="47"/>
  <c r="K243" i="47"/>
  <c r="V244" i="47"/>
  <c r="M245" i="47"/>
  <c r="J246" i="47"/>
  <c r="Q245" i="47"/>
  <c r="Z256" i="47"/>
  <c r="Z257" i="47"/>
  <c r="Z244" i="47"/>
  <c r="AB251" i="47"/>
  <c r="AE251" i="47"/>
  <c r="AU251" i="47"/>
  <c r="AT166" i="47"/>
  <c r="AT168" i="47"/>
  <c r="AX11" i="47"/>
  <c r="X269" i="47"/>
  <c r="X303" i="47"/>
  <c r="W320" i="47"/>
  <c r="X320" i="47"/>
  <c r="Y320" i="47"/>
  <c r="AB322" i="47"/>
  <c r="Z323" i="47"/>
  <c r="Z324" i="47"/>
  <c r="AB319" i="47"/>
  <c r="AE322" i="47"/>
  <c r="B310" i="47"/>
  <c r="D310" i="47"/>
  <c r="E310" i="47"/>
  <c r="G310" i="47"/>
  <c r="H310" i="47"/>
  <c r="J310" i="47"/>
  <c r="W310" i="47"/>
  <c r="Y310" i="47"/>
  <c r="AC310" i="47"/>
  <c r="AE310" i="47"/>
  <c r="B311" i="47"/>
  <c r="D311" i="47"/>
  <c r="E311" i="47"/>
  <c r="G311" i="47"/>
  <c r="H311" i="47"/>
  <c r="J311" i="47"/>
  <c r="W311" i="47"/>
  <c r="Y311" i="47"/>
  <c r="AC311" i="47"/>
  <c r="AE311" i="47"/>
  <c r="B312" i="47"/>
  <c r="D312" i="47"/>
  <c r="E312" i="47"/>
  <c r="G312" i="47"/>
  <c r="H312" i="47"/>
  <c r="J312" i="47"/>
  <c r="W312" i="47"/>
  <c r="Y312" i="47"/>
  <c r="AC312" i="47"/>
  <c r="AE312" i="47"/>
  <c r="B313" i="47"/>
  <c r="D313" i="47"/>
  <c r="H309" i="47"/>
  <c r="F284" i="47"/>
  <c r="E313" i="47"/>
  <c r="G313" i="47"/>
  <c r="J309" i="47"/>
  <c r="H313" i="47"/>
  <c r="J313" i="47"/>
  <c r="W313" i="47"/>
  <c r="Y313" i="47"/>
  <c r="AC309" i="47"/>
  <c r="AC313" i="47"/>
  <c r="AE313" i="47"/>
  <c r="B318" i="47"/>
  <c r="B319" i="47"/>
  <c r="B320" i="47"/>
  <c r="E72" i="47"/>
  <c r="G75" i="47"/>
  <c r="M75" i="47"/>
  <c r="S76" i="47"/>
  <c r="W72" i="47"/>
  <c r="K73" i="47"/>
  <c r="P74" i="47"/>
  <c r="AC72" i="47"/>
  <c r="Q75" i="47"/>
  <c r="M269" i="47"/>
  <c r="B304" i="47"/>
  <c r="B321" i="47"/>
  <c r="B351" i="47"/>
  <c r="A343" i="47"/>
  <c r="B350" i="47"/>
  <c r="K350" i="47"/>
  <c r="A332" i="47"/>
  <c r="K351" i="47"/>
  <c r="B352" i="47"/>
  <c r="A334" i="47"/>
  <c r="K352" i="47"/>
  <c r="B358" i="47"/>
  <c r="D358" i="47"/>
  <c r="E358" i="47"/>
  <c r="G358" i="47"/>
  <c r="H358" i="47"/>
  <c r="J358" i="47"/>
  <c r="B359" i="47"/>
  <c r="D359" i="47"/>
  <c r="E359" i="47"/>
  <c r="E360" i="47"/>
  <c r="E361" i="47"/>
  <c r="G359" i="47"/>
  <c r="G360" i="47"/>
  <c r="G361" i="47"/>
  <c r="J357" i="47"/>
  <c r="H359" i="47"/>
  <c r="J359" i="47"/>
  <c r="B360" i="47"/>
  <c r="D360" i="47"/>
  <c r="H360" i="47"/>
  <c r="J360" i="47"/>
  <c r="B368" i="47"/>
  <c r="B369" i="47"/>
  <c r="AT368" i="47"/>
  <c r="AT369" i="47"/>
  <c r="AU369" i="47"/>
  <c r="AT370" i="47"/>
  <c r="AU370" i="47"/>
  <c r="AT371" i="47"/>
  <c r="AU371" i="47"/>
  <c r="AT372" i="47"/>
  <c r="AU372" i="47"/>
  <c r="AE73" i="47"/>
  <c r="B367" i="47"/>
  <c r="Y161" i="47"/>
  <c r="E371" i="47"/>
  <c r="E372" i="47"/>
  <c r="G367" i="47"/>
  <c r="J370" i="47"/>
  <c r="F342" i="47"/>
  <c r="H361" i="47"/>
  <c r="B361" i="47"/>
  <c r="AT317" i="47"/>
  <c r="W318" i="47"/>
  <c r="V281" i="47"/>
  <c r="Q160" i="47"/>
  <c r="V159" i="47"/>
  <c r="AB160" i="47"/>
  <c r="AT318" i="47"/>
  <c r="AF314" i="47"/>
  <c r="AG289" i="47"/>
  <c r="AE171" i="47"/>
  <c r="AE172" i="47"/>
  <c r="AE158" i="47"/>
  <c r="AE165" i="47"/>
  <c r="AU165" i="47"/>
  <c r="AX7" i="47"/>
  <c r="X270" i="47"/>
  <c r="X304" i="47"/>
  <c r="W321" i="47"/>
  <c r="X321" i="47"/>
  <c r="Y322" i="47"/>
  <c r="S256" i="47"/>
  <c r="S257" i="47"/>
  <c r="S246" i="47"/>
  <c r="S253" i="47"/>
  <c r="V253" i="47"/>
  <c r="Y255" i="47"/>
  <c r="N256" i="47"/>
  <c r="N257" i="47"/>
  <c r="N242" i="47"/>
  <c r="P249" i="47"/>
  <c r="S249" i="47"/>
  <c r="V249" i="47"/>
  <c r="W255" i="47"/>
  <c r="Y256" i="47"/>
  <c r="Y257" i="47"/>
  <c r="Y246" i="47"/>
  <c r="Y253" i="47"/>
  <c r="AB253" i="47"/>
  <c r="AE253" i="47"/>
  <c r="AU253" i="47"/>
  <c r="AX17" i="47"/>
  <c r="X318" i="47"/>
  <c r="W322" i="47"/>
  <c r="Y323" i="47"/>
  <c r="Y324" i="47"/>
  <c r="Y321" i="47"/>
  <c r="AB321" i="47"/>
  <c r="W323" i="47"/>
  <c r="W324" i="47"/>
  <c r="Y318" i="47"/>
  <c r="AB318" i="47"/>
  <c r="AC322" i="47"/>
  <c r="AE323" i="47"/>
  <c r="AE324" i="47"/>
  <c r="A338" i="47"/>
  <c r="AB245" i="47"/>
  <c r="AT319" i="47"/>
  <c r="AC284" i="47"/>
  <c r="F294" i="47"/>
  <c r="AH269" i="47"/>
  <c r="AH271" i="47"/>
  <c r="AN269" i="47"/>
  <c r="AN271" i="47"/>
  <c r="AH270" i="47"/>
  <c r="X271" i="47"/>
  <c r="B349" i="47"/>
  <c r="AF270" i="47"/>
  <c r="AG304" i="47"/>
  <c r="T270" i="47"/>
  <c r="AG301" i="47"/>
  <c r="T269" i="47"/>
  <c r="K304" i="47"/>
  <c r="T271" i="47"/>
  <c r="AG302" i="47"/>
  <c r="B269" i="47"/>
  <c r="B270" i="47"/>
  <c r="B271" i="47"/>
  <c r="I269" i="47"/>
  <c r="I271" i="47"/>
  <c r="I270" i="47"/>
  <c r="W256" i="47"/>
  <c r="W257" i="47"/>
  <c r="W242" i="47"/>
  <c r="Y249" i="47"/>
  <c r="AB249" i="47"/>
  <c r="AC255" i="47"/>
  <c r="T256" i="47"/>
  <c r="T257" i="47"/>
  <c r="T243" i="47"/>
  <c r="V250" i="47"/>
  <c r="Y250" i="47"/>
  <c r="AB250" i="47"/>
  <c r="AE255" i="47"/>
  <c r="AC256" i="47"/>
  <c r="AC257" i="47"/>
  <c r="AC242" i="47"/>
  <c r="AE249" i="47"/>
  <c r="AU249" i="47"/>
  <c r="AX5" i="47"/>
  <c r="C369" i="47"/>
  <c r="D370" i="47"/>
  <c r="AT367" i="47"/>
  <c r="J361" i="47"/>
  <c r="D361" i="47"/>
  <c r="H323" i="47"/>
  <c r="H324" i="47"/>
  <c r="AN270" i="47"/>
  <c r="X207" i="47"/>
  <c r="W216" i="47"/>
  <c r="K217" i="47"/>
  <c r="L207" i="47"/>
  <c r="W178" i="47"/>
  <c r="AF236" i="47"/>
  <c r="L182" i="47"/>
  <c r="AF234" i="47"/>
  <c r="L178" i="47"/>
  <c r="AD207" i="47"/>
  <c r="R207" i="47"/>
  <c r="F207" i="47"/>
  <c r="Z218" i="47"/>
  <c r="AA207" i="47"/>
  <c r="V218" i="47"/>
  <c r="AF218" i="47"/>
  <c r="U207" i="47"/>
  <c r="N216" i="47"/>
  <c r="O207" i="47"/>
  <c r="J220" i="47"/>
  <c r="AF220" i="47"/>
  <c r="I207" i="47"/>
  <c r="C207" i="47"/>
  <c r="B217" i="47"/>
  <c r="AF217" i="47"/>
  <c r="V145" i="47"/>
  <c r="K314" i="47"/>
  <c r="J289" i="47"/>
  <c r="AF238" i="47"/>
  <c r="L186" i="47"/>
  <c r="T229" i="47"/>
  <c r="AQ195" i="47"/>
  <c r="W180" i="47"/>
  <c r="B229" i="47"/>
  <c r="W184" i="47"/>
  <c r="W186" i="47"/>
  <c r="AK111" i="47"/>
  <c r="AQ111" i="47"/>
  <c r="W97" i="47"/>
  <c r="AC216" i="47"/>
  <c r="E216" i="47"/>
  <c r="AF216" i="47"/>
  <c r="AF150" i="47"/>
  <c r="L95" i="47"/>
  <c r="B138" i="47"/>
  <c r="D141" i="47"/>
  <c r="U122" i="47"/>
  <c r="T132" i="47"/>
  <c r="Q219" i="47"/>
  <c r="AF219" i="47"/>
  <c r="H139" i="47"/>
  <c r="H133" i="47"/>
  <c r="AF133" i="47"/>
  <c r="O122" i="47"/>
  <c r="AE122" i="47"/>
  <c r="AD122" i="47"/>
  <c r="AC131" i="47"/>
  <c r="E131" i="47"/>
  <c r="B132" i="47"/>
  <c r="W93" i="47"/>
  <c r="W101" i="47"/>
  <c r="W99" i="47"/>
  <c r="W52" i="47"/>
  <c r="Y56" i="47"/>
  <c r="W14" i="47"/>
  <c r="AQ28" i="47"/>
  <c r="W16" i="47"/>
  <c r="AE132" i="47"/>
  <c r="W122" i="47"/>
  <c r="S122" i="47"/>
  <c r="S135" i="47"/>
  <c r="AF135" i="47"/>
  <c r="K122" i="47"/>
  <c r="G122" i="47"/>
  <c r="G134" i="47"/>
  <c r="AF134" i="47"/>
  <c r="Y76" i="47"/>
  <c r="D62" i="47"/>
  <c r="AF62" i="47"/>
  <c r="Z16" i="47"/>
  <c r="O37" i="47"/>
  <c r="E52" i="47"/>
  <c r="G55" i="47"/>
  <c r="W95" i="47"/>
  <c r="Z54" i="47"/>
  <c r="AB55" i="47"/>
  <c r="W8" i="47"/>
  <c r="M55" i="47"/>
  <c r="K53" i="47"/>
  <c r="C37" i="47"/>
  <c r="T47" i="47"/>
  <c r="AF47" i="47"/>
  <c r="U37" i="47"/>
  <c r="H48" i="47"/>
  <c r="AF48" i="47"/>
  <c r="I37" i="47"/>
  <c r="W10" i="47"/>
  <c r="AE243" i="47"/>
  <c r="AF74" i="47"/>
  <c r="AE138" i="47"/>
  <c r="AC137" i="47"/>
  <c r="Z224" i="47"/>
  <c r="AB225" i="47"/>
  <c r="AF73" i="47"/>
  <c r="L122" i="47"/>
  <c r="K132" i="47"/>
  <c r="AF132" i="47"/>
  <c r="H145" i="47"/>
  <c r="T138" i="47"/>
  <c r="V139" i="47"/>
  <c r="S226" i="47"/>
  <c r="Q225" i="47"/>
  <c r="V290" i="47"/>
  <c r="A329" i="47"/>
  <c r="B366" i="47"/>
  <c r="AT321" i="47"/>
  <c r="AF55" i="47"/>
  <c r="AG49" i="47"/>
  <c r="G323" i="47"/>
  <c r="G324" i="47"/>
  <c r="G320" i="47"/>
  <c r="J320" i="47"/>
  <c r="AU319" i="47"/>
  <c r="P224" i="47"/>
  <c r="N222" i="47"/>
  <c r="A286" i="47"/>
  <c r="X122" i="47"/>
  <c r="W131" i="47"/>
  <c r="AF131" i="47"/>
  <c r="F122" i="47"/>
  <c r="P139" i="47"/>
  <c r="AF139" i="47"/>
  <c r="AG133" i="47"/>
  <c r="N137" i="47"/>
  <c r="AF159" i="47"/>
  <c r="Z145" i="47"/>
  <c r="B223" i="47"/>
  <c r="D226" i="47"/>
  <c r="K229" i="47"/>
  <c r="M225" i="47"/>
  <c r="K223" i="47"/>
  <c r="U284" i="47"/>
  <c r="V295" i="47"/>
  <c r="AC323" i="47"/>
  <c r="AC324" i="47"/>
  <c r="AF237" i="47"/>
  <c r="L184" i="47"/>
  <c r="V54" i="47"/>
  <c r="T53" i="47"/>
  <c r="AF76" i="47"/>
  <c r="P145" i="47"/>
  <c r="AC222" i="47"/>
  <c r="AE223" i="47"/>
  <c r="AE229" i="47"/>
  <c r="W222" i="47"/>
  <c r="Y226" i="47"/>
  <c r="V286" i="47"/>
  <c r="H54" i="47"/>
  <c r="J56" i="47"/>
  <c r="B53" i="47"/>
  <c r="AF53" i="47"/>
  <c r="AG47" i="47"/>
  <c r="D56" i="47"/>
  <c r="P54" i="47"/>
  <c r="N52" i="47"/>
  <c r="AF52" i="47"/>
  <c r="AG46" i="47"/>
  <c r="R122" i="47"/>
  <c r="AF235" i="47"/>
  <c r="L180" i="47"/>
  <c r="AF158" i="47"/>
  <c r="AF229" i="47"/>
  <c r="Z180" i="47"/>
  <c r="AF246" i="47"/>
  <c r="H224" i="47"/>
  <c r="J226" i="47"/>
  <c r="V224" i="47"/>
  <c r="T223" i="47"/>
  <c r="E222" i="47"/>
  <c r="G225" i="47"/>
  <c r="AF225" i="47"/>
  <c r="AG219" i="47"/>
  <c r="AT366" i="47"/>
  <c r="H357" i="47"/>
  <c r="AG238" i="47"/>
  <c r="R186" i="47"/>
  <c r="AC186" i="47"/>
  <c r="AF222" i="47"/>
  <c r="AG216" i="47"/>
  <c r="AF224" i="47"/>
  <c r="AG218" i="47"/>
  <c r="AF54" i="47"/>
  <c r="AG48" i="47"/>
  <c r="AF157" i="47"/>
  <c r="AF226" i="47"/>
  <c r="AG220" i="47"/>
  <c r="AF75" i="47"/>
  <c r="AG66" i="47"/>
  <c r="R12" i="47"/>
  <c r="AC12" i="47"/>
  <c r="AF242" i="47"/>
  <c r="F332" i="47"/>
  <c r="Z86" i="47"/>
  <c r="Z87" i="47"/>
  <c r="AB81" i="47"/>
  <c r="AE81" i="47"/>
  <c r="AU81" i="47"/>
  <c r="AX9" i="47"/>
  <c r="C366" i="47"/>
  <c r="B370" i="47"/>
  <c r="B371" i="47"/>
  <c r="B372" i="47"/>
  <c r="D366" i="47"/>
  <c r="G366" i="47"/>
  <c r="D371" i="47"/>
  <c r="D372" i="47"/>
  <c r="D369" i="47"/>
  <c r="G369" i="47"/>
  <c r="H370" i="47"/>
  <c r="J371" i="47"/>
  <c r="J372" i="47"/>
  <c r="J367" i="47"/>
  <c r="AU366" i="47"/>
  <c r="AF244" i="47"/>
  <c r="Q140" i="47"/>
  <c r="S141" i="47"/>
  <c r="AF56" i="47"/>
  <c r="AG50" i="47"/>
  <c r="AF160" i="47"/>
  <c r="AT323" i="47"/>
  <c r="AF223" i="47"/>
  <c r="AG217" i="47"/>
  <c r="G140" i="47"/>
  <c r="E137" i="47"/>
  <c r="W137" i="47"/>
  <c r="AF137" i="47"/>
  <c r="AG131" i="47"/>
  <c r="Y141" i="47"/>
  <c r="AF72" i="47"/>
  <c r="AF161" i="47"/>
  <c r="AC97" i="47"/>
  <c r="AG151" i="47"/>
  <c r="R97" i="47"/>
  <c r="K362" i="47"/>
  <c r="J337" i="47"/>
  <c r="AT322" i="47"/>
  <c r="AF145" i="47"/>
  <c r="Z97" i="47"/>
  <c r="K138" i="47"/>
  <c r="AF138" i="47"/>
  <c r="AG132" i="47"/>
  <c r="M140" i="47"/>
  <c r="AE256" i="47"/>
  <c r="AE257" i="47"/>
  <c r="AE250" i="47"/>
  <c r="AU250" i="47"/>
  <c r="AX6" i="47"/>
  <c r="AC95" i="47"/>
  <c r="AG150" i="47"/>
  <c r="R95" i="47"/>
  <c r="AT324" i="47"/>
  <c r="AG68" i="47"/>
  <c r="R16" i="47"/>
  <c r="AC16" i="47"/>
  <c r="AT320" i="47"/>
  <c r="AT365" i="47"/>
  <c r="AF243" i="47"/>
  <c r="AC10" i="47"/>
  <c r="AG65" i="47"/>
  <c r="R10" i="47"/>
  <c r="AF245" i="47"/>
  <c r="H371" i="47"/>
  <c r="H372" i="47"/>
  <c r="J366" i="47"/>
  <c r="AU365" i="47"/>
  <c r="J369" i="47"/>
  <c r="AU368" i="47"/>
  <c r="AG234" i="47"/>
  <c r="R178" i="47"/>
  <c r="AC178" i="47"/>
  <c r="AC14" i="47"/>
  <c r="AG67" i="47"/>
  <c r="R14" i="47"/>
  <c r="AC184" i="47"/>
  <c r="AG237" i="47"/>
  <c r="R184" i="47"/>
  <c r="AC180" i="47"/>
  <c r="AG235" i="47"/>
  <c r="R180" i="47"/>
  <c r="AY6" i="47"/>
  <c r="AY8" i="47"/>
  <c r="AF141" i="47"/>
  <c r="AG135" i="47"/>
  <c r="J318" i="47"/>
  <c r="AU317" i="47"/>
  <c r="AE321" i="47"/>
  <c r="AU324" i="47"/>
  <c r="AG64" i="47"/>
  <c r="R8" i="47"/>
  <c r="AC8" i="47"/>
  <c r="AC99" i="47"/>
  <c r="AG152" i="47"/>
  <c r="R99" i="47"/>
  <c r="Z171" i="47"/>
  <c r="Z172" i="47"/>
  <c r="AB166" i="47"/>
  <c r="AE166" i="47"/>
  <c r="AU166" i="47"/>
  <c r="AX10" i="47"/>
  <c r="AY10" i="47"/>
  <c r="AC93" i="47"/>
  <c r="AG149" i="47"/>
  <c r="R93" i="47"/>
  <c r="AY9" i="47"/>
  <c r="AE319" i="47"/>
  <c r="AU322" i="47"/>
  <c r="AC101" i="47"/>
  <c r="AG153" i="47"/>
  <c r="R101" i="47"/>
  <c r="AF140" i="47"/>
  <c r="AG134" i="47"/>
  <c r="AB323" i="47"/>
  <c r="AB324" i="47"/>
  <c r="AB320" i="47"/>
  <c r="AE320" i="47"/>
  <c r="AU323" i="47"/>
  <c r="AG236" i="47"/>
  <c r="R182" i="47"/>
  <c r="AC182" i="47"/>
  <c r="AE318" i="47"/>
  <c r="AU321" i="47"/>
  <c r="AY17" i="47"/>
  <c r="AY7" i="47"/>
  <c r="AY11" i="47"/>
  <c r="AY5" i="47"/>
  <c r="AY4" i="47"/>
  <c r="AY12" i="47"/>
  <c r="AY3" i="47"/>
</calcChain>
</file>

<file path=xl/sharedStrings.xml><?xml version="1.0" encoding="utf-8"?>
<sst xmlns="http://schemas.openxmlformats.org/spreadsheetml/2006/main" count="9883" uniqueCount="1236">
  <si>
    <t>copywrited program: May not be used or reproduced without the consent of Chip Moseley</t>
  </si>
  <si>
    <t>Seeding</t>
  </si>
  <si>
    <t>Final Ranking</t>
  </si>
  <si>
    <t xml:space="preserve">Pool Ranking Multiplier = </t>
  </si>
  <si>
    <t>Tournament Name</t>
  </si>
  <si>
    <t>Date</t>
  </si>
  <si>
    <t>#</t>
  </si>
  <si>
    <t>Team Name</t>
  </si>
  <si>
    <t>Team Code</t>
  </si>
  <si>
    <t>Initial Ranking</t>
  </si>
  <si>
    <t>Pool Play</t>
  </si>
  <si>
    <t>Finals</t>
  </si>
  <si>
    <t xml:space="preserve">Playoff Ranking Multiplier = </t>
  </si>
  <si>
    <t>Site:</t>
  </si>
  <si>
    <t>Age</t>
  </si>
  <si>
    <t>Division</t>
  </si>
  <si>
    <t>Club</t>
  </si>
  <si>
    <t>Power</t>
  </si>
  <si>
    <t>Gym Supervisor</t>
  </si>
  <si>
    <t>Supr e-mail:</t>
  </si>
  <si>
    <t xml:space="preserve">Supr Cell #: </t>
  </si>
  <si>
    <t xml:space="preserve"> </t>
  </si>
  <si>
    <t>POOL:</t>
  </si>
  <si>
    <t>A</t>
  </si>
  <si>
    <t>COURT:</t>
  </si>
  <si>
    <t>Team #</t>
  </si>
  <si>
    <t>Total Pool Net Points</t>
  </si>
  <si>
    <t>% Total
Net Points</t>
  </si>
  <si>
    <t>Game Win %</t>
  </si>
  <si>
    <t>Pool Finish</t>
  </si>
  <si>
    <t>Playoff Finish</t>
  </si>
  <si>
    <t>Games per Match (1-5)</t>
  </si>
  <si>
    <t>Matches (1-10)</t>
  </si>
  <si>
    <t>Teams in Pool (1-5)</t>
  </si>
  <si>
    <t>0-Count Games 1-Count Matches</t>
  </si>
  <si>
    <t>Game Win % 0 = No  1 = Yes</t>
  </si>
  <si>
    <t># of Matches/Games per Team</t>
  </si>
  <si>
    <t>Warning -- Do not use CUT/PASTE to move teams in table.  Only use COPY/PASTE or seeded cells will be corrupted.</t>
  </si>
  <si>
    <t xml:space="preserve"> POOL PLAY FORMAT:  Two games to 25, start at 6. Warmups 3-3-2  2pt cap</t>
  </si>
  <si>
    <t>Sch Start</t>
  </si>
  <si>
    <t>Note: The Pool Finish Summary at the bottom of the sheet will fill in AUTOMATICALLY once the POOL FINISH column (at left) is filled in.</t>
  </si>
  <si>
    <t>Actual Start</t>
  </si>
  <si>
    <t>End Time</t>
  </si>
  <si>
    <t>Match 1</t>
  </si>
  <si>
    <t>4 refs</t>
  </si>
  <si>
    <t>3 refs</t>
  </si>
  <si>
    <t>1 refs</t>
  </si>
  <si>
    <t>5 refs</t>
  </si>
  <si>
    <t>2 refs</t>
  </si>
  <si>
    <t>Net Points</t>
  </si>
  <si>
    <t>Total</t>
  </si>
  <si>
    <t>v</t>
  </si>
  <si>
    <t>Game 1</t>
  </si>
  <si>
    <t>/</t>
  </si>
  <si>
    <t>Gm1 Win</t>
  </si>
  <si>
    <t>Gm2 Win</t>
  </si>
  <si>
    <t>Gm3 Win</t>
  </si>
  <si>
    <t>Gm4 Win</t>
  </si>
  <si>
    <t>Gm5 Win</t>
  </si>
  <si>
    <t>Sum Game Win/Loss</t>
  </si>
  <si>
    <t>Match Won/Lost</t>
  </si>
  <si>
    <t>Gm1 Pts</t>
  </si>
  <si>
    <t>Gm2 Pts</t>
  </si>
  <si>
    <t>Gm3 Pts</t>
  </si>
  <si>
    <t>Gm4 Pts</t>
  </si>
  <si>
    <t>Gm5 Pts</t>
  </si>
  <si>
    <t>Sum Match Points</t>
  </si>
  <si>
    <t>Matches</t>
  </si>
  <si>
    <t>Match Wins by Team</t>
  </si>
  <si>
    <t>Match Losses by Team</t>
  </si>
  <si>
    <t>Tm1 Wins</t>
  </si>
  <si>
    <t>Tm2 Wins</t>
  </si>
  <si>
    <t>Tm3 Wins</t>
  </si>
  <si>
    <t>Tm4 Wins</t>
  </si>
  <si>
    <t>Tm5 Wins</t>
  </si>
  <si>
    <t>Matches played by team</t>
  </si>
  <si>
    <t>Tm1 Play</t>
  </si>
  <si>
    <t>Tm2 Play</t>
  </si>
  <si>
    <t>Tm3 Play</t>
  </si>
  <si>
    <t>Tm4 Play</t>
  </si>
  <si>
    <t>Tm5 Play</t>
  </si>
  <si>
    <t>Total Points played by team</t>
  </si>
  <si>
    <t>Games</t>
  </si>
  <si>
    <t>Game Wins by Team</t>
  </si>
  <si>
    <t>Game Losses by Team</t>
  </si>
  <si>
    <t>Games Played this Match</t>
  </si>
  <si>
    <t>Games played by team</t>
  </si>
  <si>
    <t>Init</t>
  </si>
  <si>
    <t>End of Pool</t>
  </si>
  <si>
    <t>Init Rating</t>
  </si>
  <si>
    <t>Exp wins</t>
  </si>
  <si>
    <t>New Rating</t>
  </si>
  <si>
    <t>B</t>
  </si>
  <si>
    <t>POOL FINISH SUMMARY</t>
  </si>
  <si>
    <t>Enter Pool Name</t>
  </si>
  <si>
    <t>First</t>
  </si>
  <si>
    <t>Second</t>
  </si>
  <si>
    <t>Third</t>
  </si>
  <si>
    <t>Fourth</t>
  </si>
  <si>
    <t>Code</t>
  </si>
  <si>
    <t>Court 1</t>
  </si>
  <si>
    <t>Court 2</t>
  </si>
  <si>
    <t>TOURNAMENT PLAYOFF</t>
  </si>
  <si>
    <t xml:space="preserve">                                   5th place from each pool does not advance, will be 9th &amp; 10th  place overall based on net pts</t>
  </si>
  <si>
    <t>Record each teams name and 11 digit code</t>
  </si>
  <si>
    <t>GOLD DIVISION</t>
  </si>
  <si>
    <t>SILVER DIVISION</t>
  </si>
  <si>
    <t>1st Place  Crt 1</t>
  </si>
  <si>
    <t>3rd Place  Crt 1</t>
  </si>
  <si>
    <t>Loser is 3rd place</t>
  </si>
  <si>
    <t>Loser is 7th place</t>
  </si>
  <si>
    <t>2nd Place Crt 2</t>
  </si>
  <si>
    <t>4th Place Crt 2</t>
  </si>
  <si>
    <t>Loser M2 refs</t>
  </si>
  <si>
    <t>Loser is 2nd place</t>
  </si>
  <si>
    <t xml:space="preserve"> Gold Champ 1st place</t>
  </si>
  <si>
    <t>Loser is 6th place</t>
  </si>
  <si>
    <t xml:space="preserve"> Silver Champ 5th place</t>
  </si>
  <si>
    <t>1st Place Crt 2</t>
  </si>
  <si>
    <t>3rd Place Crt 2</t>
  </si>
  <si>
    <t>Winner M1 refs</t>
  </si>
  <si>
    <t>2nd Place Crt 1</t>
  </si>
  <si>
    <t>4th Place Crt 1</t>
  </si>
  <si>
    <t>GOLD DIVISION PLAYOFFS</t>
  </si>
  <si>
    <t>SILVER DIVISION PLAYOFFS</t>
  </si>
  <si>
    <t>TEAM</t>
  </si>
  <si>
    <t>Enter Playoff Team Names</t>
  </si>
  <si>
    <t>Enter Playoff Team Codes</t>
  </si>
  <si>
    <t>Semi Final</t>
  </si>
  <si>
    <t>Make sure to complete
"Playoff Finish"
on Pool Sheet</t>
  </si>
  <si>
    <t>Offic. Team</t>
  </si>
  <si>
    <t>Win M1</t>
  </si>
  <si>
    <t>Loser M2</t>
  </si>
  <si>
    <t>Match 2</t>
  </si>
  <si>
    <t>Match 3</t>
  </si>
  <si>
    <t>Winner</t>
  </si>
  <si>
    <t>Game 2</t>
  </si>
  <si>
    <t>Game 3</t>
  </si>
  <si>
    <t>M1</t>
  </si>
  <si>
    <t>M2</t>
  </si>
  <si>
    <t>M3</t>
  </si>
  <si>
    <t>If match is a BYE enter B for opponent</t>
  </si>
  <si>
    <t>C</t>
  </si>
  <si>
    <t>% Net</t>
  </si>
  <si>
    <t>Court 3</t>
  </si>
  <si>
    <t>Rank</t>
  </si>
  <si>
    <t>First Place</t>
  </si>
  <si>
    <t>Second Place</t>
  </si>
  <si>
    <t>Third Place</t>
  </si>
  <si>
    <t>Fourth Place</t>
  </si>
  <si>
    <t>#1</t>
  </si>
  <si>
    <t>#2</t>
  </si>
  <si>
    <t>#3</t>
  </si>
  <si>
    <t xml:space="preserve">                                   Use pool Net Point % to determine Cross Pool placement. (i.e. #1 2nd place, #3 3rd place etc)</t>
  </si>
  <si>
    <t>#2 2nd Place</t>
  </si>
  <si>
    <t>#1 2nd Place</t>
  </si>
  <si>
    <t>#2 3rd Place</t>
  </si>
  <si>
    <t>#3 2nd Place</t>
  </si>
  <si>
    <t>1st Place Court 3</t>
  </si>
  <si>
    <t>#1 3rd Place</t>
  </si>
  <si>
    <t>BRONZE DIVISION</t>
  </si>
  <si>
    <t>#3 3rd Place</t>
  </si>
  <si>
    <t>Loser is 10th place</t>
  </si>
  <si>
    <t xml:space="preserve"> Bronze Champ 9th place</t>
  </si>
  <si>
    <t>4th Place Court 1</t>
  </si>
  <si>
    <t>Loser is 11th place</t>
  </si>
  <si>
    <t>4th Place Court 2</t>
  </si>
  <si>
    <t>BRONZE DIVISION PLAYOFFS</t>
  </si>
  <si>
    <t xml:space="preserve"> POOL PLAY FORMAT:  Two games to 25 start at 6.   2 Pt cap   Warmups 3-3-2</t>
  </si>
  <si>
    <t>4th Place Court 3</t>
  </si>
  <si>
    <t xml:space="preserve">                                   13th-15th will be determined by net points from three 5th place teams</t>
  </si>
  <si>
    <t>SC Midlands 12 Black</t>
  </si>
  <si>
    <t>BVA 12</t>
  </si>
  <si>
    <t>Kershaw 12 Black</t>
  </si>
  <si>
    <t>CSRA Heat 12 Gold</t>
  </si>
  <si>
    <t>SC Midlands 13 Black</t>
  </si>
  <si>
    <t>SC Midlands 13 Garnet</t>
  </si>
  <si>
    <t>CSRA Heat 13 Black</t>
  </si>
  <si>
    <t>Lake Murray 13 Black</t>
  </si>
  <si>
    <t>BVA 13 Black</t>
  </si>
  <si>
    <t>Kershaw 13 Black</t>
  </si>
  <si>
    <t>BVA 13 White</t>
  </si>
  <si>
    <t>Soar VBC</t>
  </si>
  <si>
    <t>Chas Jrs 14 Red</t>
  </si>
  <si>
    <t>SC Midlands 14 Black</t>
  </si>
  <si>
    <t>CSRA Heat 14 Black</t>
  </si>
  <si>
    <t>Lake Murray 14 Black</t>
  </si>
  <si>
    <t>BVA 14 Black</t>
  </si>
  <si>
    <t>Kershaw 14 Black</t>
  </si>
  <si>
    <t>C1VB 14 Regional Pickens</t>
  </si>
  <si>
    <t>C1VB 14 State Grvl</t>
  </si>
  <si>
    <t>SC Midlands 15 Black</t>
  </si>
  <si>
    <t>CSRA Heat 15 Red</t>
  </si>
  <si>
    <t>Lake Murray 15 Black</t>
  </si>
  <si>
    <t>C1VB 15 Regional Grvl</t>
  </si>
  <si>
    <t>SC Midlands 16 Black</t>
  </si>
  <si>
    <t>CSRA Heat 16 Red</t>
  </si>
  <si>
    <t>Branchville Juniors 18U</t>
  </si>
  <si>
    <t>Kershaw County Juniors</t>
  </si>
  <si>
    <t>Foothills Volleyball Club</t>
  </si>
  <si>
    <t>fj5scmid3pm</t>
  </si>
  <si>
    <t>SC Midlands Volleyball</t>
  </si>
  <si>
    <t>fj6scmid4pm</t>
  </si>
  <si>
    <t>fj3csrah2pm</t>
  </si>
  <si>
    <t>CSRA Heat</t>
  </si>
  <si>
    <t>Sumter VBC</t>
  </si>
  <si>
    <t>fj4crone3pm</t>
  </si>
  <si>
    <t>Carolina One</t>
  </si>
  <si>
    <t>fj2biltm1cr</t>
  </si>
  <si>
    <t>Biltmore Volleyball Academy</t>
  </si>
  <si>
    <t>fj4biltm2cr</t>
  </si>
  <si>
    <t>Rock Hill Volleyball Club</t>
  </si>
  <si>
    <t>Tri-Cities Extreme Velocity</t>
  </si>
  <si>
    <t>Charleston Juniors</t>
  </si>
  <si>
    <t>fj4charl1pm</t>
  </si>
  <si>
    <t>fj4footh1pm</t>
  </si>
  <si>
    <t>Lake Murray Volleyball Club</t>
  </si>
  <si>
    <t>Branchville Juniors</t>
  </si>
  <si>
    <t>fj3motojapm</t>
  </si>
  <si>
    <t>MOTO</t>
  </si>
  <si>
    <t>fj4lakem1pm</t>
  </si>
  <si>
    <t>fj3biltm2cr</t>
  </si>
  <si>
    <t>NETVC</t>
  </si>
  <si>
    <t>fj8sumtr1pm</t>
  </si>
  <si>
    <t>fj2crone1pm</t>
  </si>
  <si>
    <t>fj7triex1so</t>
  </si>
  <si>
    <t>fj3scmid3pm</t>
  </si>
  <si>
    <t>fj6biltm2cr</t>
  </si>
  <si>
    <t>fj6sumtr1pm</t>
  </si>
  <si>
    <t>Kingsport Volleyball Club</t>
  </si>
  <si>
    <t>Beaufort Volleyball Club</t>
  </si>
  <si>
    <t>fj6csrah3pm</t>
  </si>
  <si>
    <t>fj3crone2pm</t>
  </si>
  <si>
    <t>fj4crone4pm</t>
  </si>
  <si>
    <t>fj4csrah2pm</t>
  </si>
  <si>
    <t>Orangeburg Lady Cubs</t>
  </si>
  <si>
    <t>fj2csrah1pm</t>
  </si>
  <si>
    <t>united vbc</t>
  </si>
  <si>
    <t>fj5lakem1pm</t>
  </si>
  <si>
    <t>fj5biltm2cr</t>
  </si>
  <si>
    <t>Upstate Volleyball Club</t>
  </si>
  <si>
    <t>fj4upsvc2pm</t>
  </si>
  <si>
    <t>fj6scmid3pm</t>
  </si>
  <si>
    <t>fj3kersh1pm</t>
  </si>
  <si>
    <t>fj5csrah3pm</t>
  </si>
  <si>
    <t>fj3crone3pm</t>
  </si>
  <si>
    <t>fj5rockh2pm</t>
  </si>
  <si>
    <t>fj7sumtr1pm</t>
  </si>
  <si>
    <t>fj3rockh1pm</t>
  </si>
  <si>
    <t>fj3lakem2pm</t>
  </si>
  <si>
    <t>fj2kersh1pm</t>
  </si>
  <si>
    <t>fj2scmid2pm</t>
  </si>
  <si>
    <t>fj5crone4pm</t>
  </si>
  <si>
    <t>fj4kersh1pm</t>
  </si>
  <si>
    <t>Mountain Elite Volleyball Club</t>
  </si>
  <si>
    <t>fj3biltm1cr</t>
  </si>
  <si>
    <t>fj7netvc1so</t>
  </si>
  <si>
    <t>fj4scmid4pm</t>
  </si>
  <si>
    <t>fj4crone5pm</t>
  </si>
  <si>
    <t>CSRA Heat 13 Gold</t>
  </si>
  <si>
    <t>fj3csrah1pm</t>
  </si>
  <si>
    <t>fj3scmid2pm</t>
  </si>
  <si>
    <t>D</t>
  </si>
  <si>
    <t>Court 4</t>
  </si>
  <si>
    <t xml:space="preserve">                                                        17th-20th will be determined by Total Pool Net Points from the 5th place teams</t>
  </si>
  <si>
    <t>2nd Place Court 1</t>
  </si>
  <si>
    <t>1st Place Court 4</t>
  </si>
  <si>
    <t>2nd Place Court 4</t>
  </si>
  <si>
    <t>Silver Champ 5th place</t>
  </si>
  <si>
    <t>2nd Place Court 2</t>
  </si>
  <si>
    <t>2nd Place Court 3</t>
  </si>
  <si>
    <t>COPPER DIVISION</t>
  </si>
  <si>
    <t>3rd Place Court 1</t>
  </si>
  <si>
    <t>Loser is 15th place</t>
  </si>
  <si>
    <t>3rd Place Court 4</t>
  </si>
  <si>
    <t>4th Place Court 4</t>
  </si>
  <si>
    <t>Loser is 14th place</t>
  </si>
  <si>
    <t>Copper Champ 13th place</t>
  </si>
  <si>
    <t>3rd Place Court 2</t>
  </si>
  <si>
    <t>3rd Place Court 3</t>
  </si>
  <si>
    <t>COPPER DIVISION PLAYOFFS</t>
  </si>
  <si>
    <t>Intense Volleyball</t>
  </si>
  <si>
    <t>Low Country Volleyball Club</t>
  </si>
  <si>
    <t>High Rock VBC</t>
  </si>
  <si>
    <t>TriCounty Volleyball Club</t>
  </si>
  <si>
    <t>Metro Volleyball Club</t>
  </si>
  <si>
    <t>Crossfire Volleyball</t>
  </si>
  <si>
    <t>Columbia SC Starlings</t>
  </si>
  <si>
    <t>AGEMA</t>
  </si>
  <si>
    <t>fj2rockh1pm</t>
  </si>
  <si>
    <t>fj1crone1pm</t>
  </si>
  <si>
    <t>fj2crosf1pm</t>
  </si>
  <si>
    <t>Kershaw 12 White</t>
  </si>
  <si>
    <t>fj2kersh2pm</t>
  </si>
  <si>
    <t>fj2soarj1pm</t>
  </si>
  <si>
    <t>Extreme Volleyball Club</t>
  </si>
  <si>
    <t>CSRA Heat 13 Red</t>
  </si>
  <si>
    <t>fj3csrah3pm</t>
  </si>
  <si>
    <t>fj3footh1pm</t>
  </si>
  <si>
    <t>fj3crone4pm</t>
  </si>
  <si>
    <t>C1VB 13 State Black Grvl</t>
  </si>
  <si>
    <t>C1VB 13 State Royal Grvl</t>
  </si>
  <si>
    <t>fj3inten2pm</t>
  </si>
  <si>
    <t>Chas Jrs 13 Blue</t>
  </si>
  <si>
    <t>fj3charl2pm</t>
  </si>
  <si>
    <t>Chas Jrs 13 White</t>
  </si>
  <si>
    <t>fj3charl3pm</t>
  </si>
  <si>
    <t>fj3soarj1pm</t>
  </si>
  <si>
    <t>Extreme 13-1</t>
  </si>
  <si>
    <t>fj3kvctn1so</t>
  </si>
  <si>
    <t>BVA 14W</t>
  </si>
  <si>
    <t>fj4biltm3cr</t>
  </si>
  <si>
    <t>fj4scmid3pm</t>
  </si>
  <si>
    <t>SC Midlands 14 Garnet</t>
  </si>
  <si>
    <t>fj4beauf1pm</t>
  </si>
  <si>
    <t>C1VB 14 Reg Black Grvl</t>
  </si>
  <si>
    <t>C1VB 14 Reg Royal Grvl</t>
  </si>
  <si>
    <t>fj4crone6pm</t>
  </si>
  <si>
    <t>fj4inten2pm</t>
  </si>
  <si>
    <t>Chas Jrs 14 Blue</t>
  </si>
  <si>
    <t>fj4charl2pm</t>
  </si>
  <si>
    <t>fj4soarj1pm</t>
  </si>
  <si>
    <t>fj4triex4so</t>
  </si>
  <si>
    <t>fj4triex1so</t>
  </si>
  <si>
    <t>MOTO 15's</t>
  </si>
  <si>
    <t>fj5motoj2pm</t>
  </si>
  <si>
    <t>fj5footh1pm</t>
  </si>
  <si>
    <t>fj6biltm1cr</t>
  </si>
  <si>
    <t>SC Midlands 16 Garnet</t>
  </si>
  <si>
    <t>Columbia SC Starlings 16</t>
  </si>
  <si>
    <t>fj6starl1pm</t>
  </si>
  <si>
    <t>fj6kvctn1so</t>
  </si>
  <si>
    <t>fj6triex2so</t>
  </si>
  <si>
    <t>united vbc 17 u</t>
  </si>
  <si>
    <t>fj7unitd1pm</t>
  </si>
  <si>
    <t>fj7scmid2pm</t>
  </si>
  <si>
    <t>fj7rockh1pm</t>
  </si>
  <si>
    <t>fj7kvctn1so</t>
  </si>
  <si>
    <t>Hurricane VBC 18 Storm</t>
  </si>
  <si>
    <t>fj8hurrc1pm</t>
  </si>
  <si>
    <t>Hurricane Volleyball Club</t>
  </si>
  <si>
    <t>fj8tlife1cr</t>
  </si>
  <si>
    <t>Team Life Volleyball Club</t>
  </si>
  <si>
    <t>NETVC 18D</t>
  </si>
  <si>
    <t>fj8netvc2so</t>
  </si>
  <si>
    <t>fj6kvctn2so</t>
  </si>
  <si>
    <t>McDowell Volleyball</t>
  </si>
  <si>
    <t>Aftershock</t>
  </si>
  <si>
    <t>Greenwood YMCA</t>
  </si>
  <si>
    <t>Version : 6.0</t>
  </si>
  <si>
    <t>Playoff Format : All teams Before 4pm 25-25-15 start at 6.  If after 4pm, semi's 1 game to 25, finals 25-25-15 start at 6- no cap.  
Warmups 3-3-2     All one game playoffs and third sets to 15 start at 0</t>
  </si>
  <si>
    <t>Southern Classic</t>
  </si>
  <si>
    <t>See GS Worksheet</t>
  </si>
  <si>
    <t xml:space="preserve"> POOL PLAY FORMAT:  Two games to 25, start at 6. Warmups 3-3-2  2pt cap.  Start at 0</t>
  </si>
  <si>
    <t>see GS Worksheet</t>
  </si>
  <si>
    <t>13 Div A</t>
  </si>
  <si>
    <t>Lander University</t>
  </si>
  <si>
    <t xml:space="preserve">Pavilion </t>
  </si>
  <si>
    <t>Converse College</t>
  </si>
  <si>
    <t>Ninety Six HS</t>
  </si>
  <si>
    <t>Edgewood MS</t>
  </si>
  <si>
    <t>12 B Division</t>
  </si>
  <si>
    <t>March 5th</t>
  </si>
  <si>
    <t>Branchville U14 Juniors</t>
  </si>
  <si>
    <t>fj4branc3pm</t>
  </si>
  <si>
    <t>Extreme 17 Summer</t>
  </si>
  <si>
    <t>Foothills 13 May</t>
  </si>
  <si>
    <t>Foothills 14 Holland</t>
  </si>
  <si>
    <t>Foothills 15 CJ</t>
  </si>
  <si>
    <t>Foothills 17</t>
  </si>
  <si>
    <t>fj7footh7pm</t>
  </si>
  <si>
    <t>Extreme 15 Meredith</t>
  </si>
  <si>
    <t>fj5triex1so</t>
  </si>
  <si>
    <t>MOTO 12'1</t>
  </si>
  <si>
    <t>fj1motoj1pm</t>
  </si>
  <si>
    <t>MOTO 13-2 IGNITE</t>
  </si>
  <si>
    <t>fj3motoj2pm</t>
  </si>
  <si>
    <t>MOTO 13-1 IGNITE</t>
  </si>
  <si>
    <t>MOTO 14's</t>
  </si>
  <si>
    <t>fj4motoj1pm</t>
  </si>
  <si>
    <t>Sumter VBC 13</t>
  </si>
  <si>
    <t>fj3sumtr1pm</t>
  </si>
  <si>
    <t>Sumter VBC 14</t>
  </si>
  <si>
    <t>fj4sumtr1pm</t>
  </si>
  <si>
    <t>Sumter VBC 16 Heath</t>
  </si>
  <si>
    <t>Sumter VBC 16 Gwin</t>
  </si>
  <si>
    <t>fj6sumtr2pm</t>
  </si>
  <si>
    <t>Sumter VBC 17</t>
  </si>
  <si>
    <t>Sumter VBC 18</t>
  </si>
  <si>
    <t>Chas Jrs 14 White</t>
  </si>
  <si>
    <t>fj4charl3pm</t>
  </si>
  <si>
    <t>Excell U12 Club</t>
  </si>
  <si>
    <t>fj2excel1pm</t>
  </si>
  <si>
    <t>Excell Sports</t>
  </si>
  <si>
    <t>CSRA Heat 17 Gold</t>
  </si>
  <si>
    <t>fj7csrah1pm</t>
  </si>
  <si>
    <t>SOAR RISE 12U</t>
  </si>
  <si>
    <t>Soar Court 12U</t>
  </si>
  <si>
    <t>fj2soarj2pm</t>
  </si>
  <si>
    <t>SOAR WINGS 13U</t>
  </si>
  <si>
    <t>SMVC Royals 14</t>
  </si>
  <si>
    <t>fj4smvbc1cr</t>
  </si>
  <si>
    <t>Smoky Mountain Volleyball Club</t>
  </si>
  <si>
    <t>SMVC Royals 17</t>
  </si>
  <si>
    <t>fj7smvbc1cr</t>
  </si>
  <si>
    <t>Kershaw 15 Black</t>
  </si>
  <si>
    <t>fj5kersh1pm</t>
  </si>
  <si>
    <t>Kershaw 17 White</t>
  </si>
  <si>
    <t>fj7kersh2pm</t>
  </si>
  <si>
    <t>High Velocity 12's</t>
  </si>
  <si>
    <t>fj2hvelo1pm</t>
  </si>
  <si>
    <t>High Velocity VBC</t>
  </si>
  <si>
    <t>High Velocity 13's</t>
  </si>
  <si>
    <t>fj3hvelo1pm</t>
  </si>
  <si>
    <t>RHVC 12 Club Brooke</t>
  </si>
  <si>
    <t>RHVC 13 Club Jade</t>
  </si>
  <si>
    <t>RHVC 14 Club Hunter</t>
  </si>
  <si>
    <t>fj4rockh2pm</t>
  </si>
  <si>
    <t>P31 Volleyball Club 12-1</t>
  </si>
  <si>
    <t>fj2ptvbc1so</t>
  </si>
  <si>
    <t>P31</t>
  </si>
  <si>
    <t>OLC 12s Purple</t>
  </si>
  <si>
    <t>fj2ladyc1pm</t>
  </si>
  <si>
    <t>OLC 15s Purple</t>
  </si>
  <si>
    <t>fj5ladyc1pm</t>
  </si>
  <si>
    <t>C1VB Juniors Black</t>
  </si>
  <si>
    <t>fj2crone6pm</t>
  </si>
  <si>
    <t>fj3extvb1so</t>
  </si>
  <si>
    <t>Extreme 13-2</t>
  </si>
  <si>
    <t>fj3extvb2so</t>
  </si>
  <si>
    <t>Extreme 14-1</t>
  </si>
  <si>
    <t>fj4extvb1so</t>
  </si>
  <si>
    <t>Extreme 14-2</t>
  </si>
  <si>
    <t>fj4extvb2so</t>
  </si>
  <si>
    <t>Upstate 14-2 Club</t>
  </si>
  <si>
    <t>Kershaw 14 White</t>
  </si>
  <si>
    <t>fj4kersh2pm</t>
  </si>
  <si>
    <t>Extreme 14 Amber</t>
  </si>
  <si>
    <t>Extreme 14 Miranda</t>
  </si>
  <si>
    <t>fj4triex2so</t>
  </si>
  <si>
    <t>Extreme 16 Heather</t>
  </si>
  <si>
    <t>fj6triex5so</t>
  </si>
  <si>
    <t>Augusta Elite 15U</t>
  </si>
  <si>
    <t>fj5aelit1pm</t>
  </si>
  <si>
    <t>Augusta Elite</t>
  </si>
  <si>
    <t>Augusta Elite 17U</t>
  </si>
  <si>
    <t>fj7aelit1pm</t>
  </si>
  <si>
    <t>fj8branc3pm</t>
  </si>
  <si>
    <t>KVC 13-1</t>
  </si>
  <si>
    <t>KVC16-1</t>
  </si>
  <si>
    <t>KVC16-2</t>
  </si>
  <si>
    <t>KVC17-1</t>
  </si>
  <si>
    <t>Extreme 14 Marion</t>
  </si>
  <si>
    <t>NETVC 13HS</t>
  </si>
  <si>
    <t>fj3netvc2so</t>
  </si>
  <si>
    <t>NETVC 14AMy</t>
  </si>
  <si>
    <t>fj4netvc3so</t>
  </si>
  <si>
    <t>NETVC 16</t>
  </si>
  <si>
    <t>fj6netvc1so</t>
  </si>
  <si>
    <t>NETVC 17Tori</t>
  </si>
  <si>
    <t>BVA 15 R</t>
  </si>
  <si>
    <t>fj5biltm3cr</t>
  </si>
  <si>
    <t>BVA 17 Regional</t>
  </si>
  <si>
    <t>fj7biltm2cr</t>
  </si>
  <si>
    <t>SOAR EAGLES 14U</t>
  </si>
  <si>
    <t>fj4soarj2pm</t>
  </si>
  <si>
    <t>fj2scmid1pm</t>
  </si>
  <si>
    <t>SC Midlands 17 Black</t>
  </si>
  <si>
    <t>SVBC Blazers 18</t>
  </si>
  <si>
    <t>fj8sandh1pm</t>
  </si>
  <si>
    <t>Sandhills Volleyball Club</t>
  </si>
  <si>
    <t>Fort Mill VBC 12 Purple</t>
  </si>
  <si>
    <t>fj2fortm1pm</t>
  </si>
  <si>
    <t>Fort Mill VBC</t>
  </si>
  <si>
    <t>Foothills 12U King</t>
  </si>
  <si>
    <t>fj2footh1pm</t>
  </si>
  <si>
    <t>C1VB 11 State Greenville</t>
  </si>
  <si>
    <t>C1VB 12 Regional Grvl</t>
  </si>
  <si>
    <t>C1VB 12 Reg Black Pickens</t>
  </si>
  <si>
    <t>fj2crone2pm</t>
  </si>
  <si>
    <t>C1VB 12 Reg Royal Pickens</t>
  </si>
  <si>
    <t>fj2crone3pm</t>
  </si>
  <si>
    <t>C1VB 12 State Greenville</t>
  </si>
  <si>
    <t>fj2crone4pm</t>
  </si>
  <si>
    <t>C1VB 12 State Pickens</t>
  </si>
  <si>
    <t>fj2crone5pm</t>
  </si>
  <si>
    <t>C1VB 13 Regional Grvl</t>
  </si>
  <si>
    <t>fj4crone7pm</t>
  </si>
  <si>
    <t>MEVC13U</t>
  </si>
  <si>
    <t>fj3mtnel1pm</t>
  </si>
  <si>
    <t>MEVC14Power</t>
  </si>
  <si>
    <t>fj4mtnel1pm</t>
  </si>
  <si>
    <t>Vision 13 Regional Ben</t>
  </si>
  <si>
    <t>fj3vison2pm</t>
  </si>
  <si>
    <t>Vision</t>
  </si>
  <si>
    <t>Vision 13 Regional</t>
  </si>
  <si>
    <t>fj3vison3pm</t>
  </si>
  <si>
    <t>Vision 14 Regional</t>
  </si>
  <si>
    <t>fj4vison2pm</t>
  </si>
  <si>
    <t>Vision 16 Regional</t>
  </si>
  <si>
    <t>fj6vison2pm</t>
  </si>
  <si>
    <t>Vision 17 Regional</t>
  </si>
  <si>
    <t>fj7vison1pm</t>
  </si>
  <si>
    <t>Palm Strikers 12 Platinum</t>
  </si>
  <si>
    <t>fj2pstri1pm</t>
  </si>
  <si>
    <t>Palmetto Strikers</t>
  </si>
  <si>
    <t>Palm Strikers 14 Select</t>
  </si>
  <si>
    <t>fj4pstri2pm</t>
  </si>
  <si>
    <t>PRV - 13U Bayley</t>
  </si>
  <si>
    <t>fj3prage1pm</t>
  </si>
  <si>
    <t>Palmetto Rage Volleyball Club</t>
  </si>
  <si>
    <t>PRV - 13U Brittany</t>
  </si>
  <si>
    <t>fj3prage2pm</t>
  </si>
  <si>
    <t>Lake Murray 12 Black</t>
  </si>
  <si>
    <t>fj2lakem1pm</t>
  </si>
  <si>
    <t>fj4lakem2pm</t>
  </si>
  <si>
    <t>fj5lakem2pm</t>
  </si>
  <si>
    <t>Crossfire 12</t>
  </si>
  <si>
    <t>Crossfire 13</t>
  </si>
  <si>
    <t>fj3crosf1pm</t>
  </si>
  <si>
    <t>Blitz14 Black</t>
  </si>
  <si>
    <t>fj4clebl1cr</t>
  </si>
  <si>
    <t>Cleveland County Blitz VBc</t>
  </si>
  <si>
    <t>Erskine College</t>
  </si>
  <si>
    <t>MBVC 13 Red</t>
  </si>
  <si>
    <t>fj3mbeac1pm</t>
  </si>
  <si>
    <t>MBVC</t>
  </si>
  <si>
    <t>MBVC 14 Black</t>
  </si>
  <si>
    <t>fj4mbeac1pm</t>
  </si>
  <si>
    <t>Extreme 15-2</t>
  </si>
  <si>
    <t>fj5extvb2so</t>
  </si>
  <si>
    <t>PRV -15U Lisa</t>
  </si>
  <si>
    <t>fj5prage1pm</t>
  </si>
  <si>
    <t>fj6mbeac1pm</t>
  </si>
  <si>
    <t>CSRA Heat 16 Black</t>
  </si>
  <si>
    <t>fj6csrah2pm</t>
  </si>
  <si>
    <t>Entries</t>
  </si>
  <si>
    <t>R</t>
  </si>
  <si>
    <t>Region</t>
  </si>
  <si>
    <t>Team cod</t>
  </si>
  <si>
    <t>Club name</t>
  </si>
  <si>
    <t>Current Rating</t>
  </si>
  <si>
    <t>1/2/16
Rating</t>
  </si>
  <si>
    <t>1/9/16
Rating</t>
  </si>
  <si>
    <t>1/16/16
Rating</t>
  </si>
  <si>
    <t>1/30/16
Rating</t>
  </si>
  <si>
    <t>2/6/16
Rating</t>
  </si>
  <si>
    <t>2/13/16
Rating</t>
  </si>
  <si>
    <t>2/20/16
Rating</t>
  </si>
  <si>
    <t>2/27/16
 Rating</t>
  </si>
  <si>
    <t>3/5/16
Rating</t>
  </si>
  <si>
    <t>3/12/16
Rating</t>
  </si>
  <si>
    <t>3/16/16
Rating</t>
  </si>
  <si>
    <t>3/26/16
Rating</t>
  </si>
  <si>
    <t>4/3/16
Rating</t>
  </si>
  <si>
    <t>fj1mvpjc1pm</t>
  </si>
  <si>
    <t>MVP</t>
  </si>
  <si>
    <t>MVP 11-Gold</t>
  </si>
  <si>
    <t>fj1magnm1pm</t>
  </si>
  <si>
    <t>Magnum Volleyball Club</t>
  </si>
  <si>
    <t>Magnum 11 Black</t>
  </si>
  <si>
    <t>fj1biltm1cr</t>
  </si>
  <si>
    <t>BVA 11</t>
  </si>
  <si>
    <t>fj1scmid1pm</t>
  </si>
  <si>
    <t>SC Midlands KP Black</t>
  </si>
  <si>
    <t>fj1scmid2pm</t>
  </si>
  <si>
    <t>SC Midlands KP Garnet</t>
  </si>
  <si>
    <t>fj1scmid4pm</t>
  </si>
  <si>
    <t>SC Midlands KP Silver</t>
  </si>
  <si>
    <t>fj2upwrd2pm</t>
  </si>
  <si>
    <t>Upward Stars</t>
  </si>
  <si>
    <t>Upward Stars 12 Candi</t>
  </si>
  <si>
    <t>fj2mvpjc1pm</t>
  </si>
  <si>
    <t>MVP 12-Gold</t>
  </si>
  <si>
    <t>fj2atlbm1so</t>
  </si>
  <si>
    <t>Atlanta Boom Volleyball Institute</t>
  </si>
  <si>
    <t>ATL Boom 12 Orange Rox</t>
  </si>
  <si>
    <t>fj2caris1pm</t>
  </si>
  <si>
    <t>Carolina Islanders</t>
  </si>
  <si>
    <t>Car. Islanders 12 Elite</t>
  </si>
  <si>
    <t>fj2inten1pm</t>
  </si>
  <si>
    <t>Intense 12 National Elite</t>
  </si>
  <si>
    <t>fj2mvpjc2pm</t>
  </si>
  <si>
    <t>MVP 12-Black</t>
  </si>
  <si>
    <t>fj2magnm1pm</t>
  </si>
  <si>
    <t>Magnum 12 Black</t>
  </si>
  <si>
    <t>fj2caris2pm</t>
  </si>
  <si>
    <t>Car. Islanders 12 Power</t>
  </si>
  <si>
    <t>fj2caris3pm</t>
  </si>
  <si>
    <t>Car.Islanders Itsy Bitsy</t>
  </si>
  <si>
    <t>fj2charl1pm</t>
  </si>
  <si>
    <t>Chas Jrs 12 Red</t>
  </si>
  <si>
    <t>fj2lavaf1cr</t>
  </si>
  <si>
    <t>LAVA</t>
  </si>
  <si>
    <t>LAVA Flames 12</t>
  </si>
  <si>
    <t>fj2magnm2pm</t>
  </si>
  <si>
    <t>Magnum Aiken 12 Green</t>
  </si>
  <si>
    <t>fj2magnm3pm</t>
  </si>
  <si>
    <t>Magnum 12 Red</t>
  </si>
  <si>
    <t>fj2magnm4pm</t>
  </si>
  <si>
    <t>Magnum 12 Blue</t>
  </si>
  <si>
    <t>fj2magnm5pm</t>
  </si>
  <si>
    <t>Magnum Aiken 12 Yellow</t>
  </si>
  <si>
    <t>fj2unsel1cr</t>
  </si>
  <si>
    <t>Union Select Academy</t>
  </si>
  <si>
    <t>USA 12 Blue</t>
  </si>
  <si>
    <t>fj2unsel2cr</t>
  </si>
  <si>
    <t>USA 12 Purple</t>
  </si>
  <si>
    <t>fj2excel2pm</t>
  </si>
  <si>
    <t>Excell U12 Devel</t>
  </si>
  <si>
    <t>fj2crone7pm</t>
  </si>
  <si>
    <t>C1VB Juniors Royal</t>
  </si>
  <si>
    <t>fj2crone8pm</t>
  </si>
  <si>
    <t>C1VB Juniors White</t>
  </si>
  <si>
    <t>fj2footh2pm</t>
  </si>
  <si>
    <t>Foothills Vanessa</t>
  </si>
  <si>
    <t>fj2footh3pm</t>
  </si>
  <si>
    <t>Foothills Skylar</t>
  </si>
  <si>
    <t>fj2inten2pm</t>
  </si>
  <si>
    <t>Intense Kids power Gvl</t>
  </si>
  <si>
    <t>fj2inten3pm</t>
  </si>
  <si>
    <t>Intense kids power col</t>
  </si>
  <si>
    <t>fj2kersh4pm</t>
  </si>
  <si>
    <t>Kershaw Dev 12 Black</t>
  </si>
  <si>
    <t>fj2netvc2so</t>
  </si>
  <si>
    <t>NETVC 12MA</t>
  </si>
  <si>
    <t>SC Midlands KP White</t>
  </si>
  <si>
    <t>fj2scmid3pm</t>
  </si>
  <si>
    <t>SC Midlands KP Boys</t>
  </si>
  <si>
    <t>fj2scmid4pm</t>
  </si>
  <si>
    <t>SC Midlands KP Gray</t>
  </si>
  <si>
    <t>fj2starl1pm</t>
  </si>
  <si>
    <t>Columbia SC Starlings 12</t>
  </si>
  <si>
    <t>mj2caris1pm</t>
  </si>
  <si>
    <t>Car. Islanders Boys 12</t>
  </si>
  <si>
    <t>fj3alexa1cr</t>
  </si>
  <si>
    <t>Alexander Aces</t>
  </si>
  <si>
    <t>Alexander Aces 13's</t>
  </si>
  <si>
    <t>fj3atlbm1so</t>
  </si>
  <si>
    <t>ATL Boom 13 DiamondRox</t>
  </si>
  <si>
    <t>fj3charl1pm</t>
  </si>
  <si>
    <t>Chas Jrs 13 Red</t>
  </si>
  <si>
    <t>fj3cjvvb1cr</t>
  </si>
  <si>
    <t>Carolina Juniors Volleyball</t>
  </si>
  <si>
    <t>CJV 13 - 1</t>
  </si>
  <si>
    <t>fj3crone1pm</t>
  </si>
  <si>
    <t>C1VB 13 Power Grvl</t>
  </si>
  <si>
    <t>fj3fortm1pm</t>
  </si>
  <si>
    <t>Fort Mill VBC 13 Purple</t>
  </si>
  <si>
    <t>fj3grand1pm</t>
  </si>
  <si>
    <t>GRAND STRAND JUNIORS VOLLEYBALL</t>
  </si>
  <si>
    <t>GSJ 13 Randy</t>
  </si>
  <si>
    <t>fj3lowco1pm</t>
  </si>
  <si>
    <t>Low Country 13 Open</t>
  </si>
  <si>
    <t>fj3magnm1pm</t>
  </si>
  <si>
    <t>Magnum 13 Mizuno</t>
  </si>
  <si>
    <t>fj3magnm2pm</t>
  </si>
  <si>
    <t>Magnum 13 Black</t>
  </si>
  <si>
    <t>fj3magnm3pm</t>
  </si>
  <si>
    <t>Magnum Aiken 13 Green</t>
  </si>
  <si>
    <t>fj3pstri1pm</t>
  </si>
  <si>
    <t>Palm Strikers 13 Platinum</t>
  </si>
  <si>
    <t>fj3pstri2pm</t>
  </si>
  <si>
    <t>Palm Strikers 13 Premier</t>
  </si>
  <si>
    <t>fj3ruvjr1od</t>
  </si>
  <si>
    <t>Roanoke United</t>
  </si>
  <si>
    <t>Roanoke 13 Red</t>
  </si>
  <si>
    <t>fj3scmid1pm</t>
  </si>
  <si>
    <t>SC Midlands 13 Nat Elite</t>
  </si>
  <si>
    <t>fj3setpt1cr</t>
  </si>
  <si>
    <t>Set Point Volleyball Club</t>
  </si>
  <si>
    <t>Set Point 13 Black</t>
  </si>
  <si>
    <t>fj3unsel1cr</t>
  </si>
  <si>
    <t>USA 13 Blue</t>
  </si>
  <si>
    <t>fj3upwrd2pm</t>
  </si>
  <si>
    <t>Upward Stars 13 Becky</t>
  </si>
  <si>
    <t>fj3upwrd3pm</t>
  </si>
  <si>
    <t>Upward Stars 13 BrittanyL</t>
  </si>
  <si>
    <t>fj3upwrd4pm</t>
  </si>
  <si>
    <t>Upward Stars 13 Emily</t>
  </si>
  <si>
    <t>fj3upwrd5pm</t>
  </si>
  <si>
    <t>Upward Stars 13 Abbey</t>
  </si>
  <si>
    <t>fj3vison1pm</t>
  </si>
  <si>
    <t>Vision 13 National</t>
  </si>
  <si>
    <t>fj3inten1pm</t>
  </si>
  <si>
    <t>Intense13 national Elite</t>
  </si>
  <si>
    <t>Intense 13 Pro Elite</t>
  </si>
  <si>
    <t>fj3196891pm</t>
  </si>
  <si>
    <t>Carolina Express</t>
  </si>
  <si>
    <t>fj3sptac1cr</t>
  </si>
  <si>
    <t>SPORTS ACADEMY</t>
  </si>
  <si>
    <t>Sports Academy 13 Fire</t>
  </si>
  <si>
    <t>fj3magnm4pm</t>
  </si>
  <si>
    <t>Magnum 13 Blue</t>
  </si>
  <si>
    <t>fj3biltm3cr</t>
  </si>
  <si>
    <t>BVA 13 Purple</t>
  </si>
  <si>
    <t>fj3ccoas1pm</t>
  </si>
  <si>
    <t>club coastal volleyball</t>
  </si>
  <si>
    <t>Coastal 13 Wave</t>
  </si>
  <si>
    <t>fj3kvcjr1pm</t>
  </si>
  <si>
    <t>KVC Jrs</t>
  </si>
  <si>
    <t>KVC 13</t>
  </si>
  <si>
    <t>fj3ladyc1pm</t>
  </si>
  <si>
    <t>OLC 13s Purple</t>
  </si>
  <si>
    <t>fj3lavaf1cr</t>
  </si>
  <si>
    <t>LAVA 13U Purple</t>
  </si>
  <si>
    <t>fj3lavaf2cr</t>
  </si>
  <si>
    <t>LAVA 13U White</t>
  </si>
  <si>
    <t>fj3magnm5pm</t>
  </si>
  <si>
    <t>Magnum 13 Red</t>
  </si>
  <si>
    <t>fj3magnm6pm</t>
  </si>
  <si>
    <t>Magnum Aiken 13 Yellow</t>
  </si>
  <si>
    <t>fj3magnm7pm</t>
  </si>
  <si>
    <t>Magnum 13 Grey</t>
  </si>
  <si>
    <t>fj3magnm8pm</t>
  </si>
  <si>
    <t>Magnum 13 Orange</t>
  </si>
  <si>
    <t>fj3netvc1so</t>
  </si>
  <si>
    <t>NETVC 13Van</t>
  </si>
  <si>
    <t>fj4afive4so</t>
  </si>
  <si>
    <t>A5 Volleyball Club</t>
  </si>
  <si>
    <t>A5 Mizuno 14-4 Michelle</t>
  </si>
  <si>
    <t>fj4atlbm1so</t>
  </si>
  <si>
    <t>ATL Boom 14 Orange Rox</t>
  </si>
  <si>
    <t>fj4biltm1cr</t>
  </si>
  <si>
    <t>BVA 14N</t>
  </si>
  <si>
    <t>fj4crone1pm</t>
  </si>
  <si>
    <t>C1VB 14 Elite Greenville</t>
  </si>
  <si>
    <t>fj4crone2pm</t>
  </si>
  <si>
    <t>C1VB 14 Power Grvl</t>
  </si>
  <si>
    <t>C1VB 14 Power Pickens</t>
  </si>
  <si>
    <t>fj4csrah1pm</t>
  </si>
  <si>
    <t>CSRA Heat 14 Gold</t>
  </si>
  <si>
    <t>fj4excel1pm</t>
  </si>
  <si>
    <t>Excell U14 Elite</t>
  </si>
  <si>
    <t>fj4grand1pm</t>
  </si>
  <si>
    <t>GSJ 14 Aly</t>
  </si>
  <si>
    <t>fj4grand2pm</t>
  </si>
  <si>
    <t>GSJ 14 Kristin</t>
  </si>
  <si>
    <t>fj4hrock1cr</t>
  </si>
  <si>
    <t>HRVC TEAM RICOCHET</t>
  </si>
  <si>
    <t>fj4hrock2cr</t>
  </si>
  <si>
    <t>HRVC SIDE OUT</t>
  </si>
  <si>
    <t>Lake Murray 14 Red</t>
  </si>
  <si>
    <t>fj4lowco1pm</t>
  </si>
  <si>
    <t>Low Country 14 Power</t>
  </si>
  <si>
    <t>fj4magnm1pm</t>
  </si>
  <si>
    <t>Magnum 14 Mizuno</t>
  </si>
  <si>
    <t>fj4magnm2pm</t>
  </si>
  <si>
    <t>Magnum 14 Elite</t>
  </si>
  <si>
    <t>fj4magnm3pm</t>
  </si>
  <si>
    <t>Magnum Aiken 14 Green</t>
  </si>
  <si>
    <t>fj4metro1so</t>
  </si>
  <si>
    <t>METRO-ATL 14 ELITE</t>
  </si>
  <si>
    <t>fj4netvc2so</t>
  </si>
  <si>
    <t>NETVC 14SK</t>
  </si>
  <si>
    <t>fj4pjvbc1od</t>
  </si>
  <si>
    <t>Peninsula Juniors Volleyball Club (ODR)</t>
  </si>
  <si>
    <t>PJVBC 14 Mizuno</t>
  </si>
  <si>
    <t>fj4prage1pm</t>
  </si>
  <si>
    <t>PRV -14U Janice</t>
  </si>
  <si>
    <t>fj4pstri1pm</t>
  </si>
  <si>
    <t>Palm Strikers 14 Platinum</t>
  </si>
  <si>
    <t>fj4rockh1pm</t>
  </si>
  <si>
    <t>RHVC 14 Power</t>
  </si>
  <si>
    <t>fj4scmid1pm</t>
  </si>
  <si>
    <t>SC Midlands 14 Nat Elite</t>
  </si>
  <si>
    <t>fj4scmid2pm</t>
  </si>
  <si>
    <t>SC Midlands 14 Pro Elite</t>
  </si>
  <si>
    <t>fj4setpt1cr</t>
  </si>
  <si>
    <t>Set Point 14 Black</t>
  </si>
  <si>
    <t>fj4setpt2cr</t>
  </si>
  <si>
    <t>Set Point 14 Gold</t>
  </si>
  <si>
    <t>SOAR BLUE 14UP</t>
  </si>
  <si>
    <t>fj4unsel1cr</t>
  </si>
  <si>
    <t>USA 14 Purple</t>
  </si>
  <si>
    <t>fj4upsvc1pm</t>
  </si>
  <si>
    <t>Upstate 14-1 Power</t>
  </si>
  <si>
    <t>fj4upwrd2pm</t>
  </si>
  <si>
    <t>Upward Stars 14 Bridgette</t>
  </si>
  <si>
    <t>fj4vison1pm</t>
  </si>
  <si>
    <t>Vision 14 National</t>
  </si>
  <si>
    <t>fj4inten1pm</t>
  </si>
  <si>
    <t>Intense 14 National Elite</t>
  </si>
  <si>
    <t>fj4ccoas1pm</t>
  </si>
  <si>
    <t>Coastal 14 Storm</t>
  </si>
  <si>
    <t>Intense 14 Pro Elite</t>
  </si>
  <si>
    <t>fj4kvcjr1pm</t>
  </si>
  <si>
    <t>KVC 14</t>
  </si>
  <si>
    <t>Beaufort 14 National</t>
  </si>
  <si>
    <t>fj4mbeac2pm</t>
  </si>
  <si>
    <t>MBVC 14 Red</t>
  </si>
  <si>
    <t>fj4beauf2pm</t>
  </si>
  <si>
    <t>Beaufort 14 Club</t>
  </si>
  <si>
    <t>fj4caris3pm</t>
  </si>
  <si>
    <t>Car. Islanders 14 Perform</t>
  </si>
  <si>
    <t>fj4inten3pm</t>
  </si>
  <si>
    <t>Intense 14 Region Elite</t>
  </si>
  <si>
    <t>fj4lavaf1cr</t>
  </si>
  <si>
    <t>LAVA 14U Purple</t>
  </si>
  <si>
    <t>fj4magnm4pm</t>
  </si>
  <si>
    <t>Magnum Greenwood 14 Gold</t>
  </si>
  <si>
    <t>fj4magnm5pm</t>
  </si>
  <si>
    <t>Magnum 14 Black</t>
  </si>
  <si>
    <t>fj4magnm6pm</t>
  </si>
  <si>
    <t>Magnum Aiken 14 Yellow</t>
  </si>
  <si>
    <t>fj4magnm7pm</t>
  </si>
  <si>
    <t>Magnum Greenwood 14 White</t>
  </si>
  <si>
    <t>fj4magnm8pm</t>
  </si>
  <si>
    <t>Magnum Gilbert 14 Gray</t>
  </si>
  <si>
    <t>fj4magnm9pm</t>
  </si>
  <si>
    <t>Magnum Greenwood 14 Purpl</t>
  </si>
  <si>
    <t>fj4shlby1cr</t>
  </si>
  <si>
    <t>Shelby Strikers</t>
  </si>
  <si>
    <t>fj5scmid1pm</t>
  </si>
  <si>
    <t>SC Midlands 15 Nat Elite</t>
  </si>
  <si>
    <t>fj5ccoas2pm</t>
  </si>
  <si>
    <t>Coastal 16 Hurricanes</t>
  </si>
  <si>
    <t>fj5atlbm1so</t>
  </si>
  <si>
    <t>ATL Boom 15DiamondRox</t>
  </si>
  <si>
    <t>fj5biltm1cr</t>
  </si>
  <si>
    <t>Biltmore 15 Elite</t>
  </si>
  <si>
    <t>BVA 15 National</t>
  </si>
  <si>
    <t>fj5bvcal1so</t>
  </si>
  <si>
    <t>Birmingham Volleyball Club</t>
  </si>
  <si>
    <t>BVC 15 Black</t>
  </si>
  <si>
    <t>fj5charl1pm</t>
  </si>
  <si>
    <t>Chas Jrs 15 Red</t>
  </si>
  <si>
    <t>fj5chavb1cr</t>
  </si>
  <si>
    <t>Chapel Hill Area Volleyball Club</t>
  </si>
  <si>
    <t>CHAVC 15 National</t>
  </si>
  <si>
    <t>fj5crone1pm</t>
  </si>
  <si>
    <t>C1VB 15 Elite Pickens</t>
  </si>
  <si>
    <t>fj5crone2pm</t>
  </si>
  <si>
    <t>C1VB 15 Elite Greenville</t>
  </si>
  <si>
    <t>fj5crone3pm</t>
  </si>
  <si>
    <t>C1VB 15 Power Grvl</t>
  </si>
  <si>
    <t>fj5crosf1pm</t>
  </si>
  <si>
    <t>Crossfire 15 Power</t>
  </si>
  <si>
    <t>fj5csrah1pm</t>
  </si>
  <si>
    <t>CSRA Heat 15 Gold</t>
  </si>
  <si>
    <t>fj5fortm1pm</t>
  </si>
  <si>
    <t>Fort Mill VBC 15 Purple</t>
  </si>
  <si>
    <t>fj5grand1pm</t>
  </si>
  <si>
    <t>GSJ 15 Alex</t>
  </si>
  <si>
    <t>fj5grand2pm</t>
  </si>
  <si>
    <t>GSJ 15 Jason</t>
  </si>
  <si>
    <t>fj5hrock2cr</t>
  </si>
  <si>
    <t>HRVC LEGACY</t>
  </si>
  <si>
    <t>fj5hurrc1pm</t>
  </si>
  <si>
    <t>Hurricane VBC 15 Riptide</t>
  </si>
  <si>
    <t>fj5hvelo1pm</t>
  </si>
  <si>
    <t>High Velocity 15's</t>
  </si>
  <si>
    <t>Lake Murray 15 Red</t>
  </si>
  <si>
    <t>fj5lburg1cr</t>
  </si>
  <si>
    <t>Louisburg Volleyball Club</t>
  </si>
  <si>
    <t>Louisburg Bombers15 Black</t>
  </si>
  <si>
    <t>fj5lowco1pm</t>
  </si>
  <si>
    <t>Low Country 15 Open</t>
  </si>
  <si>
    <t>fj5lynch1od</t>
  </si>
  <si>
    <t>Lynchburg volleyball academy</t>
  </si>
  <si>
    <t>Lynchburg Volleyball</t>
  </si>
  <si>
    <t>fj5magnm1pm</t>
  </si>
  <si>
    <t>Magnum 15 Mizuno</t>
  </si>
  <si>
    <t>fj5magnm2pm</t>
  </si>
  <si>
    <t>Magnum 15 Elite</t>
  </si>
  <si>
    <t>fj5magnm3pm</t>
  </si>
  <si>
    <t>Magnum Aiken 15 Green</t>
  </si>
  <si>
    <t>fj5magnm5pm</t>
  </si>
  <si>
    <t>Magnum 15 Black</t>
  </si>
  <si>
    <t>fj5metro1so</t>
  </si>
  <si>
    <t>METRO-ATL 15 ELITE</t>
  </si>
  <si>
    <t>fj5prage2pm</t>
  </si>
  <si>
    <t>PRV - 15U Emily</t>
  </si>
  <si>
    <t>fj5pstri1pm</t>
  </si>
  <si>
    <t>Palm Strikers 15 National</t>
  </si>
  <si>
    <t>fj5rockh1pm</t>
  </si>
  <si>
    <t>RHVC 15 Power Black</t>
  </si>
  <si>
    <t>RHVC 15 Power Red</t>
  </si>
  <si>
    <t>fj5scmid2pm</t>
  </si>
  <si>
    <t>SC Midlands 15 Pro Elite</t>
  </si>
  <si>
    <t>fj5sctwo1cr</t>
  </si>
  <si>
    <t>(SC)2</t>
  </si>
  <si>
    <t>(SC)2 15u White</t>
  </si>
  <si>
    <t>fj5sctwo2cr</t>
  </si>
  <si>
    <t>(SC)2 15u Grey</t>
  </si>
  <si>
    <t>fj5setpt2cr</t>
  </si>
  <si>
    <t>Set Point 15 Gold</t>
  </si>
  <si>
    <t>fj5tlife1cr</t>
  </si>
  <si>
    <t>TLVC 15</t>
  </si>
  <si>
    <t>fj5trcvb2cr</t>
  </si>
  <si>
    <t>TCV 15 Kaos</t>
  </si>
  <si>
    <t>fj5upsvc1pm</t>
  </si>
  <si>
    <t>Upstate 15-1 National</t>
  </si>
  <si>
    <t>fj5upsvc2pm</t>
  </si>
  <si>
    <t>Upstate 15-2 Power</t>
  </si>
  <si>
    <t>fj5upwrd2pm</t>
  </si>
  <si>
    <t>Upward Stars 15 Taylor</t>
  </si>
  <si>
    <t>fj5upwrd3pm</t>
  </si>
  <si>
    <t>Upward Stars 15 Mark</t>
  </si>
  <si>
    <t>fj5vison1pm</t>
  </si>
  <si>
    <t>Vision 15 National</t>
  </si>
  <si>
    <t>fj5csrah2pm</t>
  </si>
  <si>
    <t>CSRA Heat 15 Black</t>
  </si>
  <si>
    <t>fj5inten1pm</t>
  </si>
  <si>
    <t>Intense 15 National Elite</t>
  </si>
  <si>
    <t>fj5pstri2pm</t>
  </si>
  <si>
    <t>Palm Strikers 15 Plat LH</t>
  </si>
  <si>
    <t>fj5beauf1pm</t>
  </si>
  <si>
    <t>Beaufort 15 U</t>
  </si>
  <si>
    <t>fj5vosav1so</t>
  </si>
  <si>
    <t>V-1 Academy</t>
  </si>
  <si>
    <t>V-1 Academy SAV 15 Lucas</t>
  </si>
  <si>
    <t>fj5aevbc1cr</t>
  </si>
  <si>
    <t>Alamance Eagles Volleyball Club</t>
  </si>
  <si>
    <t>ALAMANCE EAGLES</t>
  </si>
  <si>
    <t>fj5atown1pm</t>
  </si>
  <si>
    <t>ATown Volleyball Academy</t>
  </si>
  <si>
    <t>ATown 15 Black</t>
  </si>
  <si>
    <t>fj5caris2pm</t>
  </si>
  <si>
    <t>Car. Islanders 15 Power</t>
  </si>
  <si>
    <t>fj5charl2pm</t>
  </si>
  <si>
    <t>Chas Jrs 15 Blue</t>
  </si>
  <si>
    <t>fj5cjvvb3cr</t>
  </si>
  <si>
    <t>CJV 15 R South</t>
  </si>
  <si>
    <t>fj5inten2pm</t>
  </si>
  <si>
    <t>Intense 15 Regional Elite</t>
  </si>
  <si>
    <t>fj5ladyc2pm</t>
  </si>
  <si>
    <t>OLC 15s White</t>
  </si>
  <si>
    <t>fj5lavaf1cr</t>
  </si>
  <si>
    <t>LAVA 15U Purple</t>
  </si>
  <si>
    <t>fj5magnm4pm</t>
  </si>
  <si>
    <t>Magnum Aiken 15 Yellow</t>
  </si>
  <si>
    <t>fj5magnm6pm</t>
  </si>
  <si>
    <t>Magnum Greenwood 15 Gold</t>
  </si>
  <si>
    <t>fj6atlbm1so</t>
  </si>
  <si>
    <t>ATL Boom 16DiamondRox</t>
  </si>
  <si>
    <t>BVA 16 Elite</t>
  </si>
  <si>
    <t>BVA 16 National</t>
  </si>
  <si>
    <t>fj6charl1pm</t>
  </si>
  <si>
    <t>Chas Jrs 16 Red</t>
  </si>
  <si>
    <t>fj6chavb1cr</t>
  </si>
  <si>
    <t>CHAVC 16 National</t>
  </si>
  <si>
    <t>fj6crone1pm</t>
  </si>
  <si>
    <t>C1VB 16 Power Grvl</t>
  </si>
  <si>
    <t>fj6crosf1pm</t>
  </si>
  <si>
    <t>Crossfire 16 Power</t>
  </si>
  <si>
    <t>fj6csrah1pm</t>
  </si>
  <si>
    <t>CSRA Heat 16 Gold</t>
  </si>
  <si>
    <t>fj6excel1pm</t>
  </si>
  <si>
    <t>Excell U16 Power</t>
  </si>
  <si>
    <t>fj6fortm1pm</t>
  </si>
  <si>
    <t>Fort Mill VBC 16 Purple</t>
  </si>
  <si>
    <t>fj6grand1pm</t>
  </si>
  <si>
    <t>GSJ 16 Chris</t>
  </si>
  <si>
    <t>fj6grand2pm</t>
  </si>
  <si>
    <t>GSJ 16 Lee</t>
  </si>
  <si>
    <t>fj6hurrc1pm</t>
  </si>
  <si>
    <t>Hurricane VBC 16 Tsunami</t>
  </si>
  <si>
    <t>fj6hvelo1pm</t>
  </si>
  <si>
    <t>High Velocity 16's</t>
  </si>
  <si>
    <t>fj6lakem1pm</t>
  </si>
  <si>
    <t>Lake Murray 16 Red</t>
  </si>
  <si>
    <t>fj6magnm1pm</t>
  </si>
  <si>
    <t>Magnum 16 Mizuno</t>
  </si>
  <si>
    <t>fj6magnm2pm</t>
  </si>
  <si>
    <t>Magnum 16 Elite</t>
  </si>
  <si>
    <t>fj6magnm3pm</t>
  </si>
  <si>
    <t>Magnum Aiken 16 Green</t>
  </si>
  <si>
    <t>fj6metro1so</t>
  </si>
  <si>
    <t>METRO-ATL 16 ELITE</t>
  </si>
  <si>
    <t>fj6prage1pm</t>
  </si>
  <si>
    <t>PRV -16U Alicia</t>
  </si>
  <si>
    <t>fj6scmid1pm</t>
  </si>
  <si>
    <t>SC Midlands 16 Nat Elite</t>
  </si>
  <si>
    <t>fj6scmid2pm</t>
  </si>
  <si>
    <t>SC Midlands 16 Pro Elite</t>
  </si>
  <si>
    <t>fj6setpt2cr</t>
  </si>
  <si>
    <t>Set Point 16 Gold</t>
  </si>
  <si>
    <t>fj6soarj1pm</t>
  </si>
  <si>
    <t>Soar Rockets 16U</t>
  </si>
  <si>
    <t>fj6syngy1cr</t>
  </si>
  <si>
    <t>Synergy</t>
  </si>
  <si>
    <t>Club Synergy16U</t>
  </si>
  <si>
    <t>fj6tlife1cr</t>
  </si>
  <si>
    <t>TLVC 16</t>
  </si>
  <si>
    <t>Extreme 16 Taylor</t>
  </si>
  <si>
    <t>fj6upsvc1pm</t>
  </si>
  <si>
    <t>Upstate 16-1 National</t>
  </si>
  <si>
    <t>fj6upsvc2pm</t>
  </si>
  <si>
    <t>Upstate 16-2 Power</t>
  </si>
  <si>
    <t>fj6upwrd2pm</t>
  </si>
  <si>
    <t>Upward Stars 16 Andrew</t>
  </si>
  <si>
    <t>fj6upwrd3pm</t>
  </si>
  <si>
    <t>Upward Stars 16 Leslie</t>
  </si>
  <si>
    <t>fj6upwrd4pm</t>
  </si>
  <si>
    <t>Upward Stars 16 Brandon</t>
  </si>
  <si>
    <t>fj6vison1pm</t>
  </si>
  <si>
    <t>Vision 16 National</t>
  </si>
  <si>
    <t>fj6ccoas1pm</t>
  </si>
  <si>
    <t>Coastal 16 Elite</t>
  </si>
  <si>
    <t>fj6ladyc1pm</t>
  </si>
  <si>
    <t>OLC 17s Purple</t>
  </si>
  <si>
    <t>fj6pstri1pm</t>
  </si>
  <si>
    <t>Palm Strikers 16 National</t>
  </si>
  <si>
    <t>fj6motoj1pm</t>
  </si>
  <si>
    <t>MOTO 16</t>
  </si>
  <si>
    <t>fj6agema1pm</t>
  </si>
  <si>
    <t>Agema16U</t>
  </si>
  <si>
    <t>fj6beauf1pm</t>
  </si>
  <si>
    <t>Beaufort16 Club</t>
  </si>
  <si>
    <t>fj6caris2pm</t>
  </si>
  <si>
    <t>Car.Islanders 16 Power</t>
  </si>
  <si>
    <t>fj6lavaf1cr</t>
  </si>
  <si>
    <t>LAVA 16U Purple</t>
  </si>
  <si>
    <t>fj6lavaf2cr</t>
  </si>
  <si>
    <t>LAVA 16 White</t>
  </si>
  <si>
    <t>fj6mcdow1cr</t>
  </si>
  <si>
    <t>fj6sandh1cr</t>
  </si>
  <si>
    <t>Lightning 16 Black</t>
  </si>
  <si>
    <t>fj6storm2cr</t>
  </si>
  <si>
    <t>Carolina Storm Volleyball</t>
  </si>
  <si>
    <t>Carolina Storm 16 Blue</t>
  </si>
  <si>
    <t>fj6triex3so</t>
  </si>
  <si>
    <t>Extreme 16 Devyn</t>
  </si>
  <si>
    <t>fj6triex4so</t>
  </si>
  <si>
    <t>Extreme 16 Emily</t>
  </si>
  <si>
    <t>fj7apexp1cr</t>
  </si>
  <si>
    <t>Apex Performance Volleyball Club</t>
  </si>
  <si>
    <t>Apex Stars 17</t>
  </si>
  <si>
    <t>fj7biltm1cr</t>
  </si>
  <si>
    <t>BVA 17 National</t>
  </si>
  <si>
    <t>fj7carcr1cr</t>
  </si>
  <si>
    <t>Carolina Crush Volleyball Club</t>
  </si>
  <si>
    <t>Crush 17</t>
  </si>
  <si>
    <t>fj7chavb1cr</t>
  </si>
  <si>
    <t>CHAVC 17 National</t>
  </si>
  <si>
    <t>fj7cltpw1cr</t>
  </si>
  <si>
    <t>Charlotte Powerhouse Volleyball Club</t>
  </si>
  <si>
    <t>Charottle Powerhouse 17</t>
  </si>
  <si>
    <t>fj7crone1pm</t>
  </si>
  <si>
    <t>C1VB 17 Elite Greenville</t>
  </si>
  <si>
    <t>fj7crone2pm</t>
  </si>
  <si>
    <t>C1VB 17 Power Pickens</t>
  </si>
  <si>
    <t>fj7dupln1cr</t>
  </si>
  <si>
    <t>Duplin Volleyball Club</t>
  </si>
  <si>
    <t>Impact</t>
  </si>
  <si>
    <t>fj7grand1pm</t>
  </si>
  <si>
    <t>GSJ 17 National Steve</t>
  </si>
  <si>
    <t>fj7hurrc1pm</t>
  </si>
  <si>
    <t>Hurricane VBC 17 Cyclones</t>
  </si>
  <si>
    <t>fj7kc11j1pm</t>
  </si>
  <si>
    <t>KC11 Volleyball Club</t>
  </si>
  <si>
    <t>KC11 17's</t>
  </si>
  <si>
    <t>fj7kersh1pm</t>
  </si>
  <si>
    <t>Kershaw 17 Black</t>
  </si>
  <si>
    <t>fj7lakem1pm</t>
  </si>
  <si>
    <t>Lake Murray 17 Red</t>
  </si>
  <si>
    <t>fj7lburg1cr</t>
  </si>
  <si>
    <t>Louisburg Bombers17 Black</t>
  </si>
  <si>
    <t>fj7lowco1pm</t>
  </si>
  <si>
    <t>Low Country 17 Open</t>
  </si>
  <si>
    <t>fj7magnm1pm</t>
  </si>
  <si>
    <t>Magnum 17 Mizuno</t>
  </si>
  <si>
    <t>fj7magnm2pm</t>
  </si>
  <si>
    <t>Magnum 17 Black</t>
  </si>
  <si>
    <t>fj7metro1so</t>
  </si>
  <si>
    <t>METRO-ATL 17 ELITE</t>
  </si>
  <si>
    <t>fj7mtnel1pm</t>
  </si>
  <si>
    <t>MEVC17Power</t>
  </si>
  <si>
    <t>fj7pjvbc1od</t>
  </si>
  <si>
    <t>PJVBC 17 Mizuno</t>
  </si>
  <si>
    <t>fj7prage1pm</t>
  </si>
  <si>
    <t>PRV -17U Tony</t>
  </si>
  <si>
    <t>RHVC 17 Power Black</t>
  </si>
  <si>
    <t>fj7rockh2pm</t>
  </si>
  <si>
    <t>RHVC 17 Power Red</t>
  </si>
  <si>
    <t>fj7upsvc1pm</t>
  </si>
  <si>
    <t>Upstate 17-1 National</t>
  </si>
  <si>
    <t>fj7upwrd2pm</t>
  </si>
  <si>
    <t>Upward Stars 17 Melissa</t>
  </si>
  <si>
    <t>fj7inten1pm</t>
  </si>
  <si>
    <t>Intense 17 National Elite</t>
  </si>
  <si>
    <t>fj7scmid1pm</t>
  </si>
  <si>
    <t>SC Midlands 17 Nat Elite</t>
  </si>
  <si>
    <t>fj7ccoas1pm</t>
  </si>
  <si>
    <t>Coastal 17 Cyclones</t>
  </si>
  <si>
    <t>fj7hhbtc1pm</t>
  </si>
  <si>
    <t>HHI SHARKS</t>
  </si>
  <si>
    <t>HHI SHARKS 17</t>
  </si>
  <si>
    <t>fj7inten2pm</t>
  </si>
  <si>
    <t>Intense 17 Pro Elite</t>
  </si>
  <si>
    <t>fj7kvcjr1pm</t>
  </si>
  <si>
    <t>KVC 17</t>
  </si>
  <si>
    <t>fj7starl1pm</t>
  </si>
  <si>
    <t>Columbia SC Starlings 17</t>
  </si>
  <si>
    <t>fj7mbeac1pm</t>
  </si>
  <si>
    <t>MBVC 17 Red</t>
  </si>
  <si>
    <t>fj7magnm3pm</t>
  </si>
  <si>
    <t>Magnum Aiken 17 Yellow</t>
  </si>
  <si>
    <t>fj7magnm4pm</t>
  </si>
  <si>
    <t>Magnum Greenwood 17 Gold</t>
  </si>
  <si>
    <t>fj7vosav1so</t>
  </si>
  <si>
    <t>V-1 Academy SAV 17 Jon</t>
  </si>
  <si>
    <t>fj8atlbm1so</t>
  </si>
  <si>
    <t>ATLBoom 18 DiamondRox</t>
  </si>
  <si>
    <t>fj8atlbm2so</t>
  </si>
  <si>
    <t>ATL Boom 18 Orange</t>
  </si>
  <si>
    <t>fj8charl1pm</t>
  </si>
  <si>
    <t>Chas Jrs 18 Red</t>
  </si>
  <si>
    <t>fj8cltpw1cr</t>
  </si>
  <si>
    <t>Charottle Powerhouse 18</t>
  </si>
  <si>
    <t>fj8crone1pm</t>
  </si>
  <si>
    <t>C1VB 18 National</t>
  </si>
  <si>
    <t>fj8excel1pm</t>
  </si>
  <si>
    <t>Excell U18 Elite</t>
  </si>
  <si>
    <t>fj8extvb1so</t>
  </si>
  <si>
    <t>Extreme 18-1</t>
  </si>
  <si>
    <t>fj8grand1pm</t>
  </si>
  <si>
    <t>GSJ 18 National Larry</t>
  </si>
  <si>
    <t>fj8hvelo1pm</t>
  </si>
  <si>
    <t>High Velocity 18's</t>
  </si>
  <si>
    <t>fj8lakem1pm</t>
  </si>
  <si>
    <t>Lake Murray 18 Red</t>
  </si>
  <si>
    <t>fj8lynch1od</t>
  </si>
  <si>
    <t>fj8magnm1pm</t>
  </si>
  <si>
    <t>Magnum 18 Mizuno</t>
  </si>
  <si>
    <t>fj8magnm2pm</t>
  </si>
  <si>
    <t>Magnum Aiken 18 Green</t>
  </si>
  <si>
    <t>fj8metro2so</t>
  </si>
  <si>
    <t>METRO-ATL 18-17 POWER</t>
  </si>
  <si>
    <t>fj8pjvbc1od</t>
  </si>
  <si>
    <t>PJVBC 18 Mizuno</t>
  </si>
  <si>
    <t>fj8rchvc1so</t>
  </si>
  <si>
    <t>Rocket City Volleyball Club</t>
  </si>
  <si>
    <t>RCVC 181</t>
  </si>
  <si>
    <t>fj8scmid1pm</t>
  </si>
  <si>
    <t>SC Midlands 18 Nat Elite</t>
  </si>
  <si>
    <t>fj8sctwo1cr</t>
  </si>
  <si>
    <t>(SC)2 18u Black</t>
  </si>
  <si>
    <t>fj8sctwo2cr</t>
  </si>
  <si>
    <t>(SC)2 18u Blue</t>
  </si>
  <si>
    <t>TLVC 18U</t>
  </si>
  <si>
    <t>fj8upsvc1pm</t>
  </si>
  <si>
    <t>Upstate 18-1 Power</t>
  </si>
  <si>
    <t>fj8upwrd2pm</t>
  </si>
  <si>
    <t>Upward Stars 18 Amy</t>
  </si>
  <si>
    <t>fj8upwrd3pm</t>
  </si>
  <si>
    <t>Upward Stars 18 BC</t>
  </si>
  <si>
    <t>fj8upwrd4pm</t>
  </si>
  <si>
    <t>Upward Stars 18 Vickie</t>
  </si>
  <si>
    <t>fj8colva1pm</t>
  </si>
  <si>
    <t>Columbia Volleyball Academy</t>
  </si>
  <si>
    <t>CVA Black</t>
  </si>
  <si>
    <t>fj8footh1pm</t>
  </si>
  <si>
    <t>Foothills 18 Penni</t>
  </si>
  <si>
    <t>fj8ladyc2pm</t>
  </si>
  <si>
    <t>OLC 18's Purple</t>
  </si>
  <si>
    <t>fj8beauf1pm</t>
  </si>
  <si>
    <t>Beaufort 18 Club</t>
  </si>
  <si>
    <t>fj8lavaf1cr</t>
  </si>
  <si>
    <t>LAVA Flames 18</t>
  </si>
  <si>
    <t>fj8sandh1cr</t>
  </si>
  <si>
    <t>Lightning 18</t>
  </si>
  <si>
    <t>fj8swarm1pm</t>
  </si>
  <si>
    <t>Swarm VBC</t>
  </si>
  <si>
    <t>SWARM18U</t>
  </si>
  <si>
    <t>Version : 5.1</t>
  </si>
  <si>
    <t xml:space="preserve"> POOL PLAY FORMAT:  Best of 3 (25-25-15) 2 Pt cap.    Warmups 3-3-2</t>
  </si>
  <si>
    <t>Playoff Format : All teams Before 4pm 25-25-15 start at 6.  If after 4pm, semi's 1 game to 25, finals 25-25-15 start at 6- no cap.  Warmups 3-3-2</t>
  </si>
  <si>
    <t xml:space="preserve">                                   5th place from pools A+B do not advance, will be 13th and 14th place overall based on Net Point %</t>
  </si>
  <si>
    <t>1st Place Crt 3</t>
  </si>
  <si>
    <t>See worksheet</t>
  </si>
  <si>
    <t>13 B Division</t>
  </si>
  <si>
    <t>Easley Rec   Crts 1-3</t>
  </si>
  <si>
    <t>14 Division A</t>
  </si>
  <si>
    <t>17 &amp; 18</t>
  </si>
  <si>
    <t>MBVC 16</t>
  </si>
  <si>
    <t>TC Extreme 14 Amber</t>
  </si>
  <si>
    <t>TC Extreme 14 Miranda</t>
  </si>
  <si>
    <t>12 A Division</t>
  </si>
  <si>
    <t>5  refs</t>
  </si>
  <si>
    <t>Agema 16</t>
  </si>
  <si>
    <t xml:space="preserve">COURT:  </t>
  </si>
  <si>
    <t>COURT:2</t>
  </si>
  <si>
    <t>FJ5AAodd1pm</t>
  </si>
  <si>
    <t>Agaist All Odds 15 Blue</t>
  </si>
  <si>
    <t>Against All Odds 15 Green</t>
  </si>
  <si>
    <t>Easley Rec Crts 4-6</t>
  </si>
  <si>
    <t>14 B Division</t>
  </si>
  <si>
    <t>CHECK REVISED ADDRESS</t>
  </si>
  <si>
    <t xml:space="preserve"> 580 East Main St  Spartanburg sc 29302</t>
  </si>
  <si>
    <t>fj6sbrun1cr</t>
  </si>
  <si>
    <t>Breakers</t>
  </si>
  <si>
    <t>fj6setpt1cr</t>
  </si>
  <si>
    <t>Set Point 16 Black</t>
  </si>
  <si>
    <t>Set Point</t>
  </si>
  <si>
    <t>fj7capef1cr</t>
  </si>
  <si>
    <t>Cape Fear 17-Riptide Chan</t>
  </si>
  <si>
    <t>Cape Fear</t>
  </si>
  <si>
    <t>fj4tlife2cr</t>
  </si>
  <si>
    <t>TLVC</t>
  </si>
  <si>
    <t>TLVC 14 Gray</t>
  </si>
  <si>
    <t>fj5ssvbc1so</t>
  </si>
  <si>
    <t>Southern Slammers</t>
  </si>
  <si>
    <t>SSCVB-15U</t>
  </si>
  <si>
    <t xml:space="preserve"> POOL PLAY FORMAT:  Two games to 25, start at 6. Warmups 3-3-1  2pt cap</t>
  </si>
  <si>
    <t xml:space="preserve">                                   5th place from pool does not advance, will be 5th place overall</t>
  </si>
  <si>
    <t>1st Place Pool Play</t>
  </si>
  <si>
    <t>4th Place Pool Play</t>
  </si>
  <si>
    <t>2nd Place Pool Play</t>
  </si>
  <si>
    <t>3rd Place Pool Play</t>
  </si>
  <si>
    <t>POOL PLAY FORMAT: Best of 3 (25-25-15) 2 pt cap.  Start at 0</t>
  </si>
  <si>
    <t>Playoff Format : All teams Before 4pm 25-25-15 start at 6.  If after 4pm, semi's 1 game to 25, finals 25-25-15 start at 6- no cap.  Warmups 3-3-2
All one game playoffs and third sets to 15 start at 0</t>
  </si>
  <si>
    <t>1st Place from Pool Play</t>
  </si>
  <si>
    <t>4th Place from Pool Play</t>
  </si>
  <si>
    <t>2nd Place fom Pool Play</t>
  </si>
  <si>
    <t>3rd Place from Pool Play</t>
  </si>
  <si>
    <t>DIVISION PLAYOFFS</t>
  </si>
  <si>
    <t xml:space="preserve">Extreme </t>
  </si>
  <si>
    <t>5 Tm Pool Auto (2)</t>
  </si>
  <si>
    <t>4 Tm Pool Auto (2)</t>
  </si>
  <si>
    <t>4 Tm Rd 1</t>
  </si>
  <si>
    <t>5 Tm Rd 1</t>
  </si>
  <si>
    <t>12 CLub A Division 14 tm po</t>
  </si>
  <si>
    <t>12 Club B Div 10 tms</t>
  </si>
  <si>
    <t>13 Club  Div A 20 tms (2)</t>
  </si>
  <si>
    <t xml:space="preserve">13 Club B Div 10 tms </t>
  </si>
  <si>
    <t>14 Club Division A 15 tms</t>
  </si>
  <si>
    <t>14 CLub B Division 14 tm po (2)</t>
  </si>
  <si>
    <t>15 Club 15 tms</t>
  </si>
  <si>
    <t xml:space="preserve">16 Club 15 tms </t>
  </si>
  <si>
    <t xml:space="preserve">17 -18 Club 15 Tms </t>
  </si>
  <si>
    <t>fj5aaodd1pm</t>
  </si>
  <si>
    <t>FJ5AAodd2pm</t>
  </si>
  <si>
    <t>Against All Odds</t>
  </si>
  <si>
    <t>Extreme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</si>
</sst>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72" formatCode="0.0%"/>
    <numFmt numFmtId="177" formatCode="0.##"/>
  </numFmts>
  <fonts count="26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55"/>
      <name val="Arial"/>
      <family val="2"/>
    </font>
    <font>
      <sz val="5"/>
      <name val="Arial"/>
      <family val="2"/>
    </font>
    <font>
      <sz val="16"/>
      <name val="Arial"/>
      <family val="2"/>
    </font>
    <font>
      <sz val="6"/>
      <name val="Arial"/>
      <family val="2"/>
    </font>
    <font>
      <sz val="20"/>
      <name val="Arial"/>
      <family val="2"/>
    </font>
    <font>
      <sz val="7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0"/>
      <name val="Arial"/>
      <family val="2"/>
    </font>
    <font>
      <sz val="7"/>
      <color rgb="FF252525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>
      <left style="medium">
        <color rgb="FFAAAAAA"/>
      </left>
      <right style="medium">
        <color rgb="FFAAAAAA"/>
      </right>
      <top/>
      <bottom/>
      <diagonal/>
    </border>
    <border>
      <left/>
      <right style="medium">
        <color rgb="FFAAAAAA"/>
      </right>
      <top style="medium">
        <color rgb="FFAAAAAA"/>
      </top>
      <bottom style="medium">
        <color rgb="FFAAAAAA"/>
      </bottom>
      <diagonal/>
    </border>
  </borders>
  <cellStyleXfs count="10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1" fillId="0" borderId="0"/>
    <xf numFmtId="0" fontId="1" fillId="0" borderId="0"/>
    <xf numFmtId="0" fontId="2" fillId="0" borderId="0"/>
    <xf numFmtId="0" fontId="1" fillId="0" borderId="0"/>
    <xf numFmtId="0" fontId="19" fillId="0" borderId="0"/>
    <xf numFmtId="0" fontId="19" fillId="0" borderId="0"/>
    <xf numFmtId="44" fontId="1" fillId="0" borderId="0" applyFont="0" applyFill="0" applyBorder="0" applyAlignment="0" applyProtection="0"/>
  </cellStyleXfs>
  <cellXfs count="1431">
    <xf numFmtId="0" fontId="0" fillId="0" borderId="0" xfId="0"/>
    <xf numFmtId="0" fontId="1" fillId="5" borderId="0" xfId="6" applyFill="1" applyProtection="1"/>
    <xf numFmtId="0" fontId="1" fillId="5" borderId="0" xfId="6" applyFont="1" applyFill="1" applyAlignment="1" applyProtection="1">
      <alignment horizontal="center"/>
    </xf>
    <xf numFmtId="0" fontId="1" fillId="0" borderId="0" xfId="6" applyFill="1"/>
    <xf numFmtId="0" fontId="1" fillId="0" borderId="0" xfId="6"/>
    <xf numFmtId="0" fontId="3" fillId="0" borderId="3" xfId="6" applyFont="1" applyBorder="1" applyAlignment="1" applyProtection="1">
      <alignment horizontal="center"/>
      <protection locked="0"/>
    </xf>
    <xf numFmtId="0" fontId="3" fillId="0" borderId="4" xfId="6" applyFont="1" applyBorder="1" applyAlignment="1" applyProtection="1">
      <alignment horizontal="center"/>
      <protection locked="0"/>
    </xf>
    <xf numFmtId="0" fontId="3" fillId="0" borderId="5" xfId="6" applyFont="1" applyBorder="1" applyAlignment="1">
      <alignment horizontal="center"/>
    </xf>
    <xf numFmtId="0" fontId="3" fillId="0" borderId="6" xfId="6" applyFont="1" applyBorder="1" applyAlignment="1">
      <alignment horizontal="center"/>
    </xf>
    <xf numFmtId="0" fontId="1" fillId="0" borderId="0" xfId="6" applyAlignment="1">
      <alignment horizontal="right"/>
    </xf>
    <xf numFmtId="0" fontId="1" fillId="0" borderId="0" xfId="6" applyProtection="1">
      <protection locked="0"/>
    </xf>
    <xf numFmtId="0" fontId="1" fillId="5" borderId="0" xfId="6" applyFill="1"/>
    <xf numFmtId="0" fontId="1" fillId="0" borderId="5" xfId="6" applyFont="1" applyBorder="1" applyAlignment="1" applyProtection="1">
      <alignment horizontal="center"/>
      <protection locked="0"/>
    </xf>
    <xf numFmtId="0" fontId="3" fillId="0" borderId="7" xfId="6" applyFont="1" applyBorder="1" applyAlignment="1">
      <alignment horizontal="center"/>
    </xf>
    <xf numFmtId="0" fontId="6" fillId="2" borderId="8" xfId="6" applyFont="1" applyFill="1" applyBorder="1" applyAlignment="1" applyProtection="1">
      <alignment horizontal="center" vertical="center" wrapText="1"/>
      <protection locked="0"/>
    </xf>
    <xf numFmtId="0" fontId="1" fillId="0" borderId="9" xfId="6" applyFont="1" applyBorder="1" applyAlignment="1" applyProtection="1">
      <alignment horizontal="center"/>
      <protection locked="0"/>
    </xf>
    <xf numFmtId="0" fontId="1" fillId="0" borderId="10" xfId="6" applyBorder="1" applyAlignment="1" applyProtection="1">
      <alignment horizontal="center"/>
      <protection locked="0"/>
    </xf>
    <xf numFmtId="2" fontId="1" fillId="0" borderId="11" xfId="6" applyNumberFormat="1" applyBorder="1" applyAlignment="1">
      <alignment horizontal="center"/>
    </xf>
    <xf numFmtId="2" fontId="1" fillId="0" borderId="12" xfId="6" applyNumberFormat="1" applyBorder="1" applyAlignment="1">
      <alignment horizontal="center"/>
    </xf>
    <xf numFmtId="0" fontId="1" fillId="0" borderId="13" xfId="6" applyFont="1" applyBorder="1" applyAlignment="1" applyProtection="1">
      <alignment horizontal="center"/>
      <protection locked="0"/>
    </xf>
    <xf numFmtId="2" fontId="1" fillId="0" borderId="13" xfId="6" applyNumberFormat="1" applyBorder="1" applyAlignment="1">
      <alignment horizontal="center"/>
    </xf>
    <xf numFmtId="2" fontId="1" fillId="0" borderId="14" xfId="6" applyNumberFormat="1" applyBorder="1" applyAlignment="1">
      <alignment horizontal="center"/>
    </xf>
    <xf numFmtId="0" fontId="3" fillId="0" borderId="8" xfId="6" applyFont="1" applyBorder="1" applyAlignment="1" applyProtection="1">
      <alignment horizontal="center" vertical="center"/>
    </xf>
    <xf numFmtId="0" fontId="7" fillId="0" borderId="8" xfId="6" applyFont="1" applyBorder="1" applyAlignment="1" applyProtection="1">
      <alignment horizontal="center" vertical="center"/>
      <protection locked="0"/>
    </xf>
    <xf numFmtId="0" fontId="3" fillId="2" borderId="8" xfId="6" applyFont="1" applyFill="1" applyBorder="1" applyAlignment="1">
      <alignment horizontal="center" vertical="center"/>
    </xf>
    <xf numFmtId="0" fontId="3" fillId="2" borderId="8" xfId="6" applyFont="1" applyFill="1" applyBorder="1" applyAlignment="1">
      <alignment horizontal="center" vertical="center" wrapText="1"/>
    </xf>
    <xf numFmtId="0" fontId="5" fillId="2" borderId="8" xfId="6" applyFont="1" applyFill="1" applyBorder="1" applyAlignment="1">
      <alignment horizontal="center" vertical="center"/>
    </xf>
    <xf numFmtId="0" fontId="1" fillId="5" borderId="0" xfId="6" applyFill="1" applyBorder="1" applyAlignment="1"/>
    <xf numFmtId="0" fontId="9" fillId="5" borderId="0" xfId="6" applyFont="1" applyFill="1" applyAlignment="1" applyProtection="1">
      <alignment horizontal="center"/>
      <protection locked="0"/>
    </xf>
    <xf numFmtId="0" fontId="9" fillId="5" borderId="0" xfId="6" applyFont="1" applyFill="1" applyBorder="1" applyAlignment="1"/>
    <xf numFmtId="0" fontId="9" fillId="0" borderId="0" xfId="6" applyFont="1" applyFill="1" applyBorder="1" applyAlignment="1"/>
    <xf numFmtId="0" fontId="1" fillId="0" borderId="15" xfId="6" applyFont="1" applyBorder="1" applyAlignment="1" applyProtection="1">
      <alignment horizontal="center"/>
      <protection locked="0"/>
    </xf>
    <xf numFmtId="2" fontId="1" fillId="0" borderId="15" xfId="6" applyNumberFormat="1" applyBorder="1" applyAlignment="1">
      <alignment horizontal="center"/>
    </xf>
    <xf numFmtId="2" fontId="1" fillId="0" borderId="16" xfId="6" applyNumberFormat="1" applyBorder="1" applyAlignment="1">
      <alignment horizontal="center"/>
    </xf>
    <xf numFmtId="0" fontId="1" fillId="0" borderId="0" xfId="6" applyFont="1" applyBorder="1" applyAlignment="1" applyProtection="1">
      <alignment horizontal="center"/>
      <protection locked="0"/>
    </xf>
    <xf numFmtId="0" fontId="1" fillId="0" borderId="0" xfId="6" applyBorder="1" applyAlignment="1" applyProtection="1">
      <alignment horizontal="center"/>
      <protection locked="0"/>
    </xf>
    <xf numFmtId="0" fontId="1" fillId="5" borderId="0" xfId="6" applyFill="1" applyAlignment="1"/>
    <xf numFmtId="0" fontId="9" fillId="5" borderId="0" xfId="6" applyFont="1" applyFill="1"/>
    <xf numFmtId="0" fontId="5" fillId="5" borderId="0" xfId="6" applyFont="1" applyFill="1" applyBorder="1" applyAlignment="1" applyProtection="1">
      <alignment vertical="center" wrapText="1"/>
      <protection locked="0"/>
    </xf>
    <xf numFmtId="0" fontId="3" fillId="5" borderId="0" xfId="6" applyFont="1" applyFill="1" applyBorder="1" applyAlignment="1" applyProtection="1">
      <alignment vertical="center" wrapText="1"/>
      <protection locked="0"/>
    </xf>
    <xf numFmtId="0" fontId="1" fillId="5" borderId="0" xfId="6" applyFill="1" applyBorder="1" applyAlignment="1">
      <alignment horizontal="center" vertical="center"/>
    </xf>
    <xf numFmtId="0" fontId="10" fillId="0" borderId="0" xfId="6" applyFont="1" applyAlignment="1">
      <alignment horizontal="right"/>
    </xf>
    <xf numFmtId="0" fontId="1" fillId="2" borderId="17" xfId="6" applyFill="1" applyBorder="1" applyAlignment="1">
      <alignment horizontal="center" vertical="center"/>
    </xf>
    <xf numFmtId="0" fontId="1" fillId="6" borderId="1" xfId="6" applyFill="1" applyBorder="1" applyAlignment="1">
      <alignment horizontal="center"/>
    </xf>
    <xf numFmtId="0" fontId="1" fillId="2" borderId="1" xfId="6" applyFill="1" applyBorder="1" applyAlignment="1">
      <alignment horizontal="center" vertical="center"/>
    </xf>
    <xf numFmtId="0" fontId="5" fillId="2" borderId="1" xfId="6" applyFont="1" applyFill="1" applyBorder="1" applyProtection="1">
      <protection locked="0"/>
    </xf>
    <xf numFmtId="0" fontId="5" fillId="5" borderId="1" xfId="6" applyFont="1" applyFill="1" applyBorder="1" applyAlignment="1">
      <alignment horizontal="center"/>
    </xf>
    <xf numFmtId="0" fontId="5" fillId="2" borderId="1" xfId="6" applyFont="1" applyFill="1" applyBorder="1" applyAlignment="1" applyProtection="1">
      <alignment horizontal="left"/>
      <protection locked="0"/>
    </xf>
    <xf numFmtId="0" fontId="1" fillId="0" borderId="1" xfId="6" applyBorder="1" applyAlignment="1">
      <alignment horizontal="center" vertical="center"/>
    </xf>
    <xf numFmtId="0" fontId="7" fillId="0" borderId="18" xfId="6" applyFont="1" applyFill="1" applyBorder="1" applyProtection="1">
      <protection locked="0"/>
    </xf>
    <xf numFmtId="0" fontId="1" fillId="5" borderId="19" xfId="6" applyFill="1" applyBorder="1" applyAlignment="1">
      <alignment horizontal="center"/>
    </xf>
    <xf numFmtId="0" fontId="7" fillId="0" borderId="17" xfId="6" applyFont="1" applyFill="1" applyBorder="1" applyAlignment="1" applyProtection="1">
      <alignment horizontal="left"/>
      <protection locked="0"/>
    </xf>
    <xf numFmtId="0" fontId="1" fillId="0" borderId="17" xfId="6" applyBorder="1" applyAlignment="1">
      <alignment horizontal="center" vertical="center"/>
    </xf>
    <xf numFmtId="0" fontId="12" fillId="5" borderId="0" xfId="6" applyFont="1" applyFill="1"/>
    <xf numFmtId="0" fontId="1" fillId="0" borderId="0" xfId="6" applyFill="1" applyProtection="1">
      <protection hidden="1"/>
    </xf>
    <xf numFmtId="0" fontId="1" fillId="6" borderId="0" xfId="6" applyFill="1" applyProtection="1">
      <protection hidden="1"/>
    </xf>
    <xf numFmtId="0" fontId="1" fillId="6" borderId="0" xfId="6" applyFill="1" applyAlignment="1" applyProtection="1">
      <alignment horizontal="left"/>
      <protection hidden="1"/>
    </xf>
    <xf numFmtId="0" fontId="1" fillId="0" borderId="0" xfId="6" applyFill="1" applyAlignment="1" applyProtection="1">
      <alignment wrapText="1"/>
      <protection hidden="1"/>
    </xf>
    <xf numFmtId="0" fontId="1" fillId="0" borderId="0" xfId="6" applyFill="1" applyAlignment="1" applyProtection="1">
      <alignment horizontal="left"/>
      <protection hidden="1"/>
    </xf>
    <xf numFmtId="0" fontId="1" fillId="0" borderId="0" xfId="6" applyAlignment="1" applyProtection="1">
      <alignment horizontal="left"/>
    </xf>
    <xf numFmtId="0" fontId="1" fillId="0" borderId="0" xfId="6" applyAlignment="1" applyProtection="1">
      <alignment horizontal="center"/>
      <protection locked="0"/>
    </xf>
    <xf numFmtId="0" fontId="1" fillId="0" borderId="0" xfId="6" applyProtection="1">
      <protection hidden="1"/>
    </xf>
    <xf numFmtId="0" fontId="1" fillId="0" borderId="0" xfId="6" applyAlignment="1">
      <alignment horizontal="center"/>
    </xf>
    <xf numFmtId="0" fontId="3" fillId="0" borderId="0" xfId="6" applyFont="1"/>
    <xf numFmtId="0" fontId="3" fillId="0" borderId="0" xfId="6" applyFont="1" applyProtection="1">
      <protection hidden="1"/>
    </xf>
    <xf numFmtId="0" fontId="1" fillId="0" borderId="0" xfId="6" applyAlignment="1" applyProtection="1">
      <alignment horizontal="center"/>
      <protection hidden="1"/>
    </xf>
    <xf numFmtId="0" fontId="13" fillId="0" borderId="0" xfId="6" applyFont="1"/>
    <xf numFmtId="2" fontId="13" fillId="0" borderId="0" xfId="6" applyNumberFormat="1" applyFont="1"/>
    <xf numFmtId="2" fontId="1" fillId="0" borderId="0" xfId="6" applyNumberFormat="1"/>
    <xf numFmtId="2" fontId="1" fillId="0" borderId="0" xfId="6" applyNumberFormat="1" applyAlignment="1" applyProtection="1">
      <alignment horizontal="left"/>
    </xf>
    <xf numFmtId="2" fontId="1" fillId="0" borderId="0" xfId="6" applyNumberFormat="1" applyAlignment="1" applyProtection="1">
      <alignment horizontal="center"/>
      <protection locked="0"/>
    </xf>
    <xf numFmtId="2" fontId="1" fillId="0" borderId="0" xfId="6" applyNumberFormat="1" applyProtection="1">
      <protection hidden="1"/>
    </xf>
    <xf numFmtId="2" fontId="1" fillId="0" borderId="0" xfId="6" applyNumberFormat="1" applyAlignment="1" applyProtection="1">
      <alignment horizontal="center"/>
      <protection hidden="1"/>
    </xf>
    <xf numFmtId="1" fontId="13" fillId="0" borderId="0" xfId="6" applyNumberFormat="1" applyFont="1"/>
    <xf numFmtId="1" fontId="1" fillId="0" borderId="0" xfId="6" applyNumberFormat="1"/>
    <xf numFmtId="1" fontId="1" fillId="0" borderId="0" xfId="6" applyNumberFormat="1" applyAlignment="1" applyProtection="1">
      <alignment horizontal="left"/>
    </xf>
    <xf numFmtId="1" fontId="1" fillId="0" borderId="0" xfId="6" applyNumberFormat="1" applyAlignment="1" applyProtection="1">
      <alignment horizontal="center"/>
      <protection locked="0"/>
    </xf>
    <xf numFmtId="1" fontId="1" fillId="0" borderId="0" xfId="6" applyNumberFormat="1" applyProtection="1">
      <protection hidden="1"/>
    </xf>
    <xf numFmtId="1" fontId="1" fillId="0" borderId="0" xfId="6" applyNumberFormat="1" applyAlignment="1" applyProtection="1">
      <alignment horizontal="center"/>
      <protection hidden="1"/>
    </xf>
    <xf numFmtId="0" fontId="1" fillId="0" borderId="20" xfId="6" applyBorder="1" applyProtection="1">
      <protection locked="0"/>
    </xf>
    <xf numFmtId="0" fontId="1" fillId="0" borderId="0" xfId="6" applyFill="1" applyProtection="1">
      <protection locked="0"/>
    </xf>
    <xf numFmtId="0" fontId="15" fillId="0" borderId="0" xfId="6" applyFont="1" applyFill="1" applyBorder="1" applyAlignment="1">
      <alignment horizontal="center"/>
    </xf>
    <xf numFmtId="0" fontId="5" fillId="0" borderId="0" xfId="6" applyFont="1" applyAlignment="1">
      <alignment horizontal="center"/>
    </xf>
    <xf numFmtId="0" fontId="1" fillId="0" borderId="0" xfId="6" applyFont="1" applyAlignment="1">
      <alignment horizontal="left"/>
    </xf>
    <xf numFmtId="0" fontId="10" fillId="0" borderId="0" xfId="6" applyFont="1"/>
    <xf numFmtId="0" fontId="1" fillId="0" borderId="0" xfId="6" applyFill="1" applyBorder="1"/>
    <xf numFmtId="0" fontId="1" fillId="0" borderId="0" xfId="6" applyFill="1" applyBorder="1" applyAlignment="1"/>
    <xf numFmtId="0" fontId="1" fillId="0" borderId="0" xfId="6" applyFill="1" applyBorder="1" applyAlignment="1" applyProtection="1">
      <protection locked="0"/>
    </xf>
    <xf numFmtId="0" fontId="1" fillId="0" borderId="0" xfId="6" applyBorder="1"/>
    <xf numFmtId="0" fontId="1" fillId="0" borderId="0" xfId="6" applyBorder="1" applyAlignment="1">
      <alignment horizontal="center"/>
    </xf>
    <xf numFmtId="0" fontId="1" fillId="0" borderId="0" xfId="6" applyFill="1" applyBorder="1" applyAlignment="1">
      <alignment horizontal="center"/>
    </xf>
    <xf numFmtId="0" fontId="1" fillId="0" borderId="21" xfId="6" applyBorder="1"/>
    <xf numFmtId="0" fontId="10" fillId="0" borderId="0" xfId="6" applyFont="1" applyBorder="1" applyAlignment="1" applyProtection="1">
      <alignment horizontal="center"/>
      <protection locked="0"/>
    </xf>
    <xf numFmtId="0" fontId="10" fillId="0" borderId="0" xfId="6" applyFont="1" applyFill="1" applyBorder="1" applyAlignment="1" applyProtection="1">
      <alignment horizontal="center"/>
      <protection locked="0"/>
    </xf>
    <xf numFmtId="0" fontId="10" fillId="0" borderId="0" xfId="6" applyFont="1" applyFill="1" applyBorder="1" applyAlignment="1" applyProtection="1">
      <protection locked="0"/>
    </xf>
    <xf numFmtId="0" fontId="1" fillId="0" borderId="0" xfId="6" applyBorder="1" applyProtection="1">
      <protection locked="0"/>
    </xf>
    <xf numFmtId="0" fontId="1" fillId="0" borderId="0" xfId="6" applyBorder="1" applyAlignment="1" applyProtection="1">
      <protection locked="0"/>
    </xf>
    <xf numFmtId="0" fontId="1" fillId="0" borderId="22" xfId="6" applyBorder="1" applyAlignment="1" applyProtection="1">
      <alignment horizontal="left"/>
      <protection locked="0"/>
    </xf>
    <xf numFmtId="0" fontId="1" fillId="0" borderId="23" xfId="6" applyBorder="1" applyAlignment="1" applyProtection="1">
      <alignment horizontal="left"/>
      <protection locked="0"/>
    </xf>
    <xf numFmtId="0" fontId="1" fillId="0" borderId="24" xfId="6" applyBorder="1" applyAlignment="1" applyProtection="1">
      <alignment horizontal="left"/>
      <protection locked="0"/>
    </xf>
    <xf numFmtId="0" fontId="1" fillId="0" borderId="21" xfId="6" applyBorder="1" applyAlignment="1" applyProtection="1">
      <alignment horizontal="left"/>
      <protection locked="0"/>
    </xf>
    <xf numFmtId="0" fontId="1" fillId="0" borderId="0" xfId="6" applyBorder="1" applyAlignment="1" applyProtection="1">
      <alignment horizontal="left"/>
      <protection locked="0"/>
    </xf>
    <xf numFmtId="0" fontId="15" fillId="0" borderId="0" xfId="6" applyFont="1" applyBorder="1" applyAlignment="1" applyProtection="1">
      <protection locked="0"/>
    </xf>
    <xf numFmtId="0" fontId="15" fillId="0" borderId="0" xfId="6" applyFont="1" applyFill="1" applyBorder="1" applyAlignment="1"/>
    <xf numFmtId="0" fontId="10" fillId="0" borderId="0" xfId="6" applyFont="1" applyBorder="1" applyAlignment="1" applyProtection="1">
      <protection locked="0"/>
    </xf>
    <xf numFmtId="0" fontId="1" fillId="0" borderId="0" xfId="6" applyFill="1" applyBorder="1" applyAlignment="1" applyProtection="1"/>
    <xf numFmtId="0" fontId="1" fillId="0" borderId="21" xfId="6" applyBorder="1" applyAlignment="1" applyProtection="1">
      <alignment horizontal="center"/>
      <protection locked="0"/>
    </xf>
    <xf numFmtId="0" fontId="1" fillId="0" borderId="0" xfId="6" applyBorder="1" applyAlignment="1"/>
    <xf numFmtId="0" fontId="15" fillId="0" borderId="0" xfId="6" applyFont="1" applyFill="1" applyBorder="1" applyAlignment="1" applyProtection="1">
      <protection locked="0"/>
    </xf>
    <xf numFmtId="0" fontId="1" fillId="0" borderId="20" xfId="6" applyBorder="1" applyAlignment="1" applyProtection="1">
      <alignment horizontal="left"/>
      <protection locked="0"/>
    </xf>
    <xf numFmtId="0" fontId="1" fillId="0" borderId="25" xfId="6" applyBorder="1" applyAlignment="1" applyProtection="1">
      <alignment horizontal="left"/>
      <protection locked="0"/>
    </xf>
    <xf numFmtId="0" fontId="1" fillId="0" borderId="26" xfId="6" applyBorder="1" applyAlignment="1" applyProtection="1">
      <alignment horizontal="left"/>
      <protection locked="0"/>
    </xf>
    <xf numFmtId="0" fontId="5" fillId="0" borderId="0" xfId="6" applyFont="1" applyFill="1" applyBorder="1" applyAlignment="1" applyProtection="1">
      <protection locked="0"/>
    </xf>
    <xf numFmtId="0" fontId="1" fillId="0" borderId="8" xfId="6" applyBorder="1" applyAlignment="1">
      <alignment horizontal="center"/>
    </xf>
    <xf numFmtId="20" fontId="1" fillId="0" borderId="0" xfId="6" applyNumberFormat="1" applyFill="1" applyBorder="1" applyAlignment="1" applyProtection="1">
      <protection locked="0"/>
    </xf>
    <xf numFmtId="1" fontId="1" fillId="0" borderId="0" xfId="6" applyNumberFormat="1" applyFill="1" applyBorder="1" applyAlignment="1" applyProtection="1">
      <protection locked="0"/>
    </xf>
    <xf numFmtId="0" fontId="3" fillId="0" borderId="0" xfId="6" applyFont="1" applyFill="1" applyBorder="1" applyAlignment="1"/>
    <xf numFmtId="0" fontId="3" fillId="2" borderId="13" xfId="6" applyFont="1" applyFill="1" applyBorder="1" applyAlignment="1" applyProtection="1">
      <alignment horizontal="right"/>
      <protection locked="0"/>
    </xf>
    <xf numFmtId="0" fontId="3" fillId="5" borderId="1" xfId="6" applyFont="1" applyFill="1" applyBorder="1" applyAlignment="1">
      <alignment horizontal="center"/>
    </xf>
    <xf numFmtId="0" fontId="3" fillId="2" borderId="1" xfId="6" applyFont="1" applyFill="1" applyBorder="1" applyAlignment="1" applyProtection="1">
      <alignment horizontal="left"/>
      <protection locked="0"/>
    </xf>
    <xf numFmtId="0" fontId="3" fillId="2" borderId="1" xfId="6" applyFont="1" applyFill="1" applyBorder="1" applyProtection="1">
      <protection locked="0"/>
    </xf>
    <xf numFmtId="0" fontId="3" fillId="2" borderId="1" xfId="6" applyFont="1" applyFill="1" applyBorder="1" applyProtection="1"/>
    <xf numFmtId="0" fontId="3" fillId="5" borderId="1" xfId="6" applyFont="1" applyFill="1" applyBorder="1" applyAlignment="1" applyProtection="1">
      <alignment horizontal="center"/>
    </xf>
    <xf numFmtId="0" fontId="3" fillId="2" borderId="14" xfId="6" applyFont="1" applyFill="1" applyBorder="1" applyAlignment="1" applyProtection="1">
      <alignment horizontal="left"/>
    </xf>
    <xf numFmtId="0" fontId="3" fillId="0" borderId="27" xfId="6" applyFont="1" applyFill="1" applyBorder="1" applyAlignment="1">
      <alignment horizontal="center"/>
    </xf>
    <xf numFmtId="0" fontId="3" fillId="0" borderId="28" xfId="6" applyFont="1" applyFill="1" applyBorder="1" applyAlignment="1">
      <alignment horizontal="center"/>
    </xf>
    <xf numFmtId="0" fontId="3" fillId="0" borderId="0" xfId="6" applyFont="1" applyFill="1" applyBorder="1" applyAlignment="1">
      <alignment horizontal="center"/>
    </xf>
    <xf numFmtId="0" fontId="3" fillId="0" borderId="0" xfId="6" applyFont="1" applyFill="1" applyBorder="1" applyAlignment="1" applyProtection="1">
      <alignment horizontal="left"/>
      <protection locked="0"/>
    </xf>
    <xf numFmtId="0" fontId="3" fillId="0" borderId="0" xfId="6" applyFont="1" applyFill="1" applyBorder="1" applyProtection="1">
      <protection locked="0"/>
    </xf>
    <xf numFmtId="0" fontId="3" fillId="2" borderId="29" xfId="6" applyFont="1" applyFill="1" applyBorder="1" applyAlignment="1" applyProtection="1">
      <alignment horizontal="right"/>
      <protection locked="0"/>
    </xf>
    <xf numFmtId="0" fontId="3" fillId="5" borderId="19" xfId="6" applyFont="1" applyFill="1" applyBorder="1" applyAlignment="1">
      <alignment horizontal="center"/>
    </xf>
    <xf numFmtId="0" fontId="3" fillId="2" borderId="19" xfId="6" applyFont="1" applyFill="1" applyBorder="1" applyAlignment="1" applyProtection="1">
      <alignment horizontal="left"/>
      <protection locked="0"/>
    </xf>
    <xf numFmtId="0" fontId="3" fillId="0" borderId="22" xfId="6" applyFont="1" applyFill="1" applyBorder="1" applyAlignment="1">
      <alignment horizontal="center"/>
    </xf>
    <xf numFmtId="0" fontId="3" fillId="0" borderId="23" xfId="6" applyFont="1" applyFill="1" applyBorder="1" applyAlignment="1">
      <alignment horizontal="center"/>
    </xf>
    <xf numFmtId="0" fontId="3" fillId="0" borderId="24" xfId="6" applyFont="1" applyFill="1" applyBorder="1" applyAlignment="1">
      <alignment horizontal="center"/>
    </xf>
    <xf numFmtId="0" fontId="1" fillId="0" borderId="29" xfId="6" applyFill="1" applyBorder="1" applyProtection="1">
      <protection locked="0"/>
    </xf>
    <xf numFmtId="0" fontId="1" fillId="0" borderId="17" xfId="6" applyFill="1" applyBorder="1" applyAlignment="1" applyProtection="1">
      <alignment horizontal="left"/>
      <protection locked="0"/>
    </xf>
    <xf numFmtId="0" fontId="1" fillId="0" borderId="18" xfId="6" applyFill="1" applyBorder="1" applyProtection="1">
      <protection locked="0"/>
    </xf>
    <xf numFmtId="0" fontId="1" fillId="0" borderId="30" xfId="6" applyFill="1" applyBorder="1" applyAlignment="1" applyProtection="1">
      <alignment horizontal="left"/>
      <protection locked="0"/>
    </xf>
    <xf numFmtId="0" fontId="1" fillId="0" borderId="0" xfId="6" applyFill="1" applyBorder="1" applyProtection="1">
      <protection locked="0"/>
    </xf>
    <xf numFmtId="0" fontId="1" fillId="0" borderId="0" xfId="6" applyFill="1" applyBorder="1" applyAlignment="1" applyProtection="1">
      <alignment horizontal="left"/>
      <protection locked="0"/>
    </xf>
    <xf numFmtId="0" fontId="1" fillId="0" borderId="31" xfId="6" applyFill="1" applyBorder="1" applyProtection="1">
      <protection locked="0"/>
    </xf>
    <xf numFmtId="0" fontId="1" fillId="5" borderId="32" xfId="6" applyFill="1" applyBorder="1" applyAlignment="1">
      <alignment horizontal="center"/>
    </xf>
    <xf numFmtId="0" fontId="1" fillId="0" borderId="33" xfId="6" applyFill="1" applyBorder="1" applyAlignment="1" applyProtection="1">
      <alignment horizontal="left"/>
      <protection locked="0"/>
    </xf>
    <xf numFmtId="0" fontId="1" fillId="0" borderId="34" xfId="6" applyFill="1" applyBorder="1" applyProtection="1">
      <protection locked="0"/>
    </xf>
    <xf numFmtId="0" fontId="1" fillId="0" borderId="35" xfId="6" applyFill="1" applyBorder="1" applyAlignment="1" applyProtection="1">
      <alignment horizontal="left"/>
      <protection locked="0"/>
    </xf>
    <xf numFmtId="0" fontId="1" fillId="0" borderId="0" xfId="6" applyFill="1" applyAlignment="1" applyProtection="1">
      <alignment horizontal="center"/>
      <protection hidden="1"/>
    </xf>
    <xf numFmtId="0" fontId="5" fillId="0" borderId="0" xfId="6" applyFont="1" applyFill="1" applyBorder="1" applyAlignment="1">
      <alignment horizontal="center"/>
    </xf>
    <xf numFmtId="0" fontId="1" fillId="0" borderId="64" xfId="0" applyFont="1" applyBorder="1" applyAlignment="1">
      <alignment vertical="top"/>
    </xf>
    <xf numFmtId="0" fontId="1" fillId="0" borderId="11" xfId="6" applyFont="1" applyBorder="1" applyAlignment="1" applyProtection="1">
      <alignment horizontal="center"/>
      <protection locked="0"/>
    </xf>
    <xf numFmtId="0" fontId="1" fillId="5" borderId="0" xfId="6" applyFill="1" applyBorder="1"/>
    <xf numFmtId="0" fontId="1" fillId="0" borderId="36" xfId="6" applyFont="1" applyBorder="1" applyAlignment="1" applyProtection="1">
      <alignment horizontal="center"/>
      <protection locked="0"/>
    </xf>
    <xf numFmtId="2" fontId="1" fillId="0" borderId="36" xfId="6" applyNumberFormat="1" applyBorder="1" applyAlignment="1">
      <alignment horizontal="center"/>
    </xf>
    <xf numFmtId="2" fontId="1" fillId="0" borderId="37" xfId="6" applyNumberFormat="1" applyBorder="1" applyAlignment="1">
      <alignment horizontal="center"/>
    </xf>
    <xf numFmtId="0" fontId="1" fillId="2" borderId="38" xfId="6" applyFill="1" applyBorder="1" applyAlignment="1">
      <alignment horizontal="center" vertical="center"/>
    </xf>
    <xf numFmtId="0" fontId="1" fillId="6" borderId="2" xfId="6" applyFill="1" applyBorder="1" applyAlignment="1">
      <alignment horizontal="center"/>
    </xf>
    <xf numFmtId="0" fontId="1" fillId="2" borderId="2" xfId="6" applyFill="1" applyBorder="1" applyAlignment="1">
      <alignment horizontal="center" vertical="center"/>
    </xf>
    <xf numFmtId="0" fontId="1" fillId="0" borderId="21" xfId="6" applyBorder="1" applyProtection="1">
      <protection locked="0"/>
    </xf>
    <xf numFmtId="0" fontId="1" fillId="0" borderId="0" xfId="6" applyBorder="1" applyAlignment="1">
      <alignment horizontal="left"/>
    </xf>
    <xf numFmtId="0" fontId="15" fillId="0" borderId="0" xfId="6" applyFont="1" applyBorder="1" applyAlignment="1"/>
    <xf numFmtId="0" fontId="1" fillId="0" borderId="0" xfId="6" applyProtection="1"/>
    <xf numFmtId="0" fontId="1" fillId="0" borderId="21" xfId="6" applyFont="1" applyBorder="1" applyAlignment="1">
      <alignment wrapText="1"/>
    </xf>
    <xf numFmtId="0" fontId="1" fillId="0" borderId="0" xfId="6" applyAlignment="1">
      <alignment wrapText="1"/>
    </xf>
    <xf numFmtId="0" fontId="1" fillId="0" borderId="21" xfId="6" applyBorder="1" applyAlignment="1">
      <alignment wrapText="1"/>
    </xf>
    <xf numFmtId="0" fontId="1" fillId="0" borderId="0" xfId="6" applyAlignment="1"/>
    <xf numFmtId="0" fontId="1" fillId="0" borderId="39" xfId="6" applyBorder="1"/>
    <xf numFmtId="0" fontId="1" fillId="0" borderId="39" xfId="6" applyBorder="1" applyAlignment="1"/>
    <xf numFmtId="0" fontId="1" fillId="0" borderId="64" xfId="0" applyFont="1" applyBorder="1" applyAlignment="1" applyProtection="1">
      <alignment vertical="top"/>
      <protection locked="0"/>
    </xf>
    <xf numFmtId="0" fontId="1" fillId="0" borderId="20" xfId="6" applyBorder="1" applyAlignment="1" applyProtection="1">
      <alignment horizontal="center"/>
      <protection locked="0"/>
    </xf>
    <xf numFmtId="0" fontId="5" fillId="0" borderId="0" xfId="6" applyFont="1" applyAlignment="1" applyProtection="1">
      <alignment horizontal="center"/>
      <protection locked="0"/>
    </xf>
    <xf numFmtId="0" fontId="1" fillId="16" borderId="64" xfId="0" applyFont="1" applyFill="1" applyBorder="1" applyAlignment="1">
      <alignment vertical="top"/>
    </xf>
    <xf numFmtId="0" fontId="10" fillId="2" borderId="3" xfId="6" applyFont="1" applyFill="1" applyBorder="1" applyAlignment="1">
      <alignment horizontal="center"/>
    </xf>
    <xf numFmtId="0" fontId="1" fillId="2" borderId="4" xfId="6" applyFill="1" applyBorder="1" applyAlignment="1">
      <alignment horizontal="center"/>
    </xf>
    <xf numFmtId="0" fontId="1" fillId="2" borderId="6" xfId="6" applyFill="1" applyBorder="1" applyAlignment="1">
      <alignment horizontal="center"/>
    </xf>
    <xf numFmtId="0" fontId="17" fillId="0" borderId="40" xfId="6" applyFont="1" applyBorder="1" applyAlignment="1">
      <alignment horizontal="center"/>
    </xf>
    <xf numFmtId="0" fontId="17" fillId="0" borderId="10" xfId="6" applyFont="1" applyBorder="1" applyAlignment="1">
      <alignment horizontal="center"/>
    </xf>
    <xf numFmtId="0" fontId="17" fillId="0" borderId="41" xfId="6" applyFont="1" applyFill="1" applyBorder="1" applyAlignment="1">
      <alignment horizontal="center"/>
    </xf>
    <xf numFmtId="0" fontId="17" fillId="0" borderId="1" xfId="6" applyFont="1" applyFill="1" applyBorder="1" applyAlignment="1">
      <alignment horizontal="center"/>
    </xf>
    <xf numFmtId="0" fontId="17" fillId="0" borderId="18" xfId="6" applyFont="1" applyBorder="1" applyAlignment="1">
      <alignment horizontal="center"/>
    </xf>
    <xf numFmtId="0" fontId="17" fillId="0" borderId="14" xfId="6" applyFont="1" applyBorder="1" applyAlignment="1">
      <alignment horizontal="center"/>
    </xf>
    <xf numFmtId="0" fontId="17" fillId="0" borderId="42" xfId="6" applyFont="1" applyFill="1" applyBorder="1" applyAlignment="1">
      <alignment horizontal="center"/>
    </xf>
    <xf numFmtId="0" fontId="17" fillId="0" borderId="34" xfId="6" applyFont="1" applyBorder="1" applyAlignment="1">
      <alignment horizontal="center"/>
    </xf>
    <xf numFmtId="0" fontId="17" fillId="0" borderId="37" xfId="6" applyFont="1" applyBorder="1" applyAlignment="1">
      <alignment horizontal="center"/>
    </xf>
    <xf numFmtId="0" fontId="1" fillId="0" borderId="0" xfId="6" applyFill="1" applyAlignment="1">
      <alignment horizontal="center"/>
    </xf>
    <xf numFmtId="0" fontId="1" fillId="0" borderId="0" xfId="6" applyBorder="1" applyAlignment="1">
      <alignment shrinkToFit="1"/>
    </xf>
    <xf numFmtId="0" fontId="10" fillId="0" borderId="0" xfId="6" applyFont="1" applyFill="1" applyBorder="1" applyAlignment="1">
      <alignment horizontal="right"/>
    </xf>
    <xf numFmtId="0" fontId="16" fillId="0" borderId="0" xfId="6" applyFont="1" applyFill="1" applyBorder="1" applyAlignment="1" applyProtection="1">
      <alignment vertical="center"/>
      <protection locked="0"/>
    </xf>
    <xf numFmtId="0" fontId="1" fillId="0" borderId="66" xfId="0" applyFont="1" applyBorder="1" applyAlignment="1" applyProtection="1">
      <alignment vertical="top"/>
      <protection locked="0"/>
    </xf>
    <xf numFmtId="0" fontId="1" fillId="0" borderId="0" xfId="4"/>
    <xf numFmtId="0" fontId="1" fillId="5" borderId="0" xfId="4" applyFill="1" applyProtection="1"/>
    <xf numFmtId="0" fontId="1" fillId="5" borderId="0" xfId="4" applyFont="1" applyFill="1" applyAlignment="1" applyProtection="1">
      <alignment horizontal="center"/>
    </xf>
    <xf numFmtId="0" fontId="1" fillId="0" borderId="0" xfId="4" applyFill="1"/>
    <xf numFmtId="0" fontId="3" fillId="0" borderId="6" xfId="4" applyFont="1" applyBorder="1" applyAlignment="1">
      <alignment horizontal="center"/>
    </xf>
    <xf numFmtId="0" fontId="1" fillId="0" borderId="0" xfId="4" applyAlignment="1">
      <alignment horizontal="right"/>
    </xf>
    <xf numFmtId="0" fontId="1" fillId="0" borderId="0" xfId="4" applyProtection="1">
      <protection locked="0"/>
    </xf>
    <xf numFmtId="0" fontId="1" fillId="5" borderId="0" xfId="4" applyFill="1"/>
    <xf numFmtId="0" fontId="1" fillId="0" borderId="5" xfId="4" applyFont="1" applyBorder="1" applyAlignment="1" applyProtection="1">
      <alignment horizontal="center"/>
      <protection locked="0"/>
    </xf>
    <xf numFmtId="0" fontId="3" fillId="0" borderId="3" xfId="4" applyFont="1" applyBorder="1" applyAlignment="1" applyProtection="1">
      <alignment horizontal="center"/>
      <protection locked="0"/>
    </xf>
    <xf numFmtId="0" fontId="3" fillId="0" borderId="4" xfId="4" applyFont="1" applyBorder="1" applyAlignment="1" applyProtection="1">
      <alignment horizontal="center"/>
      <protection locked="0"/>
    </xf>
    <xf numFmtId="0" fontId="3" fillId="0" borderId="7" xfId="4" applyFont="1" applyBorder="1" applyAlignment="1">
      <alignment horizontal="center"/>
    </xf>
    <xf numFmtId="0" fontId="6" fillId="2" borderId="8" xfId="4" applyFont="1" applyFill="1" applyBorder="1" applyAlignment="1" applyProtection="1">
      <alignment horizontal="center" vertical="center" wrapText="1"/>
      <protection locked="0"/>
    </xf>
    <xf numFmtId="0" fontId="1" fillId="0" borderId="9" xfId="4" applyFont="1" applyBorder="1" applyAlignment="1" applyProtection="1">
      <alignment horizontal="center"/>
      <protection locked="0"/>
    </xf>
    <xf numFmtId="2" fontId="1" fillId="0" borderId="11" xfId="4" applyNumberFormat="1" applyBorder="1" applyAlignment="1">
      <alignment horizontal="center"/>
    </xf>
    <xf numFmtId="2" fontId="1" fillId="0" borderId="12" xfId="4" applyNumberFormat="1" applyBorder="1" applyAlignment="1">
      <alignment horizontal="center"/>
    </xf>
    <xf numFmtId="0" fontId="1" fillId="0" borderId="13" xfId="4" applyFont="1" applyBorder="1" applyAlignment="1" applyProtection="1">
      <alignment horizontal="center"/>
      <protection locked="0"/>
    </xf>
    <xf numFmtId="2" fontId="1" fillId="0" borderId="13" xfId="4" applyNumberFormat="1" applyBorder="1" applyAlignment="1">
      <alignment horizontal="center"/>
    </xf>
    <xf numFmtId="2" fontId="1" fillId="0" borderId="14" xfId="4" applyNumberFormat="1" applyBorder="1" applyAlignment="1">
      <alignment horizontal="center"/>
    </xf>
    <xf numFmtId="0" fontId="3" fillId="0" borderId="8" xfId="4" applyFont="1" applyBorder="1" applyAlignment="1" applyProtection="1">
      <alignment horizontal="center" vertical="center"/>
    </xf>
    <xf numFmtId="0" fontId="7" fillId="0" borderId="8" xfId="4" applyFont="1" applyBorder="1" applyAlignment="1" applyProtection="1">
      <alignment horizontal="center" vertical="center"/>
      <protection locked="0"/>
    </xf>
    <xf numFmtId="0" fontId="3" fillId="2" borderId="8" xfId="4" applyFont="1" applyFill="1" applyBorder="1" applyAlignment="1">
      <alignment horizontal="center" vertical="center"/>
    </xf>
    <xf numFmtId="0" fontId="3" fillId="2" borderId="8" xfId="4" applyFont="1" applyFill="1" applyBorder="1" applyAlignment="1">
      <alignment horizontal="center" vertical="center" wrapText="1"/>
    </xf>
    <xf numFmtId="0" fontId="5" fillId="2" borderId="8" xfId="4" applyFont="1" applyFill="1" applyBorder="1" applyAlignment="1">
      <alignment horizontal="center" vertical="center"/>
    </xf>
    <xf numFmtId="0" fontId="1" fillId="5" borderId="0" xfId="4" applyFill="1" applyBorder="1" applyAlignment="1"/>
    <xf numFmtId="0" fontId="9" fillId="5" borderId="0" xfId="4" applyFont="1" applyFill="1" applyAlignment="1" applyProtection="1">
      <alignment horizontal="center"/>
      <protection locked="0"/>
    </xf>
    <xf numFmtId="0" fontId="9" fillId="5" borderId="0" xfId="4" applyFont="1" applyFill="1" applyBorder="1" applyAlignment="1"/>
    <xf numFmtId="0" fontId="9" fillId="0" borderId="0" xfId="4" applyFont="1" applyFill="1" applyBorder="1" applyAlignment="1"/>
    <xf numFmtId="0" fontId="1" fillId="5" borderId="0" xfId="4" applyFill="1" applyAlignment="1"/>
    <xf numFmtId="0" fontId="9" fillId="5" borderId="0" xfId="4" applyFont="1" applyFill="1"/>
    <xf numFmtId="0" fontId="5" fillId="5" borderId="0" xfId="4" applyFont="1" applyFill="1" applyBorder="1" applyAlignment="1" applyProtection="1">
      <alignment vertical="center" wrapText="1"/>
      <protection locked="0"/>
    </xf>
    <xf numFmtId="0" fontId="3" fillId="5" borderId="0" xfId="4" applyFont="1" applyFill="1" applyBorder="1" applyAlignment="1" applyProtection="1">
      <alignment vertical="center" wrapText="1"/>
      <protection locked="0"/>
    </xf>
    <xf numFmtId="0" fontId="1" fillId="5" borderId="0" xfId="4" applyFill="1" applyBorder="1" applyAlignment="1">
      <alignment horizontal="center" vertical="center"/>
    </xf>
    <xf numFmtId="0" fontId="10" fillId="0" borderId="0" xfId="4" applyFont="1" applyAlignment="1">
      <alignment horizontal="right"/>
    </xf>
    <xf numFmtId="0" fontId="1" fillId="2" borderId="17" xfId="4" applyFill="1" applyBorder="1" applyAlignment="1">
      <alignment horizontal="center" vertical="center"/>
    </xf>
    <xf numFmtId="0" fontId="1" fillId="6" borderId="1" xfId="4" applyFill="1" applyBorder="1" applyAlignment="1">
      <alignment horizontal="center"/>
    </xf>
    <xf numFmtId="0" fontId="1" fillId="2" borderId="1" xfId="4" applyFill="1" applyBorder="1" applyAlignment="1">
      <alignment horizontal="center" vertical="center"/>
    </xf>
    <xf numFmtId="0" fontId="5" fillId="2" borderId="1" xfId="4" applyFont="1" applyFill="1" applyBorder="1" applyProtection="1">
      <protection locked="0"/>
    </xf>
    <xf numFmtId="0" fontId="5" fillId="5" borderId="1" xfId="4" applyFont="1" applyFill="1" applyBorder="1" applyAlignment="1">
      <alignment horizontal="center"/>
    </xf>
    <xf numFmtId="0" fontId="5" fillId="2" borderId="1" xfId="4" applyFont="1" applyFill="1" applyBorder="1" applyAlignment="1" applyProtection="1">
      <alignment horizontal="left"/>
      <protection locked="0"/>
    </xf>
    <xf numFmtId="0" fontId="1" fillId="0" borderId="1" xfId="4" applyBorder="1" applyAlignment="1">
      <alignment horizontal="center" vertical="center"/>
    </xf>
    <xf numFmtId="0" fontId="7" fillId="0" borderId="18" xfId="4" applyFont="1" applyFill="1" applyBorder="1" applyProtection="1">
      <protection locked="0"/>
    </xf>
    <xf numFmtId="0" fontId="1" fillId="5" borderId="19" xfId="4" applyFill="1" applyBorder="1" applyAlignment="1">
      <alignment horizontal="center"/>
    </xf>
    <xf numFmtId="0" fontId="7" fillId="0" borderId="17" xfId="4" applyFont="1" applyFill="1" applyBorder="1" applyAlignment="1" applyProtection="1">
      <alignment horizontal="left"/>
      <protection locked="0"/>
    </xf>
    <xf numFmtId="0" fontId="1" fillId="0" borderId="17" xfId="4" applyBorder="1" applyAlignment="1">
      <alignment horizontal="center" vertical="center"/>
    </xf>
    <xf numFmtId="0" fontId="12" fillId="5" borderId="0" xfId="4" applyFont="1" applyFill="1"/>
    <xf numFmtId="0" fontId="1" fillId="0" borderId="0" xfId="4" applyAlignment="1">
      <alignment horizontal="center"/>
    </xf>
    <xf numFmtId="0" fontId="1" fillId="0" borderId="0" xfId="4" applyFill="1" applyProtection="1">
      <protection hidden="1"/>
    </xf>
    <xf numFmtId="0" fontId="1" fillId="6" borderId="0" xfId="4" applyFill="1" applyProtection="1">
      <protection hidden="1"/>
    </xf>
    <xf numFmtId="0" fontId="1" fillId="6" borderId="0" xfId="4" applyFill="1" applyAlignment="1" applyProtection="1">
      <alignment horizontal="left"/>
      <protection hidden="1"/>
    </xf>
    <xf numFmtId="0" fontId="1" fillId="0" borderId="0" xfId="4" applyFill="1" applyAlignment="1" applyProtection="1">
      <alignment horizontal="center"/>
      <protection hidden="1"/>
    </xf>
    <xf numFmtId="0" fontId="1" fillId="0" borderId="0" xfId="4" applyFill="1" applyAlignment="1" applyProtection="1">
      <alignment wrapText="1"/>
      <protection hidden="1"/>
    </xf>
    <xf numFmtId="0" fontId="1" fillId="0" borderId="0" xfId="4" applyFill="1" applyAlignment="1" applyProtection="1">
      <alignment horizontal="left"/>
      <protection hidden="1"/>
    </xf>
    <xf numFmtId="0" fontId="1" fillId="0" borderId="0" xfId="4" applyProtection="1">
      <protection hidden="1"/>
    </xf>
    <xf numFmtId="0" fontId="1" fillId="0" borderId="0" xfId="4" applyAlignment="1" applyProtection="1">
      <alignment horizontal="left"/>
    </xf>
    <xf numFmtId="0" fontId="1" fillId="0" borderId="0" xfId="4" applyAlignment="1" applyProtection="1">
      <alignment horizontal="center"/>
      <protection locked="0"/>
    </xf>
    <xf numFmtId="0" fontId="3" fillId="0" borderId="0" xfId="4" applyFont="1"/>
    <xf numFmtId="0" fontId="3" fillId="0" borderId="0" xfId="4" applyFont="1" applyProtection="1">
      <protection hidden="1"/>
    </xf>
    <xf numFmtId="0" fontId="1" fillId="0" borderId="0" xfId="4" applyAlignment="1" applyProtection="1">
      <alignment horizontal="center"/>
      <protection hidden="1"/>
    </xf>
    <xf numFmtId="0" fontId="13" fillId="0" borderId="0" xfId="4" applyFont="1"/>
    <xf numFmtId="2" fontId="13" fillId="0" borderId="0" xfId="4" applyNumberFormat="1" applyFont="1"/>
    <xf numFmtId="2" fontId="1" fillId="0" borderId="0" xfId="4" applyNumberFormat="1"/>
    <xf numFmtId="2" fontId="1" fillId="0" borderId="0" xfId="4" applyNumberFormat="1" applyAlignment="1" applyProtection="1">
      <alignment horizontal="left"/>
    </xf>
    <xf numFmtId="2" fontId="1" fillId="0" borderId="0" xfId="4" applyNumberFormat="1" applyAlignment="1" applyProtection="1">
      <alignment horizontal="center"/>
      <protection locked="0"/>
    </xf>
    <xf numFmtId="2" fontId="1" fillId="0" borderId="0" xfId="4" applyNumberFormat="1" applyProtection="1">
      <protection hidden="1"/>
    </xf>
    <xf numFmtId="2" fontId="1" fillId="0" borderId="0" xfId="4" applyNumberFormat="1" applyAlignment="1" applyProtection="1">
      <alignment horizontal="center"/>
      <protection hidden="1"/>
    </xf>
    <xf numFmtId="1" fontId="13" fillId="0" borderId="0" xfId="4" applyNumberFormat="1" applyFont="1"/>
    <xf numFmtId="1" fontId="1" fillId="0" borderId="0" xfId="4" applyNumberFormat="1"/>
    <xf numFmtId="1" fontId="1" fillId="0" borderId="0" xfId="4" applyNumberFormat="1" applyAlignment="1" applyProtection="1">
      <alignment horizontal="left"/>
    </xf>
    <xf numFmtId="1" fontId="1" fillId="0" borderId="0" xfId="4" applyNumberFormat="1" applyAlignment="1" applyProtection="1">
      <alignment horizontal="center"/>
      <protection locked="0"/>
    </xf>
    <xf numFmtId="1" fontId="1" fillId="0" borderId="0" xfId="4" applyNumberFormat="1" applyProtection="1">
      <protection hidden="1"/>
    </xf>
    <xf numFmtId="1" fontId="1" fillId="0" borderId="0" xfId="4" applyNumberFormat="1" applyAlignment="1" applyProtection="1">
      <alignment horizontal="center"/>
      <protection hidden="1"/>
    </xf>
    <xf numFmtId="0" fontId="1" fillId="0" borderId="21" xfId="4" applyBorder="1" applyProtection="1">
      <protection locked="0"/>
    </xf>
    <xf numFmtId="0" fontId="1" fillId="0" borderId="20" xfId="4" applyBorder="1" applyProtection="1">
      <protection locked="0"/>
    </xf>
    <xf numFmtId="0" fontId="15" fillId="0" borderId="0" xfId="4" applyFont="1" applyFill="1" applyBorder="1" applyAlignment="1">
      <alignment horizontal="center"/>
    </xf>
    <xf numFmtId="0" fontId="5" fillId="0" borderId="0" xfId="4" applyFont="1" applyAlignment="1">
      <alignment horizontal="center"/>
    </xf>
    <xf numFmtId="0" fontId="1" fillId="0" borderId="0" xfId="4" applyFont="1" applyAlignment="1">
      <alignment horizontal="left"/>
    </xf>
    <xf numFmtId="0" fontId="10" fillId="0" borderId="0" xfId="4" applyFont="1"/>
    <xf numFmtId="0" fontId="1" fillId="0" borderId="0" xfId="4" applyBorder="1"/>
    <xf numFmtId="0" fontId="1" fillId="0" borderId="0" xfId="4" applyBorder="1" applyAlignment="1">
      <alignment horizontal="center"/>
    </xf>
    <xf numFmtId="0" fontId="1" fillId="0" borderId="21" xfId="4" applyBorder="1"/>
    <xf numFmtId="0" fontId="10" fillId="0" borderId="0" xfId="4" applyFont="1" applyBorder="1" applyAlignment="1" applyProtection="1">
      <alignment horizontal="center"/>
      <protection locked="0"/>
    </xf>
    <xf numFmtId="0" fontId="1" fillId="0" borderId="0" xfId="4" applyBorder="1" applyAlignment="1" applyProtection="1">
      <protection locked="0"/>
    </xf>
    <xf numFmtId="0" fontId="1" fillId="0" borderId="0" xfId="4" applyBorder="1" applyProtection="1">
      <protection locked="0"/>
    </xf>
    <xf numFmtId="0" fontId="15" fillId="0" borderId="0" xfId="4" applyFont="1" applyBorder="1" applyAlignment="1" applyProtection="1">
      <protection locked="0"/>
    </xf>
    <xf numFmtId="0" fontId="10" fillId="0" borderId="0" xfId="4" applyFont="1" applyBorder="1" applyAlignment="1" applyProtection="1">
      <protection locked="0"/>
    </xf>
    <xf numFmtId="0" fontId="1" fillId="0" borderId="0" xfId="4" applyBorder="1" applyAlignment="1" applyProtection="1">
      <alignment horizontal="center"/>
      <protection locked="0"/>
    </xf>
    <xf numFmtId="0" fontId="1" fillId="0" borderId="0" xfId="4" applyBorder="1" applyAlignment="1"/>
    <xf numFmtId="0" fontId="1" fillId="0" borderId="21" xfId="4" applyBorder="1" applyAlignment="1" applyProtection="1">
      <alignment horizontal="center"/>
      <protection locked="0"/>
    </xf>
    <xf numFmtId="0" fontId="1" fillId="0" borderId="8" xfId="4" applyBorder="1" applyAlignment="1">
      <alignment horizontal="center"/>
    </xf>
    <xf numFmtId="0" fontId="1" fillId="0" borderId="0" xfId="4" applyFill="1" applyBorder="1"/>
    <xf numFmtId="0" fontId="3" fillId="2" borderId="13" xfId="4" applyFont="1" applyFill="1" applyBorder="1" applyAlignment="1" applyProtection="1">
      <alignment horizontal="right"/>
      <protection locked="0"/>
    </xf>
    <xf numFmtId="0" fontId="3" fillId="5" borderId="1" xfId="4" applyFont="1" applyFill="1" applyBorder="1" applyAlignment="1">
      <alignment horizontal="center"/>
    </xf>
    <xf numFmtId="0" fontId="3" fillId="2" borderId="1" xfId="4" applyFont="1" applyFill="1" applyBorder="1" applyAlignment="1" applyProtection="1">
      <alignment horizontal="left"/>
      <protection locked="0"/>
    </xf>
    <xf numFmtId="0" fontId="3" fillId="2" borderId="1" xfId="4" applyFont="1" applyFill="1" applyBorder="1" applyProtection="1">
      <protection locked="0"/>
    </xf>
    <xf numFmtId="0" fontId="3" fillId="2" borderId="1" xfId="4" applyFont="1" applyFill="1" applyBorder="1" applyProtection="1"/>
    <xf numFmtId="0" fontId="3" fillId="5" borderId="1" xfId="4" applyFont="1" applyFill="1" applyBorder="1" applyAlignment="1" applyProtection="1">
      <alignment horizontal="center"/>
    </xf>
    <xf numFmtId="0" fontId="3" fillId="2" borderId="14" xfId="4" applyFont="1" applyFill="1" applyBorder="1" applyAlignment="1" applyProtection="1">
      <alignment horizontal="left"/>
    </xf>
    <xf numFmtId="0" fontId="3" fillId="0" borderId="27" xfId="4" applyFont="1" applyFill="1" applyBorder="1" applyAlignment="1">
      <alignment horizontal="center"/>
    </xf>
    <xf numFmtId="0" fontId="3" fillId="0" borderId="28" xfId="4" applyFont="1" applyFill="1" applyBorder="1" applyAlignment="1">
      <alignment horizontal="center"/>
    </xf>
    <xf numFmtId="0" fontId="3" fillId="2" borderId="29" xfId="4" applyFont="1" applyFill="1" applyBorder="1" applyAlignment="1" applyProtection="1">
      <alignment horizontal="right"/>
      <protection locked="0"/>
    </xf>
    <xf numFmtId="0" fontId="3" fillId="5" borderId="19" xfId="4" applyFont="1" applyFill="1" applyBorder="1" applyAlignment="1">
      <alignment horizontal="center"/>
    </xf>
    <xf numFmtId="0" fontId="3" fillId="2" borderId="19" xfId="4" applyFont="1" applyFill="1" applyBorder="1" applyAlignment="1" applyProtection="1">
      <alignment horizontal="left"/>
      <protection locked="0"/>
    </xf>
    <xf numFmtId="0" fontId="3" fillId="0" borderId="22" xfId="4" applyFont="1" applyFill="1" applyBorder="1" applyAlignment="1">
      <alignment horizontal="center"/>
    </xf>
    <xf numFmtId="0" fontId="3" fillId="0" borderId="23" xfId="4" applyFont="1" applyFill="1" applyBorder="1" applyAlignment="1">
      <alignment horizontal="center"/>
    </xf>
    <xf numFmtId="0" fontId="3" fillId="0" borderId="24" xfId="4" applyFont="1" applyFill="1" applyBorder="1" applyAlignment="1">
      <alignment horizontal="center"/>
    </xf>
    <xf numFmtId="0" fontId="1" fillId="0" borderId="29" xfId="4" applyFill="1" applyBorder="1" applyProtection="1">
      <protection locked="0"/>
    </xf>
    <xf numFmtId="0" fontId="1" fillId="0" borderId="17" xfId="4" applyFill="1" applyBorder="1" applyAlignment="1" applyProtection="1">
      <alignment horizontal="left"/>
      <protection locked="0"/>
    </xf>
    <xf numFmtId="0" fontId="1" fillId="0" borderId="18" xfId="4" applyFill="1" applyBorder="1" applyProtection="1">
      <protection locked="0"/>
    </xf>
    <xf numFmtId="0" fontId="1" fillId="0" borderId="30" xfId="4" applyFill="1" applyBorder="1" applyAlignment="1" applyProtection="1">
      <alignment horizontal="left"/>
      <protection locked="0"/>
    </xf>
    <xf numFmtId="0" fontId="1" fillId="0" borderId="0" xfId="4" applyFill="1" applyBorder="1" applyAlignment="1"/>
    <xf numFmtId="0" fontId="1" fillId="0" borderId="31" xfId="4" applyFill="1" applyBorder="1" applyProtection="1">
      <protection locked="0"/>
    </xf>
    <xf numFmtId="0" fontId="1" fillId="5" borderId="32" xfId="4" applyFill="1" applyBorder="1" applyAlignment="1">
      <alignment horizontal="center"/>
    </xf>
    <xf numFmtId="0" fontId="1" fillId="0" borderId="33" xfId="4" applyFill="1" applyBorder="1" applyAlignment="1" applyProtection="1">
      <alignment horizontal="left"/>
      <protection locked="0"/>
    </xf>
    <xf numFmtId="0" fontId="1" fillId="0" borderId="34" xfId="4" applyFill="1" applyBorder="1" applyProtection="1">
      <protection locked="0"/>
    </xf>
    <xf numFmtId="0" fontId="1" fillId="0" borderId="35" xfId="4" applyFill="1" applyBorder="1" applyAlignment="1" applyProtection="1">
      <alignment horizontal="left"/>
      <protection locked="0"/>
    </xf>
    <xf numFmtId="0" fontId="1" fillId="0" borderId="0" xfId="4" applyFill="1" applyBorder="1" applyAlignment="1">
      <alignment horizontal="center"/>
    </xf>
    <xf numFmtId="0" fontId="1" fillId="0" borderId="0" xfId="4" applyAlignment="1"/>
    <xf numFmtId="0" fontId="1" fillId="0" borderId="39" xfId="4" applyBorder="1"/>
    <xf numFmtId="0" fontId="1" fillId="0" borderId="0" xfId="4" applyBorder="1" applyAlignment="1">
      <alignment shrinkToFit="1"/>
    </xf>
    <xf numFmtId="0" fontId="1" fillId="0" borderId="39" xfId="4" applyBorder="1" applyAlignment="1"/>
    <xf numFmtId="0" fontId="1" fillId="0" borderId="64" xfId="0" applyFont="1" applyFill="1" applyBorder="1" applyAlignment="1">
      <alignment vertical="center" wrapText="1"/>
    </xf>
    <xf numFmtId="0" fontId="1" fillId="0" borderId="20" xfId="4" applyBorder="1" applyAlignment="1" applyProtection="1">
      <alignment horizontal="center"/>
      <protection locked="0"/>
    </xf>
    <xf numFmtId="0" fontId="5" fillId="0" borderId="0" xfId="4" applyFont="1" applyAlignment="1" applyProtection="1">
      <alignment horizontal="center"/>
      <protection locked="0"/>
    </xf>
    <xf numFmtId="0" fontId="1" fillId="0" borderId="0" xfId="4" applyFont="1" applyBorder="1" applyAlignment="1" applyProtection="1">
      <alignment horizontal="center"/>
      <protection locked="0"/>
    </xf>
    <xf numFmtId="0" fontId="19" fillId="17" borderId="0" xfId="8" applyFill="1" applyBorder="1"/>
    <xf numFmtId="177" fontId="19" fillId="17" borderId="0" xfId="8" applyNumberFormat="1" applyFill="1" applyBorder="1"/>
    <xf numFmtId="0" fontId="1" fillId="8" borderId="15" xfId="4" applyFont="1" applyFill="1" applyBorder="1" applyAlignment="1" applyProtection="1">
      <alignment horizontal="center"/>
      <protection locked="0"/>
    </xf>
    <xf numFmtId="0" fontId="1" fillId="8" borderId="44" xfId="4" applyFill="1" applyBorder="1" applyAlignment="1" applyProtection="1">
      <alignment horizontal="center"/>
      <protection locked="0"/>
    </xf>
    <xf numFmtId="0" fontId="1" fillId="8" borderId="45" xfId="4" applyFill="1" applyBorder="1" applyAlignment="1" applyProtection="1">
      <alignment horizontal="center"/>
      <protection locked="0"/>
    </xf>
    <xf numFmtId="0" fontId="1" fillId="8" borderId="16" xfId="4" applyFill="1" applyBorder="1" applyAlignment="1" applyProtection="1">
      <alignment horizontal="center"/>
      <protection locked="0"/>
    </xf>
    <xf numFmtId="2" fontId="1" fillId="8" borderId="15" xfId="4" applyNumberFormat="1" applyFill="1" applyBorder="1" applyAlignment="1">
      <alignment horizontal="center"/>
    </xf>
    <xf numFmtId="2" fontId="1" fillId="8" borderId="16" xfId="4" applyNumberFormat="1" applyFill="1" applyBorder="1" applyAlignment="1">
      <alignment horizontal="center"/>
    </xf>
    <xf numFmtId="0" fontId="10" fillId="2" borderId="3" xfId="4" applyFont="1" applyFill="1" applyBorder="1" applyAlignment="1">
      <alignment horizontal="center"/>
    </xf>
    <xf numFmtId="0" fontId="1" fillId="2" borderId="4" xfId="4" applyFill="1" applyBorder="1" applyAlignment="1">
      <alignment horizontal="center"/>
    </xf>
    <xf numFmtId="0" fontId="1" fillId="2" borderId="6" xfId="4" applyFill="1" applyBorder="1" applyAlignment="1">
      <alignment horizontal="center"/>
    </xf>
    <xf numFmtId="0" fontId="17" fillId="0" borderId="40" xfId="4" applyFont="1" applyBorder="1" applyAlignment="1">
      <alignment horizontal="center"/>
    </xf>
    <xf numFmtId="0" fontId="17" fillId="0" borderId="10" xfId="4" applyFont="1" applyBorder="1" applyAlignment="1">
      <alignment horizontal="center"/>
    </xf>
    <xf numFmtId="0" fontId="17" fillId="0" borderId="41" xfId="4" applyFont="1" applyFill="1" applyBorder="1" applyAlignment="1">
      <alignment horizontal="center"/>
    </xf>
    <xf numFmtId="0" fontId="17" fillId="0" borderId="1" xfId="4" applyFont="1" applyFill="1" applyBorder="1" applyAlignment="1">
      <alignment horizontal="center"/>
    </xf>
    <xf numFmtId="0" fontId="17" fillId="0" borderId="18" xfId="4" applyFont="1" applyBorder="1" applyAlignment="1">
      <alignment horizontal="center"/>
    </xf>
    <xf numFmtId="0" fontId="17" fillId="0" borderId="14" xfId="4" applyFont="1" applyBorder="1" applyAlignment="1">
      <alignment horizontal="center"/>
    </xf>
    <xf numFmtId="0" fontId="17" fillId="0" borderId="42" xfId="4" applyFont="1" applyFill="1" applyBorder="1" applyAlignment="1">
      <alignment horizontal="center"/>
    </xf>
    <xf numFmtId="0" fontId="17" fillId="0" borderId="34" xfId="4" applyFont="1" applyBorder="1" applyAlignment="1">
      <alignment horizontal="center"/>
    </xf>
    <xf numFmtId="0" fontId="17" fillId="0" borderId="37" xfId="4" applyFont="1" applyBorder="1" applyAlignment="1">
      <alignment horizontal="center"/>
    </xf>
    <xf numFmtId="0" fontId="1" fillId="0" borderId="0" xfId="4" applyFill="1" applyAlignment="1">
      <alignment horizontal="center"/>
    </xf>
    <xf numFmtId="0" fontId="1" fillId="0" borderId="0" xfId="4" applyFill="1" applyBorder="1" applyAlignment="1" applyProtection="1">
      <protection locked="0"/>
    </xf>
    <xf numFmtId="0" fontId="10" fillId="0" borderId="0" xfId="4" applyFont="1" applyFill="1" applyBorder="1" applyAlignment="1" applyProtection="1">
      <alignment horizontal="center"/>
      <protection locked="0"/>
    </xf>
    <xf numFmtId="0" fontId="10" fillId="0" borderId="0" xfId="4" applyFont="1" applyFill="1" applyBorder="1" applyAlignment="1" applyProtection="1">
      <protection locked="0"/>
    </xf>
    <xf numFmtId="0" fontId="15" fillId="0" borderId="0" xfId="4" applyFont="1" applyFill="1" applyBorder="1" applyAlignment="1" applyProtection="1">
      <protection locked="0"/>
    </xf>
    <xf numFmtId="0" fontId="15" fillId="0" borderId="0" xfId="4" applyFont="1" applyFill="1" applyBorder="1" applyAlignment="1"/>
    <xf numFmtId="0" fontId="1" fillId="0" borderId="0" xfId="4" applyFill="1" applyBorder="1" applyAlignment="1" applyProtection="1"/>
    <xf numFmtId="0" fontId="5" fillId="0" borderId="0" xfId="4" applyFont="1" applyFill="1" applyBorder="1" applyAlignment="1">
      <alignment horizontal="center"/>
    </xf>
    <xf numFmtId="0" fontId="5" fillId="0" borderId="0" xfId="4" applyFont="1" applyFill="1" applyBorder="1" applyAlignment="1" applyProtection="1">
      <protection locked="0"/>
    </xf>
    <xf numFmtId="20" fontId="1" fillId="0" borderId="0" xfId="4" applyNumberFormat="1" applyFill="1" applyBorder="1" applyAlignment="1" applyProtection="1">
      <protection locked="0"/>
    </xf>
    <xf numFmtId="0" fontId="10" fillId="0" borderId="0" xfId="4" applyFont="1" applyFill="1" applyBorder="1" applyAlignment="1">
      <alignment horizontal="right"/>
    </xf>
    <xf numFmtId="1" fontId="1" fillId="0" borderId="0" xfId="4" applyNumberFormat="1" applyFill="1" applyBorder="1" applyAlignment="1" applyProtection="1">
      <protection locked="0"/>
    </xf>
    <xf numFmtId="0" fontId="3" fillId="0" borderId="0" xfId="4" applyFont="1" applyFill="1" applyBorder="1" applyAlignment="1"/>
    <xf numFmtId="0" fontId="3" fillId="0" borderId="0" xfId="4" applyFont="1" applyFill="1" applyBorder="1" applyProtection="1">
      <protection locked="0"/>
    </xf>
    <xf numFmtId="0" fontId="3" fillId="0" borderId="0" xfId="4" applyFont="1" applyFill="1" applyBorder="1" applyAlignment="1">
      <alignment horizontal="center"/>
    </xf>
    <xf numFmtId="0" fontId="3" fillId="0" borderId="0" xfId="4" applyFont="1" applyFill="1" applyBorder="1" applyAlignment="1" applyProtection="1">
      <alignment horizontal="left"/>
      <protection locked="0"/>
    </xf>
    <xf numFmtId="0" fontId="1" fillId="0" borderId="0" xfId="4" applyFill="1" applyBorder="1" applyProtection="1">
      <protection locked="0"/>
    </xf>
    <xf numFmtId="0" fontId="1" fillId="0" borderId="0" xfId="4" applyFill="1" applyBorder="1" applyAlignment="1" applyProtection="1">
      <alignment horizontal="left"/>
      <protection locked="0"/>
    </xf>
    <xf numFmtId="0" fontId="16" fillId="0" borderId="0" xfId="4" applyFont="1" applyFill="1" applyBorder="1" applyAlignment="1" applyProtection="1">
      <alignment vertical="center"/>
      <protection locked="0"/>
    </xf>
    <xf numFmtId="0" fontId="1" fillId="16" borderId="64" xfId="0" applyFont="1" applyFill="1" applyBorder="1" applyAlignment="1" applyProtection="1">
      <alignment vertical="top"/>
      <protection locked="0"/>
    </xf>
    <xf numFmtId="0" fontId="1" fillId="0" borderId="0" xfId="0" applyFont="1" applyBorder="1" applyAlignment="1" applyProtection="1">
      <alignment vertical="top"/>
      <protection locked="0"/>
    </xf>
    <xf numFmtId="0" fontId="1" fillId="0" borderId="65" xfId="0" applyFont="1" applyFill="1" applyBorder="1" applyAlignment="1" applyProtection="1">
      <alignment vertical="top"/>
      <protection locked="0"/>
    </xf>
    <xf numFmtId="0" fontId="0" fillId="0" borderId="0" xfId="0" applyProtection="1">
      <protection locked="0"/>
    </xf>
    <xf numFmtId="0" fontId="1" fillId="0" borderId="64" xfId="0" applyFont="1" applyFill="1" applyBorder="1" applyAlignment="1" applyProtection="1">
      <alignment vertical="top"/>
      <protection locked="0"/>
    </xf>
    <xf numFmtId="0" fontId="25" fillId="0" borderId="64" xfId="0" applyFont="1" applyBorder="1" applyProtection="1">
      <protection locked="0"/>
    </xf>
    <xf numFmtId="0" fontId="1" fillId="15" borderId="64" xfId="0" applyFont="1" applyFill="1" applyBorder="1" applyAlignment="1" applyProtection="1">
      <alignment vertical="top"/>
      <protection locked="0"/>
    </xf>
    <xf numFmtId="0" fontId="3" fillId="0" borderId="27" xfId="4" applyFont="1" applyFill="1" applyBorder="1" applyAlignment="1">
      <alignment horizontal="center"/>
    </xf>
    <xf numFmtId="0" fontId="3" fillId="0" borderId="47" xfId="4" applyFont="1" applyFill="1" applyBorder="1" applyAlignment="1">
      <alignment horizontal="center"/>
    </xf>
    <xf numFmtId="0" fontId="3" fillId="0" borderId="28" xfId="4" applyFont="1" applyFill="1" applyBorder="1" applyAlignment="1">
      <alignment horizontal="center"/>
    </xf>
    <xf numFmtId="0" fontId="16" fillId="9" borderId="22" xfId="4" applyFont="1" applyFill="1" applyBorder="1" applyAlignment="1" applyProtection="1">
      <alignment horizontal="center" vertical="center"/>
    </xf>
    <xf numFmtId="0" fontId="16" fillId="9" borderId="23" xfId="4" applyFont="1" applyFill="1" applyBorder="1" applyAlignment="1" applyProtection="1">
      <alignment horizontal="center" vertical="center"/>
    </xf>
    <xf numFmtId="0" fontId="16" fillId="9" borderId="24" xfId="4" applyFont="1" applyFill="1" applyBorder="1" applyAlignment="1" applyProtection="1">
      <alignment horizontal="center" vertical="center"/>
    </xf>
    <xf numFmtId="0" fontId="16" fillId="9" borderId="21" xfId="4" applyFont="1" applyFill="1" applyBorder="1" applyAlignment="1" applyProtection="1">
      <alignment horizontal="center" vertical="center"/>
    </xf>
    <xf numFmtId="0" fontId="16" fillId="9" borderId="0" xfId="4" applyFont="1" applyFill="1" applyBorder="1" applyAlignment="1" applyProtection="1">
      <alignment horizontal="center" vertical="center"/>
    </xf>
    <xf numFmtId="0" fontId="16" fillId="9" borderId="39" xfId="4" applyFont="1" applyFill="1" applyBorder="1" applyAlignment="1" applyProtection="1">
      <alignment horizontal="center" vertical="center"/>
    </xf>
    <xf numFmtId="0" fontId="16" fillId="9" borderId="20" xfId="4" applyFont="1" applyFill="1" applyBorder="1" applyAlignment="1" applyProtection="1">
      <alignment horizontal="center" vertical="center"/>
    </xf>
    <xf numFmtId="0" fontId="16" fillId="9" borderId="25" xfId="4" applyFont="1" applyFill="1" applyBorder="1" applyAlignment="1" applyProtection="1">
      <alignment horizontal="center" vertical="center"/>
    </xf>
    <xf numFmtId="0" fontId="16" fillId="9" borderId="26" xfId="4" applyFont="1" applyFill="1" applyBorder="1" applyAlignment="1" applyProtection="1">
      <alignment horizontal="center" vertical="center"/>
    </xf>
    <xf numFmtId="0" fontId="1" fillId="0" borderId="0" xfId="4" applyBorder="1" applyAlignment="1">
      <alignment horizontal="center"/>
    </xf>
    <xf numFmtId="20" fontId="1" fillId="0" borderId="48" xfId="4" applyNumberFormat="1" applyFill="1" applyBorder="1" applyAlignment="1" applyProtection="1">
      <alignment horizontal="center"/>
      <protection locked="0"/>
    </xf>
    <xf numFmtId="0" fontId="1" fillId="0" borderId="49" xfId="4" applyFill="1" applyBorder="1" applyAlignment="1" applyProtection="1">
      <alignment horizontal="center"/>
      <protection locked="0"/>
    </xf>
    <xf numFmtId="0" fontId="1" fillId="0" borderId="50" xfId="4" applyFill="1" applyBorder="1" applyAlignment="1" applyProtection="1">
      <alignment horizontal="center"/>
      <protection locked="0"/>
    </xf>
    <xf numFmtId="20" fontId="1" fillId="0" borderId="51" xfId="4" applyNumberFormat="1" applyFill="1" applyBorder="1" applyAlignment="1" applyProtection="1">
      <alignment horizontal="center"/>
      <protection locked="0"/>
    </xf>
    <xf numFmtId="0" fontId="1" fillId="0" borderId="52" xfId="4" applyFill="1" applyBorder="1" applyAlignment="1" applyProtection="1">
      <alignment horizontal="center"/>
      <protection locked="0"/>
    </xf>
    <xf numFmtId="0" fontId="24" fillId="16" borderId="22" xfId="4" applyFont="1" applyFill="1" applyBorder="1" applyAlignment="1" applyProtection="1">
      <alignment horizontal="center" vertical="center" wrapText="1"/>
    </xf>
    <xf numFmtId="0" fontId="1" fillId="16" borderId="23" xfId="4" applyFill="1" applyBorder="1" applyAlignment="1" applyProtection="1">
      <alignment vertical="center"/>
    </xf>
    <xf numFmtId="0" fontId="1" fillId="16" borderId="24" xfId="4" applyFill="1" applyBorder="1" applyAlignment="1" applyProtection="1">
      <alignment vertical="center"/>
    </xf>
    <xf numFmtId="0" fontId="1" fillId="16" borderId="21" xfId="4" applyFill="1" applyBorder="1" applyAlignment="1" applyProtection="1">
      <alignment vertical="center"/>
    </xf>
    <xf numFmtId="0" fontId="1" fillId="16" borderId="0" xfId="4" applyFill="1" applyAlignment="1" applyProtection="1">
      <alignment vertical="center"/>
    </xf>
    <xf numFmtId="0" fontId="1" fillId="16" borderId="39" xfId="4" applyFill="1" applyBorder="1" applyAlignment="1" applyProtection="1">
      <alignment vertical="center"/>
    </xf>
    <xf numFmtId="0" fontId="1" fillId="16" borderId="20" xfId="4" applyFill="1" applyBorder="1" applyAlignment="1" applyProtection="1">
      <alignment vertical="center"/>
    </xf>
    <xf numFmtId="0" fontId="1" fillId="16" borderId="25" xfId="4" applyFill="1" applyBorder="1" applyAlignment="1" applyProtection="1">
      <alignment vertical="center"/>
    </xf>
    <xf numFmtId="0" fontId="1" fillId="16" borderId="26" xfId="4" applyFill="1" applyBorder="1" applyAlignment="1" applyProtection="1">
      <alignment vertical="center"/>
    </xf>
    <xf numFmtId="1" fontId="1" fillId="0" borderId="29" xfId="4" applyNumberFormat="1" applyFill="1" applyBorder="1" applyAlignment="1" applyProtection="1">
      <alignment horizontal="center"/>
      <protection locked="0"/>
    </xf>
    <xf numFmtId="1" fontId="1" fillId="0" borderId="19" xfId="4" applyNumberFormat="1" applyFill="1" applyBorder="1" applyAlignment="1" applyProtection="1">
      <alignment horizontal="center"/>
      <protection locked="0"/>
    </xf>
    <xf numFmtId="1" fontId="1" fillId="0" borderId="17" xfId="4" applyNumberFormat="1" applyFill="1" applyBorder="1" applyAlignment="1" applyProtection="1">
      <alignment horizontal="center"/>
      <protection locked="0"/>
    </xf>
    <xf numFmtId="1" fontId="1" fillId="0" borderId="18" xfId="4" applyNumberFormat="1" applyFill="1" applyBorder="1" applyAlignment="1" applyProtection="1">
      <alignment horizontal="center"/>
      <protection locked="0"/>
    </xf>
    <xf numFmtId="1" fontId="1" fillId="0" borderId="30" xfId="4" applyNumberFormat="1" applyFill="1" applyBorder="1" applyAlignment="1" applyProtection="1">
      <alignment horizontal="center"/>
      <protection locked="0"/>
    </xf>
    <xf numFmtId="0" fontId="3" fillId="6" borderId="29" xfId="4" applyFont="1" applyFill="1" applyBorder="1" applyAlignment="1">
      <alignment horizontal="center"/>
    </xf>
    <xf numFmtId="0" fontId="3" fillId="6" borderId="19" xfId="4" applyFont="1" applyFill="1" applyBorder="1" applyAlignment="1">
      <alignment horizontal="center"/>
    </xf>
    <xf numFmtId="0" fontId="3" fillId="6" borderId="17" xfId="4" applyFont="1" applyFill="1" applyBorder="1" applyAlignment="1">
      <alignment horizontal="center"/>
    </xf>
    <xf numFmtId="0" fontId="3" fillId="6" borderId="18" xfId="4" applyFont="1" applyFill="1" applyBorder="1" applyAlignment="1">
      <alignment horizontal="center"/>
    </xf>
    <xf numFmtId="0" fontId="3" fillId="6" borderId="30" xfId="4" applyFont="1" applyFill="1" applyBorder="1" applyAlignment="1">
      <alignment horizontal="center"/>
    </xf>
    <xf numFmtId="0" fontId="1" fillId="0" borderId="27" xfId="4" applyBorder="1" applyAlignment="1" applyProtection="1">
      <alignment horizontal="center" shrinkToFit="1"/>
    </xf>
    <xf numFmtId="0" fontId="1" fillId="0" borderId="47" xfId="4" applyBorder="1" applyAlignment="1" applyProtection="1">
      <alignment horizontal="center" shrinkToFit="1"/>
    </xf>
    <xf numFmtId="0" fontId="1" fillId="0" borderId="28" xfId="4" applyBorder="1" applyAlignment="1" applyProtection="1">
      <alignment horizontal="center" shrinkToFit="1"/>
    </xf>
    <xf numFmtId="0" fontId="1" fillId="0" borderId="27" xfId="4" applyBorder="1" applyAlignment="1" applyProtection="1">
      <alignment horizontal="center"/>
    </xf>
    <xf numFmtId="0" fontId="1" fillId="0" borderId="47" xfId="4" applyBorder="1" applyAlignment="1" applyProtection="1">
      <alignment horizontal="center"/>
    </xf>
    <xf numFmtId="0" fontId="1" fillId="0" borderId="28" xfId="4" applyBorder="1" applyAlignment="1" applyProtection="1">
      <alignment horizontal="center"/>
    </xf>
    <xf numFmtId="0" fontId="1" fillId="0" borderId="25" xfId="4" applyBorder="1" applyAlignment="1">
      <alignment horizontal="center" shrinkToFit="1"/>
    </xf>
    <xf numFmtId="0" fontId="1" fillId="0" borderId="26" xfId="4" applyBorder="1" applyAlignment="1">
      <alignment horizontal="center" shrinkToFit="1"/>
    </xf>
    <xf numFmtId="0" fontId="10" fillId="0" borderId="23" xfId="4" applyFont="1" applyBorder="1" applyAlignment="1" applyProtection="1">
      <alignment horizontal="center" shrinkToFit="1"/>
      <protection locked="0"/>
    </xf>
    <xf numFmtId="0" fontId="5" fillId="0" borderId="0" xfId="4" applyFont="1" applyAlignment="1" applyProtection="1">
      <alignment horizontal="center"/>
      <protection locked="0"/>
    </xf>
    <xf numFmtId="0" fontId="1" fillId="10" borderId="27" xfId="4" applyFill="1" applyBorder="1" applyAlignment="1">
      <alignment horizontal="center"/>
    </xf>
    <xf numFmtId="0" fontId="1" fillId="10" borderId="47" xfId="4" applyFill="1" applyBorder="1" applyAlignment="1">
      <alignment horizontal="center"/>
    </xf>
    <xf numFmtId="0" fontId="1" fillId="10" borderId="28" xfId="4" applyFill="1" applyBorder="1" applyAlignment="1">
      <alignment horizontal="center"/>
    </xf>
    <xf numFmtId="0" fontId="1" fillId="4" borderId="27" xfId="4" applyFill="1" applyBorder="1" applyAlignment="1">
      <alignment horizontal="center"/>
    </xf>
    <xf numFmtId="0" fontId="1" fillId="4" borderId="47" xfId="4" applyFill="1" applyBorder="1" applyAlignment="1">
      <alignment horizontal="center"/>
    </xf>
    <xf numFmtId="0" fontId="1" fillId="4" borderId="28" xfId="4" applyFill="1" applyBorder="1" applyAlignment="1">
      <alignment horizontal="center"/>
    </xf>
    <xf numFmtId="0" fontId="1" fillId="0" borderId="21" xfId="4" applyBorder="1" applyAlignment="1" applyProtection="1">
      <alignment horizontal="center"/>
      <protection locked="0"/>
    </xf>
    <xf numFmtId="0" fontId="1" fillId="0" borderId="0" xfId="4" applyBorder="1" applyAlignment="1" applyProtection="1">
      <alignment horizontal="center"/>
      <protection locked="0"/>
    </xf>
    <xf numFmtId="0" fontId="1" fillId="0" borderId="20" xfId="4" applyBorder="1" applyAlignment="1" applyProtection="1">
      <alignment horizontal="left"/>
      <protection locked="0"/>
    </xf>
    <xf numFmtId="0" fontId="1" fillId="0" borderId="25" xfId="4" applyBorder="1" applyAlignment="1" applyProtection="1">
      <alignment horizontal="left"/>
      <protection locked="0"/>
    </xf>
    <xf numFmtId="0" fontId="1" fillId="0" borderId="26" xfId="4" applyBorder="1" applyAlignment="1" applyProtection="1">
      <alignment horizontal="left"/>
      <protection locked="0"/>
    </xf>
    <xf numFmtId="0" fontId="1" fillId="0" borderId="21" xfId="4" applyBorder="1" applyAlignment="1" applyProtection="1">
      <alignment horizontal="left"/>
      <protection locked="0"/>
    </xf>
    <xf numFmtId="0" fontId="1" fillId="0" borderId="0" xfId="4" applyBorder="1" applyAlignment="1" applyProtection="1">
      <alignment horizontal="left"/>
      <protection locked="0"/>
    </xf>
    <xf numFmtId="0" fontId="15" fillId="0" borderId="0" xfId="4" applyFont="1" applyBorder="1" applyAlignment="1" applyProtection="1">
      <alignment horizontal="center"/>
      <protection locked="0"/>
    </xf>
    <xf numFmtId="0" fontId="15" fillId="0" borderId="39" xfId="4" applyFont="1" applyBorder="1" applyAlignment="1" applyProtection="1">
      <alignment horizontal="center"/>
      <protection locked="0"/>
    </xf>
    <xf numFmtId="0" fontId="1" fillId="0" borderId="21" xfId="4" applyBorder="1" applyAlignment="1">
      <alignment horizontal="left" shrinkToFit="1"/>
    </xf>
    <xf numFmtId="0" fontId="1" fillId="0" borderId="0" xfId="4" applyBorder="1" applyAlignment="1">
      <alignment horizontal="left" shrinkToFit="1"/>
    </xf>
    <xf numFmtId="0" fontId="1" fillId="0" borderId="39" xfId="4" applyBorder="1" applyAlignment="1" applyProtection="1">
      <alignment horizontal="center"/>
      <protection locked="0"/>
    </xf>
    <xf numFmtId="0" fontId="1" fillId="0" borderId="20" xfId="4" applyBorder="1" applyAlignment="1" applyProtection="1">
      <alignment horizontal="center" shrinkToFit="1"/>
    </xf>
    <xf numFmtId="0" fontId="1" fillId="0" borderId="25" xfId="4" applyBorder="1" applyAlignment="1" applyProtection="1">
      <alignment horizontal="center" shrinkToFit="1"/>
    </xf>
    <xf numFmtId="0" fontId="10" fillId="0" borderId="0" xfId="4" applyFont="1" applyBorder="1" applyAlignment="1" applyProtection="1">
      <alignment horizontal="center" shrinkToFit="1"/>
      <protection locked="0"/>
    </xf>
    <xf numFmtId="0" fontId="10" fillId="0" borderId="39" xfId="4" applyFont="1" applyBorder="1" applyAlignment="1" applyProtection="1">
      <alignment horizontal="center" shrinkToFit="1"/>
      <protection locked="0"/>
    </xf>
    <xf numFmtId="0" fontId="1" fillId="0" borderId="22" xfId="4" applyBorder="1" applyAlignment="1" applyProtection="1">
      <alignment horizontal="left"/>
      <protection locked="0"/>
    </xf>
    <xf numFmtId="0" fontId="1" fillId="0" borderId="23" xfId="4" applyBorder="1" applyAlignment="1" applyProtection="1">
      <alignment horizontal="left"/>
      <protection locked="0"/>
    </xf>
    <xf numFmtId="0" fontId="1" fillId="0" borderId="24" xfId="4" applyBorder="1" applyAlignment="1" applyProtection="1">
      <alignment horizontal="left"/>
      <protection locked="0"/>
    </xf>
    <xf numFmtId="1" fontId="1" fillId="0" borderId="0" xfId="4" applyNumberFormat="1" applyAlignment="1">
      <alignment horizontal="center"/>
    </xf>
    <xf numFmtId="0" fontId="1" fillId="0" borderId="0" xfId="4" applyAlignment="1" applyProtection="1">
      <alignment horizontal="center"/>
      <protection locked="0"/>
    </xf>
    <xf numFmtId="0" fontId="1" fillId="5" borderId="0" xfId="4" applyFill="1" applyBorder="1" applyAlignment="1">
      <alignment horizontal="center"/>
    </xf>
    <xf numFmtId="0" fontId="1" fillId="5" borderId="39" xfId="4" applyFill="1" applyBorder="1" applyAlignment="1">
      <alignment horizontal="center"/>
    </xf>
    <xf numFmtId="0" fontId="1" fillId="0" borderId="0" xfId="4" applyAlignment="1">
      <alignment horizontal="center"/>
    </xf>
    <xf numFmtId="2" fontId="1" fillId="0" borderId="0" xfId="4" applyNumberFormat="1" applyAlignment="1">
      <alignment horizontal="center"/>
    </xf>
    <xf numFmtId="0" fontId="24" fillId="16" borderId="23" xfId="4" applyFont="1" applyFill="1" applyBorder="1" applyAlignment="1" applyProtection="1">
      <alignment horizontal="center" vertical="center" wrapText="1"/>
    </xf>
    <xf numFmtId="0" fontId="24" fillId="16" borderId="24" xfId="4" applyFont="1" applyFill="1" applyBorder="1" applyAlignment="1" applyProtection="1">
      <alignment horizontal="center" vertical="center" wrapText="1"/>
    </xf>
    <xf numFmtId="0" fontId="24" fillId="16" borderId="21" xfId="4" applyFont="1" applyFill="1" applyBorder="1" applyAlignment="1" applyProtection="1">
      <alignment horizontal="center" vertical="center" wrapText="1"/>
    </xf>
    <xf numFmtId="0" fontId="24" fillId="16" borderId="0" xfId="4" applyFont="1" applyFill="1" applyBorder="1" applyAlignment="1" applyProtection="1">
      <alignment horizontal="center" vertical="center" wrapText="1"/>
    </xf>
    <xf numFmtId="0" fontId="24" fillId="16" borderId="39" xfId="4" applyFont="1" applyFill="1" applyBorder="1" applyAlignment="1" applyProtection="1">
      <alignment horizontal="center" vertical="center" wrapText="1"/>
    </xf>
    <xf numFmtId="0" fontId="24" fillId="16" borderId="20" xfId="4" applyFont="1" applyFill="1" applyBorder="1" applyAlignment="1" applyProtection="1">
      <alignment horizontal="center" vertical="center" wrapText="1"/>
    </xf>
    <xf numFmtId="0" fontId="24" fillId="16" borderId="25" xfId="4" applyFont="1" applyFill="1" applyBorder="1" applyAlignment="1" applyProtection="1">
      <alignment horizontal="center" vertical="center" wrapText="1"/>
    </xf>
    <xf numFmtId="0" fontId="24" fillId="16" borderId="26" xfId="4" applyFont="1" applyFill="1" applyBorder="1" applyAlignment="1" applyProtection="1">
      <alignment horizontal="center" vertical="center" wrapText="1"/>
    </xf>
    <xf numFmtId="0" fontId="10" fillId="0" borderId="0" xfId="4" applyFont="1" applyAlignment="1">
      <alignment horizontal="center"/>
    </xf>
    <xf numFmtId="0" fontId="10" fillId="0" borderId="39" xfId="4" applyFont="1" applyBorder="1" applyAlignment="1">
      <alignment horizontal="center"/>
    </xf>
    <xf numFmtId="0" fontId="1" fillId="0" borderId="5" xfId="4" applyBorder="1" applyAlignment="1" applyProtection="1">
      <alignment horizontal="center" shrinkToFit="1"/>
    </xf>
    <xf numFmtId="0" fontId="1" fillId="0" borderId="3" xfId="4" applyBorder="1" applyAlignment="1" applyProtection="1">
      <alignment horizontal="center" shrinkToFit="1"/>
    </xf>
    <xf numFmtId="0" fontId="1" fillId="0" borderId="6" xfId="4" applyBorder="1" applyAlignment="1" applyProtection="1">
      <alignment horizontal="center" shrinkToFit="1"/>
    </xf>
    <xf numFmtId="0" fontId="1" fillId="0" borderId="27" xfId="4" applyBorder="1" applyAlignment="1">
      <alignment horizontal="center"/>
    </xf>
    <xf numFmtId="0" fontId="1" fillId="0" borderId="47" xfId="4" applyBorder="1" applyAlignment="1">
      <alignment horizontal="center"/>
    </xf>
    <xf numFmtId="0" fontId="1" fillId="0" borderId="28" xfId="4" applyBorder="1" applyAlignment="1">
      <alignment horizontal="center"/>
    </xf>
    <xf numFmtId="0" fontId="10" fillId="0" borderId="0" xfId="4" applyFont="1" applyAlignment="1" applyProtection="1">
      <alignment horizontal="center" shrinkToFit="1"/>
      <protection locked="0"/>
    </xf>
    <xf numFmtId="0" fontId="15" fillId="0" borderId="0" xfId="4" applyFont="1" applyBorder="1" applyAlignment="1">
      <alignment horizontal="center"/>
    </xf>
    <xf numFmtId="0" fontId="5" fillId="0" borderId="0" xfId="4" applyFont="1" applyAlignment="1">
      <alignment horizontal="center"/>
    </xf>
    <xf numFmtId="0" fontId="6" fillId="0" borderId="0" xfId="4" applyFont="1" applyAlignment="1" applyProtection="1">
      <alignment horizontal="left"/>
      <protection locked="0"/>
    </xf>
    <xf numFmtId="0" fontId="1" fillId="0" borderId="0" xfId="4" applyFill="1" applyAlignment="1" applyProtection="1">
      <alignment horizontal="left"/>
      <protection locked="0"/>
    </xf>
    <xf numFmtId="0" fontId="3" fillId="11" borderId="0" xfId="4" applyFont="1" applyFill="1" applyAlignment="1">
      <alignment horizontal="center"/>
    </xf>
    <xf numFmtId="0" fontId="15" fillId="0" borderId="17" xfId="4" applyFont="1" applyBorder="1" applyAlignment="1">
      <alignment horizontal="center" shrinkToFit="1"/>
    </xf>
    <xf numFmtId="0" fontId="15" fillId="0" borderId="1" xfId="4" applyFont="1" applyBorder="1" applyAlignment="1">
      <alignment horizontal="center" shrinkToFit="1"/>
    </xf>
    <xf numFmtId="0" fontId="15" fillId="0" borderId="1" xfId="4" applyFont="1" applyBorder="1" applyAlignment="1">
      <alignment horizontal="center"/>
    </xf>
    <xf numFmtId="0" fontId="15" fillId="0" borderId="14" xfId="4" applyFont="1" applyBorder="1" applyAlignment="1">
      <alignment horizontal="center"/>
    </xf>
    <xf numFmtId="0" fontId="15" fillId="0" borderId="36" xfId="4" applyFont="1" applyFill="1" applyBorder="1" applyAlignment="1">
      <alignment horizontal="center" shrinkToFit="1"/>
    </xf>
    <xf numFmtId="0" fontId="15" fillId="0" borderId="42" xfId="4" applyFont="1" applyFill="1" applyBorder="1" applyAlignment="1">
      <alignment horizontal="center" shrinkToFit="1"/>
    </xf>
    <xf numFmtId="0" fontId="15" fillId="0" borderId="42" xfId="4" applyFont="1" applyFill="1" applyBorder="1" applyAlignment="1">
      <alignment horizontal="center"/>
    </xf>
    <xf numFmtId="0" fontId="15" fillId="0" borderId="37" xfId="4" applyFont="1" applyFill="1" applyBorder="1" applyAlignment="1">
      <alignment horizontal="center"/>
    </xf>
    <xf numFmtId="0" fontId="15" fillId="0" borderId="33" xfId="4" applyFont="1" applyFill="1" applyBorder="1" applyAlignment="1">
      <alignment horizontal="center" shrinkToFit="1"/>
    </xf>
    <xf numFmtId="0" fontId="15" fillId="0" borderId="13" xfId="4" applyFont="1" applyFill="1" applyBorder="1" applyAlignment="1">
      <alignment horizontal="center" shrinkToFit="1"/>
    </xf>
    <xf numFmtId="0" fontId="15" fillId="0" borderId="1" xfId="4" applyFont="1" applyFill="1" applyBorder="1" applyAlignment="1">
      <alignment horizontal="center" shrinkToFit="1"/>
    </xf>
    <xf numFmtId="0" fontId="15" fillId="0" borderId="1" xfId="4" applyFont="1" applyFill="1" applyBorder="1" applyAlignment="1">
      <alignment horizontal="center"/>
    </xf>
    <xf numFmtId="0" fontId="15" fillId="0" borderId="14" xfId="4" applyFont="1" applyFill="1" applyBorder="1" applyAlignment="1">
      <alignment horizontal="center"/>
    </xf>
    <xf numFmtId="0" fontId="15" fillId="0" borderId="13" xfId="4" applyFont="1" applyBorder="1" applyAlignment="1">
      <alignment horizontal="center" shrinkToFit="1"/>
    </xf>
    <xf numFmtId="0" fontId="1" fillId="2" borderId="27" xfId="4" applyFill="1" applyBorder="1" applyAlignment="1">
      <alignment horizontal="center"/>
    </xf>
    <xf numFmtId="0" fontId="1" fillId="2" borderId="47" xfId="4" applyFill="1" applyBorder="1" applyAlignment="1">
      <alignment horizontal="center"/>
    </xf>
    <xf numFmtId="0" fontId="1" fillId="2" borderId="28" xfId="4" applyFill="1" applyBorder="1" applyAlignment="1">
      <alignment horizontal="center"/>
    </xf>
    <xf numFmtId="0" fontId="15" fillId="0" borderId="9" xfId="4" applyFont="1" applyFill="1" applyBorder="1" applyAlignment="1">
      <alignment horizontal="center" shrinkToFit="1"/>
    </xf>
    <xf numFmtId="0" fontId="15" fillId="0" borderId="2" xfId="4" applyFont="1" applyFill="1" applyBorder="1" applyAlignment="1">
      <alignment horizontal="center" shrinkToFit="1"/>
    </xf>
    <xf numFmtId="0" fontId="15" fillId="0" borderId="2" xfId="4" applyFont="1" applyFill="1" applyBorder="1" applyAlignment="1">
      <alignment horizontal="center"/>
    </xf>
    <xf numFmtId="0" fontId="15" fillId="0" borderId="10" xfId="4" applyFont="1" applyFill="1" applyBorder="1" applyAlignment="1">
      <alignment horizontal="center"/>
    </xf>
    <xf numFmtId="0" fontId="15" fillId="0" borderId="9" xfId="4" applyFont="1" applyBorder="1" applyAlignment="1">
      <alignment horizontal="center" shrinkToFit="1"/>
    </xf>
    <xf numFmtId="0" fontId="15" fillId="0" borderId="2" xfId="4" applyFont="1" applyBorder="1" applyAlignment="1">
      <alignment horizontal="center" shrinkToFit="1"/>
    </xf>
    <xf numFmtId="0" fontId="15" fillId="0" borderId="2" xfId="4" applyFont="1" applyBorder="1" applyAlignment="1">
      <alignment horizontal="center"/>
    </xf>
    <xf numFmtId="0" fontId="15" fillId="0" borderId="10" xfId="4" applyFont="1" applyBorder="1" applyAlignment="1">
      <alignment horizontal="center"/>
    </xf>
    <xf numFmtId="0" fontId="15" fillId="0" borderId="38" xfId="4" applyFont="1" applyBorder="1" applyAlignment="1">
      <alignment horizontal="center" shrinkToFit="1"/>
    </xf>
    <xf numFmtId="0" fontId="10" fillId="2" borderId="27" xfId="4" applyFont="1" applyFill="1" applyBorder="1" applyAlignment="1">
      <alignment horizontal="center"/>
    </xf>
    <xf numFmtId="0" fontId="10" fillId="2" borderId="47" xfId="4" applyFont="1" applyFill="1" applyBorder="1" applyAlignment="1">
      <alignment horizontal="center"/>
    </xf>
    <xf numFmtId="0" fontId="10" fillId="2" borderId="28" xfId="4" applyFont="1" applyFill="1" applyBorder="1" applyAlignment="1">
      <alignment horizontal="center"/>
    </xf>
    <xf numFmtId="0" fontId="1" fillId="2" borderId="47" xfId="4" applyFill="1" applyBorder="1" applyAlignment="1">
      <alignment horizontal="center" shrinkToFit="1"/>
    </xf>
    <xf numFmtId="0" fontId="1" fillId="2" borderId="28" xfId="4" applyFill="1" applyBorder="1" applyAlignment="1">
      <alignment horizontal="center" shrinkToFit="1"/>
    </xf>
    <xf numFmtId="0" fontId="13" fillId="0" borderId="42" xfId="4" applyFont="1" applyFill="1" applyBorder="1" applyAlignment="1">
      <alignment horizontal="center"/>
    </xf>
    <xf numFmtId="0" fontId="13" fillId="0" borderId="36" xfId="4" applyFont="1" applyFill="1" applyBorder="1" applyAlignment="1">
      <alignment horizontal="center" shrinkToFit="1"/>
    </xf>
    <xf numFmtId="0" fontId="13" fillId="0" borderId="42" xfId="4" applyFont="1" applyFill="1" applyBorder="1" applyAlignment="1">
      <alignment horizontal="center" shrinkToFit="1"/>
    </xf>
    <xf numFmtId="0" fontId="17" fillId="0" borderId="42" xfId="4" applyFont="1" applyFill="1" applyBorder="1" applyAlignment="1">
      <alignment horizontal="center"/>
    </xf>
    <xf numFmtId="0" fontId="1" fillId="4" borderId="46" xfId="4" applyFill="1" applyBorder="1" applyAlignment="1" applyProtection="1">
      <alignment horizontal="center" vertical="center"/>
      <protection locked="0"/>
    </xf>
    <xf numFmtId="0" fontId="1" fillId="4" borderId="43" xfId="4" applyFill="1" applyBorder="1" applyAlignment="1" applyProtection="1">
      <alignment horizontal="center" vertical="center"/>
      <protection locked="0"/>
    </xf>
    <xf numFmtId="0" fontId="1" fillId="12" borderId="27" xfId="4" applyFont="1" applyFill="1" applyBorder="1" applyAlignment="1">
      <alignment horizontal="center"/>
    </xf>
    <xf numFmtId="0" fontId="1" fillId="12" borderId="47" xfId="4" applyFont="1" applyFill="1" applyBorder="1" applyAlignment="1">
      <alignment horizontal="center"/>
    </xf>
    <xf numFmtId="0" fontId="1" fillId="12" borderId="28" xfId="4" applyFont="1" applyFill="1" applyBorder="1" applyAlignment="1">
      <alignment horizontal="center"/>
    </xf>
    <xf numFmtId="0" fontId="1" fillId="12" borderId="27" xfId="4" applyFill="1" applyBorder="1" applyAlignment="1">
      <alignment horizontal="center"/>
    </xf>
    <xf numFmtId="0" fontId="1" fillId="12" borderId="47" xfId="4" applyFill="1" applyBorder="1" applyAlignment="1">
      <alignment horizontal="center"/>
    </xf>
    <xf numFmtId="0" fontId="1" fillId="12" borderId="28" xfId="4" applyFill="1" applyBorder="1" applyAlignment="1">
      <alignment horizontal="center"/>
    </xf>
    <xf numFmtId="0" fontId="13" fillId="0" borderId="13" xfId="4" applyFont="1" applyFill="1" applyBorder="1" applyAlignment="1">
      <alignment horizontal="center" shrinkToFit="1"/>
    </xf>
    <xf numFmtId="0" fontId="13" fillId="0" borderId="1" xfId="4" applyFont="1" applyFill="1" applyBorder="1" applyAlignment="1">
      <alignment horizontal="center" shrinkToFit="1"/>
    </xf>
    <xf numFmtId="0" fontId="13" fillId="0" borderId="1" xfId="4" applyFont="1" applyFill="1" applyBorder="1" applyAlignment="1">
      <alignment horizontal="center"/>
    </xf>
    <xf numFmtId="0" fontId="17" fillId="0" borderId="1" xfId="4" applyFont="1" applyFill="1" applyBorder="1" applyAlignment="1">
      <alignment horizontal="center"/>
    </xf>
    <xf numFmtId="0" fontId="13" fillId="0" borderId="2" xfId="4" applyFont="1" applyFill="1" applyBorder="1" applyAlignment="1">
      <alignment horizontal="center"/>
    </xf>
    <xf numFmtId="0" fontId="17" fillId="0" borderId="2" xfId="4" applyFont="1" applyFill="1" applyBorder="1" applyAlignment="1">
      <alignment horizontal="center"/>
    </xf>
    <xf numFmtId="0" fontId="10" fillId="2" borderId="3" xfId="4" applyFont="1" applyFill="1" applyBorder="1" applyAlignment="1">
      <alignment horizontal="center"/>
    </xf>
    <xf numFmtId="0" fontId="13" fillId="0" borderId="9" xfId="4" applyFont="1" applyFill="1" applyBorder="1" applyAlignment="1">
      <alignment horizontal="center" shrinkToFit="1"/>
    </xf>
    <xf numFmtId="0" fontId="13" fillId="0" borderId="2" xfId="4" applyFont="1" applyFill="1" applyBorder="1" applyAlignment="1">
      <alignment horizontal="center" shrinkToFit="1"/>
    </xf>
    <xf numFmtId="0" fontId="13" fillId="0" borderId="11" xfId="4" applyFont="1" applyFill="1" applyBorder="1" applyAlignment="1">
      <alignment horizontal="center" shrinkToFit="1"/>
    </xf>
    <xf numFmtId="0" fontId="13" fillId="0" borderId="41" xfId="4" applyFont="1" applyFill="1" applyBorder="1" applyAlignment="1">
      <alignment horizontal="center" shrinkToFit="1"/>
    </xf>
    <xf numFmtId="0" fontId="13" fillId="0" borderId="41" xfId="4" applyFont="1" applyFill="1" applyBorder="1" applyAlignment="1">
      <alignment horizontal="center"/>
    </xf>
    <xf numFmtId="0" fontId="10" fillId="2" borderId="5" xfId="4" applyFont="1" applyFill="1" applyBorder="1" applyAlignment="1">
      <alignment horizontal="center"/>
    </xf>
    <xf numFmtId="0" fontId="14" fillId="0" borderId="0" xfId="4" applyFont="1" applyAlignment="1">
      <alignment horizontal="center"/>
    </xf>
    <xf numFmtId="0" fontId="10" fillId="4" borderId="46" xfId="4" applyFont="1" applyFill="1" applyBorder="1" applyAlignment="1">
      <alignment horizontal="center" wrapText="1"/>
    </xf>
    <xf numFmtId="0" fontId="10" fillId="4" borderId="20" xfId="4" applyFont="1" applyFill="1" applyBorder="1" applyAlignment="1">
      <alignment horizontal="center" wrapText="1"/>
    </xf>
    <xf numFmtId="0" fontId="1" fillId="12" borderId="22" xfId="4" applyFill="1" applyBorder="1" applyAlignment="1">
      <alignment horizontal="center"/>
    </xf>
    <xf numFmtId="0" fontId="1" fillId="12" borderId="23" xfId="4" applyFill="1" applyBorder="1" applyAlignment="1">
      <alignment horizontal="center"/>
    </xf>
    <xf numFmtId="0" fontId="1" fillId="12" borderId="24" xfId="4" applyFill="1" applyBorder="1" applyAlignment="1">
      <alignment horizontal="center"/>
    </xf>
    <xf numFmtId="0" fontId="5" fillId="6" borderId="18" xfId="4" applyFont="1" applyFill="1" applyBorder="1" applyAlignment="1" applyProtection="1">
      <alignment horizontal="center"/>
      <protection locked="0"/>
    </xf>
    <xf numFmtId="0" fontId="5" fillId="6" borderId="19" xfId="4" applyFont="1" applyFill="1" applyBorder="1" applyAlignment="1" applyProtection="1">
      <alignment horizontal="center"/>
      <protection locked="0"/>
    </xf>
    <xf numFmtId="0" fontId="5" fillId="6" borderId="17" xfId="4" applyFont="1" applyFill="1" applyBorder="1" applyAlignment="1" applyProtection="1">
      <alignment horizontal="center"/>
      <protection locked="0"/>
    </xf>
    <xf numFmtId="0" fontId="1" fillId="0" borderId="0" xfId="4" applyFill="1" applyAlignment="1" applyProtection="1">
      <alignment horizontal="center" wrapText="1"/>
      <protection hidden="1"/>
    </xf>
    <xf numFmtId="0" fontId="1" fillId="0" borderId="0" xfId="4" applyAlignment="1" applyProtection="1">
      <alignment horizontal="left"/>
    </xf>
    <xf numFmtId="0" fontId="1" fillId="0" borderId="0" xfId="4" applyAlignment="1" applyProtection="1">
      <alignment horizontal="left"/>
      <protection locked="0"/>
    </xf>
    <xf numFmtId="20" fontId="1" fillId="0" borderId="18" xfId="4" applyNumberFormat="1" applyFill="1" applyBorder="1" applyAlignment="1" applyProtection="1">
      <alignment horizontal="center"/>
      <protection locked="0"/>
    </xf>
    <xf numFmtId="20" fontId="1" fillId="0" borderId="19" xfId="4" applyNumberFormat="1" applyFill="1" applyBorder="1" applyAlignment="1" applyProtection="1">
      <alignment horizontal="center"/>
      <protection locked="0"/>
    </xf>
    <xf numFmtId="20" fontId="1" fillId="0" borderId="17" xfId="4" applyNumberFormat="1" applyFill="1" applyBorder="1" applyAlignment="1" applyProtection="1">
      <alignment horizontal="center"/>
      <protection locked="0"/>
    </xf>
    <xf numFmtId="20" fontId="1" fillId="0" borderId="40" xfId="4" applyNumberFormat="1" applyFill="1" applyBorder="1" applyAlignment="1" applyProtection="1">
      <alignment horizontal="center"/>
      <protection locked="0"/>
    </xf>
    <xf numFmtId="0" fontId="1" fillId="0" borderId="53" xfId="4" applyFill="1" applyBorder="1" applyAlignment="1" applyProtection="1">
      <alignment horizontal="center"/>
      <protection locked="0"/>
    </xf>
    <xf numFmtId="0" fontId="1" fillId="0" borderId="38" xfId="4" applyFill="1" applyBorder="1" applyAlignment="1" applyProtection="1">
      <alignment horizontal="center"/>
      <protection locked="0"/>
    </xf>
    <xf numFmtId="0" fontId="3" fillId="13" borderId="21" xfId="4" applyFont="1" applyFill="1" applyBorder="1" applyAlignment="1">
      <alignment horizontal="center" vertical="center" wrapText="1"/>
    </xf>
    <xf numFmtId="0" fontId="3" fillId="13" borderId="0" xfId="4" applyFont="1" applyFill="1" applyBorder="1" applyAlignment="1">
      <alignment horizontal="center" vertical="center" wrapText="1"/>
    </xf>
    <xf numFmtId="0" fontId="3" fillId="13" borderId="23" xfId="4" applyFont="1" applyFill="1" applyBorder="1" applyAlignment="1">
      <alignment horizontal="center" vertical="center" wrapText="1"/>
    </xf>
    <xf numFmtId="0" fontId="3" fillId="13" borderId="24" xfId="4" applyFont="1" applyFill="1" applyBorder="1" applyAlignment="1">
      <alignment horizontal="center" vertical="center" wrapText="1"/>
    </xf>
    <xf numFmtId="0" fontId="3" fillId="13" borderId="39" xfId="4" applyFont="1" applyFill="1" applyBorder="1" applyAlignment="1">
      <alignment horizontal="center" vertical="center" wrapText="1"/>
    </xf>
    <xf numFmtId="0" fontId="3" fillId="13" borderId="20" xfId="4" applyFont="1" applyFill="1" applyBorder="1" applyAlignment="1">
      <alignment horizontal="center" vertical="center" wrapText="1"/>
    </xf>
    <xf numFmtId="0" fontId="3" fillId="13" borderId="25" xfId="4" applyFont="1" applyFill="1" applyBorder="1" applyAlignment="1">
      <alignment horizontal="center" vertical="center" wrapText="1"/>
    </xf>
    <xf numFmtId="0" fontId="3" fillId="13" borderId="26" xfId="4" applyFont="1" applyFill="1" applyBorder="1" applyAlignment="1">
      <alignment horizontal="center" vertical="center" wrapText="1"/>
    </xf>
    <xf numFmtId="0" fontId="6" fillId="3" borderId="54" xfId="4" applyFont="1" applyFill="1" applyBorder="1" applyAlignment="1" applyProtection="1">
      <alignment horizontal="left" vertical="center" wrapText="1"/>
      <protection locked="0"/>
    </xf>
    <xf numFmtId="0" fontId="6" fillId="3" borderId="55" xfId="4" applyFont="1" applyFill="1" applyBorder="1" applyAlignment="1" applyProtection="1">
      <alignment vertical="center" wrapText="1"/>
      <protection locked="0"/>
    </xf>
    <xf numFmtId="0" fontId="6" fillId="3" borderId="56" xfId="4" applyFont="1" applyFill="1" applyBorder="1" applyAlignment="1" applyProtection="1">
      <alignment vertical="center" wrapText="1"/>
      <protection locked="0"/>
    </xf>
    <xf numFmtId="10" fontId="1" fillId="0" borderId="22" xfId="4" applyNumberFormat="1" applyFont="1" applyBorder="1" applyAlignment="1">
      <alignment horizontal="center" vertical="center"/>
    </xf>
    <xf numFmtId="10" fontId="1" fillId="0" borderId="23" xfId="4" applyNumberFormat="1" applyFont="1" applyBorder="1" applyAlignment="1">
      <alignment horizontal="center" vertical="center"/>
    </xf>
    <xf numFmtId="10" fontId="1" fillId="0" borderId="21" xfId="4" applyNumberFormat="1" applyFont="1" applyBorder="1" applyAlignment="1">
      <alignment horizontal="center" vertical="center"/>
    </xf>
    <xf numFmtId="10" fontId="1" fillId="0" borderId="0" xfId="4" applyNumberFormat="1" applyFont="1" applyBorder="1" applyAlignment="1">
      <alignment horizontal="center" vertical="center"/>
    </xf>
    <xf numFmtId="172" fontId="1" fillId="0" borderId="22" xfId="4" applyNumberFormat="1" applyFont="1" applyBorder="1" applyAlignment="1" applyProtection="1">
      <alignment horizontal="center" vertical="center"/>
    </xf>
    <xf numFmtId="172" fontId="1" fillId="0" borderId="23" xfId="4" applyNumberFormat="1" applyFont="1" applyBorder="1" applyAlignment="1" applyProtection="1">
      <alignment horizontal="center" vertical="center"/>
    </xf>
    <xf numFmtId="172" fontId="1" fillId="0" borderId="24" xfId="4" applyNumberFormat="1" applyFont="1" applyBorder="1" applyAlignment="1" applyProtection="1">
      <alignment horizontal="center" vertical="center"/>
    </xf>
    <xf numFmtId="172" fontId="1" fillId="0" borderId="21" xfId="4" applyNumberFormat="1" applyFont="1" applyBorder="1" applyAlignment="1" applyProtection="1">
      <alignment horizontal="center" vertical="center"/>
    </xf>
    <xf numFmtId="172" fontId="1" fillId="0" borderId="0" xfId="4" applyNumberFormat="1" applyFont="1" applyBorder="1" applyAlignment="1" applyProtection="1">
      <alignment horizontal="center" vertical="center"/>
    </xf>
    <xf numFmtId="172" fontId="1" fillId="0" borderId="39" xfId="4" applyNumberFormat="1" applyFont="1" applyBorder="1" applyAlignment="1" applyProtection="1">
      <alignment horizontal="center" vertical="center"/>
    </xf>
    <xf numFmtId="0" fontId="11" fillId="0" borderId="46" xfId="4" applyFont="1" applyBorder="1" applyAlignment="1" applyProtection="1">
      <alignment horizontal="center" vertical="center"/>
      <protection locked="0"/>
    </xf>
    <xf numFmtId="0" fontId="11" fillId="0" borderId="57" xfId="4" applyFont="1" applyBorder="1" applyAlignment="1" applyProtection="1">
      <alignment horizontal="center" vertical="center"/>
      <protection locked="0"/>
    </xf>
    <xf numFmtId="0" fontId="11" fillId="6" borderId="22" xfId="4" applyFont="1" applyFill="1" applyBorder="1" applyAlignment="1" applyProtection="1">
      <alignment horizontal="center" vertical="center"/>
      <protection locked="0"/>
    </xf>
    <xf numFmtId="0" fontId="11" fillId="6" borderId="24" xfId="4" applyFont="1" applyFill="1" applyBorder="1" applyAlignment="1" applyProtection="1">
      <alignment horizontal="center" vertical="center"/>
      <protection locked="0"/>
    </xf>
    <xf numFmtId="0" fontId="11" fillId="6" borderId="21" xfId="4" applyFont="1" applyFill="1" applyBorder="1" applyAlignment="1" applyProtection="1">
      <alignment horizontal="center" vertical="center"/>
      <protection locked="0"/>
    </xf>
    <xf numFmtId="0" fontId="11" fillId="6" borderId="39" xfId="4" applyFont="1" applyFill="1" applyBorder="1" applyAlignment="1" applyProtection="1">
      <alignment horizontal="center" vertical="center"/>
      <protection locked="0"/>
    </xf>
    <xf numFmtId="0" fontId="10" fillId="0" borderId="15" xfId="4" applyFont="1" applyBorder="1" applyAlignment="1" applyProtection="1">
      <alignment horizontal="center" vertical="center"/>
    </xf>
    <xf numFmtId="0" fontId="10" fillId="0" borderId="44" xfId="4" applyFont="1" applyBorder="1" applyAlignment="1" applyProtection="1">
      <alignment horizontal="center" vertical="center"/>
    </xf>
    <xf numFmtId="0" fontId="1" fillId="0" borderId="58" xfId="4" applyFont="1" applyBorder="1" applyAlignment="1" applyProtection="1">
      <alignment horizontal="center" vertical="center" shrinkToFit="1"/>
      <protection locked="0"/>
    </xf>
    <xf numFmtId="0" fontId="1" fillId="0" borderId="0" xfId="4" applyFont="1" applyBorder="1" applyAlignment="1" applyProtection="1">
      <alignment horizontal="center" vertical="center" shrinkToFit="1"/>
      <protection locked="0"/>
    </xf>
    <xf numFmtId="0" fontId="6" fillId="0" borderId="46" xfId="4" applyFont="1" applyBorder="1" applyAlignment="1">
      <alignment horizontal="center" vertical="center"/>
    </xf>
    <xf numFmtId="0" fontId="6" fillId="0" borderId="43" xfId="4" applyFont="1" applyBorder="1" applyAlignment="1">
      <alignment horizontal="center" vertical="center"/>
    </xf>
    <xf numFmtId="0" fontId="10" fillId="0" borderId="11" xfId="4" applyFont="1" applyBorder="1" applyAlignment="1" applyProtection="1">
      <alignment horizontal="center" vertical="center"/>
    </xf>
    <xf numFmtId="0" fontId="10" fillId="0" borderId="41" xfId="4" applyFont="1" applyBorder="1" applyAlignment="1" applyProtection="1">
      <alignment horizontal="center" vertical="center"/>
    </xf>
    <xf numFmtId="0" fontId="3" fillId="0" borderId="51" xfId="4" applyFont="1" applyBorder="1" applyAlignment="1" applyProtection="1">
      <alignment horizontal="center" vertical="center" shrinkToFit="1"/>
      <protection locked="0"/>
    </xf>
    <xf numFmtId="0" fontId="3" fillId="0" borderId="49" xfId="4" applyFont="1" applyBorder="1" applyAlignment="1" applyProtection="1">
      <alignment horizontal="center" vertical="center" shrinkToFit="1"/>
      <protection locked="0"/>
    </xf>
    <xf numFmtId="0" fontId="3" fillId="0" borderId="52" xfId="4" applyFont="1" applyBorder="1" applyAlignment="1" applyProtection="1">
      <alignment horizontal="center" vertical="center" shrinkToFit="1"/>
      <protection locked="0"/>
    </xf>
    <xf numFmtId="0" fontId="11" fillId="0" borderId="22" xfId="4" applyFont="1" applyBorder="1" applyAlignment="1">
      <alignment horizontal="center" vertical="center"/>
    </xf>
    <xf numFmtId="0" fontId="11" fillId="0" borderId="23" xfId="4" applyFont="1" applyBorder="1" applyAlignment="1">
      <alignment horizontal="center" vertical="center"/>
    </xf>
    <xf numFmtId="0" fontId="11" fillId="0" borderId="21" xfId="4" applyFont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10" fontId="1" fillId="0" borderId="20" xfId="4" applyNumberFormat="1" applyFont="1" applyBorder="1" applyAlignment="1">
      <alignment horizontal="center" vertical="center"/>
    </xf>
    <xf numFmtId="10" fontId="1" fillId="0" borderId="25" xfId="4" applyNumberFormat="1" applyFont="1" applyBorder="1" applyAlignment="1">
      <alignment horizontal="center" vertical="center"/>
    </xf>
    <xf numFmtId="172" fontId="1" fillId="0" borderId="20" xfId="4" applyNumberFormat="1" applyFont="1" applyBorder="1" applyAlignment="1" applyProtection="1">
      <alignment horizontal="center" vertical="center"/>
    </xf>
    <xf numFmtId="172" fontId="1" fillId="0" borderId="25" xfId="4" applyNumberFormat="1" applyFont="1" applyBorder="1" applyAlignment="1" applyProtection="1">
      <alignment horizontal="center" vertical="center"/>
    </xf>
    <xf numFmtId="172" fontId="1" fillId="0" borderId="26" xfId="4" applyNumberFormat="1" applyFont="1" applyBorder="1" applyAlignment="1" applyProtection="1">
      <alignment horizontal="center" vertical="center"/>
    </xf>
    <xf numFmtId="0" fontId="11" fillId="0" borderId="43" xfId="4" applyFont="1" applyBorder="1" applyAlignment="1" applyProtection="1">
      <alignment horizontal="center" vertical="center"/>
      <protection locked="0"/>
    </xf>
    <xf numFmtId="0" fontId="11" fillId="6" borderId="20" xfId="4" applyFont="1" applyFill="1" applyBorder="1" applyAlignment="1" applyProtection="1">
      <alignment horizontal="center" vertical="center"/>
      <protection locked="0"/>
    </xf>
    <xf numFmtId="0" fontId="11" fillId="6" borderId="26" xfId="4" applyFont="1" applyFill="1" applyBorder="1" applyAlignment="1" applyProtection="1">
      <alignment horizontal="center" vertical="center"/>
      <protection locked="0"/>
    </xf>
    <xf numFmtId="0" fontId="10" fillId="0" borderId="36" xfId="4" applyFont="1" applyBorder="1" applyAlignment="1" applyProtection="1">
      <alignment horizontal="center" vertical="center"/>
    </xf>
    <xf numFmtId="0" fontId="10" fillId="0" borderId="42" xfId="4" applyFont="1" applyBorder="1" applyAlignment="1" applyProtection="1">
      <alignment horizontal="center" vertical="center"/>
    </xf>
    <xf numFmtId="0" fontId="1" fillId="0" borderId="59" xfId="4" applyFont="1" applyBorder="1" applyAlignment="1" applyProtection="1">
      <alignment horizontal="center" vertical="center" shrinkToFit="1"/>
    </xf>
    <xf numFmtId="0" fontId="1" fillId="0" borderId="25" xfId="4" applyFont="1" applyBorder="1" applyAlignment="1" applyProtection="1">
      <alignment horizontal="center" vertical="center" shrinkToFit="1"/>
    </xf>
    <xf numFmtId="0" fontId="3" fillId="0" borderId="51" xfId="4" applyFont="1" applyBorder="1" applyAlignment="1" applyProtection="1">
      <alignment horizontal="center" vertical="center" shrinkToFit="1"/>
    </xf>
    <xf numFmtId="0" fontId="3" fillId="0" borderId="49" xfId="4" applyFont="1" applyBorder="1" applyAlignment="1" applyProtection="1">
      <alignment horizontal="center" vertical="center" shrinkToFit="1"/>
    </xf>
    <xf numFmtId="0" fontId="3" fillId="0" borderId="52" xfId="4" applyFont="1" applyBorder="1" applyAlignment="1" applyProtection="1">
      <alignment horizontal="center" vertical="center" shrinkToFit="1"/>
    </xf>
    <xf numFmtId="0" fontId="11" fillId="0" borderId="20" xfId="4" applyFont="1" applyBorder="1" applyAlignment="1">
      <alignment horizontal="center" vertical="center"/>
    </xf>
    <xf numFmtId="0" fontId="11" fillId="0" borderId="25" xfId="4" applyFont="1" applyBorder="1" applyAlignment="1">
      <alignment horizontal="center" vertical="center"/>
    </xf>
    <xf numFmtId="0" fontId="10" fillId="0" borderId="31" xfId="4" applyFont="1" applyBorder="1" applyAlignment="1" applyProtection="1">
      <alignment horizontal="center" vertical="center"/>
    </xf>
    <xf numFmtId="0" fontId="10" fillId="0" borderId="32" xfId="4" applyFont="1" applyBorder="1" applyAlignment="1" applyProtection="1">
      <alignment horizontal="center" vertical="center"/>
    </xf>
    <xf numFmtId="0" fontId="10" fillId="0" borderId="33" xfId="4" applyFont="1" applyBorder="1" applyAlignment="1" applyProtection="1">
      <alignment horizontal="center" vertical="center"/>
    </xf>
    <xf numFmtId="0" fontId="10" fillId="0" borderId="48" xfId="4" applyFont="1" applyBorder="1" applyAlignment="1" applyProtection="1">
      <alignment horizontal="center" vertical="center"/>
    </xf>
    <xf numFmtId="0" fontId="10" fillId="0" borderId="49" xfId="4" applyFont="1" applyBorder="1" applyAlignment="1" applyProtection="1">
      <alignment horizontal="center" vertical="center"/>
    </xf>
    <xf numFmtId="0" fontId="10" fillId="0" borderId="50" xfId="4" applyFont="1" applyBorder="1" applyAlignment="1" applyProtection="1">
      <alignment horizontal="center" vertical="center"/>
    </xf>
    <xf numFmtId="0" fontId="3" fillId="6" borderId="27" xfId="4" applyFont="1" applyFill="1" applyBorder="1" applyAlignment="1">
      <alignment horizontal="center" vertical="center" wrapText="1"/>
    </xf>
    <xf numFmtId="0" fontId="3" fillId="6" borderId="28" xfId="4" applyFont="1" applyFill="1" applyBorder="1" applyAlignment="1">
      <alignment horizontal="center" vertical="center" wrapText="1"/>
    </xf>
    <xf numFmtId="0" fontId="3" fillId="0" borderId="27" xfId="4" applyFont="1" applyBorder="1" applyAlignment="1">
      <alignment horizontal="center" vertical="center"/>
    </xf>
    <xf numFmtId="0" fontId="3" fillId="0" borderId="47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/>
    </xf>
    <xf numFmtId="0" fontId="7" fillId="0" borderId="27" xfId="4" applyFont="1" applyBorder="1" applyAlignment="1" applyProtection="1">
      <alignment horizontal="center" vertical="center"/>
      <protection locked="0"/>
    </xf>
    <xf numFmtId="0" fontId="7" fillId="0" borderId="28" xfId="4" applyFont="1" applyBorder="1" applyAlignment="1" applyProtection="1">
      <alignment horizontal="center" vertical="center"/>
      <protection locked="0"/>
    </xf>
    <xf numFmtId="0" fontId="5" fillId="9" borderId="27" xfId="4" applyFont="1" applyFill="1" applyBorder="1" applyAlignment="1">
      <alignment horizontal="center" vertical="center" shrinkToFit="1"/>
    </xf>
    <xf numFmtId="0" fontId="5" fillId="9" borderId="47" xfId="4" applyFont="1" applyFill="1" applyBorder="1" applyAlignment="1">
      <alignment horizontal="center" vertical="center" shrinkToFit="1"/>
    </xf>
    <xf numFmtId="0" fontId="5" fillId="9" borderId="28" xfId="4" applyFont="1" applyFill="1" applyBorder="1" applyAlignment="1">
      <alignment horizontal="center" vertical="center" shrinkToFit="1"/>
    </xf>
    <xf numFmtId="0" fontId="3" fillId="2" borderId="27" xfId="4" applyFont="1" applyFill="1" applyBorder="1" applyAlignment="1">
      <alignment horizontal="center" vertical="center"/>
    </xf>
    <xf numFmtId="0" fontId="3" fillId="2" borderId="47" xfId="4" applyFont="1" applyFill="1" applyBorder="1" applyAlignment="1">
      <alignment horizontal="center" vertical="center"/>
    </xf>
    <xf numFmtId="0" fontId="3" fillId="5" borderId="57" xfId="4" applyFont="1" applyFill="1" applyBorder="1" applyAlignment="1">
      <alignment horizontal="center" vertical="center"/>
    </xf>
    <xf numFmtId="0" fontId="1" fillId="0" borderId="47" xfId="4" applyBorder="1"/>
    <xf numFmtId="0" fontId="1" fillId="0" borderId="28" xfId="4" applyBorder="1"/>
    <xf numFmtId="0" fontId="8" fillId="2" borderId="27" xfId="4" applyFont="1" applyFill="1" applyBorder="1" applyAlignment="1">
      <alignment horizontal="center" vertical="center" wrapText="1"/>
    </xf>
    <xf numFmtId="0" fontId="8" fillId="2" borderId="47" xfId="4" applyFont="1" applyFill="1" applyBorder="1" applyAlignment="1">
      <alignment horizontal="center" vertical="center" wrapText="1"/>
    </xf>
    <xf numFmtId="0" fontId="8" fillId="2" borderId="28" xfId="4" applyFont="1" applyFill="1" applyBorder="1" applyAlignment="1">
      <alignment horizontal="center" vertical="center" wrapText="1"/>
    </xf>
    <xf numFmtId="0" fontId="3" fillId="2" borderId="27" xfId="4" applyFont="1" applyFill="1" applyBorder="1" applyAlignment="1">
      <alignment horizontal="center" vertical="center" wrapText="1"/>
    </xf>
    <xf numFmtId="0" fontId="3" fillId="2" borderId="47" xfId="4" applyFont="1" applyFill="1" applyBorder="1" applyAlignment="1">
      <alignment horizontal="center" vertical="center" wrapText="1"/>
    </xf>
    <xf numFmtId="0" fontId="3" fillId="2" borderId="28" xfId="4" applyFont="1" applyFill="1" applyBorder="1" applyAlignment="1">
      <alignment horizontal="center" vertical="center" wrapText="1"/>
    </xf>
    <xf numFmtId="0" fontId="1" fillId="0" borderId="58" xfId="4" applyFont="1" applyBorder="1" applyAlignment="1" applyProtection="1">
      <alignment horizontal="center" vertical="center" shrinkToFit="1"/>
    </xf>
    <xf numFmtId="0" fontId="1" fillId="0" borderId="0" xfId="4" applyFont="1" applyBorder="1" applyAlignment="1" applyProtection="1">
      <alignment horizontal="center" vertical="center" shrinkToFit="1"/>
    </xf>
    <xf numFmtId="0" fontId="9" fillId="7" borderId="22" xfId="4" applyFont="1" applyFill="1" applyBorder="1" applyAlignment="1" applyProtection="1">
      <alignment horizontal="center" vertical="center" wrapText="1"/>
    </xf>
    <xf numFmtId="0" fontId="9" fillId="7" borderId="23" xfId="4" applyFont="1" applyFill="1" applyBorder="1" applyAlignment="1" applyProtection="1">
      <alignment horizontal="center" vertical="center" wrapText="1"/>
    </xf>
    <xf numFmtId="0" fontId="9" fillId="7" borderId="24" xfId="4" applyFont="1" applyFill="1" applyBorder="1" applyAlignment="1" applyProtection="1">
      <alignment horizontal="center" vertical="center" wrapText="1"/>
    </xf>
    <xf numFmtId="0" fontId="9" fillId="7" borderId="20" xfId="4" applyFont="1" applyFill="1" applyBorder="1" applyAlignment="1" applyProtection="1">
      <alignment horizontal="center" vertical="center" wrapText="1"/>
    </xf>
    <xf numFmtId="0" fontId="9" fillId="7" borderId="25" xfId="4" applyFont="1" applyFill="1" applyBorder="1" applyAlignment="1" applyProtection="1">
      <alignment horizontal="center" vertical="center" wrapText="1"/>
    </xf>
    <xf numFmtId="0" fontId="9" fillId="7" borderId="26" xfId="4" applyFont="1" applyFill="1" applyBorder="1" applyAlignment="1" applyProtection="1">
      <alignment horizontal="center" vertical="center" wrapText="1"/>
    </xf>
    <xf numFmtId="0" fontId="7" fillId="5" borderId="25" xfId="4" applyFont="1" applyFill="1" applyBorder="1" applyAlignment="1" applyProtection="1">
      <alignment horizontal="left"/>
    </xf>
    <xf numFmtId="0" fontId="7" fillId="5" borderId="0" xfId="4" applyFont="1" applyFill="1" applyBorder="1" applyAlignment="1" applyProtection="1">
      <alignment horizontal="left"/>
    </xf>
    <xf numFmtId="0" fontId="1" fillId="5" borderId="0" xfId="4" applyFill="1" applyBorder="1" applyAlignment="1" applyProtection="1">
      <alignment horizontal="center"/>
    </xf>
    <xf numFmtId="0" fontId="3" fillId="2" borderId="27" xfId="4" applyFont="1" applyFill="1" applyBorder="1" applyAlignment="1" applyProtection="1">
      <alignment horizontal="center" vertical="center"/>
      <protection locked="0"/>
    </xf>
    <xf numFmtId="0" fontId="3" fillId="2" borderId="47" xfId="4" applyFont="1" applyFill="1" applyBorder="1" applyAlignment="1" applyProtection="1">
      <alignment horizontal="center" vertical="center"/>
      <protection locked="0"/>
    </xf>
    <xf numFmtId="0" fontId="3" fillId="2" borderId="28" xfId="4" applyFont="1" applyFill="1" applyBorder="1" applyAlignment="1" applyProtection="1">
      <alignment horizontal="center" vertical="center"/>
      <protection locked="0"/>
    </xf>
    <xf numFmtId="0" fontId="3" fillId="0" borderId="27" xfId="4" applyFont="1" applyFill="1" applyBorder="1" applyAlignment="1" applyProtection="1">
      <alignment horizontal="center" vertical="center"/>
      <protection locked="0"/>
    </xf>
    <xf numFmtId="0" fontId="3" fillId="0" borderId="47" xfId="4" applyFont="1" applyFill="1" applyBorder="1" applyAlignment="1" applyProtection="1">
      <alignment horizontal="center" vertical="center"/>
      <protection locked="0"/>
    </xf>
    <xf numFmtId="0" fontId="3" fillId="0" borderId="28" xfId="4" applyFont="1" applyFill="1" applyBorder="1" applyAlignment="1" applyProtection="1">
      <alignment horizontal="center" vertical="center"/>
      <protection locked="0"/>
    </xf>
    <xf numFmtId="0" fontId="1" fillId="0" borderId="27" xfId="4" applyBorder="1" applyAlignment="1" applyProtection="1">
      <alignment horizontal="center"/>
      <protection locked="0"/>
    </xf>
    <xf numFmtId="0" fontId="1" fillId="0" borderId="47" xfId="4" applyBorder="1" applyAlignment="1" applyProtection="1">
      <alignment horizontal="center"/>
      <protection locked="0"/>
    </xf>
    <xf numFmtId="0" fontId="1" fillId="0" borderId="28" xfId="4" applyBorder="1" applyAlignment="1" applyProtection="1">
      <alignment horizontal="center"/>
      <protection locked="0"/>
    </xf>
    <xf numFmtId="0" fontId="6" fillId="0" borderId="27" xfId="4" applyFont="1" applyFill="1" applyBorder="1" applyAlignment="1" applyProtection="1">
      <alignment horizontal="center" wrapText="1"/>
      <protection locked="0"/>
    </xf>
    <xf numFmtId="0" fontId="6" fillId="0" borderId="47" xfId="4" applyFont="1" applyFill="1" applyBorder="1" applyAlignment="1" applyProtection="1">
      <alignment horizontal="center" wrapText="1"/>
      <protection locked="0"/>
    </xf>
    <xf numFmtId="0" fontId="6" fillId="0" borderId="28" xfId="4" applyFont="1" applyFill="1" applyBorder="1" applyAlignment="1" applyProtection="1">
      <alignment horizontal="center" wrapText="1"/>
      <protection locked="0"/>
    </xf>
    <xf numFmtId="0" fontId="6" fillId="2" borderId="20" xfId="4" applyFont="1" applyFill="1" applyBorder="1" applyAlignment="1" applyProtection="1">
      <alignment horizontal="center" vertical="center" wrapText="1"/>
      <protection locked="0"/>
    </xf>
    <xf numFmtId="0" fontId="6" fillId="2" borderId="25" xfId="4" applyFont="1" applyFill="1" applyBorder="1" applyAlignment="1" applyProtection="1">
      <alignment horizontal="center" vertical="center" wrapText="1"/>
      <protection locked="0"/>
    </xf>
    <xf numFmtId="0" fontId="1" fillId="0" borderId="20" xfId="4" applyBorder="1" applyAlignment="1" applyProtection="1">
      <alignment horizontal="center"/>
      <protection locked="0"/>
    </xf>
    <xf numFmtId="0" fontId="1" fillId="0" borderId="25" xfId="4" applyBorder="1" applyAlignment="1" applyProtection="1">
      <alignment horizontal="center"/>
      <protection locked="0"/>
    </xf>
    <xf numFmtId="0" fontId="1" fillId="0" borderId="26" xfId="4" applyBorder="1" applyAlignment="1" applyProtection="1">
      <alignment horizontal="center"/>
      <protection locked="0"/>
    </xf>
    <xf numFmtId="0" fontId="6" fillId="2" borderId="27" xfId="4" applyFont="1" applyFill="1" applyBorder="1" applyAlignment="1" applyProtection="1">
      <alignment horizontal="center" wrapText="1"/>
      <protection locked="0"/>
    </xf>
    <xf numFmtId="0" fontId="6" fillId="2" borderId="47" xfId="4" applyFont="1" applyFill="1" applyBorder="1" applyAlignment="1" applyProtection="1">
      <alignment horizontal="center" wrapText="1"/>
      <protection locked="0"/>
    </xf>
    <xf numFmtId="0" fontId="6" fillId="2" borderId="28" xfId="4" applyFont="1" applyFill="1" applyBorder="1" applyAlignment="1" applyProtection="1">
      <alignment horizontal="center" wrapText="1"/>
      <protection locked="0"/>
    </xf>
    <xf numFmtId="0" fontId="1" fillId="16" borderId="27" xfId="4" applyFill="1" applyBorder="1" applyAlignment="1" applyProtection="1">
      <alignment horizontal="center" vertical="center" wrapText="1"/>
      <protection locked="0"/>
    </xf>
    <xf numFmtId="0" fontId="1" fillId="16" borderId="47" xfId="4" applyFill="1" applyBorder="1" applyAlignment="1" applyProtection="1">
      <alignment horizontal="center" vertical="center" wrapText="1"/>
      <protection locked="0"/>
    </xf>
    <xf numFmtId="0" fontId="1" fillId="0" borderId="47" xfId="4" applyBorder="1" applyAlignment="1" applyProtection="1">
      <alignment horizontal="center" vertical="center" wrapText="1"/>
      <protection locked="0"/>
    </xf>
    <xf numFmtId="0" fontId="1" fillId="0" borderId="28" xfId="4" applyBorder="1" applyAlignment="1" applyProtection="1">
      <alignment horizontal="center" vertical="center" wrapText="1"/>
      <protection locked="0"/>
    </xf>
    <xf numFmtId="0" fontId="1" fillId="5" borderId="25" xfId="4" applyFill="1" applyBorder="1" applyAlignment="1" applyProtection="1">
      <alignment horizontal="center"/>
    </xf>
    <xf numFmtId="0" fontId="3" fillId="0" borderId="27" xfId="4" applyFont="1" applyBorder="1" applyAlignment="1" applyProtection="1">
      <alignment horizontal="center"/>
      <protection locked="0"/>
    </xf>
    <xf numFmtId="0" fontId="3" fillId="0" borderId="47" xfId="4" applyFont="1" applyBorder="1" applyAlignment="1" applyProtection="1">
      <alignment horizontal="center"/>
      <protection locked="0"/>
    </xf>
    <xf numFmtId="0" fontId="3" fillId="0" borderId="28" xfId="4" applyFont="1" applyBorder="1" applyAlignment="1" applyProtection="1">
      <alignment horizontal="center"/>
      <protection locked="0"/>
    </xf>
    <xf numFmtId="0" fontId="3" fillId="0" borderId="5" xfId="4" applyFont="1" applyBorder="1" applyAlignment="1">
      <alignment horizontal="center"/>
    </xf>
    <xf numFmtId="0" fontId="3" fillId="0" borderId="6" xfId="4" applyFont="1" applyBorder="1" applyAlignment="1">
      <alignment horizontal="center"/>
    </xf>
    <xf numFmtId="0" fontId="4" fillId="2" borderId="27" xfId="4" applyFont="1" applyFill="1" applyBorder="1" applyAlignment="1" applyProtection="1">
      <alignment horizontal="center"/>
      <protection locked="0"/>
    </xf>
    <xf numFmtId="0" fontId="4" fillId="2" borderId="47" xfId="4" applyFont="1" applyFill="1" applyBorder="1" applyAlignment="1" applyProtection="1">
      <alignment horizontal="center"/>
      <protection locked="0"/>
    </xf>
    <xf numFmtId="0" fontId="4" fillId="2" borderId="28" xfId="4" applyFont="1" applyFill="1" applyBorder="1" applyAlignment="1" applyProtection="1">
      <alignment horizontal="center"/>
      <protection locked="0"/>
    </xf>
    <xf numFmtId="0" fontId="5" fillId="0" borderId="27" xfId="4" applyFont="1" applyBorder="1" applyAlignment="1" applyProtection="1">
      <alignment horizontal="center" vertical="center"/>
      <protection locked="0"/>
    </xf>
    <xf numFmtId="0" fontId="5" fillId="0" borderId="47" xfId="4" applyFont="1" applyBorder="1" applyAlignment="1" applyProtection="1">
      <alignment horizontal="center" vertical="center"/>
      <protection locked="0"/>
    </xf>
    <xf numFmtId="0" fontId="5" fillId="0" borderId="28" xfId="4" applyFont="1" applyBorder="1" applyAlignment="1" applyProtection="1">
      <alignment horizontal="center" vertical="center"/>
      <protection locked="0"/>
    </xf>
    <xf numFmtId="0" fontId="6" fillId="2" borderId="27" xfId="4" applyFont="1" applyFill="1" applyBorder="1" applyAlignment="1" applyProtection="1">
      <alignment horizontal="center"/>
      <protection locked="0"/>
    </xf>
    <xf numFmtId="0" fontId="6" fillId="2" borderId="47" xfId="4" applyFont="1" applyFill="1" applyBorder="1" applyAlignment="1" applyProtection="1">
      <alignment horizontal="center"/>
      <protection locked="0"/>
    </xf>
    <xf numFmtId="0" fontId="6" fillId="2" borderId="28" xfId="4" applyFont="1" applyFill="1" applyBorder="1" applyAlignment="1" applyProtection="1">
      <alignment horizontal="center"/>
      <protection locked="0"/>
    </xf>
    <xf numFmtId="1" fontId="1" fillId="0" borderId="0" xfId="6" applyNumberFormat="1" applyAlignment="1">
      <alignment horizontal="center"/>
    </xf>
    <xf numFmtId="0" fontId="1" fillId="0" borderId="0" xfId="6" applyBorder="1" applyAlignment="1">
      <alignment horizontal="center"/>
    </xf>
    <xf numFmtId="0" fontId="1" fillId="5" borderId="0" xfId="6" applyFill="1" applyBorder="1" applyAlignment="1">
      <alignment horizontal="center"/>
    </xf>
    <xf numFmtId="0" fontId="1" fillId="5" borderId="39" xfId="6" applyFill="1" applyBorder="1" applyAlignment="1">
      <alignment horizontal="center"/>
    </xf>
    <xf numFmtId="0" fontId="16" fillId="9" borderId="22" xfId="6" applyFont="1" applyFill="1" applyBorder="1" applyAlignment="1" applyProtection="1">
      <alignment horizontal="center" vertical="center"/>
    </xf>
    <xf numFmtId="0" fontId="16" fillId="9" borderId="23" xfId="6" applyFont="1" applyFill="1" applyBorder="1" applyAlignment="1" applyProtection="1">
      <alignment horizontal="center" vertical="center"/>
    </xf>
    <xf numFmtId="0" fontId="16" fillId="9" borderId="24" xfId="6" applyFont="1" applyFill="1" applyBorder="1" applyAlignment="1" applyProtection="1">
      <alignment horizontal="center" vertical="center"/>
    </xf>
    <xf numFmtId="0" fontId="16" fillId="9" borderId="21" xfId="6" applyFont="1" applyFill="1" applyBorder="1" applyAlignment="1" applyProtection="1">
      <alignment horizontal="center" vertical="center"/>
    </xf>
    <xf numFmtId="0" fontId="16" fillId="9" borderId="0" xfId="6" applyFont="1" applyFill="1" applyBorder="1" applyAlignment="1" applyProtection="1">
      <alignment horizontal="center" vertical="center"/>
    </xf>
    <xf numFmtId="0" fontId="16" fillId="9" borderId="39" xfId="6" applyFont="1" applyFill="1" applyBorder="1" applyAlignment="1" applyProtection="1">
      <alignment horizontal="center" vertical="center"/>
    </xf>
    <xf numFmtId="0" fontId="16" fillId="9" borderId="20" xfId="6" applyFont="1" applyFill="1" applyBorder="1" applyAlignment="1" applyProtection="1">
      <alignment horizontal="center" vertical="center"/>
    </xf>
    <xf numFmtId="0" fontId="16" fillId="9" borderId="25" xfId="6" applyFont="1" applyFill="1" applyBorder="1" applyAlignment="1" applyProtection="1">
      <alignment horizontal="center" vertical="center"/>
    </xf>
    <xf numFmtId="0" fontId="16" fillId="9" borderId="26" xfId="6" applyFont="1" applyFill="1" applyBorder="1" applyAlignment="1" applyProtection="1">
      <alignment horizontal="center" vertical="center"/>
    </xf>
    <xf numFmtId="0" fontId="1" fillId="0" borderId="0" xfId="6" applyAlignment="1">
      <alignment horizontal="center"/>
    </xf>
    <xf numFmtId="2" fontId="1" fillId="0" borderId="0" xfId="6" applyNumberFormat="1" applyAlignment="1">
      <alignment horizontal="center"/>
    </xf>
    <xf numFmtId="0" fontId="3" fillId="6" borderId="18" xfId="6" applyFont="1" applyFill="1" applyBorder="1" applyAlignment="1">
      <alignment horizontal="center"/>
    </xf>
    <xf numFmtId="0" fontId="3" fillId="6" borderId="19" xfId="6" applyFont="1" applyFill="1" applyBorder="1" applyAlignment="1">
      <alignment horizontal="center"/>
    </xf>
    <xf numFmtId="0" fontId="3" fillId="6" borderId="30" xfId="6" applyFont="1" applyFill="1" applyBorder="1" applyAlignment="1">
      <alignment horizontal="center"/>
    </xf>
    <xf numFmtId="0" fontId="3" fillId="0" borderId="27" xfId="6" applyFont="1" applyFill="1" applyBorder="1" applyAlignment="1">
      <alignment horizontal="center"/>
    </xf>
    <xf numFmtId="0" fontId="3" fillId="0" borderId="47" xfId="6" applyFont="1" applyFill="1" applyBorder="1" applyAlignment="1">
      <alignment horizontal="center"/>
    </xf>
    <xf numFmtId="0" fontId="3" fillId="0" borderId="28" xfId="6" applyFont="1" applyFill="1" applyBorder="1" applyAlignment="1">
      <alignment horizontal="center"/>
    </xf>
    <xf numFmtId="0" fontId="3" fillId="6" borderId="29" xfId="6" applyFont="1" applyFill="1" applyBorder="1" applyAlignment="1">
      <alignment horizontal="center"/>
    </xf>
    <xf numFmtId="0" fontId="3" fillId="6" borderId="17" xfId="6" applyFont="1" applyFill="1" applyBorder="1" applyAlignment="1">
      <alignment horizontal="center"/>
    </xf>
    <xf numFmtId="20" fontId="1" fillId="0" borderId="51" xfId="6" applyNumberFormat="1" applyFill="1" applyBorder="1" applyAlignment="1" applyProtection="1">
      <alignment horizontal="center"/>
      <protection locked="0"/>
    </xf>
    <xf numFmtId="0" fontId="1" fillId="0" borderId="49" xfId="6" applyFill="1" applyBorder="1" applyAlignment="1" applyProtection="1">
      <alignment horizontal="center"/>
      <protection locked="0"/>
    </xf>
    <xf numFmtId="0" fontId="1" fillId="0" borderId="50" xfId="6" applyFill="1" applyBorder="1" applyAlignment="1" applyProtection="1">
      <alignment horizontal="center"/>
      <protection locked="0"/>
    </xf>
    <xf numFmtId="0" fontId="1" fillId="0" borderId="52" xfId="6" applyFill="1" applyBorder="1" applyAlignment="1" applyProtection="1">
      <alignment horizontal="center"/>
      <protection locked="0"/>
    </xf>
    <xf numFmtId="0" fontId="24" fillId="16" borderId="22" xfId="6" applyFont="1" applyFill="1" applyBorder="1" applyAlignment="1" applyProtection="1">
      <alignment horizontal="center" vertical="center" wrapText="1"/>
    </xf>
    <xf numFmtId="0" fontId="24" fillId="16" borderId="23" xfId="6" applyFont="1" applyFill="1" applyBorder="1" applyAlignment="1" applyProtection="1">
      <alignment horizontal="center" vertical="center" wrapText="1"/>
    </xf>
    <xf numFmtId="0" fontId="24" fillId="16" borderId="24" xfId="6" applyFont="1" applyFill="1" applyBorder="1" applyAlignment="1" applyProtection="1">
      <alignment horizontal="center" vertical="center" wrapText="1"/>
    </xf>
    <xf numFmtId="0" fontId="24" fillId="16" borderId="21" xfId="6" applyFont="1" applyFill="1" applyBorder="1" applyAlignment="1" applyProtection="1">
      <alignment horizontal="center" vertical="center" wrapText="1"/>
    </xf>
    <xf numFmtId="0" fontId="24" fillId="16" borderId="0" xfId="6" applyFont="1" applyFill="1" applyBorder="1" applyAlignment="1" applyProtection="1">
      <alignment horizontal="center" vertical="center" wrapText="1"/>
    </xf>
    <xf numFmtId="0" fontId="24" fillId="16" borderId="39" xfId="6" applyFont="1" applyFill="1" applyBorder="1" applyAlignment="1" applyProtection="1">
      <alignment horizontal="center" vertical="center" wrapText="1"/>
    </xf>
    <xf numFmtId="0" fontId="24" fillId="16" borderId="20" xfId="6" applyFont="1" applyFill="1" applyBorder="1" applyAlignment="1" applyProtection="1">
      <alignment horizontal="center" vertical="center" wrapText="1"/>
    </xf>
    <xf numFmtId="0" fontId="24" fillId="16" borderId="25" xfId="6" applyFont="1" applyFill="1" applyBorder="1" applyAlignment="1" applyProtection="1">
      <alignment horizontal="center" vertical="center" wrapText="1"/>
    </xf>
    <xf numFmtId="0" fontId="24" fillId="16" borderId="26" xfId="6" applyFont="1" applyFill="1" applyBorder="1" applyAlignment="1" applyProtection="1">
      <alignment horizontal="center" vertical="center" wrapText="1"/>
    </xf>
    <xf numFmtId="1" fontId="1" fillId="0" borderId="29" xfId="6" applyNumberFormat="1" applyFill="1" applyBorder="1" applyAlignment="1" applyProtection="1">
      <alignment horizontal="center"/>
      <protection locked="0"/>
    </xf>
    <xf numFmtId="1" fontId="1" fillId="0" borderId="19" xfId="6" applyNumberFormat="1" applyFill="1" applyBorder="1" applyAlignment="1" applyProtection="1">
      <alignment horizontal="center"/>
      <protection locked="0"/>
    </xf>
    <xf numFmtId="1" fontId="1" fillId="0" borderId="17" xfId="6" applyNumberFormat="1" applyFill="1" applyBorder="1" applyAlignment="1" applyProtection="1">
      <alignment horizontal="center"/>
      <protection locked="0"/>
    </xf>
    <xf numFmtId="1" fontId="1" fillId="0" borderId="18" xfId="6" applyNumberFormat="1" applyFill="1" applyBorder="1" applyAlignment="1" applyProtection="1">
      <alignment horizontal="center"/>
      <protection locked="0"/>
    </xf>
    <xf numFmtId="1" fontId="1" fillId="0" borderId="30" xfId="6" applyNumberFormat="1" applyFill="1" applyBorder="1" applyAlignment="1" applyProtection="1">
      <alignment horizontal="center"/>
      <protection locked="0"/>
    </xf>
    <xf numFmtId="0" fontId="10" fillId="0" borderId="0" xfId="6" applyFont="1" applyAlignment="1">
      <alignment horizontal="center"/>
    </xf>
    <xf numFmtId="0" fontId="10" fillId="0" borderId="39" xfId="6" applyFont="1" applyBorder="1" applyAlignment="1">
      <alignment horizontal="center"/>
    </xf>
    <xf numFmtId="0" fontId="1" fillId="0" borderId="27" xfId="6" applyBorder="1" applyAlignment="1" applyProtection="1">
      <alignment horizontal="center" shrinkToFit="1"/>
    </xf>
    <xf numFmtId="0" fontId="1" fillId="0" borderId="47" xfId="6" applyBorder="1" applyAlignment="1" applyProtection="1">
      <alignment horizontal="center" shrinkToFit="1"/>
    </xf>
    <xf numFmtId="0" fontId="1" fillId="0" borderId="28" xfId="6" applyBorder="1" applyAlignment="1" applyProtection="1">
      <alignment horizontal="center" shrinkToFit="1"/>
    </xf>
    <xf numFmtId="0" fontId="1" fillId="0" borderId="27" xfId="6" applyBorder="1" applyAlignment="1" applyProtection="1">
      <alignment horizontal="center"/>
    </xf>
    <xf numFmtId="0" fontId="1" fillId="0" borderId="47" xfId="6" applyBorder="1" applyAlignment="1" applyProtection="1">
      <alignment horizontal="center"/>
    </xf>
    <xf numFmtId="0" fontId="1" fillId="0" borderId="28" xfId="6" applyBorder="1" applyAlignment="1" applyProtection="1">
      <alignment horizontal="center"/>
    </xf>
    <xf numFmtId="0" fontId="1" fillId="0" borderId="27" xfId="6" applyBorder="1" applyAlignment="1">
      <alignment horizontal="center"/>
    </xf>
    <xf numFmtId="0" fontId="1" fillId="0" borderId="47" xfId="6" applyBorder="1" applyAlignment="1">
      <alignment horizontal="center"/>
    </xf>
    <xf numFmtId="0" fontId="1" fillId="0" borderId="28" xfId="6" applyBorder="1" applyAlignment="1">
      <alignment horizontal="center"/>
    </xf>
    <xf numFmtId="20" fontId="1" fillId="0" borderId="48" xfId="6" applyNumberFormat="1" applyFill="1" applyBorder="1" applyAlignment="1" applyProtection="1">
      <alignment horizontal="center"/>
      <protection locked="0"/>
    </xf>
    <xf numFmtId="0" fontId="1" fillId="16" borderId="23" xfId="6" applyFill="1" applyBorder="1" applyAlignment="1" applyProtection="1">
      <alignment vertical="center"/>
    </xf>
    <xf numFmtId="0" fontId="1" fillId="16" borderId="24" xfId="6" applyFill="1" applyBorder="1" applyAlignment="1" applyProtection="1">
      <alignment vertical="center"/>
    </xf>
    <xf numFmtId="0" fontId="1" fillId="16" borderId="21" xfId="6" applyFill="1" applyBorder="1" applyAlignment="1" applyProtection="1">
      <alignment vertical="center"/>
    </xf>
    <xf numFmtId="0" fontId="1" fillId="16" borderId="0" xfId="6" applyFill="1" applyAlignment="1" applyProtection="1">
      <alignment vertical="center"/>
    </xf>
    <xf numFmtId="0" fontId="1" fillId="16" borderId="39" xfId="6" applyFill="1" applyBorder="1" applyAlignment="1" applyProtection="1">
      <alignment vertical="center"/>
    </xf>
    <xf numFmtId="0" fontId="1" fillId="16" borderId="20" xfId="6" applyFill="1" applyBorder="1" applyAlignment="1" applyProtection="1">
      <alignment vertical="center"/>
    </xf>
    <xf numFmtId="0" fontId="1" fillId="16" borderId="25" xfId="6" applyFill="1" applyBorder="1" applyAlignment="1" applyProtection="1">
      <alignment vertical="center"/>
    </xf>
    <xf numFmtId="0" fontId="1" fillId="16" borderId="26" xfId="6" applyFill="1" applyBorder="1" applyAlignment="1" applyProtection="1">
      <alignment vertical="center"/>
    </xf>
    <xf numFmtId="0" fontId="1" fillId="10" borderId="27" xfId="6" applyFill="1" applyBorder="1" applyAlignment="1">
      <alignment horizontal="center"/>
    </xf>
    <xf numFmtId="0" fontId="1" fillId="10" borderId="47" xfId="6" applyFill="1" applyBorder="1" applyAlignment="1">
      <alignment horizontal="center"/>
    </xf>
    <xf numFmtId="0" fontId="1" fillId="10" borderId="28" xfId="6" applyFill="1" applyBorder="1" applyAlignment="1">
      <alignment horizontal="center"/>
    </xf>
    <xf numFmtId="0" fontId="1" fillId="4" borderId="27" xfId="6" applyFill="1" applyBorder="1" applyAlignment="1">
      <alignment horizontal="center"/>
    </xf>
    <xf numFmtId="0" fontId="1" fillId="4" borderId="47" xfId="6" applyFill="1" applyBorder="1" applyAlignment="1">
      <alignment horizontal="center"/>
    </xf>
    <xf numFmtId="0" fontId="1" fillId="4" borderId="28" xfId="6" applyFill="1" applyBorder="1" applyAlignment="1">
      <alignment horizontal="center"/>
    </xf>
    <xf numFmtId="0" fontId="1" fillId="0" borderId="25" xfId="6" applyBorder="1" applyAlignment="1">
      <alignment horizontal="center" shrinkToFit="1"/>
    </xf>
    <xf numFmtId="0" fontId="1" fillId="0" borderId="26" xfId="6" applyBorder="1" applyAlignment="1">
      <alignment horizontal="center" shrinkToFit="1"/>
    </xf>
    <xf numFmtId="0" fontId="10" fillId="0" borderId="23" xfId="6" applyFont="1" applyBorder="1" applyAlignment="1" applyProtection="1">
      <alignment horizontal="center" shrinkToFit="1"/>
      <protection locked="0"/>
    </xf>
    <xf numFmtId="0" fontId="10" fillId="0" borderId="0" xfId="6" applyFont="1" applyBorder="1" applyAlignment="1" applyProtection="1">
      <alignment horizontal="center" shrinkToFit="1"/>
      <protection locked="0"/>
    </xf>
    <xf numFmtId="0" fontId="5" fillId="0" borderId="0" xfId="6" applyFont="1" applyAlignment="1" applyProtection="1">
      <alignment horizontal="center"/>
      <protection locked="0"/>
    </xf>
    <xf numFmtId="0" fontId="1" fillId="0" borderId="20" xfId="6" applyBorder="1" applyAlignment="1" applyProtection="1">
      <alignment horizontal="left"/>
      <protection locked="0"/>
    </xf>
    <xf numFmtId="0" fontId="1" fillId="0" borderId="25" xfId="6" applyBorder="1" applyAlignment="1" applyProtection="1">
      <alignment horizontal="left"/>
      <protection locked="0"/>
    </xf>
    <xf numFmtId="0" fontId="1" fillId="0" borderId="26" xfId="6" applyBorder="1" applyAlignment="1" applyProtection="1">
      <alignment horizontal="left"/>
      <protection locked="0"/>
    </xf>
    <xf numFmtId="0" fontId="1" fillId="0" borderId="21" xfId="6" applyBorder="1" applyAlignment="1" applyProtection="1">
      <alignment horizontal="left"/>
      <protection locked="0"/>
    </xf>
    <xf numFmtId="0" fontId="1" fillId="0" borderId="0" xfId="6" applyBorder="1" applyAlignment="1" applyProtection="1">
      <alignment horizontal="left"/>
      <protection locked="0"/>
    </xf>
    <xf numFmtId="0" fontId="15" fillId="0" borderId="0" xfId="6" applyFont="1" applyBorder="1" applyAlignment="1" applyProtection="1">
      <alignment horizontal="center"/>
      <protection locked="0"/>
    </xf>
    <xf numFmtId="0" fontId="15" fillId="0" borderId="39" xfId="6" applyFont="1" applyBorder="1" applyAlignment="1" applyProtection="1">
      <alignment horizontal="center"/>
      <protection locked="0"/>
    </xf>
    <xf numFmtId="0" fontId="1" fillId="0" borderId="21" xfId="6" applyBorder="1" applyAlignment="1">
      <alignment horizontal="left" shrinkToFit="1"/>
    </xf>
    <xf numFmtId="0" fontId="1" fillId="0" borderId="0" xfId="6" applyBorder="1" applyAlignment="1">
      <alignment horizontal="left" shrinkToFit="1"/>
    </xf>
    <xf numFmtId="0" fontId="1" fillId="0" borderId="21" xfId="6" applyBorder="1" applyAlignment="1" applyProtection="1">
      <alignment horizontal="center"/>
      <protection locked="0"/>
    </xf>
    <xf numFmtId="0" fontId="1" fillId="0" borderId="0" xfId="6" applyBorder="1" applyAlignment="1" applyProtection="1">
      <alignment horizontal="center"/>
      <protection locked="0"/>
    </xf>
    <xf numFmtId="0" fontId="10" fillId="0" borderId="39" xfId="6" applyFont="1" applyBorder="1" applyAlignment="1" applyProtection="1">
      <alignment horizontal="center" shrinkToFit="1"/>
      <protection locked="0"/>
    </xf>
    <xf numFmtId="0" fontId="1" fillId="0" borderId="20" xfId="6" applyBorder="1" applyAlignment="1" applyProtection="1">
      <alignment horizontal="center" shrinkToFit="1"/>
    </xf>
    <xf numFmtId="0" fontId="1" fillId="0" borderId="25" xfId="6" applyBorder="1" applyAlignment="1" applyProtection="1">
      <alignment horizontal="center" shrinkToFit="1"/>
    </xf>
    <xf numFmtId="0" fontId="1" fillId="0" borderId="22" xfId="6" applyBorder="1" applyAlignment="1" applyProtection="1">
      <alignment horizontal="center"/>
      <protection locked="0"/>
    </xf>
    <xf numFmtId="0" fontId="1" fillId="0" borderId="23" xfId="6" applyBorder="1" applyAlignment="1" applyProtection="1">
      <alignment horizontal="center"/>
      <protection locked="0"/>
    </xf>
    <xf numFmtId="0" fontId="10" fillId="0" borderId="0" xfId="6" applyFont="1" applyAlignment="1" applyProtection="1">
      <alignment horizontal="center" shrinkToFit="1"/>
      <protection locked="0"/>
    </xf>
    <xf numFmtId="0" fontId="1" fillId="0" borderId="39" xfId="6" applyBorder="1" applyAlignment="1" applyProtection="1">
      <alignment horizontal="center"/>
      <protection locked="0"/>
    </xf>
    <xf numFmtId="0" fontId="1" fillId="0" borderId="22" xfId="6" applyBorder="1" applyAlignment="1" applyProtection="1">
      <alignment horizontal="left"/>
      <protection locked="0"/>
    </xf>
    <xf numFmtId="0" fontId="1" fillId="0" borderId="23" xfId="6" applyBorder="1" applyAlignment="1" applyProtection="1">
      <alignment horizontal="left"/>
      <protection locked="0"/>
    </xf>
    <xf numFmtId="0" fontId="1" fillId="0" borderId="24" xfId="6" applyBorder="1" applyAlignment="1" applyProtection="1">
      <alignment horizontal="left"/>
      <protection locked="0"/>
    </xf>
    <xf numFmtId="0" fontId="15" fillId="0" borderId="0" xfId="6" applyFont="1" applyBorder="1" applyAlignment="1">
      <alignment horizontal="center"/>
    </xf>
    <xf numFmtId="0" fontId="5" fillId="0" borderId="0" xfId="6" applyFont="1" applyAlignment="1">
      <alignment horizontal="center"/>
    </xf>
    <xf numFmtId="0" fontId="6" fillId="0" borderId="0" xfId="6" applyFont="1" applyAlignment="1" applyProtection="1">
      <alignment horizontal="left" wrapText="1"/>
      <protection locked="0"/>
    </xf>
    <xf numFmtId="0" fontId="6" fillId="0" borderId="0" xfId="6" applyFont="1" applyAlignment="1" applyProtection="1">
      <alignment horizontal="left"/>
      <protection locked="0"/>
    </xf>
    <xf numFmtId="0" fontId="1" fillId="0" borderId="0" xfId="6" applyFill="1" applyAlignment="1" applyProtection="1">
      <alignment horizontal="left"/>
      <protection locked="0"/>
    </xf>
    <xf numFmtId="0" fontId="3" fillId="11" borderId="0" xfId="6" applyFont="1" applyFill="1" applyAlignment="1">
      <alignment horizontal="center"/>
    </xf>
    <xf numFmtId="0" fontId="1" fillId="0" borderId="0" xfId="6" applyAlignment="1" applyProtection="1">
      <alignment horizontal="center"/>
      <protection locked="0"/>
    </xf>
    <xf numFmtId="0" fontId="15" fillId="0" borderId="11" xfId="6" applyFont="1" applyFill="1" applyBorder="1" applyAlignment="1">
      <alignment horizontal="center" shrinkToFit="1"/>
    </xf>
    <xf numFmtId="0" fontId="15" fillId="0" borderId="41" xfId="6" applyFont="1" applyFill="1" applyBorder="1" applyAlignment="1">
      <alignment horizontal="center" shrinkToFit="1"/>
    </xf>
    <xf numFmtId="0" fontId="15" fillId="0" borderId="41" xfId="6" applyFont="1" applyFill="1" applyBorder="1" applyAlignment="1">
      <alignment horizontal="center"/>
    </xf>
    <xf numFmtId="0" fontId="15" fillId="0" borderId="12" xfId="6" applyFont="1" applyFill="1" applyBorder="1" applyAlignment="1">
      <alignment horizontal="center"/>
    </xf>
    <xf numFmtId="0" fontId="15" fillId="0" borderId="36" xfId="6" applyFont="1" applyFill="1" applyBorder="1" applyAlignment="1">
      <alignment horizontal="center" shrinkToFit="1"/>
    </xf>
    <xf numFmtId="0" fontId="15" fillId="0" borderId="42" xfId="6" applyFont="1" applyFill="1" applyBorder="1" applyAlignment="1">
      <alignment horizontal="center" shrinkToFit="1"/>
    </xf>
    <xf numFmtId="0" fontId="15" fillId="0" borderId="42" xfId="6" applyFont="1" applyFill="1" applyBorder="1" applyAlignment="1">
      <alignment horizontal="center"/>
    </xf>
    <xf numFmtId="0" fontId="15" fillId="0" borderId="37" xfId="6" applyFont="1" applyFill="1" applyBorder="1" applyAlignment="1">
      <alignment horizontal="center"/>
    </xf>
    <xf numFmtId="0" fontId="1" fillId="2" borderId="27" xfId="6" applyFill="1" applyBorder="1" applyAlignment="1">
      <alignment horizontal="center"/>
    </xf>
    <xf numFmtId="0" fontId="1" fillId="2" borderId="47" xfId="6" applyFill="1" applyBorder="1" applyAlignment="1">
      <alignment horizontal="center"/>
    </xf>
    <xf numFmtId="0" fontId="1" fillId="2" borderId="28" xfId="6" applyFill="1" applyBorder="1" applyAlignment="1">
      <alignment horizontal="center"/>
    </xf>
    <xf numFmtId="0" fontId="14" fillId="0" borderId="0" xfId="6" applyFont="1" applyAlignment="1">
      <alignment horizontal="center"/>
    </xf>
    <xf numFmtId="0" fontId="10" fillId="4" borderId="46" xfId="6" applyFont="1" applyFill="1" applyBorder="1" applyAlignment="1">
      <alignment horizontal="center" wrapText="1"/>
    </xf>
    <xf numFmtId="0" fontId="10" fillId="4" borderId="43" xfId="6" applyFont="1" applyFill="1" applyBorder="1" applyAlignment="1">
      <alignment horizontal="center" wrapText="1"/>
    </xf>
    <xf numFmtId="0" fontId="1" fillId="12" borderId="27" xfId="6" applyFill="1" applyBorder="1" applyAlignment="1">
      <alignment horizontal="center"/>
    </xf>
    <xf numFmtId="0" fontId="1" fillId="12" borderId="47" xfId="6" applyFill="1" applyBorder="1" applyAlignment="1">
      <alignment horizontal="center"/>
    </xf>
    <xf numFmtId="0" fontId="1" fillId="12" borderId="28" xfId="6" applyFill="1" applyBorder="1" applyAlignment="1">
      <alignment horizontal="center"/>
    </xf>
    <xf numFmtId="0" fontId="5" fillId="6" borderId="18" xfId="6" applyFont="1" applyFill="1" applyBorder="1" applyAlignment="1" applyProtection="1">
      <alignment horizontal="center"/>
      <protection locked="0"/>
    </xf>
    <xf numFmtId="0" fontId="5" fillId="6" borderId="19" xfId="6" applyFont="1" applyFill="1" applyBorder="1" applyAlignment="1" applyProtection="1">
      <alignment horizontal="center"/>
      <protection locked="0"/>
    </xf>
    <xf numFmtId="0" fontId="5" fillId="6" borderId="17" xfId="6" applyFont="1" applyFill="1" applyBorder="1" applyAlignment="1" applyProtection="1">
      <alignment horizontal="center"/>
      <protection locked="0"/>
    </xf>
    <xf numFmtId="0" fontId="1" fillId="0" borderId="0" xfId="6" applyFill="1" applyAlignment="1" applyProtection="1">
      <alignment horizontal="center" wrapText="1"/>
      <protection hidden="1"/>
    </xf>
    <xf numFmtId="0" fontId="1" fillId="0" borderId="0" xfId="6" applyAlignment="1" applyProtection="1">
      <alignment horizontal="left"/>
    </xf>
    <xf numFmtId="0" fontId="1" fillId="0" borderId="0" xfId="6" applyAlignment="1" applyProtection="1">
      <alignment horizontal="left"/>
      <protection locked="0"/>
    </xf>
    <xf numFmtId="20" fontId="1" fillId="0" borderId="18" xfId="6" applyNumberFormat="1" applyFill="1" applyBorder="1" applyAlignment="1" applyProtection="1">
      <alignment horizontal="center"/>
      <protection locked="0"/>
    </xf>
    <xf numFmtId="20" fontId="1" fillId="0" borderId="19" xfId="6" applyNumberFormat="1" applyFill="1" applyBorder="1" applyAlignment="1" applyProtection="1">
      <alignment horizontal="center"/>
      <protection locked="0"/>
    </xf>
    <xf numFmtId="20" fontId="1" fillId="0" borderId="17" xfId="6" applyNumberFormat="1" applyFill="1" applyBorder="1" applyAlignment="1" applyProtection="1">
      <alignment horizontal="center"/>
      <protection locked="0"/>
    </xf>
    <xf numFmtId="20" fontId="1" fillId="0" borderId="40" xfId="6" applyNumberFormat="1" applyFill="1" applyBorder="1" applyAlignment="1" applyProtection="1">
      <alignment horizontal="center"/>
      <protection locked="0"/>
    </xf>
    <xf numFmtId="0" fontId="1" fillId="0" borderId="53" xfId="6" applyFill="1" applyBorder="1" applyAlignment="1" applyProtection="1">
      <alignment horizontal="center"/>
      <protection locked="0"/>
    </xf>
    <xf numFmtId="0" fontId="1" fillId="0" borderId="38" xfId="6" applyFill="1" applyBorder="1" applyAlignment="1" applyProtection="1">
      <alignment horizontal="center"/>
      <protection locked="0"/>
    </xf>
    <xf numFmtId="0" fontId="3" fillId="13" borderId="21" xfId="6" applyFont="1" applyFill="1" applyBorder="1" applyAlignment="1">
      <alignment horizontal="center" vertical="center" wrapText="1"/>
    </xf>
    <xf numFmtId="0" fontId="3" fillId="13" borderId="0" xfId="6" applyFont="1" applyFill="1" applyBorder="1" applyAlignment="1">
      <alignment horizontal="center" vertical="center" wrapText="1"/>
    </xf>
    <xf numFmtId="0" fontId="3" fillId="13" borderId="23" xfId="6" applyFont="1" applyFill="1" applyBorder="1" applyAlignment="1">
      <alignment horizontal="center" vertical="center" wrapText="1"/>
    </xf>
    <xf numFmtId="0" fontId="3" fillId="13" borderId="24" xfId="6" applyFont="1" applyFill="1" applyBorder="1" applyAlignment="1">
      <alignment horizontal="center" vertical="center" wrapText="1"/>
    </xf>
    <xf numFmtId="0" fontId="3" fillId="13" borderId="39" xfId="6" applyFont="1" applyFill="1" applyBorder="1" applyAlignment="1">
      <alignment horizontal="center" vertical="center" wrapText="1"/>
    </xf>
    <xf numFmtId="0" fontId="3" fillId="13" borderId="20" xfId="6" applyFont="1" applyFill="1" applyBorder="1" applyAlignment="1">
      <alignment horizontal="center" vertical="center" wrapText="1"/>
    </xf>
    <xf numFmtId="0" fontId="3" fillId="13" borderId="25" xfId="6" applyFont="1" applyFill="1" applyBorder="1" applyAlignment="1">
      <alignment horizontal="center" vertical="center" wrapText="1"/>
    </xf>
    <xf numFmtId="0" fontId="3" fillId="13" borderId="26" xfId="6" applyFont="1" applyFill="1" applyBorder="1" applyAlignment="1">
      <alignment horizontal="center" vertical="center" wrapText="1"/>
    </xf>
    <xf numFmtId="0" fontId="6" fillId="3" borderId="54" xfId="6" applyFont="1" applyFill="1" applyBorder="1" applyAlignment="1" applyProtection="1">
      <alignment horizontal="left" vertical="center" wrapText="1"/>
      <protection locked="0"/>
    </xf>
    <xf numFmtId="0" fontId="6" fillId="3" borderId="55" xfId="6" applyFont="1" applyFill="1" applyBorder="1" applyAlignment="1" applyProtection="1">
      <alignment vertical="center" wrapText="1"/>
      <protection locked="0"/>
    </xf>
    <xf numFmtId="0" fontId="6" fillId="3" borderId="56" xfId="6" applyFont="1" applyFill="1" applyBorder="1" applyAlignment="1" applyProtection="1">
      <alignment vertical="center" wrapText="1"/>
      <protection locked="0"/>
    </xf>
    <xf numFmtId="10" fontId="1" fillId="0" borderId="22" xfId="6" applyNumberFormat="1" applyFont="1" applyBorder="1" applyAlignment="1">
      <alignment horizontal="center" vertical="center"/>
    </xf>
    <xf numFmtId="10" fontId="1" fillId="0" borderId="23" xfId="6" applyNumberFormat="1" applyFont="1" applyBorder="1" applyAlignment="1">
      <alignment horizontal="center" vertical="center"/>
    </xf>
    <xf numFmtId="10" fontId="1" fillId="0" borderId="21" xfId="6" applyNumberFormat="1" applyFont="1" applyBorder="1" applyAlignment="1">
      <alignment horizontal="center" vertical="center"/>
    </xf>
    <xf numFmtId="10" fontId="1" fillId="0" borderId="0" xfId="6" applyNumberFormat="1" applyFont="1" applyBorder="1" applyAlignment="1">
      <alignment horizontal="center" vertical="center"/>
    </xf>
    <xf numFmtId="172" fontId="1" fillId="0" borderId="22" xfId="6" applyNumberFormat="1" applyFont="1" applyBorder="1" applyAlignment="1" applyProtection="1">
      <alignment horizontal="center" vertical="center"/>
    </xf>
    <xf numFmtId="172" fontId="1" fillId="0" borderId="23" xfId="6" applyNumberFormat="1" applyFont="1" applyBorder="1" applyAlignment="1" applyProtection="1">
      <alignment horizontal="center" vertical="center"/>
    </xf>
    <xf numFmtId="172" fontId="1" fillId="0" borderId="24" xfId="6" applyNumberFormat="1" applyFont="1" applyBorder="1" applyAlignment="1" applyProtection="1">
      <alignment horizontal="center" vertical="center"/>
    </xf>
    <xf numFmtId="172" fontId="1" fillId="0" borderId="21" xfId="6" applyNumberFormat="1" applyFont="1" applyBorder="1" applyAlignment="1" applyProtection="1">
      <alignment horizontal="center" vertical="center"/>
    </xf>
    <xf numFmtId="172" fontId="1" fillId="0" borderId="0" xfId="6" applyNumberFormat="1" applyFont="1" applyBorder="1" applyAlignment="1" applyProtection="1">
      <alignment horizontal="center" vertical="center"/>
    </xf>
    <xf numFmtId="172" fontId="1" fillId="0" borderId="39" xfId="6" applyNumberFormat="1" applyFont="1" applyBorder="1" applyAlignment="1" applyProtection="1">
      <alignment horizontal="center" vertical="center"/>
    </xf>
    <xf numFmtId="0" fontId="11" fillId="0" borderId="46" xfId="6" applyFont="1" applyBorder="1" applyAlignment="1" applyProtection="1">
      <alignment horizontal="center" vertical="center"/>
      <protection locked="0"/>
    </xf>
    <xf numFmtId="0" fontId="11" fillId="0" borderId="57" xfId="6" applyFont="1" applyBorder="1" applyAlignment="1" applyProtection="1">
      <alignment horizontal="center" vertical="center"/>
      <protection locked="0"/>
    </xf>
    <xf numFmtId="0" fontId="11" fillId="6" borderId="22" xfId="6" applyFont="1" applyFill="1" applyBorder="1" applyAlignment="1" applyProtection="1">
      <alignment horizontal="center" vertical="center"/>
      <protection locked="0"/>
    </xf>
    <xf numFmtId="0" fontId="11" fillId="6" borderId="24" xfId="6" applyFont="1" applyFill="1" applyBorder="1" applyAlignment="1" applyProtection="1">
      <alignment horizontal="center" vertical="center"/>
      <protection locked="0"/>
    </xf>
    <xf numFmtId="0" fontId="11" fillId="6" borderId="21" xfId="6" applyFont="1" applyFill="1" applyBorder="1" applyAlignment="1" applyProtection="1">
      <alignment horizontal="center" vertical="center"/>
      <protection locked="0"/>
    </xf>
    <xf numFmtId="0" fontId="11" fillId="6" borderId="39" xfId="6" applyFont="1" applyFill="1" applyBorder="1" applyAlignment="1" applyProtection="1">
      <alignment horizontal="center" vertical="center"/>
      <protection locked="0"/>
    </xf>
    <xf numFmtId="0" fontId="10" fillId="0" borderId="15" xfId="6" applyFont="1" applyBorder="1" applyAlignment="1" applyProtection="1">
      <alignment horizontal="center" vertical="center"/>
    </xf>
    <xf numFmtId="0" fontId="10" fillId="0" borderId="44" xfId="6" applyFont="1" applyBorder="1" applyAlignment="1" applyProtection="1">
      <alignment horizontal="center" vertical="center"/>
    </xf>
    <xf numFmtId="0" fontId="1" fillId="0" borderId="58" xfId="6" applyFont="1" applyBorder="1" applyAlignment="1" applyProtection="1">
      <alignment horizontal="center" vertical="center" shrinkToFit="1"/>
    </xf>
    <xf numFmtId="0" fontId="1" fillId="0" borderId="0" xfId="6" applyFont="1" applyBorder="1" applyAlignment="1" applyProtection="1">
      <alignment horizontal="center" vertical="center" shrinkToFit="1"/>
    </xf>
    <xf numFmtId="0" fontId="6" fillId="0" borderId="46" xfId="6" applyFont="1" applyBorder="1" applyAlignment="1">
      <alignment horizontal="center" vertical="center"/>
    </xf>
    <xf numFmtId="0" fontId="6" fillId="0" borderId="43" xfId="6" applyFont="1" applyBorder="1" applyAlignment="1">
      <alignment horizontal="center" vertical="center"/>
    </xf>
    <xf numFmtId="0" fontId="10" fillId="0" borderId="11" xfId="6" applyFont="1" applyBorder="1" applyAlignment="1" applyProtection="1">
      <alignment horizontal="center" vertical="center"/>
    </xf>
    <xf numFmtId="0" fontId="10" fillId="0" borderId="41" xfId="6" applyFont="1" applyBorder="1" applyAlignment="1" applyProtection="1">
      <alignment horizontal="center" vertical="center"/>
    </xf>
    <xf numFmtId="0" fontId="3" fillId="0" borderId="51" xfId="6" applyFont="1" applyBorder="1" applyAlignment="1" applyProtection="1">
      <alignment horizontal="center" vertical="center" shrinkToFit="1"/>
    </xf>
    <xf numFmtId="0" fontId="3" fillId="0" borderId="49" xfId="6" applyFont="1" applyBorder="1" applyAlignment="1" applyProtection="1">
      <alignment horizontal="center" vertical="center" shrinkToFit="1"/>
    </xf>
    <xf numFmtId="0" fontId="3" fillId="0" borderId="52" xfId="6" applyFont="1" applyBorder="1" applyAlignment="1" applyProtection="1">
      <alignment horizontal="center" vertical="center" shrinkToFit="1"/>
    </xf>
    <xf numFmtId="0" fontId="11" fillId="0" borderId="22" xfId="6" applyFont="1" applyBorder="1" applyAlignment="1">
      <alignment horizontal="center" vertical="center"/>
    </xf>
    <xf numFmtId="0" fontId="11" fillId="0" borderId="23" xfId="6" applyFont="1" applyBorder="1" applyAlignment="1">
      <alignment horizontal="center" vertical="center"/>
    </xf>
    <xf numFmtId="0" fontId="11" fillId="0" borderId="21" xfId="6" applyFont="1" applyBorder="1" applyAlignment="1">
      <alignment horizontal="center" vertical="center"/>
    </xf>
    <xf numFmtId="0" fontId="11" fillId="0" borderId="0" xfId="6" applyFont="1" applyBorder="1" applyAlignment="1">
      <alignment horizontal="center" vertical="center"/>
    </xf>
    <xf numFmtId="10" fontId="1" fillId="0" borderId="20" xfId="6" applyNumberFormat="1" applyFont="1" applyBorder="1" applyAlignment="1">
      <alignment horizontal="center" vertical="center"/>
    </xf>
    <xf numFmtId="10" fontId="1" fillId="0" borderId="25" xfId="6" applyNumberFormat="1" applyFont="1" applyBorder="1" applyAlignment="1">
      <alignment horizontal="center" vertical="center"/>
    </xf>
    <xf numFmtId="172" fontId="1" fillId="0" borderId="20" xfId="6" applyNumberFormat="1" applyFont="1" applyBorder="1" applyAlignment="1" applyProtection="1">
      <alignment horizontal="center" vertical="center"/>
    </xf>
    <xf numFmtId="172" fontId="1" fillId="0" borderId="25" xfId="6" applyNumberFormat="1" applyFont="1" applyBorder="1" applyAlignment="1" applyProtection="1">
      <alignment horizontal="center" vertical="center"/>
    </xf>
    <xf numFmtId="172" fontId="1" fillId="0" borderId="26" xfId="6" applyNumberFormat="1" applyFont="1" applyBorder="1" applyAlignment="1" applyProtection="1">
      <alignment horizontal="center" vertical="center"/>
    </xf>
    <xf numFmtId="0" fontId="11" fillId="0" borderId="43" xfId="6" applyFont="1" applyBorder="1" applyAlignment="1" applyProtection="1">
      <alignment horizontal="center" vertical="center"/>
      <protection locked="0"/>
    </xf>
    <xf numFmtId="0" fontId="11" fillId="6" borderId="20" xfId="6" applyFont="1" applyFill="1" applyBorder="1" applyAlignment="1" applyProtection="1">
      <alignment horizontal="center" vertical="center"/>
      <protection locked="0"/>
    </xf>
    <xf numFmtId="0" fontId="11" fillId="6" borderId="26" xfId="6" applyFont="1" applyFill="1" applyBorder="1" applyAlignment="1" applyProtection="1">
      <alignment horizontal="center" vertical="center"/>
      <protection locked="0"/>
    </xf>
    <xf numFmtId="0" fontId="10" fillId="0" borderId="36" xfId="6" applyFont="1" applyBorder="1" applyAlignment="1" applyProtection="1">
      <alignment horizontal="center" vertical="center"/>
    </xf>
    <xf numFmtId="0" fontId="10" fillId="0" borderId="42" xfId="6" applyFont="1" applyBorder="1" applyAlignment="1" applyProtection="1">
      <alignment horizontal="center" vertical="center"/>
    </xf>
    <xf numFmtId="0" fontId="1" fillId="0" borderId="59" xfId="6" applyFont="1" applyBorder="1" applyAlignment="1" applyProtection="1">
      <alignment horizontal="center" vertical="center" shrinkToFit="1"/>
    </xf>
    <xf numFmtId="0" fontId="1" fillId="0" borderId="25" xfId="6" applyFont="1" applyBorder="1" applyAlignment="1" applyProtection="1">
      <alignment horizontal="center" vertical="center" shrinkToFit="1"/>
    </xf>
    <xf numFmtId="0" fontId="11" fillId="0" borderId="20" xfId="6" applyFont="1" applyBorder="1" applyAlignment="1">
      <alignment horizontal="center" vertical="center"/>
    </xf>
    <xf numFmtId="0" fontId="11" fillId="0" borderId="25" xfId="6" applyFont="1" applyBorder="1" applyAlignment="1">
      <alignment horizontal="center" vertical="center"/>
    </xf>
    <xf numFmtId="0" fontId="10" fillId="0" borderId="31" xfId="6" applyFont="1" applyBorder="1" applyAlignment="1" applyProtection="1">
      <alignment horizontal="center" vertical="center"/>
    </xf>
    <xf numFmtId="0" fontId="10" fillId="0" borderId="32" xfId="6" applyFont="1" applyBorder="1" applyAlignment="1" applyProtection="1">
      <alignment horizontal="center" vertical="center"/>
    </xf>
    <xf numFmtId="0" fontId="10" fillId="0" borderId="33" xfId="6" applyFont="1" applyBorder="1" applyAlignment="1" applyProtection="1">
      <alignment horizontal="center" vertical="center"/>
    </xf>
    <xf numFmtId="0" fontId="10" fillId="0" borderId="48" xfId="6" applyFont="1" applyBorder="1" applyAlignment="1" applyProtection="1">
      <alignment horizontal="center" vertical="center"/>
    </xf>
    <xf numFmtId="0" fontId="10" fillId="0" borderId="49" xfId="6" applyFont="1" applyBorder="1" applyAlignment="1" applyProtection="1">
      <alignment horizontal="center" vertical="center"/>
    </xf>
    <xf numFmtId="0" fontId="10" fillId="0" borderId="50" xfId="6" applyFont="1" applyBorder="1" applyAlignment="1" applyProtection="1">
      <alignment horizontal="center" vertical="center"/>
    </xf>
    <xf numFmtId="0" fontId="3" fillId="6" borderId="27" xfId="6" applyFont="1" applyFill="1" applyBorder="1" applyAlignment="1">
      <alignment horizontal="center" vertical="center" wrapText="1"/>
    </xf>
    <xf numFmtId="0" fontId="3" fillId="6" borderId="28" xfId="6" applyFont="1" applyFill="1" applyBorder="1" applyAlignment="1">
      <alignment horizontal="center" vertical="center" wrapText="1"/>
    </xf>
    <xf numFmtId="0" fontId="3" fillId="0" borderId="27" xfId="6" applyFont="1" applyBorder="1" applyAlignment="1">
      <alignment horizontal="center" vertical="center"/>
    </xf>
    <xf numFmtId="0" fontId="3" fillId="0" borderId="47" xfId="6" applyFont="1" applyBorder="1" applyAlignment="1">
      <alignment horizontal="center" vertical="center"/>
    </xf>
    <xf numFmtId="0" fontId="3" fillId="0" borderId="28" xfId="6" applyFont="1" applyBorder="1" applyAlignment="1">
      <alignment horizontal="center" vertical="center"/>
    </xf>
    <xf numFmtId="0" fontId="7" fillId="0" borderId="27" xfId="6" applyFont="1" applyBorder="1" applyAlignment="1" applyProtection="1">
      <alignment horizontal="center" vertical="center"/>
      <protection locked="0"/>
    </xf>
    <xf numFmtId="0" fontId="7" fillId="0" borderId="28" xfId="6" applyFont="1" applyBorder="1" applyAlignment="1" applyProtection="1">
      <alignment horizontal="center" vertical="center"/>
      <protection locked="0"/>
    </xf>
    <xf numFmtId="0" fontId="5" fillId="9" borderId="27" xfId="6" applyFont="1" applyFill="1" applyBorder="1" applyAlignment="1">
      <alignment horizontal="center" vertical="center" shrinkToFit="1"/>
    </xf>
    <xf numFmtId="0" fontId="5" fillId="9" borderId="47" xfId="6" applyFont="1" applyFill="1" applyBorder="1" applyAlignment="1">
      <alignment horizontal="center" vertical="center" shrinkToFit="1"/>
    </xf>
    <xf numFmtId="0" fontId="5" fillId="9" borderId="28" xfId="6" applyFont="1" applyFill="1" applyBorder="1" applyAlignment="1">
      <alignment horizontal="center" vertical="center" shrinkToFit="1"/>
    </xf>
    <xf numFmtId="0" fontId="3" fillId="2" borderId="27" xfId="6" applyFont="1" applyFill="1" applyBorder="1" applyAlignment="1">
      <alignment horizontal="center" vertical="center"/>
    </xf>
    <xf numFmtId="0" fontId="3" fillId="2" borderId="47" xfId="6" applyFont="1" applyFill="1" applyBorder="1" applyAlignment="1">
      <alignment horizontal="center" vertical="center"/>
    </xf>
    <xf numFmtId="0" fontId="3" fillId="5" borderId="57" xfId="6" applyFont="1" applyFill="1" applyBorder="1" applyAlignment="1">
      <alignment horizontal="center" vertical="center"/>
    </xf>
    <xf numFmtId="0" fontId="1" fillId="0" borderId="47" xfId="6" applyBorder="1"/>
    <xf numFmtId="0" fontId="1" fillId="0" borderId="28" xfId="6" applyBorder="1"/>
    <xf numFmtId="0" fontId="8" fillId="2" borderId="27" xfId="6" applyFont="1" applyFill="1" applyBorder="1" applyAlignment="1">
      <alignment horizontal="center" vertical="center" wrapText="1"/>
    </xf>
    <xf numFmtId="0" fontId="8" fillId="2" borderId="47" xfId="6" applyFont="1" applyFill="1" applyBorder="1" applyAlignment="1">
      <alignment horizontal="center" vertical="center" wrapText="1"/>
    </xf>
    <xf numFmtId="0" fontId="8" fillId="2" borderId="28" xfId="6" applyFont="1" applyFill="1" applyBorder="1" applyAlignment="1">
      <alignment horizontal="center" vertical="center" wrapText="1"/>
    </xf>
    <xf numFmtId="0" fontId="3" fillId="2" borderId="27" xfId="6" applyFont="1" applyFill="1" applyBorder="1" applyAlignment="1">
      <alignment horizontal="center" vertical="center" wrapText="1"/>
    </xf>
    <xf numFmtId="0" fontId="3" fillId="2" borderId="47" xfId="6" applyFont="1" applyFill="1" applyBorder="1" applyAlignment="1">
      <alignment horizontal="center" vertical="center" wrapText="1"/>
    </xf>
    <xf numFmtId="0" fontId="3" fillId="2" borderId="28" xfId="6" applyFont="1" applyFill="1" applyBorder="1" applyAlignment="1">
      <alignment horizontal="center" vertical="center" wrapText="1"/>
    </xf>
    <xf numFmtId="0" fontId="9" fillId="7" borderId="22" xfId="6" applyFont="1" applyFill="1" applyBorder="1" applyAlignment="1" applyProtection="1">
      <alignment horizontal="center" vertical="center" wrapText="1"/>
    </xf>
    <xf numFmtId="0" fontId="9" fillId="7" borderId="23" xfId="6" applyFont="1" applyFill="1" applyBorder="1" applyAlignment="1" applyProtection="1">
      <alignment horizontal="center" vertical="center" wrapText="1"/>
    </xf>
    <xf numFmtId="0" fontId="9" fillId="7" borderId="24" xfId="6" applyFont="1" applyFill="1" applyBorder="1" applyAlignment="1" applyProtection="1">
      <alignment horizontal="center" vertical="center" wrapText="1"/>
    </xf>
    <xf numFmtId="0" fontId="9" fillId="7" borderId="20" xfId="6" applyFont="1" applyFill="1" applyBorder="1" applyAlignment="1" applyProtection="1">
      <alignment horizontal="center" vertical="center" wrapText="1"/>
    </xf>
    <xf numFmtId="0" fontId="9" fillId="7" borderId="25" xfId="6" applyFont="1" applyFill="1" applyBorder="1" applyAlignment="1" applyProtection="1">
      <alignment horizontal="center" vertical="center" wrapText="1"/>
    </xf>
    <xf numFmtId="0" fontId="9" fillId="7" borderId="26" xfId="6" applyFont="1" applyFill="1" applyBorder="1" applyAlignment="1" applyProtection="1">
      <alignment horizontal="center" vertical="center" wrapText="1"/>
    </xf>
    <xf numFmtId="0" fontId="7" fillId="5" borderId="25" xfId="6" applyFont="1" applyFill="1" applyBorder="1" applyAlignment="1" applyProtection="1">
      <alignment horizontal="left"/>
    </xf>
    <xf numFmtId="0" fontId="7" fillId="5" borderId="0" xfId="6" applyFont="1" applyFill="1" applyBorder="1" applyAlignment="1" applyProtection="1">
      <alignment horizontal="left"/>
    </xf>
    <xf numFmtId="0" fontId="1" fillId="5" borderId="0" xfId="6" applyFill="1" applyBorder="1" applyAlignment="1" applyProtection="1">
      <alignment horizontal="center"/>
    </xf>
    <xf numFmtId="0" fontId="3" fillId="2" borderId="27" xfId="6" applyFont="1" applyFill="1" applyBorder="1" applyAlignment="1" applyProtection="1">
      <alignment horizontal="center" vertical="center"/>
      <protection locked="0"/>
    </xf>
    <xf numFmtId="0" fontId="3" fillId="2" borderId="47" xfId="6" applyFont="1" applyFill="1" applyBorder="1" applyAlignment="1" applyProtection="1">
      <alignment horizontal="center" vertical="center"/>
      <protection locked="0"/>
    </xf>
    <xf numFmtId="0" fontId="3" fillId="2" borderId="28" xfId="6" applyFont="1" applyFill="1" applyBorder="1" applyAlignment="1" applyProtection="1">
      <alignment horizontal="center" vertical="center"/>
      <protection locked="0"/>
    </xf>
    <xf numFmtId="0" fontId="3" fillId="0" borderId="27" xfId="6" applyFont="1" applyFill="1" applyBorder="1" applyAlignment="1" applyProtection="1">
      <alignment horizontal="center" vertical="center"/>
      <protection locked="0"/>
    </xf>
    <xf numFmtId="0" fontId="3" fillId="0" borderId="47" xfId="6" applyFont="1" applyFill="1" applyBorder="1" applyAlignment="1" applyProtection="1">
      <alignment horizontal="center" vertical="center"/>
      <protection locked="0"/>
    </xf>
    <xf numFmtId="0" fontId="3" fillId="0" borderId="28" xfId="6" applyFont="1" applyFill="1" applyBorder="1" applyAlignment="1" applyProtection="1">
      <alignment horizontal="center" vertical="center"/>
      <protection locked="0"/>
    </xf>
    <xf numFmtId="0" fontId="1" fillId="0" borderId="27" xfId="6" applyBorder="1" applyAlignment="1" applyProtection="1">
      <alignment horizontal="center"/>
      <protection locked="0"/>
    </xf>
    <xf numFmtId="0" fontId="1" fillId="0" borderId="47" xfId="6" applyBorder="1" applyAlignment="1" applyProtection="1">
      <alignment horizontal="center"/>
      <protection locked="0"/>
    </xf>
    <xf numFmtId="0" fontId="1" fillId="0" borderId="28" xfId="6" applyBorder="1" applyAlignment="1" applyProtection="1">
      <alignment horizontal="center"/>
      <protection locked="0"/>
    </xf>
    <xf numFmtId="0" fontId="6" fillId="0" borderId="27" xfId="6" applyFont="1" applyFill="1" applyBorder="1" applyAlignment="1" applyProtection="1">
      <alignment horizontal="center" wrapText="1"/>
      <protection locked="0"/>
    </xf>
    <xf numFmtId="0" fontId="6" fillId="0" borderId="47" xfId="6" applyFont="1" applyFill="1" applyBorder="1" applyAlignment="1" applyProtection="1">
      <alignment horizontal="center" wrapText="1"/>
      <protection locked="0"/>
    </xf>
    <xf numFmtId="0" fontId="6" fillId="0" borderId="28" xfId="6" applyFont="1" applyFill="1" applyBorder="1" applyAlignment="1" applyProtection="1">
      <alignment horizontal="center" wrapText="1"/>
      <protection locked="0"/>
    </xf>
    <xf numFmtId="0" fontId="6" fillId="2" borderId="20" xfId="6" applyFont="1" applyFill="1" applyBorder="1" applyAlignment="1" applyProtection="1">
      <alignment horizontal="center" vertical="center" wrapText="1"/>
      <protection locked="0"/>
    </xf>
    <xf numFmtId="0" fontId="6" fillId="2" borderId="25" xfId="6" applyFont="1" applyFill="1" applyBorder="1" applyAlignment="1" applyProtection="1">
      <alignment horizontal="center" vertical="center" wrapText="1"/>
      <protection locked="0"/>
    </xf>
    <xf numFmtId="0" fontId="1" fillId="0" borderId="20" xfId="6" applyBorder="1" applyAlignment="1" applyProtection="1">
      <alignment horizontal="center"/>
      <protection locked="0"/>
    </xf>
    <xf numFmtId="0" fontId="1" fillId="0" borderId="25" xfId="6" applyBorder="1" applyAlignment="1" applyProtection="1">
      <alignment horizontal="center"/>
      <protection locked="0"/>
    </xf>
    <xf numFmtId="0" fontId="1" fillId="0" borderId="26" xfId="6" applyBorder="1" applyAlignment="1" applyProtection="1">
      <alignment horizontal="center"/>
      <protection locked="0"/>
    </xf>
    <xf numFmtId="0" fontId="6" fillId="2" borderId="27" xfId="6" applyFont="1" applyFill="1" applyBorder="1" applyAlignment="1" applyProtection="1">
      <alignment horizontal="center" wrapText="1"/>
      <protection locked="0"/>
    </xf>
    <xf numFmtId="0" fontId="6" fillId="2" borderId="47" xfId="6" applyFont="1" applyFill="1" applyBorder="1" applyAlignment="1" applyProtection="1">
      <alignment horizontal="center" wrapText="1"/>
      <protection locked="0"/>
    </xf>
    <xf numFmtId="0" fontId="6" fillId="2" borderId="28" xfId="6" applyFont="1" applyFill="1" applyBorder="1" applyAlignment="1" applyProtection="1">
      <alignment horizontal="center" wrapText="1"/>
      <protection locked="0"/>
    </xf>
    <xf numFmtId="0" fontId="1" fillId="16" borderId="27" xfId="6" applyFill="1" applyBorder="1" applyAlignment="1" applyProtection="1">
      <alignment horizontal="center" vertical="center" wrapText="1"/>
      <protection locked="0"/>
    </xf>
    <xf numFmtId="0" fontId="1" fillId="16" borderId="47" xfId="6" applyFill="1" applyBorder="1" applyAlignment="1" applyProtection="1">
      <alignment horizontal="center" vertical="center" wrapText="1"/>
      <protection locked="0"/>
    </xf>
    <xf numFmtId="0" fontId="1" fillId="0" borderId="47" xfId="6" applyBorder="1" applyAlignment="1" applyProtection="1">
      <alignment horizontal="center" vertical="center" wrapText="1"/>
      <protection locked="0"/>
    </xf>
    <xf numFmtId="0" fontId="1" fillId="0" borderId="28" xfId="6" applyBorder="1" applyAlignment="1" applyProtection="1">
      <alignment horizontal="center" vertical="center" wrapText="1"/>
      <protection locked="0"/>
    </xf>
    <xf numFmtId="0" fontId="1" fillId="5" borderId="25" xfId="6" applyFill="1" applyBorder="1" applyAlignment="1" applyProtection="1">
      <alignment horizontal="center"/>
    </xf>
    <xf numFmtId="0" fontId="3" fillId="0" borderId="27" xfId="6" applyFont="1" applyBorder="1" applyAlignment="1" applyProtection="1">
      <alignment horizontal="center"/>
      <protection locked="0"/>
    </xf>
    <xf numFmtId="0" fontId="3" fillId="0" borderId="47" xfId="6" applyFont="1" applyBorder="1" applyAlignment="1" applyProtection="1">
      <alignment horizontal="center"/>
      <protection locked="0"/>
    </xf>
    <xf numFmtId="0" fontId="3" fillId="0" borderId="28" xfId="6" applyFont="1" applyBorder="1" applyAlignment="1" applyProtection="1">
      <alignment horizontal="center"/>
      <protection locked="0"/>
    </xf>
    <xf numFmtId="0" fontId="3" fillId="0" borderId="5" xfId="6" applyFont="1" applyBorder="1" applyAlignment="1">
      <alignment horizontal="center"/>
    </xf>
    <xf numFmtId="0" fontId="3" fillId="0" borderId="6" xfId="6" applyFont="1" applyBorder="1" applyAlignment="1">
      <alignment horizontal="center"/>
    </xf>
    <xf numFmtId="0" fontId="4" fillId="2" borderId="27" xfId="6" applyFont="1" applyFill="1" applyBorder="1" applyAlignment="1" applyProtection="1">
      <alignment horizontal="center"/>
      <protection locked="0"/>
    </xf>
    <xf numFmtId="0" fontId="4" fillId="2" borderId="47" xfId="6" applyFont="1" applyFill="1" applyBorder="1" applyAlignment="1" applyProtection="1">
      <alignment horizontal="center"/>
      <protection locked="0"/>
    </xf>
    <xf numFmtId="0" fontId="4" fillId="2" borderId="28" xfId="6" applyFont="1" applyFill="1" applyBorder="1" applyAlignment="1" applyProtection="1">
      <alignment horizontal="center"/>
      <protection locked="0"/>
    </xf>
    <xf numFmtId="0" fontId="5" fillId="0" borderId="27" xfId="6" applyFont="1" applyBorder="1" applyAlignment="1" applyProtection="1">
      <alignment horizontal="center" vertical="center"/>
      <protection locked="0"/>
    </xf>
    <xf numFmtId="0" fontId="5" fillId="0" borderId="47" xfId="6" applyFont="1" applyBorder="1" applyAlignment="1" applyProtection="1">
      <alignment horizontal="center" vertical="center"/>
      <protection locked="0"/>
    </xf>
    <xf numFmtId="0" fontId="5" fillId="0" borderId="28" xfId="6" applyFont="1" applyBorder="1" applyAlignment="1" applyProtection="1">
      <alignment horizontal="center" vertical="center"/>
      <protection locked="0"/>
    </xf>
    <xf numFmtId="0" fontId="6" fillId="2" borderId="27" xfId="6" applyFont="1" applyFill="1" applyBorder="1" applyAlignment="1" applyProtection="1">
      <alignment horizontal="center"/>
      <protection locked="0"/>
    </xf>
    <xf numFmtId="0" fontId="6" fillId="2" borderId="47" xfId="6" applyFont="1" applyFill="1" applyBorder="1" applyAlignment="1" applyProtection="1">
      <alignment horizontal="center"/>
      <protection locked="0"/>
    </xf>
    <xf numFmtId="0" fontId="6" fillId="2" borderId="28" xfId="6" applyFont="1" applyFill="1" applyBorder="1" applyAlignment="1" applyProtection="1">
      <alignment horizontal="center"/>
      <protection locked="0"/>
    </xf>
    <xf numFmtId="16" fontId="1" fillId="0" borderId="47" xfId="6" applyNumberFormat="1" applyBorder="1" applyAlignment="1" applyProtection="1">
      <alignment horizontal="center"/>
      <protection locked="0"/>
    </xf>
    <xf numFmtId="0" fontId="3" fillId="0" borderId="20" xfId="6" applyFont="1" applyFill="1" applyBorder="1" applyAlignment="1">
      <alignment horizontal="center"/>
    </xf>
    <xf numFmtId="0" fontId="3" fillId="0" borderId="25" xfId="6" applyFont="1" applyFill="1" applyBorder="1" applyAlignment="1">
      <alignment horizontal="center"/>
    </xf>
    <xf numFmtId="0" fontId="3" fillId="0" borderId="26" xfId="6" applyFont="1" applyFill="1" applyBorder="1" applyAlignment="1">
      <alignment horizontal="center"/>
    </xf>
    <xf numFmtId="0" fontId="10" fillId="0" borderId="24" xfId="6" applyFont="1" applyBorder="1" applyAlignment="1" applyProtection="1">
      <alignment horizontal="center" shrinkToFit="1"/>
      <protection locked="0"/>
    </xf>
    <xf numFmtId="0" fontId="15" fillId="0" borderId="13" xfId="6" applyFont="1" applyFill="1" applyBorder="1" applyAlignment="1">
      <alignment horizontal="center" shrinkToFit="1"/>
    </xf>
    <xf numFmtId="0" fontId="15" fillId="0" borderId="1" xfId="6" applyFont="1" applyFill="1" applyBorder="1" applyAlignment="1">
      <alignment horizontal="center" shrinkToFit="1"/>
    </xf>
    <xf numFmtId="0" fontId="15" fillId="0" borderId="1" xfId="6" applyFont="1" applyFill="1" applyBorder="1" applyAlignment="1">
      <alignment horizontal="center"/>
    </xf>
    <xf numFmtId="0" fontId="15" fillId="0" borderId="14" xfId="6" applyFont="1" applyFill="1" applyBorder="1" applyAlignment="1">
      <alignment horizontal="center"/>
    </xf>
    <xf numFmtId="10" fontId="1" fillId="0" borderId="22" xfId="6" applyNumberFormat="1" applyBorder="1" applyAlignment="1">
      <alignment horizontal="center" vertical="center"/>
    </xf>
    <xf numFmtId="10" fontId="1" fillId="0" borderId="23" xfId="6" applyNumberFormat="1" applyBorder="1" applyAlignment="1">
      <alignment horizontal="center" vertical="center"/>
    </xf>
    <xf numFmtId="10" fontId="1" fillId="0" borderId="24" xfId="6" applyNumberFormat="1" applyBorder="1" applyAlignment="1">
      <alignment horizontal="center" vertical="center"/>
    </xf>
    <xf numFmtId="10" fontId="1" fillId="0" borderId="21" xfId="6" applyNumberFormat="1" applyBorder="1" applyAlignment="1">
      <alignment horizontal="center" vertical="center"/>
    </xf>
    <xf numFmtId="10" fontId="1" fillId="0" borderId="0" xfId="6" applyNumberFormat="1" applyBorder="1" applyAlignment="1">
      <alignment horizontal="center" vertical="center"/>
    </xf>
    <xf numFmtId="10" fontId="1" fillId="0" borderId="39" xfId="6" applyNumberFormat="1" applyBorder="1" applyAlignment="1">
      <alignment horizontal="center" vertical="center"/>
    </xf>
    <xf numFmtId="172" fontId="1" fillId="0" borderId="22" xfId="6" applyNumberFormat="1" applyBorder="1" applyAlignment="1" applyProtection="1">
      <alignment horizontal="center" vertical="center"/>
    </xf>
    <xf numFmtId="172" fontId="1" fillId="0" borderId="23" xfId="6" applyNumberFormat="1" applyBorder="1" applyAlignment="1" applyProtection="1">
      <alignment horizontal="center" vertical="center"/>
    </xf>
    <xf numFmtId="172" fontId="1" fillId="0" borderId="24" xfId="6" applyNumberFormat="1" applyBorder="1" applyAlignment="1" applyProtection="1">
      <alignment horizontal="center" vertical="center"/>
    </xf>
    <xf numFmtId="172" fontId="1" fillId="0" borderId="21" xfId="6" applyNumberFormat="1" applyBorder="1" applyAlignment="1" applyProtection="1">
      <alignment horizontal="center" vertical="center"/>
    </xf>
    <xf numFmtId="172" fontId="1" fillId="0" borderId="0" xfId="6" applyNumberFormat="1" applyBorder="1" applyAlignment="1" applyProtection="1">
      <alignment horizontal="center" vertical="center"/>
    </xf>
    <xf numFmtId="172" fontId="1" fillId="0" borderId="39" xfId="6" applyNumberFormat="1" applyBorder="1" applyAlignment="1" applyProtection="1">
      <alignment horizontal="center" vertical="center"/>
    </xf>
    <xf numFmtId="0" fontId="10" fillId="0" borderId="60" xfId="6" applyFont="1" applyBorder="1" applyAlignment="1" applyProtection="1">
      <alignment horizontal="center" vertical="center"/>
    </xf>
    <xf numFmtId="0" fontId="10" fillId="0" borderId="61" xfId="6" applyFont="1" applyBorder="1" applyAlignment="1" applyProtection="1">
      <alignment horizontal="center" vertical="center"/>
    </xf>
    <xf numFmtId="0" fontId="10" fillId="0" borderId="62" xfId="6" applyFont="1" applyBorder="1" applyAlignment="1" applyProtection="1">
      <alignment horizontal="center" vertical="center"/>
    </xf>
    <xf numFmtId="0" fontId="1" fillId="0" borderId="45" xfId="6" applyFont="1" applyBorder="1" applyAlignment="1" applyProtection="1">
      <alignment horizontal="center" vertical="center" shrinkToFit="1"/>
    </xf>
    <xf numFmtId="0" fontId="1" fillId="0" borderId="61" xfId="6" applyFont="1" applyBorder="1" applyAlignment="1" applyProtection="1">
      <alignment horizontal="center" vertical="center" shrinkToFit="1"/>
    </xf>
    <xf numFmtId="0" fontId="1" fillId="0" borderId="63" xfId="6" applyFont="1" applyBorder="1" applyAlignment="1" applyProtection="1">
      <alignment horizontal="center" vertical="center" shrinkToFit="1"/>
    </xf>
    <xf numFmtId="0" fontId="11" fillId="0" borderId="24" xfId="6" applyFont="1" applyBorder="1" applyAlignment="1">
      <alignment horizontal="center" vertical="center"/>
    </xf>
    <xf numFmtId="0" fontId="11" fillId="0" borderId="39" xfId="6" applyFont="1" applyBorder="1" applyAlignment="1">
      <alignment horizontal="center" vertical="center"/>
    </xf>
    <xf numFmtId="10" fontId="1" fillId="0" borderId="20" xfId="6" applyNumberFormat="1" applyBorder="1" applyAlignment="1">
      <alignment horizontal="center" vertical="center"/>
    </xf>
    <xf numFmtId="10" fontId="1" fillId="0" borderId="25" xfId="6" applyNumberFormat="1" applyBorder="1" applyAlignment="1">
      <alignment horizontal="center" vertical="center"/>
    </xf>
    <xf numFmtId="10" fontId="1" fillId="0" borderId="26" xfId="6" applyNumberFormat="1" applyBorder="1" applyAlignment="1">
      <alignment horizontal="center" vertical="center"/>
    </xf>
    <xf numFmtId="172" fontId="1" fillId="0" borderId="20" xfId="6" applyNumberFormat="1" applyBorder="1" applyAlignment="1" applyProtection="1">
      <alignment horizontal="center" vertical="center"/>
    </xf>
    <xf numFmtId="172" fontId="1" fillId="0" borderId="25" xfId="6" applyNumberFormat="1" applyBorder="1" applyAlignment="1" applyProtection="1">
      <alignment horizontal="center" vertical="center"/>
    </xf>
    <xf numFmtId="172" fontId="1" fillId="0" borderId="26" xfId="6" applyNumberFormat="1" applyBorder="1" applyAlignment="1" applyProtection="1">
      <alignment horizontal="center" vertical="center"/>
    </xf>
    <xf numFmtId="0" fontId="1" fillId="0" borderId="34" xfId="6" applyFont="1" applyBorder="1" applyAlignment="1" applyProtection="1">
      <alignment horizontal="center" vertical="center" shrinkToFit="1"/>
    </xf>
    <xf numFmtId="0" fontId="1" fillId="0" borderId="32" xfId="6" applyFont="1" applyBorder="1" applyAlignment="1" applyProtection="1">
      <alignment horizontal="center" vertical="center" shrinkToFit="1"/>
    </xf>
    <xf numFmtId="0" fontId="1" fillId="0" borderId="35" xfId="6" applyFont="1" applyBorder="1" applyAlignment="1" applyProtection="1">
      <alignment horizontal="center" vertical="center" shrinkToFit="1"/>
    </xf>
    <xf numFmtId="0" fontId="11" fillId="0" borderId="26" xfId="6" applyFont="1" applyBorder="1" applyAlignment="1">
      <alignment horizontal="center" vertical="center"/>
    </xf>
    <xf numFmtId="0" fontId="3" fillId="2" borderId="28" xfId="6" applyFont="1" applyFill="1" applyBorder="1" applyAlignment="1">
      <alignment horizontal="center" vertical="center"/>
    </xf>
    <xf numFmtId="0" fontId="3" fillId="5" borderId="46" xfId="6" applyFont="1" applyFill="1" applyBorder="1" applyAlignment="1">
      <alignment horizontal="center" vertical="center"/>
    </xf>
    <xf numFmtId="0" fontId="1" fillId="0" borderId="5" xfId="6" applyBorder="1" applyAlignment="1" applyProtection="1">
      <alignment horizontal="center" shrinkToFit="1"/>
    </xf>
    <xf numFmtId="0" fontId="1" fillId="0" borderId="3" xfId="6" applyBorder="1" applyAlignment="1" applyProtection="1">
      <alignment horizontal="center" shrinkToFit="1"/>
    </xf>
    <xf numFmtId="0" fontId="1" fillId="0" borderId="6" xfId="6" applyBorder="1" applyAlignment="1" applyProtection="1">
      <alignment horizontal="center" shrinkToFit="1"/>
    </xf>
    <xf numFmtId="0" fontId="1" fillId="0" borderId="20" xfId="6" applyBorder="1" applyAlignment="1" applyProtection="1">
      <alignment horizontal="left" shrinkToFit="1"/>
      <protection locked="0"/>
    </xf>
    <xf numFmtId="0" fontId="1" fillId="0" borderId="25" xfId="6" applyBorder="1" applyAlignment="1" applyProtection="1">
      <alignment horizontal="left" shrinkToFit="1"/>
      <protection locked="0"/>
    </xf>
    <xf numFmtId="0" fontId="1" fillId="0" borderId="26" xfId="6" applyBorder="1" applyAlignment="1" applyProtection="1">
      <alignment horizontal="left" shrinkToFit="1"/>
      <protection locked="0"/>
    </xf>
    <xf numFmtId="0" fontId="1" fillId="0" borderId="21" xfId="6" applyBorder="1" applyAlignment="1" applyProtection="1">
      <alignment horizontal="left" shrinkToFit="1"/>
      <protection locked="0"/>
    </xf>
    <xf numFmtId="0" fontId="1" fillId="0" borderId="0" xfId="6" applyBorder="1" applyAlignment="1" applyProtection="1">
      <alignment horizontal="left" shrinkToFit="1"/>
      <protection locked="0"/>
    </xf>
    <xf numFmtId="0" fontId="1" fillId="0" borderId="20" xfId="6" applyBorder="1" applyAlignment="1" applyProtection="1">
      <alignment horizontal="center"/>
    </xf>
    <xf numFmtId="0" fontId="1" fillId="0" borderId="25" xfId="6" applyBorder="1" applyAlignment="1" applyProtection="1">
      <alignment horizontal="center"/>
    </xf>
    <xf numFmtId="0" fontId="15" fillId="0" borderId="17" xfId="6" applyFont="1" applyBorder="1" applyAlignment="1">
      <alignment horizontal="center" shrinkToFit="1"/>
    </xf>
    <xf numFmtId="0" fontId="15" fillId="0" borderId="1" xfId="6" applyFont="1" applyBorder="1" applyAlignment="1">
      <alignment horizontal="center" shrinkToFit="1"/>
    </xf>
    <xf numFmtId="0" fontId="15" fillId="0" borderId="1" xfId="6" applyFont="1" applyBorder="1" applyAlignment="1">
      <alignment horizontal="center"/>
    </xf>
    <xf numFmtId="0" fontId="15" fillId="0" borderId="14" xfId="6" applyFont="1" applyBorder="1" applyAlignment="1">
      <alignment horizontal="center"/>
    </xf>
    <xf numFmtId="0" fontId="15" fillId="0" borderId="33" xfId="6" applyFont="1" applyFill="1" applyBorder="1" applyAlignment="1">
      <alignment horizontal="center" shrinkToFit="1"/>
    </xf>
    <xf numFmtId="0" fontId="15" fillId="0" borderId="13" xfId="6" applyFont="1" applyBorder="1" applyAlignment="1">
      <alignment horizontal="center" shrinkToFit="1"/>
    </xf>
    <xf numFmtId="0" fontId="15" fillId="0" borderId="9" xfId="6" applyFont="1" applyFill="1" applyBorder="1" applyAlignment="1">
      <alignment horizontal="center" shrinkToFit="1"/>
    </xf>
    <xf numFmtId="0" fontId="15" fillId="0" borderId="2" xfId="6" applyFont="1" applyFill="1" applyBorder="1" applyAlignment="1">
      <alignment horizontal="center" shrinkToFit="1"/>
    </xf>
    <xf numFmtId="0" fontId="15" fillId="0" borderId="2" xfId="6" applyFont="1" applyFill="1" applyBorder="1" applyAlignment="1">
      <alignment horizontal="center"/>
    </xf>
    <xf numFmtId="0" fontId="15" fillId="0" borderId="10" xfId="6" applyFont="1" applyFill="1" applyBorder="1" applyAlignment="1">
      <alignment horizontal="center"/>
    </xf>
    <xf numFmtId="0" fontId="15" fillId="0" borderId="9" xfId="6" applyFont="1" applyBorder="1" applyAlignment="1">
      <alignment horizontal="center" shrinkToFit="1"/>
    </xf>
    <xf numFmtId="0" fontId="15" fillId="0" borderId="2" xfId="6" applyFont="1" applyBorder="1" applyAlignment="1">
      <alignment horizontal="center" shrinkToFit="1"/>
    </xf>
    <xf numFmtId="0" fontId="15" fillId="0" borderId="2" xfId="6" applyFont="1" applyBorder="1" applyAlignment="1">
      <alignment horizontal="center"/>
    </xf>
    <xf numFmtId="0" fontId="15" fillId="0" borderId="10" xfId="6" applyFont="1" applyBorder="1" applyAlignment="1">
      <alignment horizontal="center"/>
    </xf>
    <xf numFmtId="0" fontId="15" fillId="0" borderId="38" xfId="6" applyFont="1" applyBorder="1" applyAlignment="1">
      <alignment horizontal="center" shrinkToFit="1"/>
    </xf>
    <xf numFmtId="0" fontId="10" fillId="2" borderId="27" xfId="6" applyFont="1" applyFill="1" applyBorder="1" applyAlignment="1">
      <alignment horizontal="center"/>
    </xf>
    <xf numFmtId="0" fontId="10" fillId="2" borderId="47" xfId="6" applyFont="1" applyFill="1" applyBorder="1" applyAlignment="1">
      <alignment horizontal="center"/>
    </xf>
    <xf numFmtId="0" fontId="10" fillId="2" borderId="28" xfId="6" applyFont="1" applyFill="1" applyBorder="1" applyAlignment="1">
      <alignment horizontal="center"/>
    </xf>
    <xf numFmtId="0" fontId="13" fillId="0" borderId="42" xfId="6" applyFont="1" applyFill="1" applyBorder="1" applyAlignment="1">
      <alignment horizontal="center"/>
    </xf>
    <xf numFmtId="0" fontId="13" fillId="0" borderId="36" xfId="6" applyFont="1" applyFill="1" applyBorder="1" applyAlignment="1">
      <alignment horizontal="center" shrinkToFit="1"/>
    </xf>
    <xf numFmtId="0" fontId="13" fillId="0" borderId="42" xfId="6" applyFont="1" applyFill="1" applyBorder="1" applyAlignment="1">
      <alignment horizontal="center" shrinkToFit="1"/>
    </xf>
    <xf numFmtId="0" fontId="17" fillId="0" borderId="42" xfId="6" applyFont="1" applyFill="1" applyBorder="1" applyAlignment="1">
      <alignment horizontal="center"/>
    </xf>
    <xf numFmtId="0" fontId="1" fillId="4" borderId="46" xfId="6" applyFill="1" applyBorder="1" applyAlignment="1" applyProtection="1">
      <alignment horizontal="center" vertical="center"/>
      <protection locked="0"/>
    </xf>
    <xf numFmtId="0" fontId="1" fillId="4" borderId="43" xfId="6" applyFill="1" applyBorder="1" applyAlignment="1" applyProtection="1">
      <alignment horizontal="center" vertical="center"/>
      <protection locked="0"/>
    </xf>
    <xf numFmtId="0" fontId="1" fillId="12" borderId="27" xfId="6" applyFont="1" applyFill="1" applyBorder="1" applyAlignment="1">
      <alignment horizontal="center"/>
    </xf>
    <xf numFmtId="0" fontId="1" fillId="12" borderId="47" xfId="6" applyFont="1" applyFill="1" applyBorder="1" applyAlignment="1">
      <alignment horizontal="center"/>
    </xf>
    <xf numFmtId="0" fontId="1" fillId="12" borderId="28" xfId="6" applyFont="1" applyFill="1" applyBorder="1" applyAlignment="1">
      <alignment horizontal="center"/>
    </xf>
    <xf numFmtId="0" fontId="13" fillId="0" borderId="13" xfId="6" applyFont="1" applyFill="1" applyBorder="1" applyAlignment="1">
      <alignment horizontal="center" shrinkToFit="1"/>
    </xf>
    <xf numFmtId="0" fontId="13" fillId="0" borderId="1" xfId="6" applyFont="1" applyFill="1" applyBorder="1" applyAlignment="1">
      <alignment horizontal="center" shrinkToFit="1"/>
    </xf>
    <xf numFmtId="0" fontId="13" fillId="0" borderId="1" xfId="6" applyFont="1" applyFill="1" applyBorder="1" applyAlignment="1">
      <alignment horizontal="center"/>
    </xf>
    <xf numFmtId="0" fontId="17" fillId="0" borderId="1" xfId="6" applyFont="1" applyFill="1" applyBorder="1" applyAlignment="1">
      <alignment horizontal="center"/>
    </xf>
    <xf numFmtId="0" fontId="13" fillId="0" borderId="2" xfId="6" applyFont="1" applyFill="1" applyBorder="1" applyAlignment="1">
      <alignment horizontal="center"/>
    </xf>
    <xf numFmtId="0" fontId="17" fillId="0" borderId="2" xfId="6" applyFont="1" applyFill="1" applyBorder="1" applyAlignment="1">
      <alignment horizontal="center"/>
    </xf>
    <xf numFmtId="0" fontId="10" fillId="2" borderId="3" xfId="6" applyFont="1" applyFill="1" applyBorder="1" applyAlignment="1">
      <alignment horizontal="center"/>
    </xf>
    <xf numFmtId="0" fontId="13" fillId="0" borderId="9" xfId="6" applyFont="1" applyFill="1" applyBorder="1" applyAlignment="1">
      <alignment horizontal="center" shrinkToFit="1"/>
    </xf>
    <xf numFmtId="0" fontId="13" fillId="0" borderId="2" xfId="6" applyFont="1" applyFill="1" applyBorder="1" applyAlignment="1">
      <alignment horizontal="center" shrinkToFit="1"/>
    </xf>
    <xf numFmtId="0" fontId="13" fillId="0" borderId="11" xfId="6" applyFont="1" applyFill="1" applyBorder="1" applyAlignment="1">
      <alignment horizontal="center" shrinkToFit="1"/>
    </xf>
    <xf numFmtId="0" fontId="13" fillId="0" borderId="41" xfId="6" applyFont="1" applyFill="1" applyBorder="1" applyAlignment="1">
      <alignment horizontal="center" shrinkToFit="1"/>
    </xf>
    <xf numFmtId="0" fontId="13" fillId="0" borderId="41" xfId="6" applyFont="1" applyFill="1" applyBorder="1" applyAlignment="1">
      <alignment horizontal="center"/>
    </xf>
    <xf numFmtId="0" fontId="10" fillId="2" borderId="5" xfId="6" applyFont="1" applyFill="1" applyBorder="1" applyAlignment="1">
      <alignment horizontal="center"/>
    </xf>
    <xf numFmtId="0" fontId="10" fillId="4" borderId="20" xfId="6" applyFont="1" applyFill="1" applyBorder="1" applyAlignment="1">
      <alignment horizontal="center" wrapText="1"/>
    </xf>
    <xf numFmtId="0" fontId="1" fillId="12" borderId="22" xfId="6" applyFill="1" applyBorder="1" applyAlignment="1">
      <alignment horizontal="center"/>
    </xf>
    <xf numFmtId="0" fontId="1" fillId="12" borderId="23" xfId="6" applyFill="1" applyBorder="1" applyAlignment="1">
      <alignment horizontal="center"/>
    </xf>
    <xf numFmtId="0" fontId="1" fillId="12" borderId="24" xfId="6" applyFill="1" applyBorder="1" applyAlignment="1">
      <alignment horizontal="center"/>
    </xf>
    <xf numFmtId="0" fontId="7" fillId="14" borderId="25" xfId="6" applyFont="1" applyFill="1" applyBorder="1" applyAlignment="1" applyProtection="1">
      <alignment horizontal="left"/>
    </xf>
    <xf numFmtId="0" fontId="7" fillId="14" borderId="0" xfId="6" applyFont="1" applyFill="1" applyBorder="1" applyAlignment="1" applyProtection="1">
      <alignment horizontal="left"/>
    </xf>
    <xf numFmtId="20" fontId="0" fillId="0" borderId="40" xfId="6" applyNumberFormat="1" applyFont="1" applyFill="1" applyBorder="1" applyAlignment="1" applyProtection="1">
      <alignment horizontal="center"/>
      <protection locked="0"/>
    </xf>
    <xf numFmtId="20" fontId="0" fillId="0" borderId="18" xfId="6" applyNumberFormat="1" applyFont="1" applyFill="1" applyBorder="1" applyAlignment="1" applyProtection="1">
      <alignment horizontal="center"/>
      <protection locked="0"/>
    </xf>
    <xf numFmtId="0" fontId="12" fillId="5" borderId="0" xfId="0" applyFont="1" applyFill="1"/>
    <xf numFmtId="0" fontId="22" fillId="17" borderId="0" xfId="8" applyFont="1" applyFill="1" applyBorder="1"/>
    <xf numFmtId="177" fontId="22" fillId="17" borderId="0" xfId="8" applyNumberFormat="1" applyFont="1" applyFill="1" applyBorder="1"/>
    <xf numFmtId="0" fontId="22" fillId="17" borderId="0" xfId="8" applyFont="1" applyFill="1" applyBorder="1" applyAlignment="1">
      <alignment wrapText="1"/>
    </xf>
    <xf numFmtId="0" fontId="0" fillId="17" borderId="0" xfId="8" applyFont="1" applyFill="1" applyBorder="1"/>
    <xf numFmtId="177" fontId="23" fillId="17" borderId="0" xfId="8" applyNumberFormat="1" applyFont="1" applyFill="1" applyBorder="1"/>
    <xf numFmtId="0" fontId="0" fillId="0" borderId="0" xfId="0" applyNumberFormat="1" applyFont="1" applyFill="1" applyBorder="1" applyAlignment="1" applyProtection="1">
      <alignment horizontal="left" vertical="center"/>
    </xf>
    <xf numFmtId="0" fontId="1" fillId="15" borderId="10" xfId="6" applyFill="1" applyBorder="1" applyAlignment="1" applyProtection="1">
      <alignment horizontal="center"/>
      <protection locked="0"/>
    </xf>
    <xf numFmtId="0" fontId="0" fillId="5" borderId="25" xfId="0" applyFill="1" applyBorder="1" applyAlignment="1" applyProtection="1">
      <alignment horizontal="center"/>
    </xf>
    <xf numFmtId="0" fontId="0" fillId="5" borderId="0" xfId="0" applyFill="1" applyProtection="1"/>
    <xf numFmtId="0" fontId="1" fillId="5" borderId="0" xfId="0" applyFont="1" applyFill="1" applyAlignment="1" applyProtection="1">
      <alignment horizontal="center"/>
    </xf>
    <xf numFmtId="0" fontId="0" fillId="0" borderId="0" xfId="0" applyFill="1"/>
    <xf numFmtId="0" fontId="3" fillId="0" borderId="5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protection locked="0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0" xfId="0" applyAlignment="1">
      <alignment horizontal="right"/>
    </xf>
    <xf numFmtId="0" fontId="4" fillId="2" borderId="27" xfId="0" applyFont="1" applyFill="1" applyBorder="1" applyAlignment="1" applyProtection="1">
      <alignment horizontal="center"/>
      <protection locked="0"/>
    </xf>
    <xf numFmtId="0" fontId="4" fillId="2" borderId="47" xfId="0" applyFont="1" applyFill="1" applyBorder="1" applyAlignment="1" applyProtection="1">
      <alignment horizontal="center"/>
      <protection locked="0"/>
    </xf>
    <xf numFmtId="0" fontId="4" fillId="2" borderId="28" xfId="0" applyFont="1" applyFill="1" applyBorder="1" applyAlignment="1" applyProtection="1">
      <alignment horizont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5" fillId="0" borderId="47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/>
      <protection locked="0"/>
    </xf>
    <xf numFmtId="0" fontId="6" fillId="2" borderId="27" xfId="0" applyFont="1" applyFill="1" applyBorder="1" applyAlignment="1" applyProtection="1">
      <alignment horizontal="center"/>
      <protection locked="0"/>
    </xf>
    <xf numFmtId="0" fontId="6" fillId="2" borderId="47" xfId="0" applyFont="1" applyFill="1" applyBorder="1" applyAlignment="1" applyProtection="1">
      <alignment horizontal="center"/>
      <protection locked="0"/>
    </xf>
    <xf numFmtId="0" fontId="6" fillId="2" borderId="28" xfId="0" applyFont="1" applyFill="1" applyBorder="1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center"/>
      <protection locked="0"/>
    </xf>
    <xf numFmtId="0" fontId="0" fillId="5" borderId="0" xfId="0" applyFill="1"/>
    <xf numFmtId="0" fontId="1" fillId="0" borderId="5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6" fillId="2" borderId="8" xfId="0" applyFont="1" applyFill="1" applyBorder="1" applyAlignment="1" applyProtection="1">
      <alignment horizontal="center" vertical="center" wrapText="1"/>
      <protection locked="0"/>
    </xf>
    <xf numFmtId="0" fontId="6" fillId="0" borderId="27" xfId="0" applyFont="1" applyFill="1" applyBorder="1" applyAlignment="1" applyProtection="1">
      <alignment horizontal="center" wrapText="1"/>
      <protection locked="0"/>
    </xf>
    <xf numFmtId="0" fontId="6" fillId="0" borderId="47" xfId="0" applyFont="1" applyFill="1" applyBorder="1" applyAlignment="1" applyProtection="1">
      <alignment horizontal="center" wrapText="1"/>
      <protection locked="0"/>
    </xf>
    <xf numFmtId="0" fontId="6" fillId="0" borderId="28" xfId="0" applyFont="1" applyFill="1" applyBorder="1" applyAlignment="1" applyProtection="1">
      <alignment horizontal="center" wrapText="1"/>
      <protection locked="0"/>
    </xf>
    <xf numFmtId="0" fontId="6" fillId="2" borderId="20" xfId="0" applyFont="1" applyFill="1" applyBorder="1" applyAlignment="1" applyProtection="1">
      <alignment horizontal="center" vertical="center" wrapText="1"/>
      <protection locked="0"/>
    </xf>
    <xf numFmtId="0" fontId="6" fillId="2" borderId="25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6" fillId="2" borderId="27" xfId="0" applyFont="1" applyFill="1" applyBorder="1" applyAlignment="1" applyProtection="1">
      <alignment horizontal="center" wrapText="1"/>
      <protection locked="0"/>
    </xf>
    <xf numFmtId="0" fontId="6" fillId="2" borderId="47" xfId="0" applyFont="1" applyFill="1" applyBorder="1" applyAlignment="1" applyProtection="1">
      <alignment horizontal="center" wrapText="1"/>
      <protection locked="0"/>
    </xf>
    <xf numFmtId="0" fontId="6" fillId="2" borderId="28" xfId="0" applyFont="1" applyFill="1" applyBorder="1" applyAlignment="1" applyProtection="1">
      <alignment horizontal="center" wrapText="1"/>
      <protection locked="0"/>
    </xf>
    <xf numFmtId="0" fontId="0" fillId="0" borderId="27" xfId="0" applyBorder="1" applyAlignment="1" applyProtection="1">
      <alignment horizontal="center" vertical="center" wrapText="1"/>
      <protection locked="0"/>
    </xf>
    <xf numFmtId="0" fontId="0" fillId="0" borderId="47" xfId="0" applyBorder="1" applyAlignment="1" applyProtection="1">
      <alignment horizontal="center" vertical="center" wrapText="1"/>
      <protection locked="0"/>
    </xf>
    <xf numFmtId="0" fontId="0" fillId="0" borderId="28" xfId="0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2" fontId="0" fillId="0" borderId="11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0" fontId="3" fillId="2" borderId="27" xfId="0" applyFont="1" applyFill="1" applyBorder="1" applyAlignment="1" applyProtection="1">
      <alignment horizontal="center" vertical="center"/>
      <protection locked="0"/>
    </xf>
    <xf numFmtId="0" fontId="3" fillId="2" borderId="47" xfId="0" applyFont="1" applyFill="1" applyBorder="1" applyAlignment="1" applyProtection="1">
      <alignment horizontal="center" vertical="center"/>
      <protection locked="0"/>
    </xf>
    <xf numFmtId="0" fontId="3" fillId="2" borderId="28" xfId="0" applyFont="1" applyFill="1" applyBorder="1" applyAlignment="1" applyProtection="1">
      <alignment horizontal="center" vertical="center"/>
      <protection locked="0"/>
    </xf>
    <xf numFmtId="0" fontId="3" fillId="0" borderId="27" xfId="0" applyFont="1" applyFill="1" applyBorder="1" applyAlignment="1" applyProtection="1">
      <alignment horizontal="center" vertical="center"/>
      <protection locked="0"/>
    </xf>
    <xf numFmtId="0" fontId="3" fillId="0" borderId="47" xfId="0" applyFont="1" applyFill="1" applyBorder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1" fillId="0" borderId="13" xfId="0" applyFont="1" applyBorder="1" applyAlignment="1" applyProtection="1">
      <alignment horizontal="center"/>
      <protection locked="0"/>
    </xf>
    <xf numFmtId="2" fontId="0" fillId="0" borderId="13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0" fontId="7" fillId="5" borderId="25" xfId="0" applyFont="1" applyFill="1" applyBorder="1" applyAlignment="1" applyProtection="1">
      <alignment horizontal="left"/>
    </xf>
    <xf numFmtId="0" fontId="7" fillId="5" borderId="0" xfId="0" applyFont="1" applyFill="1" applyBorder="1" applyAlignment="1" applyProtection="1">
      <alignment horizontal="left"/>
    </xf>
    <xf numFmtId="0" fontId="0" fillId="5" borderId="0" xfId="0" applyFill="1" applyBorder="1" applyAlignment="1" applyProtection="1">
      <alignment horizontal="center"/>
    </xf>
    <xf numFmtId="0" fontId="3" fillId="0" borderId="8" xfId="0" applyFont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3" fillId="0" borderId="27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7" fillId="0" borderId="27" xfId="0" applyFont="1" applyBorder="1" applyAlignment="1" applyProtection="1">
      <alignment horizontal="center" vertical="center"/>
      <protection locked="0"/>
    </xf>
    <xf numFmtId="0" fontId="7" fillId="0" borderId="28" xfId="0" applyFont="1" applyBorder="1" applyAlignment="1" applyProtection="1">
      <alignment horizontal="center" vertical="center"/>
      <protection locked="0"/>
    </xf>
    <xf numFmtId="0" fontId="5" fillId="9" borderId="27" xfId="0" applyFont="1" applyFill="1" applyBorder="1" applyAlignment="1">
      <alignment horizontal="center" vertical="center" shrinkToFit="1"/>
    </xf>
    <xf numFmtId="0" fontId="5" fillId="9" borderId="47" xfId="0" applyFont="1" applyFill="1" applyBorder="1" applyAlignment="1">
      <alignment horizontal="center" vertical="center" shrinkToFit="1"/>
    </xf>
    <xf numFmtId="0" fontId="5" fillId="9" borderId="28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5" borderId="57" xfId="0" applyFont="1" applyFill="1" applyBorder="1" applyAlignment="1">
      <alignment horizontal="center" vertical="center"/>
    </xf>
    <xf numFmtId="0" fontId="0" fillId="0" borderId="47" xfId="0" applyBorder="1"/>
    <xf numFmtId="0" fontId="0" fillId="0" borderId="28" xfId="0" applyBorder="1"/>
    <xf numFmtId="0" fontId="8" fillId="2" borderId="27" xfId="0" applyFont="1" applyFill="1" applyBorder="1" applyAlignment="1">
      <alignment horizontal="center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3" fillId="6" borderId="27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0" fillId="5" borderId="0" xfId="0" applyFill="1" applyBorder="1" applyAlignment="1"/>
    <xf numFmtId="0" fontId="9" fillId="5" borderId="0" xfId="0" applyFont="1" applyFill="1" applyAlignment="1" applyProtection="1">
      <alignment horizontal="center"/>
      <protection locked="0"/>
    </xf>
    <xf numFmtId="0" fontId="9" fillId="5" borderId="0" xfId="0" applyFont="1" applyFill="1" applyBorder="1" applyAlignment="1"/>
    <xf numFmtId="0" fontId="9" fillId="0" borderId="0" xfId="0" applyFont="1" applyFill="1" applyBorder="1" applyAlignment="1"/>
    <xf numFmtId="0" fontId="1" fillId="0" borderId="15" xfId="0" applyFont="1" applyBorder="1" applyAlignment="1" applyProtection="1">
      <alignment horizontal="center"/>
      <protection locked="0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6" fillId="0" borderId="46" xfId="0" applyFont="1" applyBorder="1" applyAlignment="1">
      <alignment horizontal="center" vertical="center"/>
    </xf>
    <xf numFmtId="0" fontId="10" fillId="0" borderId="48" xfId="0" applyFont="1" applyBorder="1" applyAlignment="1" applyProtection="1">
      <alignment horizontal="center" vertical="center"/>
    </xf>
    <xf numFmtId="0" fontId="10" fillId="0" borderId="49" xfId="0" applyFont="1" applyBorder="1" applyAlignment="1" applyProtection="1">
      <alignment horizontal="center" vertical="center"/>
    </xf>
    <xf numFmtId="0" fontId="10" fillId="0" borderId="50" xfId="0" applyFont="1" applyBorder="1" applyAlignment="1" applyProtection="1">
      <alignment horizontal="center" vertical="center"/>
    </xf>
    <xf numFmtId="0" fontId="3" fillId="0" borderId="51" xfId="0" applyFont="1" applyBorder="1" applyAlignment="1" applyProtection="1">
      <alignment horizontal="center" vertical="center" shrinkToFit="1"/>
    </xf>
    <xf numFmtId="0" fontId="3" fillId="0" borderId="49" xfId="0" applyFont="1" applyBorder="1" applyAlignment="1" applyProtection="1">
      <alignment horizontal="center" vertical="center" shrinkToFit="1"/>
    </xf>
    <xf numFmtId="0" fontId="3" fillId="0" borderId="52" xfId="0" applyFont="1" applyBorder="1" applyAlignment="1" applyProtection="1">
      <alignment horizontal="center" vertical="center" shrinkToFit="1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10" fontId="1" fillId="0" borderId="22" xfId="0" applyNumberFormat="1" applyFont="1" applyBorder="1" applyAlignment="1">
      <alignment horizontal="center" vertical="center"/>
    </xf>
    <xf numFmtId="10" fontId="1" fillId="0" borderId="23" xfId="0" applyNumberFormat="1" applyFont="1" applyBorder="1" applyAlignment="1">
      <alignment horizontal="center" vertical="center"/>
    </xf>
    <xf numFmtId="172" fontId="1" fillId="0" borderId="22" xfId="0" applyNumberFormat="1" applyFont="1" applyBorder="1" applyAlignment="1" applyProtection="1">
      <alignment horizontal="center" vertical="center"/>
    </xf>
    <xf numFmtId="172" fontId="1" fillId="0" borderId="23" xfId="0" applyNumberFormat="1" applyFont="1" applyBorder="1" applyAlignment="1" applyProtection="1">
      <alignment horizontal="center" vertical="center"/>
    </xf>
    <xf numFmtId="172" fontId="1" fillId="0" borderId="24" xfId="0" applyNumberFormat="1" applyFont="1" applyBorder="1" applyAlignment="1" applyProtection="1">
      <alignment horizontal="center" vertical="center"/>
    </xf>
    <xf numFmtId="0" fontId="11" fillId="0" borderId="46" xfId="0" applyFont="1" applyBorder="1" applyAlignment="1" applyProtection="1">
      <alignment horizontal="center" vertical="center"/>
      <protection locked="0"/>
    </xf>
    <xf numFmtId="0" fontId="11" fillId="6" borderId="22" xfId="0" applyFont="1" applyFill="1" applyBorder="1" applyAlignment="1" applyProtection="1">
      <alignment horizontal="center" vertical="center"/>
      <protection locked="0"/>
    </xf>
    <xf numFmtId="0" fontId="11" fillId="6" borderId="24" xfId="0" applyFont="1" applyFill="1" applyBorder="1" applyAlignment="1" applyProtection="1">
      <alignment horizontal="center" vertical="center"/>
      <protection locked="0"/>
    </xf>
    <xf numFmtId="0" fontId="9" fillId="7" borderId="22" xfId="0" applyFont="1" applyFill="1" applyBorder="1" applyAlignment="1" applyProtection="1">
      <alignment horizontal="center" vertical="center" wrapText="1"/>
    </xf>
    <xf numFmtId="0" fontId="9" fillId="7" borderId="23" xfId="0" applyFont="1" applyFill="1" applyBorder="1" applyAlignment="1" applyProtection="1">
      <alignment horizontal="center" vertical="center" wrapText="1"/>
    </xf>
    <xf numFmtId="0" fontId="9" fillId="7" borderId="24" xfId="0" applyFont="1" applyFill="1" applyBorder="1" applyAlignment="1" applyProtection="1">
      <alignment horizontal="center" vertical="center" wrapText="1"/>
    </xf>
    <xf numFmtId="0" fontId="6" fillId="0" borderId="43" xfId="0" applyFont="1" applyBorder="1" applyAlignment="1">
      <alignment horizontal="center" vertical="center"/>
    </xf>
    <xf numFmtId="0" fontId="10" fillId="0" borderId="31" xfId="0" applyFont="1" applyBorder="1" applyAlignment="1" applyProtection="1">
      <alignment horizontal="center" vertical="center"/>
    </xf>
    <xf numFmtId="0" fontId="10" fillId="0" borderId="32" xfId="0" applyFont="1" applyBorder="1" applyAlignment="1" applyProtection="1">
      <alignment horizontal="center" vertical="center"/>
    </xf>
    <xf numFmtId="0" fontId="10" fillId="0" borderId="33" xfId="0" applyFont="1" applyBorder="1" applyAlignment="1" applyProtection="1">
      <alignment horizontal="center" vertical="center"/>
    </xf>
    <xf numFmtId="0" fontId="1" fillId="0" borderId="59" xfId="0" applyFont="1" applyBorder="1" applyAlignment="1" applyProtection="1">
      <alignment horizontal="center" vertical="center" shrinkToFit="1"/>
    </xf>
    <xf numFmtId="0" fontId="1" fillId="0" borderId="25" xfId="0" applyFont="1" applyBorder="1" applyAlignment="1" applyProtection="1">
      <alignment horizontal="center" vertical="center" shrinkToFit="1"/>
    </xf>
    <xf numFmtId="0" fontId="11" fillId="0" borderId="20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10" fontId="1" fillId="0" borderId="20" xfId="0" applyNumberFormat="1" applyFont="1" applyBorder="1" applyAlignment="1">
      <alignment horizontal="center" vertical="center"/>
    </xf>
    <xf numFmtId="10" fontId="1" fillId="0" borderId="25" xfId="0" applyNumberFormat="1" applyFont="1" applyBorder="1" applyAlignment="1">
      <alignment horizontal="center" vertical="center"/>
    </xf>
    <xf numFmtId="172" fontId="1" fillId="0" borderId="20" xfId="0" applyNumberFormat="1" applyFont="1" applyBorder="1" applyAlignment="1" applyProtection="1">
      <alignment horizontal="center" vertical="center"/>
    </xf>
    <xf numFmtId="172" fontId="1" fillId="0" borderId="25" xfId="0" applyNumberFormat="1" applyFont="1" applyBorder="1" applyAlignment="1" applyProtection="1">
      <alignment horizontal="center" vertical="center"/>
    </xf>
    <xf numFmtId="172" fontId="1" fillId="0" borderId="26" xfId="0" applyNumberFormat="1" applyFont="1" applyBorder="1" applyAlignment="1" applyProtection="1">
      <alignment horizontal="center" vertical="center"/>
    </xf>
    <xf numFmtId="0" fontId="11" fillId="0" borderId="43" xfId="0" applyFont="1" applyBorder="1" applyAlignment="1" applyProtection="1">
      <alignment horizontal="center" vertical="center"/>
      <protection locked="0"/>
    </xf>
    <xf numFmtId="0" fontId="11" fillId="6" borderId="20" xfId="0" applyFont="1" applyFill="1" applyBorder="1" applyAlignment="1" applyProtection="1">
      <alignment horizontal="center" vertical="center"/>
      <protection locked="0"/>
    </xf>
    <xf numFmtId="0" fontId="11" fillId="6" borderId="26" xfId="0" applyFont="1" applyFill="1" applyBorder="1" applyAlignment="1" applyProtection="1">
      <alignment horizontal="center" vertical="center"/>
      <protection locked="0"/>
    </xf>
    <xf numFmtId="0" fontId="9" fillId="7" borderId="20" xfId="0" applyFont="1" applyFill="1" applyBorder="1" applyAlignment="1" applyProtection="1">
      <alignment horizontal="center" vertical="center" wrapText="1"/>
    </xf>
    <xf numFmtId="0" fontId="9" fillId="7" borderId="25" xfId="0" applyFont="1" applyFill="1" applyBorder="1" applyAlignment="1" applyProtection="1">
      <alignment horizontal="center" vertical="center" wrapText="1"/>
    </xf>
    <xf numFmtId="0" fontId="9" fillId="7" borderId="26" xfId="0" applyFont="1" applyFill="1" applyBorder="1" applyAlignment="1" applyProtection="1">
      <alignment horizontal="center" vertical="center" wrapText="1"/>
    </xf>
    <xf numFmtId="0" fontId="10" fillId="0" borderId="36" xfId="0" applyFont="1" applyBorder="1" applyAlignment="1" applyProtection="1">
      <alignment horizontal="center" vertical="center"/>
    </xf>
    <xf numFmtId="0" fontId="10" fillId="0" borderId="42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/>
      <protection locked="0"/>
    </xf>
    <xf numFmtId="0" fontId="10" fillId="0" borderId="11" xfId="0" applyFont="1" applyBorder="1" applyAlignment="1" applyProtection="1">
      <alignment horizontal="center" vertical="center"/>
    </xf>
    <xf numFmtId="0" fontId="10" fillId="0" borderId="41" xfId="0" applyFont="1" applyBorder="1" applyAlignment="1" applyProtection="1">
      <alignment horizontal="center" vertical="center"/>
    </xf>
    <xf numFmtId="0" fontId="0" fillId="5" borderId="0" xfId="0" applyFill="1" applyAlignment="1"/>
    <xf numFmtId="0" fontId="9" fillId="5" borderId="0" xfId="0" applyFont="1" applyFill="1"/>
    <xf numFmtId="0" fontId="5" fillId="5" borderId="0" xfId="0" applyFont="1" applyFill="1" applyBorder="1" applyAlignment="1" applyProtection="1">
      <alignment vertical="center" wrapText="1"/>
      <protection locked="0"/>
    </xf>
    <xf numFmtId="0" fontId="3" fillId="5" borderId="0" xfId="0" applyFont="1" applyFill="1" applyBorder="1" applyAlignment="1" applyProtection="1">
      <alignment vertical="center" wrapText="1"/>
      <protection locked="0"/>
    </xf>
    <xf numFmtId="0" fontId="10" fillId="0" borderId="15" xfId="0" applyFont="1" applyBorder="1" applyAlignment="1" applyProtection="1">
      <alignment horizontal="center" vertical="center"/>
    </xf>
    <xf numFmtId="0" fontId="10" fillId="0" borderId="44" xfId="0" applyFont="1" applyBorder="1" applyAlignment="1" applyProtection="1">
      <alignment horizontal="center" vertical="center"/>
    </xf>
    <xf numFmtId="0" fontId="1" fillId="0" borderId="58" xfId="0" applyFont="1" applyBorder="1" applyAlignment="1" applyProtection="1">
      <alignment horizontal="center" vertical="center" shrinkToFit="1"/>
    </xf>
    <xf numFmtId="0" fontId="1" fillId="0" borderId="0" xfId="0" applyFont="1" applyBorder="1" applyAlignment="1" applyProtection="1">
      <alignment horizontal="center" vertical="center" shrinkToFit="1"/>
    </xf>
    <xf numFmtId="0" fontId="11" fillId="0" borderId="2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0" fontId="1" fillId="0" borderId="21" xfId="0" applyNumberFormat="1" applyFont="1" applyBorder="1" applyAlignment="1">
      <alignment horizontal="center" vertical="center"/>
    </xf>
    <xf numFmtId="10" fontId="1" fillId="0" borderId="0" xfId="0" applyNumberFormat="1" applyFont="1" applyBorder="1" applyAlignment="1">
      <alignment horizontal="center" vertical="center"/>
    </xf>
    <xf numFmtId="172" fontId="1" fillId="0" borderId="21" xfId="0" applyNumberFormat="1" applyFont="1" applyBorder="1" applyAlignment="1" applyProtection="1">
      <alignment horizontal="center" vertical="center"/>
    </xf>
    <xf numFmtId="172" fontId="1" fillId="0" borderId="0" xfId="0" applyNumberFormat="1" applyFont="1" applyBorder="1" applyAlignment="1" applyProtection="1">
      <alignment horizontal="center" vertical="center"/>
    </xf>
    <xf numFmtId="172" fontId="1" fillId="0" borderId="39" xfId="0" applyNumberFormat="1" applyFont="1" applyBorder="1" applyAlignment="1" applyProtection="1">
      <alignment horizontal="center" vertical="center"/>
    </xf>
    <xf numFmtId="0" fontId="11" fillId="0" borderId="57" xfId="0" applyFont="1" applyBorder="1" applyAlignment="1" applyProtection="1">
      <alignment horizontal="center" vertical="center"/>
      <protection locked="0"/>
    </xf>
    <xf numFmtId="0" fontId="11" fillId="6" borderId="21" xfId="0" applyFont="1" applyFill="1" applyBorder="1" applyAlignment="1" applyProtection="1">
      <alignment horizontal="center" vertical="center"/>
      <protection locked="0"/>
    </xf>
    <xf numFmtId="0" fontId="11" fillId="6" borderId="39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>
      <alignment horizontal="center"/>
    </xf>
    <xf numFmtId="0" fontId="0" fillId="5" borderId="0" xfId="0" applyFill="1" applyBorder="1" applyAlignment="1">
      <alignment horizontal="center" vertical="center"/>
    </xf>
    <xf numFmtId="0" fontId="6" fillId="3" borderId="54" xfId="0" applyFont="1" applyFill="1" applyBorder="1" applyAlignment="1" applyProtection="1">
      <alignment horizontal="left" vertical="center" wrapText="1"/>
      <protection locked="0"/>
    </xf>
    <xf numFmtId="0" fontId="6" fillId="3" borderId="55" xfId="0" applyFont="1" applyFill="1" applyBorder="1" applyAlignment="1" applyProtection="1">
      <alignment vertical="center" wrapText="1"/>
      <protection locked="0"/>
    </xf>
    <xf numFmtId="0" fontId="6" fillId="3" borderId="56" xfId="0" applyFont="1" applyFill="1" applyBorder="1" applyAlignment="1" applyProtection="1">
      <alignment vertical="center" wrapText="1"/>
      <protection locked="0"/>
    </xf>
    <xf numFmtId="20" fontId="0" fillId="0" borderId="40" xfId="0" applyNumberFormat="1" applyFill="1" applyBorder="1" applyAlignment="1" applyProtection="1">
      <alignment horizontal="center"/>
      <protection locked="0"/>
    </xf>
    <xf numFmtId="0" fontId="0" fillId="0" borderId="53" xfId="0" applyFill="1" applyBorder="1" applyAlignment="1" applyProtection="1">
      <alignment horizontal="center"/>
      <protection locked="0"/>
    </xf>
    <xf numFmtId="0" fontId="0" fillId="0" borderId="38" xfId="0" applyFill="1" applyBorder="1" applyAlignment="1" applyProtection="1">
      <alignment horizontal="center"/>
      <protection locked="0"/>
    </xf>
    <xf numFmtId="0" fontId="3" fillId="13" borderId="21" xfId="0" applyFont="1" applyFill="1" applyBorder="1" applyAlignment="1">
      <alignment horizontal="center" vertical="center" wrapText="1"/>
    </xf>
    <xf numFmtId="0" fontId="3" fillId="13" borderId="0" xfId="0" applyFont="1" applyFill="1" applyBorder="1" applyAlignment="1">
      <alignment horizontal="center" vertical="center" wrapText="1"/>
    </xf>
    <xf numFmtId="0" fontId="3" fillId="13" borderId="23" xfId="0" applyFont="1" applyFill="1" applyBorder="1" applyAlignment="1">
      <alignment horizontal="center" vertical="center" wrapText="1"/>
    </xf>
    <xf numFmtId="0" fontId="3" fillId="13" borderId="2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20" fontId="0" fillId="0" borderId="18" xfId="0" applyNumberFormat="1" applyFill="1" applyBorder="1" applyAlignment="1" applyProtection="1">
      <alignment horizontal="center"/>
      <protection locked="0"/>
    </xf>
    <xf numFmtId="20" fontId="0" fillId="0" borderId="19" xfId="0" applyNumberFormat="1" applyFill="1" applyBorder="1" applyAlignment="1" applyProtection="1">
      <alignment horizontal="center"/>
      <protection locked="0"/>
    </xf>
    <xf numFmtId="20" fontId="0" fillId="0" borderId="17" xfId="0" applyNumberFormat="1" applyFill="1" applyBorder="1" applyAlignment="1" applyProtection="1">
      <alignment horizontal="center"/>
      <protection locked="0"/>
    </xf>
    <xf numFmtId="0" fontId="3" fillId="13" borderId="39" xfId="0" applyFont="1" applyFill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locked="0"/>
    </xf>
    <xf numFmtId="0" fontId="3" fillId="6" borderId="18" xfId="0" applyFont="1" applyFill="1" applyBorder="1" applyAlignment="1">
      <alignment horizontal="center"/>
    </xf>
    <xf numFmtId="0" fontId="3" fillId="6" borderId="19" xfId="0" applyFont="1" applyFill="1" applyBorder="1" applyAlignment="1">
      <alignment horizontal="center"/>
    </xf>
    <xf numFmtId="0" fontId="3" fillId="6" borderId="17" xfId="0" applyFont="1" applyFill="1" applyBorder="1" applyAlignment="1">
      <alignment horizontal="center"/>
    </xf>
    <xf numFmtId="0" fontId="3" fillId="13" borderId="20" xfId="0" applyFont="1" applyFill="1" applyBorder="1" applyAlignment="1">
      <alignment horizontal="center" vertical="center" wrapText="1"/>
    </xf>
    <xf numFmtId="0" fontId="3" fillId="13" borderId="25" xfId="0" applyFont="1" applyFill="1" applyBorder="1" applyAlignment="1">
      <alignment horizontal="center" vertical="center" wrapText="1"/>
    </xf>
    <xf numFmtId="0" fontId="3" fillId="13" borderId="26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 applyProtection="1">
      <alignment horizontal="center"/>
      <protection locked="0"/>
    </xf>
    <xf numFmtId="0" fontId="5" fillId="6" borderId="19" xfId="0" applyFont="1" applyFill="1" applyBorder="1" applyAlignment="1" applyProtection="1">
      <alignment horizontal="center"/>
      <protection locked="0"/>
    </xf>
    <xf numFmtId="0" fontId="5" fillId="6" borderId="17" xfId="0" applyFont="1" applyFill="1" applyBorder="1" applyAlignment="1" applyProtection="1">
      <alignment horizontal="center"/>
      <protection locked="0"/>
    </xf>
    <xf numFmtId="0" fontId="0" fillId="2" borderId="17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5" fillId="2" borderId="1" xfId="0" applyFont="1" applyFill="1" applyBorder="1" applyProtection="1">
      <protection locked="0"/>
    </xf>
    <xf numFmtId="0" fontId="5" fillId="5" borderId="1" xfId="0" applyFont="1" applyFill="1" applyBorder="1" applyAlignment="1">
      <alignment horizontal="center"/>
    </xf>
    <xf numFmtId="0" fontId="5" fillId="2" borderId="1" xfId="0" applyFont="1" applyFill="1" applyBorder="1" applyAlignment="1" applyProtection="1">
      <alignment horizontal="left"/>
      <protection locked="0"/>
    </xf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/>
      <protection locked="0"/>
    </xf>
    <xf numFmtId="0" fontId="0" fillId="0" borderId="1" xfId="0" applyBorder="1" applyAlignment="1">
      <alignment horizontal="center" vertical="center"/>
    </xf>
    <xf numFmtId="0" fontId="7" fillId="0" borderId="18" xfId="0" applyFont="1" applyFill="1" applyBorder="1" applyProtection="1">
      <protection locked="0"/>
    </xf>
    <xf numFmtId="0" fontId="0" fillId="5" borderId="19" xfId="0" applyFill="1" applyBorder="1" applyAlignment="1">
      <alignment horizontal="center"/>
    </xf>
    <xf numFmtId="0" fontId="7" fillId="0" borderId="17" xfId="0" applyFont="1" applyFill="1" applyBorder="1" applyAlignment="1" applyProtection="1">
      <alignment horizontal="left"/>
      <protection locked="0"/>
    </xf>
    <xf numFmtId="0" fontId="0" fillId="0" borderId="17" xfId="0" applyBorder="1" applyAlignment="1">
      <alignment horizontal="center" vertical="center"/>
    </xf>
    <xf numFmtId="0" fontId="0" fillId="0" borderId="0" xfId="0" applyFill="1" applyProtection="1">
      <protection hidden="1"/>
    </xf>
    <xf numFmtId="0" fontId="0" fillId="6" borderId="0" xfId="0" applyFill="1" applyProtection="1">
      <protection hidden="1"/>
    </xf>
    <xf numFmtId="0" fontId="0" fillId="6" borderId="0" xfId="0" applyFill="1" applyAlignment="1" applyProtection="1">
      <alignment horizontal="left"/>
      <protection hidden="1"/>
    </xf>
    <xf numFmtId="0" fontId="0" fillId="0" borderId="0" xfId="0" applyFill="1" applyAlignment="1" applyProtection="1">
      <alignment wrapText="1"/>
      <protection hidden="1"/>
    </xf>
    <xf numFmtId="0" fontId="0" fillId="0" borderId="0" xfId="0" applyFill="1" applyAlignment="1" applyProtection="1">
      <alignment horizontal="left"/>
      <protection hidden="1"/>
    </xf>
    <xf numFmtId="0" fontId="0" fillId="0" borderId="0" xfId="0" applyFill="1" applyAlignment="1" applyProtection="1">
      <alignment horizontal="center" wrapText="1"/>
      <protection hidden="1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13" fillId="0" borderId="0" xfId="0" applyFont="1"/>
    <xf numFmtId="2" fontId="13" fillId="0" borderId="0" xfId="0" applyNumberFormat="1" applyFont="1"/>
    <xf numFmtId="2" fontId="0" fillId="0" borderId="0" xfId="0" applyNumberFormat="1"/>
    <xf numFmtId="2" fontId="0" fillId="0" borderId="0" xfId="0" applyNumberFormat="1" applyAlignment="1" applyProtection="1">
      <alignment horizontal="left"/>
    </xf>
    <xf numFmtId="2" fontId="0" fillId="0" borderId="0" xfId="0" applyNumberFormat="1" applyAlignment="1" applyProtection="1">
      <alignment horizontal="center"/>
      <protection locked="0"/>
    </xf>
    <xf numFmtId="2" fontId="0" fillId="0" borderId="0" xfId="0" applyNumberFormat="1" applyProtection="1">
      <protection hidden="1"/>
    </xf>
    <xf numFmtId="2" fontId="0" fillId="0" borderId="0" xfId="0" applyNumberFormat="1" applyAlignment="1" applyProtection="1">
      <alignment horizontal="center"/>
      <protection hidden="1"/>
    </xf>
    <xf numFmtId="1" fontId="13" fillId="0" borderId="0" xfId="0" applyNumberFormat="1" applyFont="1"/>
    <xf numFmtId="1" fontId="0" fillId="0" borderId="0" xfId="0" applyNumberFormat="1"/>
    <xf numFmtId="1" fontId="0" fillId="0" borderId="0" xfId="0" applyNumberFormat="1" applyAlignment="1" applyProtection="1">
      <alignment horizontal="left"/>
    </xf>
    <xf numFmtId="1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Protection="1">
      <protection hidden="1"/>
    </xf>
    <xf numFmtId="1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4" fillId="0" borderId="0" xfId="0" applyFont="1" applyAlignment="1">
      <alignment horizontal="center"/>
    </xf>
    <xf numFmtId="0" fontId="10" fillId="4" borderId="46" xfId="0" applyFont="1" applyFill="1" applyBorder="1" applyAlignment="1">
      <alignment horizontal="center" wrapText="1"/>
    </xf>
    <xf numFmtId="0" fontId="0" fillId="12" borderId="27" xfId="0" applyFill="1" applyBorder="1" applyAlignment="1">
      <alignment horizontal="center"/>
    </xf>
    <xf numFmtId="0" fontId="0" fillId="12" borderId="47" xfId="0" applyFill="1" applyBorder="1" applyAlignment="1">
      <alignment horizontal="center"/>
    </xf>
    <xf numFmtId="0" fontId="0" fillId="12" borderId="28" xfId="0" applyFill="1" applyBorder="1" applyAlignment="1">
      <alignment horizontal="center"/>
    </xf>
    <xf numFmtId="0" fontId="10" fillId="4" borderId="43" xfId="0" applyFont="1" applyFill="1" applyBorder="1" applyAlignment="1">
      <alignment horizontal="center" wrapText="1"/>
    </xf>
    <xf numFmtId="0" fontId="0" fillId="2" borderId="27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0" borderId="20" xfId="0" applyBorder="1" applyProtection="1">
      <protection locked="0"/>
    </xf>
    <xf numFmtId="0" fontId="15" fillId="0" borderId="5" xfId="0" applyFont="1" applyFill="1" applyBorder="1" applyAlignment="1">
      <alignment horizontal="center" shrinkToFit="1"/>
    </xf>
    <xf numFmtId="0" fontId="15" fillId="0" borderId="3" xfId="0" applyFont="1" applyFill="1" applyBorder="1" applyAlignment="1">
      <alignment horizontal="center" shrinkToFit="1"/>
    </xf>
    <xf numFmtId="0" fontId="15" fillId="0" borderId="3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0" fontId="0" fillId="0" borderId="0" xfId="0" applyFill="1" applyProtection="1">
      <protection locked="0"/>
    </xf>
    <xf numFmtId="0" fontId="15" fillId="0" borderId="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6" fillId="0" borderId="0" xfId="0" applyFont="1" applyAlignment="1" applyProtection="1">
      <alignment horizontal="left" wrapText="1"/>
      <protection locked="0"/>
    </xf>
    <xf numFmtId="0" fontId="6" fillId="0" borderId="0" xfId="0" applyFont="1" applyAlignment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0" fontId="3" fillId="11" borderId="0" xfId="0" applyFont="1" applyFill="1" applyAlignment="1">
      <alignment horizontal="center"/>
    </xf>
    <xf numFmtId="0" fontId="10" fillId="0" borderId="0" xfId="0" applyFont="1"/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ill="1" applyBorder="1" applyAlignment="1" applyProtection="1">
      <protection locked="0"/>
    </xf>
    <xf numFmtId="0" fontId="0" fillId="0" borderId="25" xfId="0" applyBorder="1" applyAlignment="1">
      <alignment horizontal="center" shrinkToFi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0" fillId="0" borderId="23" xfId="0" applyFont="1" applyBorder="1" applyAlignment="1" applyProtection="1">
      <alignment horizontal="center" shrinkToFit="1"/>
      <protection locked="0"/>
    </xf>
    <xf numFmtId="0" fontId="0" fillId="0" borderId="21" xfId="0" applyBorder="1"/>
    <xf numFmtId="0" fontId="10" fillId="0" borderId="0" xfId="0" applyFont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protection locked="0"/>
    </xf>
    <xf numFmtId="0" fontId="10" fillId="0" borderId="0" xfId="0" applyFont="1" applyBorder="1" applyAlignment="1" applyProtection="1">
      <alignment horizontal="center" shrinkToFit="1"/>
      <protection locked="0"/>
    </xf>
    <xf numFmtId="0" fontId="0" fillId="0" borderId="0" xfId="0" applyBorder="1" applyProtection="1">
      <protection locked="0"/>
    </xf>
    <xf numFmtId="0" fontId="0" fillId="0" borderId="21" xfId="0" applyBorder="1" applyAlignment="1">
      <alignment horizontal="left" shrinkToFit="1"/>
    </xf>
    <xf numFmtId="0" fontId="0" fillId="0" borderId="0" xfId="0" applyBorder="1" applyAlignment="1">
      <alignment horizontal="left" shrinkToFit="1"/>
    </xf>
    <xf numFmtId="0" fontId="0" fillId="0" borderId="0" xfId="0" applyBorder="1" applyAlignment="1" applyProtection="1"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left"/>
      <protection locked="0"/>
    </xf>
    <xf numFmtId="0" fontId="0" fillId="0" borderId="23" xfId="0" applyBorder="1" applyAlignment="1" applyProtection="1">
      <alignment horizontal="left"/>
      <protection locked="0"/>
    </xf>
    <xf numFmtId="0" fontId="0" fillId="0" borderId="24" xfId="0" applyBorder="1" applyAlignment="1" applyProtection="1">
      <alignment horizontal="left"/>
      <protection locked="0"/>
    </xf>
    <xf numFmtId="0" fontId="0" fillId="0" borderId="21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15" fillId="0" borderId="0" xfId="0" applyFont="1" applyBorder="1" applyAlignment="1" applyProtection="1">
      <protection locked="0"/>
    </xf>
    <xf numFmtId="0" fontId="15" fillId="0" borderId="0" xfId="0" applyFont="1" applyFill="1" applyBorder="1" applyAlignment="1"/>
    <xf numFmtId="0" fontId="0" fillId="0" borderId="26" xfId="0" applyBorder="1" applyAlignment="1">
      <alignment horizontal="center" shrinkToFit="1"/>
    </xf>
    <xf numFmtId="0" fontId="10" fillId="0" borderId="0" xfId="0" applyFont="1" applyBorder="1" applyAlignment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39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 shrinkToFit="1"/>
    </xf>
    <xf numFmtId="0" fontId="0" fillId="0" borderId="25" xfId="0" applyBorder="1" applyAlignment="1" applyProtection="1">
      <alignment horizontal="center" shrinkToFit="1"/>
    </xf>
    <xf numFmtId="0" fontId="0" fillId="0" borderId="0" xfId="0" applyFill="1" applyBorder="1" applyAlignment="1" applyProtection="1"/>
    <xf numFmtId="0" fontId="0" fillId="0" borderId="21" xfId="0" applyBorder="1" applyAlignment="1" applyProtection="1">
      <alignment horizontal="center"/>
      <protection locked="0"/>
    </xf>
    <xf numFmtId="0" fontId="0" fillId="0" borderId="0" xfId="0" applyBorder="1" applyAlignment="1"/>
    <xf numFmtId="0" fontId="15" fillId="0" borderId="0" xfId="0" applyFont="1" applyFill="1" applyBorder="1" applyAlignment="1" applyProtection="1">
      <protection locked="0"/>
    </xf>
    <xf numFmtId="0" fontId="0" fillId="0" borderId="20" xfId="0" applyBorder="1" applyAlignment="1" applyProtection="1">
      <alignment horizontal="left"/>
      <protection locked="0"/>
    </xf>
    <xf numFmtId="0" fontId="0" fillId="0" borderId="25" xfId="0" applyBorder="1" applyAlignment="1" applyProtection="1">
      <alignment horizontal="left"/>
      <protection locked="0"/>
    </xf>
    <xf numFmtId="0" fontId="0" fillId="0" borderId="26" xfId="0" applyBorder="1" applyAlignment="1" applyProtection="1">
      <alignment horizontal="left"/>
      <protection locked="0"/>
    </xf>
    <xf numFmtId="0" fontId="15" fillId="0" borderId="39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>
      <alignment horizontal="center"/>
    </xf>
    <xf numFmtId="0" fontId="5" fillId="0" borderId="0" xfId="0" applyFont="1" applyFill="1" applyBorder="1" applyAlignment="1" applyProtection="1">
      <protection locked="0"/>
    </xf>
    <xf numFmtId="0" fontId="0" fillId="0" borderId="8" xfId="0" applyBorder="1" applyAlignment="1">
      <alignment horizontal="center"/>
    </xf>
    <xf numFmtId="0" fontId="0" fillId="10" borderId="27" xfId="0" applyFill="1" applyBorder="1" applyAlignment="1">
      <alignment horizontal="center"/>
    </xf>
    <xf numFmtId="0" fontId="0" fillId="10" borderId="47" xfId="0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0" fillId="4" borderId="4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0" borderId="27" xfId="0" applyBorder="1" applyAlignment="1" applyProtection="1">
      <alignment horizontal="center" shrinkToFit="1"/>
    </xf>
    <xf numFmtId="0" fontId="0" fillId="0" borderId="47" xfId="0" applyBorder="1" applyAlignment="1" applyProtection="1">
      <alignment horizontal="center" shrinkToFit="1"/>
    </xf>
    <xf numFmtId="0" fontId="0" fillId="0" borderId="28" xfId="0" applyBorder="1" applyAlignment="1" applyProtection="1">
      <alignment horizontal="center" shrinkToFit="1"/>
    </xf>
    <xf numFmtId="0" fontId="0" fillId="0" borderId="27" xfId="0" applyBorder="1" applyAlignment="1" applyProtection="1">
      <alignment horizontal="center"/>
    </xf>
    <xf numFmtId="0" fontId="0" fillId="0" borderId="47" xfId="0" applyBorder="1" applyAlignment="1" applyProtection="1">
      <alignment horizontal="center"/>
    </xf>
    <xf numFmtId="0" fontId="0" fillId="0" borderId="28" xfId="0" applyBorder="1" applyAlignment="1" applyProtection="1">
      <alignment horizontal="center"/>
    </xf>
    <xf numFmtId="0" fontId="0" fillId="0" borderId="5" xfId="0" applyBorder="1" applyAlignment="1" applyProtection="1">
      <alignment horizontal="center" shrinkToFit="1"/>
    </xf>
    <xf numFmtId="0" fontId="0" fillId="0" borderId="3" xfId="0" applyBorder="1" applyAlignment="1" applyProtection="1">
      <alignment horizontal="center" shrinkToFit="1"/>
    </xf>
    <xf numFmtId="0" fontId="0" fillId="0" borderId="6" xfId="0" applyBorder="1" applyAlignment="1" applyProtection="1">
      <alignment horizontal="center" shrinkToFit="1"/>
    </xf>
    <xf numFmtId="20" fontId="0" fillId="0" borderId="48" xfId="0" applyNumberFormat="1" applyFill="1" applyBorder="1" applyAlignment="1" applyProtection="1">
      <alignment horizontal="center"/>
      <protection locked="0"/>
    </xf>
    <xf numFmtId="0" fontId="0" fillId="0" borderId="49" xfId="0" applyFill="1" applyBorder="1" applyAlignment="1" applyProtection="1">
      <alignment horizontal="center"/>
      <protection locked="0"/>
    </xf>
    <xf numFmtId="0" fontId="0" fillId="0" borderId="50" xfId="0" applyFill="1" applyBorder="1" applyAlignment="1" applyProtection="1">
      <alignment horizontal="center"/>
      <protection locked="0"/>
    </xf>
    <xf numFmtId="20" fontId="0" fillId="0" borderId="51" xfId="0" applyNumberFormat="1" applyFill="1" applyBorder="1" applyAlignment="1" applyProtection="1">
      <alignment horizontal="center"/>
      <protection locked="0"/>
    </xf>
    <xf numFmtId="0" fontId="0" fillId="0" borderId="52" xfId="0" applyFill="1" applyBorder="1" applyAlignment="1" applyProtection="1">
      <alignment horizontal="center"/>
      <protection locked="0"/>
    </xf>
    <xf numFmtId="0" fontId="24" fillId="16" borderId="22" xfId="0" applyFont="1" applyFill="1" applyBorder="1" applyAlignment="1" applyProtection="1">
      <alignment horizontal="center" vertical="center" wrapText="1"/>
    </xf>
    <xf numFmtId="0" fontId="0" fillId="16" borderId="23" xfId="0" applyFill="1" applyBorder="1" applyAlignment="1" applyProtection="1">
      <alignment vertical="center"/>
    </xf>
    <xf numFmtId="0" fontId="0" fillId="16" borderId="24" xfId="0" applyFill="1" applyBorder="1" applyAlignment="1" applyProtection="1">
      <alignment vertical="center"/>
    </xf>
    <xf numFmtId="20" fontId="0" fillId="0" borderId="0" xfId="0" applyNumberFormat="1" applyFill="1" applyBorder="1" applyAlignment="1" applyProtection="1">
      <protection locked="0"/>
    </xf>
    <xf numFmtId="1" fontId="0" fillId="0" borderId="29" xfId="0" applyNumberFormat="1" applyFill="1" applyBorder="1" applyAlignment="1" applyProtection="1">
      <alignment horizontal="center"/>
      <protection locked="0"/>
    </xf>
    <xf numFmtId="1" fontId="0" fillId="0" borderId="19" xfId="0" applyNumberFormat="1" applyFill="1" applyBorder="1" applyAlignment="1" applyProtection="1">
      <alignment horizontal="center"/>
      <protection locked="0"/>
    </xf>
    <xf numFmtId="1" fontId="0" fillId="0" borderId="17" xfId="0" applyNumberFormat="1" applyFill="1" applyBorder="1" applyAlignment="1" applyProtection="1">
      <alignment horizontal="center"/>
      <protection locked="0"/>
    </xf>
    <xf numFmtId="1" fontId="0" fillId="0" borderId="18" xfId="0" applyNumberFormat="1" applyFill="1" applyBorder="1" applyAlignment="1" applyProtection="1">
      <alignment horizontal="center"/>
      <protection locked="0"/>
    </xf>
    <xf numFmtId="1" fontId="0" fillId="0" borderId="30" xfId="0" applyNumberFormat="1" applyFill="1" applyBorder="1" applyAlignment="1" applyProtection="1">
      <alignment horizontal="center"/>
      <protection locked="0"/>
    </xf>
    <xf numFmtId="0" fontId="0" fillId="16" borderId="21" xfId="0" applyFill="1" applyBorder="1" applyAlignment="1" applyProtection="1">
      <alignment vertical="center"/>
    </xf>
    <xf numFmtId="0" fontId="0" fillId="16" borderId="0" xfId="0" applyFill="1" applyAlignment="1" applyProtection="1">
      <alignment vertical="center"/>
    </xf>
    <xf numFmtId="0" fontId="0" fillId="16" borderId="39" xfId="0" applyFill="1" applyBorder="1" applyAlignment="1" applyProtection="1">
      <alignment vertical="center"/>
    </xf>
    <xf numFmtId="0" fontId="10" fillId="0" borderId="0" xfId="0" applyFont="1" applyFill="1" applyBorder="1" applyAlignment="1"/>
    <xf numFmtId="1" fontId="0" fillId="0" borderId="0" xfId="0" applyNumberFormat="1" applyFill="1" applyBorder="1" applyAlignment="1" applyProtection="1">
      <protection locked="0"/>
    </xf>
    <xf numFmtId="0" fontId="3" fillId="6" borderId="29" xfId="0" applyFont="1" applyFill="1" applyBorder="1" applyAlignment="1">
      <alignment horizontal="center"/>
    </xf>
    <xf numFmtId="0" fontId="3" fillId="6" borderId="30" xfId="0" applyFont="1" applyFill="1" applyBorder="1" applyAlignment="1">
      <alignment horizontal="center"/>
    </xf>
    <xf numFmtId="0" fontId="0" fillId="16" borderId="20" xfId="0" applyFill="1" applyBorder="1" applyAlignment="1" applyProtection="1">
      <alignment vertical="center"/>
    </xf>
    <xf numFmtId="0" fontId="0" fillId="16" borderId="25" xfId="0" applyFill="1" applyBorder="1" applyAlignment="1" applyProtection="1">
      <alignment vertical="center"/>
    </xf>
    <xf numFmtId="0" fontId="0" fillId="16" borderId="26" xfId="0" applyFill="1" applyBorder="1" applyAlignment="1" applyProtection="1">
      <alignment vertical="center"/>
    </xf>
    <xf numFmtId="0" fontId="3" fillId="0" borderId="0" xfId="0" applyFont="1" applyFill="1" applyBorder="1" applyAlignment="1"/>
    <xf numFmtId="0" fontId="3" fillId="2" borderId="13" xfId="0" applyFont="1" applyFill="1" applyBorder="1" applyAlignment="1" applyProtection="1">
      <alignment horizontal="right"/>
      <protection locked="0"/>
    </xf>
    <xf numFmtId="0" fontId="3" fillId="5" borderId="1" xfId="0" applyFont="1" applyFill="1" applyBorder="1" applyAlignment="1">
      <alignment horizontal="center"/>
    </xf>
    <xf numFmtId="0" fontId="3" fillId="2" borderId="1" xfId="0" applyFont="1" applyFill="1" applyBorder="1" applyProtection="1"/>
    <xf numFmtId="0" fontId="3" fillId="5" borderId="1" xfId="0" applyFont="1" applyFill="1" applyBorder="1" applyAlignment="1" applyProtection="1">
      <alignment horizontal="center"/>
    </xf>
    <xf numFmtId="0" fontId="3" fillId="2" borderId="14" xfId="0" applyFont="1" applyFill="1" applyBorder="1" applyAlignment="1" applyProtection="1">
      <alignment horizontal="left"/>
    </xf>
    <xf numFmtId="0" fontId="3" fillId="0" borderId="27" xfId="0" applyFont="1" applyFill="1" applyBorder="1" applyAlignment="1">
      <alignment horizontal="center"/>
    </xf>
    <xf numFmtId="0" fontId="3" fillId="0" borderId="4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0" xfId="0" applyFont="1" applyFill="1" applyBorder="1" applyAlignment="1" applyProtection="1">
      <alignment horizontal="right"/>
      <protection locked="0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 applyProtection="1">
      <alignment horizontal="left"/>
      <protection locked="0"/>
    </xf>
    <xf numFmtId="0" fontId="3" fillId="0" borderId="0" xfId="0" applyFont="1" applyFill="1" applyBorder="1" applyProtection="1">
      <protection locked="0"/>
    </xf>
    <xf numFmtId="0" fontId="3" fillId="0" borderId="0" xfId="0" applyFont="1" applyFill="1" applyBorder="1" applyProtection="1"/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left"/>
    </xf>
    <xf numFmtId="0" fontId="3" fillId="2" borderId="29" xfId="0" applyFont="1" applyFill="1" applyBorder="1" applyAlignment="1" applyProtection="1">
      <alignment horizontal="right"/>
      <protection locked="0"/>
    </xf>
    <xf numFmtId="0" fontId="3" fillId="5" borderId="19" xfId="0" applyFont="1" applyFill="1" applyBorder="1" applyAlignment="1">
      <alignment horizontal="center"/>
    </xf>
    <xf numFmtId="0" fontId="3" fillId="2" borderId="19" xfId="0" applyFont="1" applyFill="1" applyBorder="1" applyAlignment="1" applyProtection="1">
      <alignment horizontal="left"/>
      <protection locked="0"/>
    </xf>
    <xf numFmtId="0" fontId="3" fillId="0" borderId="22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0" fillId="0" borderId="29" xfId="0" applyFill="1" applyBorder="1" applyProtection="1">
      <protection locked="0"/>
    </xf>
    <xf numFmtId="0" fontId="0" fillId="0" borderId="17" xfId="0" applyFill="1" applyBorder="1" applyAlignment="1" applyProtection="1">
      <alignment horizontal="left"/>
      <protection locked="0"/>
    </xf>
    <xf numFmtId="0" fontId="0" fillId="0" borderId="18" xfId="0" applyFill="1" applyBorder="1" applyProtection="1">
      <protection locked="0"/>
    </xf>
    <xf numFmtId="0" fontId="0" fillId="0" borderId="30" xfId="0" applyFill="1" applyBorder="1" applyAlignment="1" applyProtection="1">
      <alignment horizontal="left"/>
      <protection locked="0"/>
    </xf>
    <xf numFmtId="0" fontId="16" fillId="9" borderId="22" xfId="0" applyFont="1" applyFill="1" applyBorder="1" applyAlignment="1" applyProtection="1">
      <alignment horizontal="center" vertical="center"/>
    </xf>
    <xf numFmtId="0" fontId="16" fillId="9" borderId="23" xfId="0" applyFont="1" applyFill="1" applyBorder="1" applyAlignment="1" applyProtection="1">
      <alignment horizontal="center" vertical="center"/>
    </xf>
    <xf numFmtId="0" fontId="16" fillId="9" borderId="24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right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horizontal="left"/>
      <protection locked="0"/>
    </xf>
    <xf numFmtId="0" fontId="16" fillId="0" borderId="0" xfId="0" applyFont="1" applyFill="1" applyBorder="1" applyAlignment="1" applyProtection="1">
      <alignment vertical="center"/>
    </xf>
    <xf numFmtId="0" fontId="16" fillId="9" borderId="21" xfId="0" applyFont="1" applyFill="1" applyBorder="1" applyAlignment="1" applyProtection="1">
      <alignment horizontal="center" vertical="center"/>
    </xf>
    <xf numFmtId="0" fontId="16" fillId="9" borderId="0" xfId="0" applyFont="1" applyFill="1" applyBorder="1" applyAlignment="1" applyProtection="1">
      <alignment horizontal="center" vertical="center"/>
    </xf>
    <xf numFmtId="0" fontId="16" fillId="9" borderId="39" xfId="0" applyFont="1" applyFill="1" applyBorder="1" applyAlignment="1" applyProtection="1">
      <alignment horizontal="center" vertical="center"/>
    </xf>
    <xf numFmtId="0" fontId="0" fillId="0" borderId="31" xfId="0" applyFill="1" applyBorder="1" applyProtection="1">
      <protection locked="0"/>
    </xf>
    <xf numFmtId="0" fontId="0" fillId="5" borderId="32" xfId="0" applyFill="1" applyBorder="1" applyAlignment="1">
      <alignment horizontal="center"/>
    </xf>
    <xf numFmtId="0" fontId="0" fillId="0" borderId="33" xfId="0" applyFill="1" applyBorder="1" applyAlignment="1" applyProtection="1">
      <alignment horizontal="left"/>
      <protection locked="0"/>
    </xf>
    <xf numFmtId="0" fontId="0" fillId="0" borderId="34" xfId="0" applyFill="1" applyBorder="1" applyProtection="1">
      <protection locked="0"/>
    </xf>
    <xf numFmtId="0" fontId="0" fillId="0" borderId="35" xfId="0" applyFill="1" applyBorder="1" applyAlignment="1" applyProtection="1">
      <alignment horizontal="left"/>
      <protection locked="0"/>
    </xf>
    <xf numFmtId="0" fontId="16" fillId="9" borderId="20" xfId="0" applyFont="1" applyFill="1" applyBorder="1" applyAlignment="1" applyProtection="1">
      <alignment horizontal="center" vertical="center"/>
    </xf>
    <xf numFmtId="0" fontId="16" fillId="9" borderId="25" xfId="0" applyFont="1" applyFill="1" applyBorder="1" applyAlignment="1" applyProtection="1">
      <alignment horizontal="center" vertical="center"/>
    </xf>
    <xf numFmtId="0" fontId="16" fillId="9" borderId="26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  <protection hidden="1"/>
    </xf>
    <xf numFmtId="0" fontId="0" fillId="0" borderId="0" xfId="0" applyBorder="1" applyAlignment="1">
      <alignment horizontal="center"/>
    </xf>
    <xf numFmtId="0" fontId="1" fillId="8" borderId="15" xfId="0" applyFont="1" applyFill="1" applyBorder="1" applyAlignment="1" applyProtection="1">
      <alignment horizontal="center"/>
      <protection locked="0"/>
    </xf>
    <xf numFmtId="0" fontId="0" fillId="8" borderId="44" xfId="0" applyFill="1" applyBorder="1" applyAlignment="1" applyProtection="1">
      <alignment horizontal="center"/>
      <protection locked="0"/>
    </xf>
    <xf numFmtId="0" fontId="0" fillId="8" borderId="45" xfId="0" applyFill="1" applyBorder="1" applyAlignment="1" applyProtection="1">
      <alignment horizontal="center"/>
      <protection locked="0"/>
    </xf>
    <xf numFmtId="0" fontId="0" fillId="8" borderId="37" xfId="0" applyFill="1" applyBorder="1" applyAlignment="1" applyProtection="1">
      <alignment horizontal="center"/>
      <protection locked="0"/>
    </xf>
    <xf numFmtId="2" fontId="0" fillId="8" borderId="15" xfId="0" applyNumberFormat="1" applyFill="1" applyBorder="1" applyAlignment="1">
      <alignment horizontal="center"/>
    </xf>
    <xf numFmtId="2" fontId="0" fillId="8" borderId="16" xfId="0" applyNumberFormat="1" applyFill="1" applyBorder="1" applyAlignment="1">
      <alignment horizontal="center"/>
    </xf>
    <xf numFmtId="0" fontId="3" fillId="0" borderId="51" xfId="0" applyFont="1" applyBorder="1" applyAlignment="1" applyProtection="1">
      <alignment horizontal="center" vertical="center" shrinkToFit="1"/>
      <protection locked="0"/>
    </xf>
    <xf numFmtId="0" fontId="3" fillId="0" borderId="49" xfId="0" applyFont="1" applyBorder="1" applyAlignment="1" applyProtection="1">
      <alignment horizontal="center" vertical="center" shrinkToFit="1"/>
      <protection locked="0"/>
    </xf>
    <xf numFmtId="0" fontId="3" fillId="0" borderId="52" xfId="0" applyFont="1" applyBorder="1" applyAlignment="1" applyProtection="1">
      <alignment horizontal="center" vertical="center" shrinkToFit="1"/>
      <protection locked="0"/>
    </xf>
    <xf numFmtId="0" fontId="1" fillId="0" borderId="58" xfId="0" applyFont="1" applyBorder="1" applyAlignment="1" applyProtection="1">
      <alignment horizontal="center" vertical="center" shrinkToFit="1"/>
      <protection locked="0"/>
    </xf>
    <xf numFmtId="0" fontId="1" fillId="0" borderId="0" xfId="0" applyFont="1" applyBorder="1" applyAlignment="1" applyProtection="1">
      <alignment horizontal="center" vertical="center" shrinkToFit="1"/>
      <protection locked="0"/>
    </xf>
    <xf numFmtId="0" fontId="6" fillId="0" borderId="0" xfId="0" applyFont="1" applyAlignment="1" applyProtection="1">
      <alignment horizontal="left"/>
      <protection locked="0"/>
    </xf>
    <xf numFmtId="0" fontId="0" fillId="0" borderId="0" xfId="0" applyBorder="1" applyAlignment="1" applyProtection="1">
      <alignment horizontal="center" shrinkToFit="1"/>
      <protection locked="0"/>
    </xf>
    <xf numFmtId="0" fontId="0" fillId="0" borderId="22" xfId="0" applyBorder="1" applyAlignment="1" applyProtection="1">
      <alignment horizontal="left" shrinkToFit="1"/>
      <protection locked="0"/>
    </xf>
    <xf numFmtId="0" fontId="0" fillId="0" borderId="23" xfId="0" applyBorder="1" applyAlignment="1" applyProtection="1">
      <alignment horizontal="left" shrinkToFit="1"/>
      <protection locked="0"/>
    </xf>
    <xf numFmtId="0" fontId="0" fillId="0" borderId="24" xfId="0" applyBorder="1" applyAlignment="1" applyProtection="1">
      <alignment horizontal="left" shrinkToFit="1"/>
      <protection locked="0"/>
    </xf>
    <xf numFmtId="0" fontId="0" fillId="0" borderId="21" xfId="0" applyBorder="1" applyAlignment="1" applyProtection="1">
      <alignment horizontal="left" shrinkToFit="1"/>
      <protection locked="0"/>
    </xf>
    <xf numFmtId="0" fontId="0" fillId="0" borderId="0" xfId="0" applyBorder="1" applyAlignment="1" applyProtection="1">
      <alignment horizontal="left" shrinkToFit="1"/>
      <protection locked="0"/>
    </xf>
    <xf numFmtId="0" fontId="5" fillId="0" borderId="0" xfId="0" applyFont="1" applyFill="1" applyBorder="1" applyAlignment="1">
      <alignment horizontal="center"/>
    </xf>
    <xf numFmtId="0" fontId="0" fillId="15" borderId="64" xfId="0" applyFont="1" applyFill="1" applyBorder="1" applyAlignment="1" applyProtection="1">
      <alignment vertical="top"/>
      <protection locked="0"/>
    </xf>
  </cellXfs>
  <cellStyles count="10">
    <cellStyle name="Currency 2" xfId="9"/>
    <cellStyle name="Hyperlink 2" xfId="1"/>
    <cellStyle name="Hyperlink 3" xfId="2"/>
    <cellStyle name="Normal" xfId="0" builtinId="0"/>
    <cellStyle name="Normal 2" xfId="3"/>
    <cellStyle name="Normal 2 2" xfId="4"/>
    <cellStyle name="Normal 2 2 2" xfId="5"/>
    <cellStyle name="Normal 3" xfId="6"/>
    <cellStyle name="Normal 4" xfId="7"/>
    <cellStyle name="Normal 9" xfId="8"/>
  </cellStyles>
  <dxfs count="3527"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ont>
        <condense val="0"/>
        <extend val="0"/>
        <color indexed="55"/>
      </font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5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jpeg"/><Relationship Id="rId4" Type="http://schemas.openxmlformats.org/officeDocument/2006/relationships/image" Target="../media/image10.e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2" Type="http://schemas.openxmlformats.org/officeDocument/2006/relationships/image" Target="../media/image12.emf"/><Relationship Id="rId1" Type="http://schemas.openxmlformats.org/officeDocument/2006/relationships/image" Target="../media/image11.jpeg"/><Relationship Id="rId4" Type="http://schemas.openxmlformats.org/officeDocument/2006/relationships/image" Target="../media/image1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80035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16</xdr:col>
      <xdr:colOff>85725</xdr:colOff>
      <xdr:row>136</xdr:row>
      <xdr:rowOff>133350</xdr:rowOff>
    </xdr:from>
    <xdr:to>
      <xdr:col>18</xdr:col>
      <xdr:colOff>123825</xdr:colOff>
      <xdr:row>138</xdr:row>
      <xdr:rowOff>123825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14392275"/>
          <a:ext cx="4381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38913" name="Pool1RecalcFinish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80035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15</xdr:col>
      <xdr:colOff>180975</xdr:colOff>
      <xdr:row>137</xdr:row>
      <xdr:rowOff>28575</xdr:rowOff>
    </xdr:from>
    <xdr:to>
      <xdr:col>17</xdr:col>
      <xdr:colOff>85725</xdr:colOff>
      <xdr:row>138</xdr:row>
      <xdr:rowOff>167367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14439900"/>
          <a:ext cx="400050" cy="3007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39937" name="Pool1RecalcFinish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80035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15</xdr:col>
      <xdr:colOff>180975</xdr:colOff>
      <xdr:row>137</xdr:row>
      <xdr:rowOff>28575</xdr:rowOff>
    </xdr:from>
    <xdr:to>
      <xdr:col>17</xdr:col>
      <xdr:colOff>85725</xdr:colOff>
      <xdr:row>138</xdr:row>
      <xdr:rowOff>167367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14439900"/>
          <a:ext cx="400050" cy="3007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40961" name="Pool1RecalcFinish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571500</xdr:colOff>
      <xdr:row>0</xdr:row>
      <xdr:rowOff>0</xdr:rowOff>
    </xdr:from>
    <xdr:to>
      <xdr:col>10</xdr:col>
      <xdr:colOff>381000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90500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571500</xdr:colOff>
      <xdr:row>0</xdr:row>
      <xdr:rowOff>0</xdr:rowOff>
    </xdr:from>
    <xdr:to>
      <xdr:col>12</xdr:col>
      <xdr:colOff>381000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2305050" y="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571500</xdr:colOff>
      <xdr:row>0</xdr:row>
      <xdr:rowOff>0</xdr:rowOff>
    </xdr:from>
    <xdr:to>
      <xdr:col>14</xdr:col>
      <xdr:colOff>381000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280035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16</xdr:col>
      <xdr:colOff>85725</xdr:colOff>
      <xdr:row>136</xdr:row>
      <xdr:rowOff>133350</xdr:rowOff>
    </xdr:from>
    <xdr:to>
      <xdr:col>18</xdr:col>
      <xdr:colOff>123825</xdr:colOff>
      <xdr:row>138</xdr:row>
      <xdr:rowOff>123825</xdr:rowOff>
    </xdr:to>
    <xdr:pic>
      <xdr:nvPicPr>
        <xdr:cNvPr id="5" name="Picture 4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14382750"/>
          <a:ext cx="4381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104775</xdr:colOff>
          <xdr:row>13</xdr:row>
          <xdr:rowOff>9525</xdr:rowOff>
        </xdr:from>
        <xdr:to>
          <xdr:col>41</xdr:col>
          <xdr:colOff>228600</xdr:colOff>
          <xdr:row>16</xdr:row>
          <xdr:rowOff>104775</xdr:rowOff>
        </xdr:to>
        <xdr:sp macro="" textlink="">
          <xdr:nvSpPr>
            <xdr:cNvPr id="41985" name="Pool1RecalcFinish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590550</xdr:colOff>
      <xdr:row>0</xdr:row>
      <xdr:rowOff>0</xdr:rowOff>
    </xdr:from>
    <xdr:to>
      <xdr:col>10</xdr:col>
      <xdr:colOff>390525</xdr:colOff>
      <xdr:row>0</xdr:row>
      <xdr:rowOff>0</xdr:rowOff>
    </xdr:to>
    <xdr:sp macro="" textlink="">
      <xdr:nvSpPr>
        <xdr:cNvPr id="31794" name="Line 1"/>
        <xdr:cNvSpPr>
          <a:spLocks noChangeShapeType="1"/>
        </xdr:cNvSpPr>
      </xdr:nvSpPr>
      <xdr:spPr bwMode="auto">
        <a:xfrm>
          <a:off x="1905000" y="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542925</xdr:colOff>
      <xdr:row>0</xdr:row>
      <xdr:rowOff>0</xdr:rowOff>
    </xdr:from>
    <xdr:to>
      <xdr:col>12</xdr:col>
      <xdr:colOff>390525</xdr:colOff>
      <xdr:row>0</xdr:row>
      <xdr:rowOff>0</xdr:rowOff>
    </xdr:to>
    <xdr:sp macro="" textlink="">
      <xdr:nvSpPr>
        <xdr:cNvPr id="31795" name="Line 2"/>
        <xdr:cNvSpPr>
          <a:spLocks noChangeShapeType="1"/>
        </xdr:cNvSpPr>
      </xdr:nvSpPr>
      <xdr:spPr bwMode="auto">
        <a:xfrm>
          <a:off x="2305050" y="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590550</xdr:colOff>
      <xdr:row>0</xdr:row>
      <xdr:rowOff>0</xdr:rowOff>
    </xdr:from>
    <xdr:to>
      <xdr:col>14</xdr:col>
      <xdr:colOff>361950</xdr:colOff>
      <xdr:row>0</xdr:row>
      <xdr:rowOff>0</xdr:rowOff>
    </xdr:to>
    <xdr:sp macro="" textlink="">
      <xdr:nvSpPr>
        <xdr:cNvPr id="31796" name="Line 3"/>
        <xdr:cNvSpPr>
          <a:spLocks noChangeShapeType="1"/>
        </xdr:cNvSpPr>
      </xdr:nvSpPr>
      <xdr:spPr bwMode="auto">
        <a:xfrm>
          <a:off x="281940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16</xdr:col>
      <xdr:colOff>38100</xdr:colOff>
      <xdr:row>361</xdr:row>
      <xdr:rowOff>133350</xdr:rowOff>
    </xdr:from>
    <xdr:to>
      <xdr:col>17</xdr:col>
      <xdr:colOff>114300</xdr:colOff>
      <xdr:row>363</xdr:row>
      <xdr:rowOff>76200</xdr:rowOff>
    </xdr:to>
    <xdr:pic>
      <xdr:nvPicPr>
        <xdr:cNvPr id="31797" name="Picture 6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4775" y="32661225"/>
          <a:ext cx="3333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13</xdr:row>
      <xdr:rowOff>9525</xdr:rowOff>
    </xdr:from>
    <xdr:to>
      <xdr:col>41</xdr:col>
      <xdr:colOff>247650</xdr:colOff>
      <xdr:row>16</xdr:row>
      <xdr:rowOff>104775</xdr:rowOff>
    </xdr:to>
    <xdr:pic>
      <xdr:nvPicPr>
        <xdr:cNvPr id="31798" name="Pool1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3238500"/>
          <a:ext cx="14287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98</xdr:row>
      <xdr:rowOff>9525</xdr:rowOff>
    </xdr:from>
    <xdr:to>
      <xdr:col>41</xdr:col>
      <xdr:colOff>247650</xdr:colOff>
      <xdr:row>101</xdr:row>
      <xdr:rowOff>104775</xdr:rowOff>
    </xdr:to>
    <xdr:pic>
      <xdr:nvPicPr>
        <xdr:cNvPr id="31799" name="Pool2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905875"/>
          <a:ext cx="14287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183</xdr:row>
      <xdr:rowOff>9525</xdr:rowOff>
    </xdr:from>
    <xdr:to>
      <xdr:col>41</xdr:col>
      <xdr:colOff>247650</xdr:colOff>
      <xdr:row>186</xdr:row>
      <xdr:rowOff>104775</xdr:rowOff>
    </xdr:to>
    <xdr:pic>
      <xdr:nvPicPr>
        <xdr:cNvPr id="31800" name="Pool3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4554200"/>
          <a:ext cx="14287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590550</xdr:colOff>
      <xdr:row>0</xdr:row>
      <xdr:rowOff>0</xdr:rowOff>
    </xdr:from>
    <xdr:to>
      <xdr:col>10</xdr:col>
      <xdr:colOff>390525</xdr:colOff>
      <xdr:row>0</xdr:row>
      <xdr:rowOff>0</xdr:rowOff>
    </xdr:to>
    <xdr:sp macro="" textlink="">
      <xdr:nvSpPr>
        <xdr:cNvPr id="36865" name="Line 1"/>
        <xdr:cNvSpPr>
          <a:spLocks noChangeShapeType="1"/>
        </xdr:cNvSpPr>
      </xdr:nvSpPr>
      <xdr:spPr bwMode="auto">
        <a:xfrm>
          <a:off x="1905000" y="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542925</xdr:colOff>
      <xdr:row>0</xdr:row>
      <xdr:rowOff>0</xdr:rowOff>
    </xdr:from>
    <xdr:to>
      <xdr:col>12</xdr:col>
      <xdr:colOff>390525</xdr:colOff>
      <xdr:row>0</xdr:row>
      <xdr:rowOff>0</xdr:rowOff>
    </xdr:to>
    <xdr:sp macro="" textlink="">
      <xdr:nvSpPr>
        <xdr:cNvPr id="36866" name="Line 2"/>
        <xdr:cNvSpPr>
          <a:spLocks noChangeShapeType="1"/>
        </xdr:cNvSpPr>
      </xdr:nvSpPr>
      <xdr:spPr bwMode="auto">
        <a:xfrm>
          <a:off x="2305050" y="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590550</xdr:colOff>
      <xdr:row>0</xdr:row>
      <xdr:rowOff>0</xdr:rowOff>
    </xdr:from>
    <xdr:to>
      <xdr:col>14</xdr:col>
      <xdr:colOff>361950</xdr:colOff>
      <xdr:row>0</xdr:row>
      <xdr:rowOff>0</xdr:rowOff>
    </xdr:to>
    <xdr:sp macro="" textlink="">
      <xdr:nvSpPr>
        <xdr:cNvPr id="36867" name="Line 3"/>
        <xdr:cNvSpPr>
          <a:spLocks noChangeShapeType="1"/>
        </xdr:cNvSpPr>
      </xdr:nvSpPr>
      <xdr:spPr bwMode="auto">
        <a:xfrm>
          <a:off x="2819400" y="0"/>
          <a:ext cx="800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16</xdr:col>
      <xdr:colOff>38100</xdr:colOff>
      <xdr:row>361</xdr:row>
      <xdr:rowOff>133350</xdr:rowOff>
    </xdr:from>
    <xdr:to>
      <xdr:col>17</xdr:col>
      <xdr:colOff>114300</xdr:colOff>
      <xdr:row>363</xdr:row>
      <xdr:rowOff>76200</xdr:rowOff>
    </xdr:to>
    <xdr:pic>
      <xdr:nvPicPr>
        <xdr:cNvPr id="36868" name="Picture 6" descr="SCMAP-USAVOLLEYBALL_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4775" y="32661225"/>
          <a:ext cx="3333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13</xdr:row>
      <xdr:rowOff>9525</xdr:rowOff>
    </xdr:from>
    <xdr:to>
      <xdr:col>41</xdr:col>
      <xdr:colOff>247650</xdr:colOff>
      <xdr:row>16</xdr:row>
      <xdr:rowOff>104775</xdr:rowOff>
    </xdr:to>
    <xdr:pic>
      <xdr:nvPicPr>
        <xdr:cNvPr id="36869" name="Pool1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3238500"/>
          <a:ext cx="14287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98</xdr:row>
      <xdr:rowOff>9525</xdr:rowOff>
    </xdr:from>
    <xdr:to>
      <xdr:col>41</xdr:col>
      <xdr:colOff>247650</xdr:colOff>
      <xdr:row>101</xdr:row>
      <xdr:rowOff>104775</xdr:rowOff>
    </xdr:to>
    <xdr:pic>
      <xdr:nvPicPr>
        <xdr:cNvPr id="36870" name="Pool2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905875"/>
          <a:ext cx="14287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104775</xdr:colOff>
      <xdr:row>183</xdr:row>
      <xdr:rowOff>9525</xdr:rowOff>
    </xdr:from>
    <xdr:to>
      <xdr:col>41</xdr:col>
      <xdr:colOff>247650</xdr:colOff>
      <xdr:row>186</xdr:row>
      <xdr:rowOff>104775</xdr:rowOff>
    </xdr:to>
    <xdr:pic>
      <xdr:nvPicPr>
        <xdr:cNvPr id="36871" name="Pool3RecalcFinish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4554200"/>
          <a:ext cx="14287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SmasterTshirtSal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ichael%20Vahjen/My%20Documents/Emai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immy/Downloads/Ranking%20Pool%20Shee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ichael%20Vahjen/My%20Documents/adult%20regional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ichael%20Vahjen/My%20Documents/CS02tryout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Shirt Sales"/>
      <sheetName val="Master Consignment Sales (2)"/>
      <sheetName val="Master Consignment Sales"/>
      <sheetName val="Hillcrest"/>
      <sheetName val="VB sale Sheet"/>
      <sheetName val="Uniform Billing 03"/>
      <sheetName val="VB Inventory Sales"/>
      <sheetName val="OK.ACTIVATE_x000e_ASSIGN.TO.TOOL_x0000__x0009_COP"/>
      <sheetName val="1st Quar 2004"/>
      <sheetName val="4th quarter 03"/>
      <sheetName val="3rd quar 03"/>
      <sheetName val="Sales Records"/>
      <sheetName val="SC 04 big orders"/>
      <sheetName val="Orders"/>
      <sheetName val="Prices"/>
      <sheetName val="Consignment Sales"/>
      <sheetName val="Sheet1"/>
      <sheetName val=""/>
      <sheetName val="OK.ACTIVATE_x000e_ASSIGN.TO.TOOL?_x0009_COP"/>
      <sheetName val="OK.ACTIVATE_x000e_ASSIGN.TO.TOOL_x0000_ COP"/>
      <sheetName val="OK.ACTIVATE_x000e_ASSIGN.TO.TOOL? CO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S email addresses"/>
      <sheetName val="School Email by Region"/>
      <sheetName val="Sheet6"/>
      <sheetName val="Sheet5"/>
      <sheetName val="HIgh Sch"/>
      <sheetName val="Sheet4"/>
      <sheetName val="SC Clubs"/>
      <sheetName val="captains pva 02"/>
      <sheetName val="PVA BOD"/>
      <sheetName val="Va Clubs"/>
      <sheetName val="sports news"/>
      <sheetName val="referees"/>
      <sheetName val="Friends"/>
      <sheetName val="NC Clubs"/>
      <sheetName val="Tampa"/>
      <sheetName val="Ga.Clubs"/>
      <sheetName val="Ky Clubs"/>
      <sheetName val="Md clubs"/>
      <sheetName val="Tn clubs"/>
      <sheetName val="Ala Clubs"/>
      <sheetName val="College Web sites"/>
      <sheetName val="Sheet3"/>
      <sheetName val="Coll Coaches"/>
      <sheetName val="USAV"/>
      <sheetName val="2003 emails CS"/>
      <sheetName val="Sheet2"/>
      <sheetName val="Sheet1"/>
      <sheetName val="clash VB"/>
      <sheetName val="Com other "/>
      <sheetName val="CS sports em list"/>
      <sheetName val="VB mailing list"/>
      <sheetName val="VB Address"/>
      <sheetName val="Church League INFO"/>
      <sheetName val="SChool Prin and AD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ample"/>
      <sheetName val="1 Pool Example"/>
      <sheetName val="2 Pool Example"/>
      <sheetName val="3 Pool 15 tms"/>
      <sheetName val="3 Pool - wide Example"/>
      <sheetName val="4 Pool example"/>
      <sheetName val="Expected Outcomes"/>
    </sheetNames>
    <sheetDataSet>
      <sheetData sheetId="0">
        <row r="2">
          <cell r="AS2">
            <v>32</v>
          </cell>
        </row>
        <row r="3">
          <cell r="AS3">
            <v>16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ym ck off"/>
      <sheetName val="Gym supervisor"/>
      <sheetName val="Mens B BB"/>
      <sheetName val="Mens A"/>
      <sheetName val="Examp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 test"/>
      <sheetName val="Week1 (2)"/>
      <sheetName val="Sheet2"/>
      <sheetName val="Sheet3"/>
      <sheetName val="Sheet1"/>
      <sheetName val="evalua (2)"/>
      <sheetName val="Results wk1"/>
      <sheetName val="Week1"/>
      <sheetName val="Week 2"/>
      <sheetName val="Examp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5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aes1.advancedeventsystems.com/Event/Volleyball/EventTeamInfo.aspx?DXyJJG7BIwr2H5MUjgYGu8BU7shvRnYNnnKmHN_E3fGfV_KZU2BBJjLCq7GAK-rpgNkF9z2HjQlsoPNJP9-rNmvn1XlLI600Zz6PXXZzpcl2R8WtrvzzK-C8gGI52CpE0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https://aes1.advancedeventsystems.com/Event/Volleyball/EventTeamInfo.aspx?ZCruShzPjMGv6cuivzEZ3bdHnxan7utPe-38b2URl8mzU62jttSjG3kENzzLrFO5DJ2gC4tYCpITNOPe7kWQLp22OSbVlCGBuLUYcUJcvMs1mfXaIumiL4opmJlO0to20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aes1.advancedeventsystems.com/Event/Volleyball/EventTeamInfo.aspx?ZCruShzPjMGv6cuivzEZ3bdHnxan7utPe-38b2URl8mzU62jttSjG3kENzzLrFO5DJ2gC4tYCpITNOPe7kWQLp22OSbVlCGBuLUYcUJcvMs1mfXaIumiL4opmJlO0to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tabColor indexed="11"/>
  </sheetPr>
  <dimension ref="A1:BY430"/>
  <sheetViews>
    <sheetView tabSelected="1" zoomScale="70" zoomScaleNormal="70" workbookViewId="0">
      <selection activeCell="L14" sqref="L14:P15"/>
    </sheetView>
  </sheetViews>
  <sheetFormatPr defaultRowHeight="12.75" x14ac:dyDescent="0.2"/>
  <cols>
    <col min="2" max="2" width="3.7109375" customWidth="1"/>
    <col min="3" max="3" width="2.28515625" customWidth="1"/>
    <col min="4" max="5" width="3.7109375" customWidth="1"/>
    <col min="6" max="6" width="2.28515625" customWidth="1"/>
    <col min="7" max="8" width="3.7109375" customWidth="1"/>
    <col min="9" max="9" width="2.28515625" customWidth="1"/>
    <col min="10" max="11" width="3.7109375" customWidth="1"/>
    <col min="12" max="12" width="2.28515625" customWidth="1"/>
    <col min="13" max="14" width="3.7109375" customWidth="1"/>
    <col min="15" max="15" width="2.28515625" customWidth="1"/>
    <col min="16" max="17" width="3.7109375" customWidth="1"/>
    <col min="18" max="18" width="2.28515625" customWidth="1"/>
    <col min="19" max="20" width="3.7109375" customWidth="1"/>
    <col min="21" max="21" width="2.28515625" customWidth="1"/>
    <col min="22" max="23" width="3.7109375" customWidth="1"/>
    <col min="24" max="24" width="2.28515625" customWidth="1"/>
    <col min="25" max="26" width="3.7109375" customWidth="1"/>
    <col min="27" max="27" width="2.28515625" customWidth="1"/>
    <col min="28" max="29" width="3.7109375" customWidth="1"/>
    <col min="30" max="30" width="2.28515625" customWidth="1"/>
    <col min="31" max="31" width="3.7109375" customWidth="1"/>
    <col min="32" max="32" width="9.7109375" customWidth="1"/>
    <col min="33" max="42" width="3.7109375" customWidth="1"/>
    <col min="43" max="43" width="11" customWidth="1"/>
    <col min="47" max="47" width="21" customWidth="1"/>
    <col min="48" max="48" width="24.42578125" customWidth="1"/>
    <col min="49" max="49" width="14.28515625" bestFit="1" customWidth="1"/>
    <col min="50" max="50" width="10" customWidth="1"/>
    <col min="51" max="51" width="10.42578125" customWidth="1"/>
    <col min="52" max="52" width="25" customWidth="1"/>
    <col min="53" max="53" width="6" customWidth="1"/>
  </cols>
  <sheetData>
    <row r="1" spans="1:53" ht="13.5" thickBot="1" x14ac:dyDescent="0.25">
      <c r="A1" s="1036" t="s">
        <v>0</v>
      </c>
      <c r="B1" s="1036"/>
      <c r="C1" s="1036"/>
      <c r="D1" s="1036"/>
      <c r="E1" s="1036"/>
      <c r="F1" s="1036"/>
      <c r="G1" s="1036"/>
      <c r="H1" s="1036"/>
      <c r="I1" s="1036"/>
      <c r="J1" s="1036"/>
      <c r="K1" s="1036"/>
      <c r="L1" s="1036"/>
      <c r="M1" s="1036"/>
      <c r="N1" s="1036"/>
      <c r="O1" s="1036"/>
      <c r="P1" s="1036"/>
      <c r="Q1" s="1036"/>
      <c r="R1" s="1036"/>
      <c r="S1" s="1036"/>
      <c r="T1" s="1036"/>
      <c r="U1" s="1036"/>
      <c r="V1" s="1036"/>
      <c r="W1" s="1036"/>
      <c r="X1" s="1036"/>
      <c r="Y1" s="1036"/>
      <c r="Z1" s="1036"/>
      <c r="AA1" s="1036"/>
      <c r="AB1" s="1036"/>
      <c r="AC1" s="1036"/>
      <c r="AD1" s="1036"/>
      <c r="AE1" s="1036"/>
      <c r="AF1" s="1036"/>
      <c r="AG1" s="1036"/>
      <c r="AH1" s="1036"/>
      <c r="AI1" s="1036"/>
      <c r="AJ1" s="1037"/>
      <c r="AK1" s="1037"/>
      <c r="AL1" s="1037"/>
      <c r="AM1" s="1037"/>
      <c r="AN1" s="1037"/>
      <c r="AO1" s="1037"/>
      <c r="AP1" s="1037"/>
      <c r="AQ1" s="1038" t="s">
        <v>349</v>
      </c>
      <c r="AR1" s="1039"/>
      <c r="AT1" s="1040" t="s">
        <v>1</v>
      </c>
      <c r="AU1" s="1041"/>
      <c r="AV1" s="1042"/>
      <c r="AW1" s="1043"/>
      <c r="AX1" s="1044" t="s">
        <v>2</v>
      </c>
      <c r="AY1" s="1045"/>
      <c r="AZ1" s="1046" t="s">
        <v>3</v>
      </c>
      <c r="BA1" s="355">
        <v>32</v>
      </c>
    </row>
    <row r="2" spans="1:53" ht="18.75" customHeight="1" thickBot="1" x14ac:dyDescent="0.3">
      <c r="A2" s="1047" t="s">
        <v>4</v>
      </c>
      <c r="B2" s="1048"/>
      <c r="C2" s="1048"/>
      <c r="D2" s="1048"/>
      <c r="E2" s="1048"/>
      <c r="F2" s="1048"/>
      <c r="G2" s="1048"/>
      <c r="H2" s="1048"/>
      <c r="I2" s="1049"/>
      <c r="J2" s="1050"/>
      <c r="K2" s="1051"/>
      <c r="L2" s="1051"/>
      <c r="M2" s="1051"/>
      <c r="N2" s="1051"/>
      <c r="O2" s="1051"/>
      <c r="P2" s="1051"/>
      <c r="Q2" s="1051"/>
      <c r="R2" s="1051"/>
      <c r="S2" s="1051"/>
      <c r="T2" s="1051"/>
      <c r="U2" s="1051"/>
      <c r="V2" s="1051"/>
      <c r="W2" s="1051"/>
      <c r="X2" s="1052"/>
      <c r="Y2" s="1053" t="s">
        <v>5</v>
      </c>
      <c r="Z2" s="1054"/>
      <c r="AA2" s="1054"/>
      <c r="AB2" s="1054"/>
      <c r="AC2" s="1055"/>
      <c r="AD2" s="1056"/>
      <c r="AE2" s="1056"/>
      <c r="AF2" s="1056"/>
      <c r="AG2" s="1056"/>
      <c r="AH2" s="1056"/>
      <c r="AI2" s="1057"/>
      <c r="AJ2" s="1058"/>
      <c r="AK2" s="1058"/>
      <c r="AL2" s="1058"/>
      <c r="AM2" s="1058"/>
      <c r="AN2" s="1058"/>
      <c r="AO2" s="1058"/>
      <c r="AP2" s="1058"/>
      <c r="AQ2" s="1058"/>
      <c r="AR2" s="1039"/>
      <c r="AT2" s="1059" t="s">
        <v>6</v>
      </c>
      <c r="AU2" s="1060" t="s">
        <v>7</v>
      </c>
      <c r="AV2" s="1061" t="s">
        <v>8</v>
      </c>
      <c r="AW2" s="1062" t="s">
        <v>9</v>
      </c>
      <c r="AX2" s="1063" t="s">
        <v>10</v>
      </c>
      <c r="AY2" s="1062" t="s">
        <v>11</v>
      </c>
      <c r="AZ2" s="1046" t="s">
        <v>12</v>
      </c>
      <c r="BA2" s="355">
        <v>16</v>
      </c>
    </row>
    <row r="3" spans="1:53" ht="18.75" customHeight="1" thickBot="1" x14ac:dyDescent="0.3">
      <c r="A3" s="1064" t="s">
        <v>13</v>
      </c>
      <c r="B3" s="1065"/>
      <c r="C3" s="1066"/>
      <c r="D3" s="1066"/>
      <c r="E3" s="1066"/>
      <c r="F3" s="1066"/>
      <c r="G3" s="1066"/>
      <c r="H3" s="1066"/>
      <c r="I3" s="1066"/>
      <c r="J3" s="1066"/>
      <c r="K3" s="1066"/>
      <c r="L3" s="1066"/>
      <c r="M3" s="1066"/>
      <c r="N3" s="1066"/>
      <c r="O3" s="1067"/>
      <c r="P3" s="1068" t="s">
        <v>14</v>
      </c>
      <c r="Q3" s="1069"/>
      <c r="R3" s="1069"/>
      <c r="S3" s="1070"/>
      <c r="T3" s="1071"/>
      <c r="U3" s="1071"/>
      <c r="V3" s="1071"/>
      <c r="W3" s="1071"/>
      <c r="X3" s="1072"/>
      <c r="Y3" s="1073" t="s">
        <v>15</v>
      </c>
      <c r="Z3" s="1074"/>
      <c r="AA3" s="1074"/>
      <c r="AB3" s="1074"/>
      <c r="AC3" s="1074"/>
      <c r="AD3" s="1075"/>
      <c r="AE3" s="1076" t="s">
        <v>16</v>
      </c>
      <c r="AF3" s="1077"/>
      <c r="AG3" s="1077" t="s">
        <v>17</v>
      </c>
      <c r="AH3" s="1077"/>
      <c r="AI3" s="1078"/>
      <c r="AJ3" s="1058"/>
      <c r="AK3" s="1058"/>
      <c r="AL3" s="1058"/>
      <c r="AM3" s="1058"/>
      <c r="AN3" s="1058"/>
      <c r="AO3" s="1058"/>
      <c r="AP3" s="1058"/>
      <c r="AQ3" s="1058"/>
      <c r="AR3" s="1039"/>
      <c r="AT3" s="1079">
        <v>1</v>
      </c>
      <c r="AU3" s="167" t="s">
        <v>626</v>
      </c>
      <c r="AV3" s="167" t="s">
        <v>251</v>
      </c>
      <c r="AW3" s="1080">
        <f>VLOOKUP(AV3,'5 Tm Rd 1'!AV$3:AY$14,4,FALSE)</f>
        <v>1192.0777643975948</v>
      </c>
      <c r="AX3" s="1081">
        <f>VLOOKUP(AU3,AT$79:AU$83,2,FALSE)</f>
        <v>1235.0933022219344</v>
      </c>
      <c r="AY3" s="1082">
        <f>IF(ISNA(VLOOKUP(AU3,AT$96:AU$148,2,FALSE)),AX3,VLOOKUP(AU3,AT$96:AU$148,2,FALSE))</f>
        <v>1235.0933022219344</v>
      </c>
    </row>
    <row r="4" spans="1:53" ht="24" customHeight="1" thickBot="1" x14ac:dyDescent="0.25">
      <c r="A4" s="1083" t="s">
        <v>18</v>
      </c>
      <c r="B4" s="1084"/>
      <c r="C4" s="1084"/>
      <c r="D4" s="1085"/>
      <c r="E4" s="1086"/>
      <c r="F4" s="1087"/>
      <c r="G4" s="1087"/>
      <c r="H4" s="1087"/>
      <c r="I4" s="1087"/>
      <c r="J4" s="1087"/>
      <c r="K4" s="1087"/>
      <c r="L4" s="1087"/>
      <c r="M4" s="1088"/>
      <c r="N4" s="1083" t="s">
        <v>19</v>
      </c>
      <c r="O4" s="1084"/>
      <c r="P4" s="1084"/>
      <c r="Q4" s="1085"/>
      <c r="R4" s="1089"/>
      <c r="S4" s="1056"/>
      <c r="T4" s="1056"/>
      <c r="U4" s="1056"/>
      <c r="V4" s="1056"/>
      <c r="W4" s="1056"/>
      <c r="X4" s="1056"/>
      <c r="Y4" s="1056"/>
      <c r="Z4" s="1056"/>
      <c r="AA4" s="1057"/>
      <c r="AB4" s="1083" t="s">
        <v>20</v>
      </c>
      <c r="AC4" s="1084"/>
      <c r="AD4" s="1084"/>
      <c r="AE4" s="1085"/>
      <c r="AF4" s="1089"/>
      <c r="AG4" s="1056"/>
      <c r="AH4" s="1056"/>
      <c r="AI4" s="1057"/>
      <c r="AJ4" s="1058"/>
      <c r="AK4" s="1058"/>
      <c r="AL4" s="1058"/>
      <c r="AM4" s="1058"/>
      <c r="AN4" s="1058"/>
      <c r="AO4" s="1058"/>
      <c r="AP4" s="1058"/>
      <c r="AQ4" s="1058"/>
      <c r="AR4" s="1039"/>
      <c r="AT4" s="1090">
        <v>2</v>
      </c>
      <c r="AU4" s="167" t="s">
        <v>566</v>
      </c>
      <c r="AV4" s="167" t="s">
        <v>565</v>
      </c>
      <c r="AW4" s="1080">
        <f>VLOOKUP(AV4,'5 Tm Rd 1'!AV$3:AY$14,4,FALSE)</f>
        <v>1216.9982652053041</v>
      </c>
      <c r="AX4" s="1091">
        <f>VLOOKUP(AU4,AT$79:AU$83,2,FALSE)</f>
        <v>1158.6168950584097</v>
      </c>
      <c r="AY4" s="1092">
        <f>IF(ISNA(VLOOKUP(AU4,AT$96:AU$148,2,FALSE)),AX4,VLOOKUP(AU4,AT$96:AU$148,2,FALSE))</f>
        <v>1158.6168950584097</v>
      </c>
    </row>
    <row r="5" spans="1:53" ht="15.75" thickBot="1" x14ac:dyDescent="0.25">
      <c r="A5" s="1037" t="s">
        <v>21</v>
      </c>
      <c r="B5" s="1093" t="s">
        <v>21</v>
      </c>
      <c r="C5" s="1094"/>
      <c r="D5" s="1094"/>
      <c r="E5" s="1094"/>
      <c r="F5" s="1094"/>
      <c r="G5" s="1094"/>
      <c r="H5" s="1094"/>
      <c r="I5" s="1094"/>
      <c r="J5" s="1094"/>
      <c r="K5" s="1095" t="s">
        <v>21</v>
      </c>
      <c r="L5" s="1095"/>
      <c r="M5" s="1095"/>
      <c r="N5" s="1095"/>
      <c r="O5" s="1095"/>
      <c r="P5" s="1095"/>
      <c r="Q5" s="1095"/>
      <c r="R5" s="1095"/>
      <c r="S5" s="1095"/>
      <c r="T5" s="1095"/>
      <c r="U5" s="1095"/>
      <c r="V5" s="1095"/>
      <c r="W5" s="1095"/>
      <c r="X5" s="1095"/>
      <c r="Y5" s="1095"/>
      <c r="Z5" s="1095"/>
      <c r="AA5" s="1095"/>
      <c r="AB5" s="1095"/>
      <c r="AC5" s="1095"/>
      <c r="AD5" s="1095"/>
      <c r="AE5" s="1095"/>
      <c r="AF5" s="1037"/>
      <c r="AG5" s="1037"/>
      <c r="AH5" s="1037"/>
      <c r="AI5" s="1037"/>
      <c r="AJ5" s="1037"/>
      <c r="AK5" s="1037"/>
      <c r="AL5" s="1037"/>
      <c r="AM5" s="1037"/>
      <c r="AN5" s="1037"/>
      <c r="AO5" s="1037"/>
      <c r="AP5" s="1037"/>
      <c r="AQ5" s="1037"/>
      <c r="AR5" s="1039"/>
      <c r="AT5" s="1090">
        <v>3</v>
      </c>
      <c r="AU5" s="167" t="s">
        <v>615</v>
      </c>
      <c r="AV5" s="167" t="s">
        <v>614</v>
      </c>
      <c r="AW5" s="1080">
        <f>VLOOKUP(AV5,'5 Tm Rd 1'!AV$3:AY$14,4,FALSE)</f>
        <v>1157.3958897894904</v>
      </c>
      <c r="AX5" s="1091">
        <f>VLOOKUP(AU5,AT$79:AU$83,2,FALSE)</f>
        <v>1184.5649349646574</v>
      </c>
      <c r="AY5" s="1092">
        <f>IF(ISNA(VLOOKUP(AU5,AT$96:AU$148,2,FALSE)),AX5,VLOOKUP(AU5,AT$96:AU$148,2,FALSE))</f>
        <v>1184.5649349646574</v>
      </c>
    </row>
    <row r="6" spans="1:53" ht="24" customHeight="1" thickBot="1" x14ac:dyDescent="0.25">
      <c r="A6" s="1096" t="s">
        <v>22</v>
      </c>
      <c r="B6" s="1097" t="s">
        <v>23</v>
      </c>
      <c r="C6" s="1098" t="s">
        <v>24</v>
      </c>
      <c r="D6" s="1099"/>
      <c r="E6" s="1099"/>
      <c r="F6" s="1099"/>
      <c r="G6" s="1099"/>
      <c r="H6" s="1100"/>
      <c r="I6" s="1101">
        <v>1</v>
      </c>
      <c r="J6" s="1102"/>
      <c r="K6" s="1103" t="str">
        <f>"Pool "&amp;B6&amp;" - Round 1 - Court "&amp;I6</f>
        <v>Pool A - Round 1 - Court 1</v>
      </c>
      <c r="L6" s="1104"/>
      <c r="M6" s="1104"/>
      <c r="N6" s="1104"/>
      <c r="O6" s="1104"/>
      <c r="P6" s="1104"/>
      <c r="Q6" s="1104"/>
      <c r="R6" s="1104"/>
      <c r="S6" s="1104"/>
      <c r="T6" s="1104"/>
      <c r="U6" s="1104"/>
      <c r="V6" s="1104"/>
      <c r="W6" s="1104"/>
      <c r="X6" s="1104"/>
      <c r="Y6" s="1104"/>
      <c r="Z6" s="1104"/>
      <c r="AA6" s="1104"/>
      <c r="AB6" s="1104"/>
      <c r="AC6" s="1104"/>
      <c r="AD6" s="1104"/>
      <c r="AE6" s="1104"/>
      <c r="AF6" s="1104"/>
      <c r="AG6" s="1104"/>
      <c r="AH6" s="1104"/>
      <c r="AI6" s="1105"/>
      <c r="AJ6" s="1058"/>
      <c r="AK6" s="1058"/>
      <c r="AL6" s="1058"/>
      <c r="AM6" s="1058"/>
      <c r="AN6" s="1058"/>
      <c r="AO6" s="1058"/>
      <c r="AP6" s="1058"/>
      <c r="AQ6" s="1058"/>
      <c r="AT6" s="1090">
        <v>4</v>
      </c>
      <c r="AU6" s="167" t="s">
        <v>568</v>
      </c>
      <c r="AV6" s="167" t="s">
        <v>567</v>
      </c>
      <c r="AW6" s="1080">
        <f>VLOOKUP(AV6,'5 Tm Rd 1'!AV$3:AY$14,4,FALSE)</f>
        <v>1190.9295575057661</v>
      </c>
      <c r="AX6" s="1091">
        <f>VLOOKUP(AU6,AT$79:AU$83,2,FALSE)</f>
        <v>1193.2734220466778</v>
      </c>
      <c r="AY6" s="1092">
        <f>IF(ISNA(VLOOKUP(AU6,AT$96:AU$148,2,FALSE)),AX6,VLOOKUP(AU6,AT$96:AU$148,2,FALSE))</f>
        <v>1193.2734220466778</v>
      </c>
    </row>
    <row r="7" spans="1:53" ht="27" customHeight="1" thickBot="1" x14ac:dyDescent="0.25">
      <c r="A7" s="1106" t="s">
        <v>25</v>
      </c>
      <c r="B7" s="1107" t="s">
        <v>7</v>
      </c>
      <c r="C7" s="1108"/>
      <c r="D7" s="1108"/>
      <c r="E7" s="1108"/>
      <c r="F7" s="1108"/>
      <c r="G7" s="1108"/>
      <c r="H7" s="1108"/>
      <c r="I7" s="1108"/>
      <c r="J7" s="1108"/>
      <c r="K7" s="1108"/>
      <c r="L7" s="1107" t="str">
        <f>IF($AK10=0,"Games Won","Matches Won")</f>
        <v>Games Won</v>
      </c>
      <c r="M7" s="1108"/>
      <c r="N7" s="1108"/>
      <c r="O7" s="1108"/>
      <c r="P7" s="1108"/>
      <c r="Q7" s="1109"/>
      <c r="R7" s="1107" t="str">
        <f>IF($AK10=0,"Games Lost","Matches Lost")</f>
        <v>Games Lost</v>
      </c>
      <c r="S7" s="1110"/>
      <c r="T7" s="1110"/>
      <c r="U7" s="1110"/>
      <c r="V7" s="1111"/>
      <c r="W7" s="1112" t="s">
        <v>26</v>
      </c>
      <c r="X7" s="1113"/>
      <c r="Y7" s="1114"/>
      <c r="Z7" s="1112" t="s">
        <v>27</v>
      </c>
      <c r="AA7" s="1113"/>
      <c r="AB7" s="1114"/>
      <c r="AC7" s="1115" t="s">
        <v>28</v>
      </c>
      <c r="AD7" s="1116"/>
      <c r="AE7" s="1117"/>
      <c r="AF7" s="1118" t="s">
        <v>29</v>
      </c>
      <c r="AG7" s="1119" t="s">
        <v>6</v>
      </c>
      <c r="AH7" s="1120" t="s">
        <v>30</v>
      </c>
      <c r="AI7" s="1121"/>
      <c r="AJ7" s="1122"/>
      <c r="AK7" s="1123">
        <v>2</v>
      </c>
      <c r="AL7" s="1124" t="s">
        <v>31</v>
      </c>
      <c r="AM7" s="1124"/>
      <c r="AN7" s="1124"/>
      <c r="AO7" s="1124"/>
      <c r="AP7" s="1124"/>
      <c r="AQ7" s="1124"/>
      <c r="AR7" s="1125"/>
      <c r="AT7" s="1126">
        <v>5</v>
      </c>
      <c r="AU7" s="167" t="s">
        <v>632</v>
      </c>
      <c r="AV7" s="167" t="s">
        <v>631</v>
      </c>
      <c r="AW7" s="1080">
        <f>VLOOKUP(AV7,'5 Tm Rd 1'!AV$3:AY$14,4,FALSE)</f>
        <v>1119.6481618996331</v>
      </c>
      <c r="AX7" s="1127">
        <f>VLOOKUP(AU7,AT$79:AU$83,2,FALSE)</f>
        <v>1105.5010845061092</v>
      </c>
      <c r="AY7" s="1128">
        <f>IF(ISNA(VLOOKUP(AU7,AT$96:AU$148,2,FALSE)),AX7,VLOOKUP(AU7,AT$96:AU$148,2,FALSE))</f>
        <v>1105.5010845061092</v>
      </c>
    </row>
    <row r="8" spans="1:53" ht="18.75" customHeight="1" x14ac:dyDescent="0.2">
      <c r="A8" s="1129" t="str">
        <f>IF($AK9&gt;0,"1","")</f>
        <v>1</v>
      </c>
      <c r="B8" s="1130" t="s">
        <v>7</v>
      </c>
      <c r="C8" s="1131"/>
      <c r="D8" s="1132"/>
      <c r="E8" s="1133" t="str">
        <f>AU3</f>
        <v>SC Midlands KP White</v>
      </c>
      <c r="F8" s="1134"/>
      <c r="G8" s="1134"/>
      <c r="H8" s="1134"/>
      <c r="I8" s="1134"/>
      <c r="J8" s="1134"/>
      <c r="K8" s="1135"/>
      <c r="L8" s="1136">
        <f>IF($AK10=0,AF64,AF46)</f>
        <v>4</v>
      </c>
      <c r="M8" s="1137"/>
      <c r="N8" s="1137"/>
      <c r="O8" s="1137"/>
      <c r="P8" s="1137"/>
      <c r="Q8" s="1109"/>
      <c r="R8" s="1136">
        <f>IF($AK10=0,AG64,AG46)</f>
        <v>1</v>
      </c>
      <c r="S8" s="1137"/>
      <c r="T8" s="1137"/>
      <c r="U8" s="1137"/>
      <c r="V8" s="1137"/>
      <c r="W8" s="1136">
        <f>AQ24</f>
        <v>32</v>
      </c>
      <c r="X8" s="1137"/>
      <c r="Y8" s="1137"/>
      <c r="Z8" s="1138">
        <f>IF(AF58&gt;0,(AQ24/AF58),0)</f>
        <v>0.34042553191489361</v>
      </c>
      <c r="AA8" s="1139"/>
      <c r="AB8" s="1139"/>
      <c r="AC8" s="1140">
        <f>IF(AF72=0,0,(AF64/AF72))</f>
        <v>0.8</v>
      </c>
      <c r="AD8" s="1141"/>
      <c r="AE8" s="1142"/>
      <c r="AF8" s="1143">
        <v>1</v>
      </c>
      <c r="AG8" s="1143"/>
      <c r="AH8" s="1144"/>
      <c r="AI8" s="1145"/>
      <c r="AJ8" s="1122"/>
      <c r="AK8" s="1123">
        <v>7</v>
      </c>
      <c r="AL8" s="1124" t="s">
        <v>32</v>
      </c>
      <c r="AM8" s="1124"/>
      <c r="AN8" s="1124"/>
      <c r="AO8" s="1124"/>
      <c r="AP8" s="1124"/>
      <c r="AQ8" s="1124"/>
      <c r="AR8" s="1125"/>
      <c r="AT8" s="1146" t="s">
        <v>37</v>
      </c>
      <c r="AU8" s="1147"/>
      <c r="AV8" s="1147"/>
      <c r="AW8" s="1147"/>
      <c r="AX8" s="1147"/>
      <c r="AY8" s="1148"/>
    </row>
    <row r="9" spans="1:53" ht="18.75" customHeight="1" thickBot="1" x14ac:dyDescent="0.25">
      <c r="A9" s="1149"/>
      <c r="B9" s="1150" t="s">
        <v>8</v>
      </c>
      <c r="C9" s="1151"/>
      <c r="D9" s="1152"/>
      <c r="E9" s="1153" t="str">
        <f>AV3</f>
        <v>fj2scmid2pm</v>
      </c>
      <c r="F9" s="1154"/>
      <c r="G9" s="1154"/>
      <c r="H9" s="1154"/>
      <c r="I9" s="1154"/>
      <c r="J9" s="1154"/>
      <c r="K9" s="1154"/>
      <c r="L9" s="1155"/>
      <c r="M9" s="1156"/>
      <c r="N9" s="1156"/>
      <c r="O9" s="1156"/>
      <c r="P9" s="1156"/>
      <c r="Q9" s="1109"/>
      <c r="R9" s="1155"/>
      <c r="S9" s="1156"/>
      <c r="T9" s="1156"/>
      <c r="U9" s="1156"/>
      <c r="V9" s="1156"/>
      <c r="W9" s="1155"/>
      <c r="X9" s="1156"/>
      <c r="Y9" s="1156"/>
      <c r="Z9" s="1157"/>
      <c r="AA9" s="1158"/>
      <c r="AB9" s="1158"/>
      <c r="AC9" s="1159"/>
      <c r="AD9" s="1160"/>
      <c r="AE9" s="1161"/>
      <c r="AF9" s="1162"/>
      <c r="AG9" s="1162"/>
      <c r="AH9" s="1163"/>
      <c r="AI9" s="1164"/>
      <c r="AJ9" s="1122"/>
      <c r="AK9" s="1123">
        <v>5</v>
      </c>
      <c r="AL9" s="1124" t="s">
        <v>33</v>
      </c>
      <c r="AM9" s="1122"/>
      <c r="AN9" s="1122"/>
      <c r="AO9" s="1122"/>
      <c r="AP9" s="1122"/>
      <c r="AQ9" s="1122"/>
      <c r="AR9" s="1039"/>
      <c r="AT9" s="1165"/>
      <c r="AU9" s="1166"/>
      <c r="AV9" s="1166"/>
      <c r="AW9" s="1166"/>
      <c r="AX9" s="1166"/>
      <c r="AY9" s="1167"/>
    </row>
    <row r="10" spans="1:53" ht="18.75" customHeight="1" thickBot="1" x14ac:dyDescent="0.25">
      <c r="A10" s="1129" t="str">
        <f>IF($AK9&gt;1,"2","")</f>
        <v>2</v>
      </c>
      <c r="B10" s="1130" t="s">
        <v>7</v>
      </c>
      <c r="C10" s="1131"/>
      <c r="D10" s="1132"/>
      <c r="E10" s="1133" t="str">
        <f>AU4</f>
        <v>SC Midlands KP Garnet</v>
      </c>
      <c r="F10" s="1134"/>
      <c r="G10" s="1134"/>
      <c r="H10" s="1134"/>
      <c r="I10" s="1134"/>
      <c r="J10" s="1134"/>
      <c r="K10" s="1135"/>
      <c r="L10" s="1136">
        <f>IF($AK10=0,AF65,AF47)</f>
        <v>1</v>
      </c>
      <c r="M10" s="1137"/>
      <c r="N10" s="1137"/>
      <c r="O10" s="1137"/>
      <c r="P10" s="1137"/>
      <c r="Q10" s="1109"/>
      <c r="R10" s="1136">
        <f>IF($AK10=0,AG65,AG47)</f>
        <v>4</v>
      </c>
      <c r="S10" s="1137"/>
      <c r="T10" s="1137"/>
      <c r="U10" s="1137"/>
      <c r="V10" s="1137"/>
      <c r="W10" s="1136">
        <f>AQ25</f>
        <v>-25</v>
      </c>
      <c r="X10" s="1137"/>
      <c r="Y10" s="1137"/>
      <c r="Z10" s="1138">
        <f>IF(AF59&gt;0,(AQ25/AF59),0)</f>
        <v>-0.27472527472527475</v>
      </c>
      <c r="AA10" s="1139"/>
      <c r="AB10" s="1139"/>
      <c r="AC10" s="1140">
        <f>IF(AF73=0,0,(AF65/AF73))</f>
        <v>0.2</v>
      </c>
      <c r="AD10" s="1141"/>
      <c r="AE10" s="1142"/>
      <c r="AF10" s="1143">
        <v>4</v>
      </c>
      <c r="AG10" s="1143"/>
      <c r="AH10" s="1144"/>
      <c r="AI10" s="1145"/>
      <c r="AJ10" s="1122"/>
      <c r="AK10" s="1123">
        <v>0</v>
      </c>
      <c r="AL10" s="1124" t="s">
        <v>34</v>
      </c>
      <c r="AM10" s="1124"/>
      <c r="AN10" s="1124"/>
      <c r="AO10" s="1124"/>
      <c r="AP10" s="1124"/>
      <c r="AQ10" s="1124"/>
      <c r="AR10" s="1125"/>
    </row>
    <row r="11" spans="1:53" ht="18.75" customHeight="1" thickBot="1" x14ac:dyDescent="0.25">
      <c r="A11" s="1149"/>
      <c r="B11" s="1168" t="s">
        <v>8</v>
      </c>
      <c r="C11" s="1169"/>
      <c r="D11" s="1169"/>
      <c r="E11" s="1153" t="str">
        <f>AV4</f>
        <v>fj1scmid2pm</v>
      </c>
      <c r="F11" s="1154"/>
      <c r="G11" s="1154"/>
      <c r="H11" s="1154"/>
      <c r="I11" s="1154"/>
      <c r="J11" s="1154"/>
      <c r="K11" s="1154"/>
      <c r="L11" s="1155"/>
      <c r="M11" s="1156"/>
      <c r="N11" s="1156"/>
      <c r="O11" s="1156"/>
      <c r="P11" s="1156"/>
      <c r="Q11" s="1109"/>
      <c r="R11" s="1155"/>
      <c r="S11" s="1156"/>
      <c r="T11" s="1156"/>
      <c r="U11" s="1156"/>
      <c r="V11" s="1156"/>
      <c r="W11" s="1155"/>
      <c r="X11" s="1156"/>
      <c r="Y11" s="1156"/>
      <c r="Z11" s="1157"/>
      <c r="AA11" s="1158"/>
      <c r="AB11" s="1158"/>
      <c r="AC11" s="1159"/>
      <c r="AD11" s="1160"/>
      <c r="AE11" s="1161"/>
      <c r="AF11" s="1162"/>
      <c r="AG11" s="1162"/>
      <c r="AH11" s="1163"/>
      <c r="AI11" s="1164"/>
      <c r="AJ11" s="1122"/>
      <c r="AK11" s="1123">
        <v>1</v>
      </c>
      <c r="AL11" s="1124" t="s">
        <v>35</v>
      </c>
      <c r="AM11" s="1122"/>
      <c r="AN11" s="1122"/>
      <c r="AO11" s="1122"/>
      <c r="AP11" s="1122"/>
      <c r="AQ11" s="1122"/>
      <c r="AR11" s="1039"/>
      <c r="AT11" s="1170"/>
      <c r="AU11" s="167"/>
      <c r="AV11" s="167"/>
    </row>
    <row r="12" spans="1:53" ht="18.75" customHeight="1" thickBot="1" x14ac:dyDescent="0.25">
      <c r="A12" s="1129" t="str">
        <f>IF($AK9&gt;2,"3","")</f>
        <v>3</v>
      </c>
      <c r="B12" s="1171" t="s">
        <v>7</v>
      </c>
      <c r="C12" s="1172"/>
      <c r="D12" s="1172"/>
      <c r="E12" s="1133" t="str">
        <f>AU5</f>
        <v>Foothills Vanessa</v>
      </c>
      <c r="F12" s="1134"/>
      <c r="G12" s="1134"/>
      <c r="H12" s="1134"/>
      <c r="I12" s="1134"/>
      <c r="J12" s="1134"/>
      <c r="K12" s="1135"/>
      <c r="L12" s="1136">
        <f>IF($AK10=0,AF66,AF48)</f>
        <v>3</v>
      </c>
      <c r="M12" s="1137"/>
      <c r="N12" s="1137"/>
      <c r="O12" s="1137"/>
      <c r="P12" s="1137"/>
      <c r="Q12" s="1109"/>
      <c r="R12" s="1136">
        <f>IF($AK10=0,AG66,AG48)</f>
        <v>2</v>
      </c>
      <c r="S12" s="1137"/>
      <c r="T12" s="1137"/>
      <c r="U12" s="1137"/>
      <c r="V12" s="1137"/>
      <c r="W12" s="1136">
        <f>AQ26</f>
        <v>-2</v>
      </c>
      <c r="X12" s="1137"/>
      <c r="Y12" s="1137"/>
      <c r="Z12" s="1138">
        <f>IF(AF60&gt;0,(AQ26/AF60),0)</f>
        <v>-2.1052631578947368E-2</v>
      </c>
      <c r="AA12" s="1139"/>
      <c r="AB12" s="1139"/>
      <c r="AC12" s="1140">
        <f>IF(AF74=0,0,(AF66/AF74))</f>
        <v>0.6</v>
      </c>
      <c r="AD12" s="1141"/>
      <c r="AE12" s="1142"/>
      <c r="AF12" s="1143">
        <v>3</v>
      </c>
      <c r="AG12" s="1143"/>
      <c r="AH12" s="1144"/>
      <c r="AI12" s="1145"/>
      <c r="AJ12" s="1173"/>
      <c r="AK12" s="1123">
        <v>8</v>
      </c>
      <c r="AL12" s="1174" t="s">
        <v>36</v>
      </c>
      <c r="AM12" s="1124"/>
      <c r="AN12" s="1124"/>
      <c r="AO12" s="1124"/>
      <c r="AP12" s="1124"/>
      <c r="AQ12" s="1124"/>
      <c r="AR12" s="1125"/>
      <c r="AT12" s="1170"/>
      <c r="AU12" s="167"/>
      <c r="AV12" s="167"/>
    </row>
    <row r="13" spans="1:53" ht="18.75" customHeight="1" thickBot="1" x14ac:dyDescent="0.25">
      <c r="A13" s="1149"/>
      <c r="B13" s="1168" t="s">
        <v>8</v>
      </c>
      <c r="C13" s="1169"/>
      <c r="D13" s="1169"/>
      <c r="E13" s="1153" t="str">
        <f>AV5</f>
        <v>fj2footh2pm</v>
      </c>
      <c r="F13" s="1154"/>
      <c r="G13" s="1154"/>
      <c r="H13" s="1154"/>
      <c r="I13" s="1154"/>
      <c r="J13" s="1154"/>
      <c r="K13" s="1154"/>
      <c r="L13" s="1155"/>
      <c r="M13" s="1156"/>
      <c r="N13" s="1156"/>
      <c r="O13" s="1156"/>
      <c r="P13" s="1156"/>
      <c r="Q13" s="1109"/>
      <c r="R13" s="1155"/>
      <c r="S13" s="1156"/>
      <c r="T13" s="1156"/>
      <c r="U13" s="1156"/>
      <c r="V13" s="1156"/>
      <c r="W13" s="1155"/>
      <c r="X13" s="1156"/>
      <c r="Y13" s="1156"/>
      <c r="Z13" s="1157"/>
      <c r="AA13" s="1158"/>
      <c r="AB13" s="1158"/>
      <c r="AC13" s="1159"/>
      <c r="AD13" s="1160"/>
      <c r="AE13" s="1161"/>
      <c r="AF13" s="1162"/>
      <c r="AG13" s="1162"/>
      <c r="AH13" s="1163"/>
      <c r="AI13" s="1164"/>
      <c r="AJ13" s="1173"/>
      <c r="AK13" s="1175"/>
      <c r="AL13" s="1176"/>
      <c r="AM13" s="1176"/>
      <c r="AN13" s="1176"/>
      <c r="AO13" s="1176"/>
      <c r="AP13" s="1176"/>
      <c r="AQ13" s="1122"/>
      <c r="AR13" s="1039"/>
      <c r="AT13" s="1170"/>
      <c r="AU13" s="167"/>
      <c r="AV13" s="167"/>
    </row>
    <row r="14" spans="1:53" ht="18.75" customHeight="1" thickBot="1" x14ac:dyDescent="0.25">
      <c r="A14" s="1129" t="str">
        <f>IF($AK9&gt;3,"4","")</f>
        <v>4</v>
      </c>
      <c r="B14" s="1171" t="s">
        <v>7</v>
      </c>
      <c r="C14" s="1172"/>
      <c r="D14" s="1172"/>
      <c r="E14" s="1133" t="str">
        <f>AU6</f>
        <v>SC Midlands KP Silver</v>
      </c>
      <c r="F14" s="1134"/>
      <c r="G14" s="1134"/>
      <c r="H14" s="1134"/>
      <c r="I14" s="1134"/>
      <c r="J14" s="1134"/>
      <c r="K14" s="1135"/>
      <c r="L14" s="1136">
        <f>IF($AK10=0,AF67,AF49)</f>
        <v>3</v>
      </c>
      <c r="M14" s="1137"/>
      <c r="N14" s="1137"/>
      <c r="O14" s="1137"/>
      <c r="P14" s="1137"/>
      <c r="Q14" s="1109"/>
      <c r="R14" s="1136">
        <f>IF($AK10=0,AG67,AG49)</f>
        <v>2</v>
      </c>
      <c r="S14" s="1137"/>
      <c r="T14" s="1137"/>
      <c r="U14" s="1137"/>
      <c r="V14" s="1137"/>
      <c r="W14" s="1136">
        <f>AQ27</f>
        <v>21</v>
      </c>
      <c r="X14" s="1137"/>
      <c r="Y14" s="1137"/>
      <c r="Z14" s="1138">
        <f>IF(AF61&gt;0,(AQ27/AF61),0)</f>
        <v>0.21875</v>
      </c>
      <c r="AA14" s="1139"/>
      <c r="AB14" s="1139"/>
      <c r="AC14" s="1140">
        <f>IF(AF75=0,0,(AF67/AF75))</f>
        <v>0.6</v>
      </c>
      <c r="AD14" s="1141"/>
      <c r="AE14" s="1142"/>
      <c r="AF14" s="1143">
        <v>2</v>
      </c>
      <c r="AG14" s="1143"/>
      <c r="AH14" s="1144"/>
      <c r="AI14" s="1145"/>
      <c r="AJ14" s="1058"/>
      <c r="AK14" s="1176"/>
      <c r="AL14" s="1176"/>
      <c r="AM14" s="1176"/>
      <c r="AN14" s="1176"/>
      <c r="AO14" s="1176"/>
      <c r="AP14" s="1176"/>
      <c r="AQ14" s="1124"/>
      <c r="AR14" s="1125"/>
      <c r="AT14" s="1170"/>
      <c r="AU14" s="167"/>
      <c r="AV14" s="167"/>
    </row>
    <row r="15" spans="1:53" ht="18.75" customHeight="1" thickBot="1" x14ac:dyDescent="0.25">
      <c r="A15" s="1149"/>
      <c r="B15" s="1168" t="s">
        <v>8</v>
      </c>
      <c r="C15" s="1169"/>
      <c r="D15" s="1169"/>
      <c r="E15" s="1153" t="str">
        <f>AV6</f>
        <v>fj1scmid4pm</v>
      </c>
      <c r="F15" s="1154"/>
      <c r="G15" s="1154"/>
      <c r="H15" s="1154"/>
      <c r="I15" s="1154"/>
      <c r="J15" s="1154"/>
      <c r="K15" s="1154"/>
      <c r="L15" s="1155"/>
      <c r="M15" s="1156"/>
      <c r="N15" s="1156"/>
      <c r="O15" s="1156"/>
      <c r="P15" s="1156"/>
      <c r="Q15" s="1109"/>
      <c r="R15" s="1155"/>
      <c r="S15" s="1156"/>
      <c r="T15" s="1156"/>
      <c r="U15" s="1156"/>
      <c r="V15" s="1156"/>
      <c r="W15" s="1155"/>
      <c r="X15" s="1156"/>
      <c r="Y15" s="1156"/>
      <c r="Z15" s="1157"/>
      <c r="AA15" s="1158"/>
      <c r="AB15" s="1158"/>
      <c r="AC15" s="1159"/>
      <c r="AD15" s="1160"/>
      <c r="AE15" s="1161"/>
      <c r="AF15" s="1162"/>
      <c r="AG15" s="1162"/>
      <c r="AH15" s="1163"/>
      <c r="AI15" s="1164"/>
      <c r="AJ15" s="1058"/>
      <c r="AK15" s="1176"/>
      <c r="AL15" s="1176"/>
      <c r="AM15" s="1176"/>
      <c r="AN15" s="1176"/>
      <c r="AO15" s="1176"/>
      <c r="AP15" s="1176"/>
      <c r="AQ15" s="1058"/>
      <c r="AR15" s="1039"/>
      <c r="AT15" s="1170"/>
      <c r="AU15" s="167"/>
      <c r="AV15" s="167"/>
    </row>
    <row r="16" spans="1:53" ht="18.75" customHeight="1" thickBot="1" x14ac:dyDescent="0.25">
      <c r="A16" s="1129" t="str">
        <f>IF($AK9&gt;4,"5","")</f>
        <v>5</v>
      </c>
      <c r="B16" s="1171" t="s">
        <v>7</v>
      </c>
      <c r="C16" s="1172"/>
      <c r="D16" s="1172"/>
      <c r="E16" s="1133" t="str">
        <f>AU7</f>
        <v>Columbia SC Starlings 12</v>
      </c>
      <c r="F16" s="1134"/>
      <c r="G16" s="1134"/>
      <c r="H16" s="1134"/>
      <c r="I16" s="1134"/>
      <c r="J16" s="1134"/>
      <c r="K16" s="1135"/>
      <c r="L16" s="1136">
        <f>IF($AK10=0,AF68,AF50)</f>
        <v>1</v>
      </c>
      <c r="M16" s="1137"/>
      <c r="N16" s="1137"/>
      <c r="O16" s="1137"/>
      <c r="P16" s="1137"/>
      <c r="Q16" s="1109"/>
      <c r="R16" s="1136">
        <f>IF($AK10=0,AG68,AG50)</f>
        <v>3</v>
      </c>
      <c r="S16" s="1137"/>
      <c r="T16" s="1137"/>
      <c r="U16" s="1137"/>
      <c r="V16" s="1137"/>
      <c r="W16" s="1136">
        <f>AQ28</f>
        <v>-26</v>
      </c>
      <c r="X16" s="1137"/>
      <c r="Y16" s="1137"/>
      <c r="Z16" s="1138">
        <f>IF(AF62&gt;0,(AQ28/AF62),0)</f>
        <v>-0.34210526315789475</v>
      </c>
      <c r="AA16" s="1139"/>
      <c r="AB16" s="1139"/>
      <c r="AC16" s="1140">
        <f>IF(AF76=0,0,(AF68/AF76))</f>
        <v>0.25</v>
      </c>
      <c r="AD16" s="1141"/>
      <c r="AE16" s="1142"/>
      <c r="AF16" s="1143">
        <v>5</v>
      </c>
      <c r="AG16" s="1143"/>
      <c r="AH16" s="1144"/>
      <c r="AI16" s="1145"/>
      <c r="AJ16" s="1058"/>
      <c r="AK16" s="1176"/>
      <c r="AL16" s="1176"/>
      <c r="AM16" s="1176"/>
      <c r="AN16" s="1176"/>
      <c r="AO16" s="1176"/>
      <c r="AP16" s="1176"/>
      <c r="AQ16" s="1058"/>
      <c r="AR16" s="1039"/>
      <c r="AT16" s="1170"/>
      <c r="AU16" s="167"/>
      <c r="AV16" s="167"/>
    </row>
    <row r="17" spans="1:48" ht="18.75" customHeight="1" thickBot="1" x14ac:dyDescent="0.25">
      <c r="A17" s="1149"/>
      <c r="B17" s="1177" t="s">
        <v>8</v>
      </c>
      <c r="C17" s="1178"/>
      <c r="D17" s="1178"/>
      <c r="E17" s="1179" t="str">
        <f>AV7</f>
        <v>fj2starl1pm</v>
      </c>
      <c r="F17" s="1180"/>
      <c r="G17" s="1180"/>
      <c r="H17" s="1180"/>
      <c r="I17" s="1180"/>
      <c r="J17" s="1180"/>
      <c r="K17" s="1180"/>
      <c r="L17" s="1181"/>
      <c r="M17" s="1182"/>
      <c r="N17" s="1182"/>
      <c r="O17" s="1182"/>
      <c r="P17" s="1182"/>
      <c r="Q17" s="1109"/>
      <c r="R17" s="1181"/>
      <c r="S17" s="1182"/>
      <c r="T17" s="1182"/>
      <c r="U17" s="1182"/>
      <c r="V17" s="1182"/>
      <c r="W17" s="1181"/>
      <c r="X17" s="1182"/>
      <c r="Y17" s="1182"/>
      <c r="Z17" s="1183"/>
      <c r="AA17" s="1184"/>
      <c r="AB17" s="1184"/>
      <c r="AC17" s="1185"/>
      <c r="AD17" s="1186"/>
      <c r="AE17" s="1187"/>
      <c r="AF17" s="1188"/>
      <c r="AG17" s="1188"/>
      <c r="AH17" s="1189"/>
      <c r="AI17" s="1190"/>
      <c r="AJ17" s="1058"/>
      <c r="AK17" s="1176"/>
      <c r="AL17" s="1176"/>
      <c r="AM17" s="1176"/>
      <c r="AN17" s="1176"/>
      <c r="AO17" s="1176"/>
      <c r="AP17" s="1176"/>
      <c r="AQ17" s="1058"/>
      <c r="AR17" s="1039"/>
      <c r="AT17" s="1191"/>
      <c r="AU17" s="167"/>
      <c r="AV17" s="167"/>
    </row>
    <row r="18" spans="1:48" ht="21" customHeight="1" thickTop="1" thickBot="1" x14ac:dyDescent="0.25">
      <c r="A18" s="1192"/>
      <c r="B18" s="1193" t="s">
        <v>1205</v>
      </c>
      <c r="C18" s="1194"/>
      <c r="D18" s="1194"/>
      <c r="E18" s="1194"/>
      <c r="F18" s="1194"/>
      <c r="G18" s="1194"/>
      <c r="H18" s="1194"/>
      <c r="I18" s="1194"/>
      <c r="J18" s="1194"/>
      <c r="K18" s="1194"/>
      <c r="L18" s="1194"/>
      <c r="M18" s="1194"/>
      <c r="N18" s="1194"/>
      <c r="O18" s="1194"/>
      <c r="P18" s="1194"/>
      <c r="Q18" s="1194"/>
      <c r="R18" s="1194"/>
      <c r="S18" s="1194"/>
      <c r="T18" s="1194"/>
      <c r="U18" s="1194"/>
      <c r="V18" s="1194"/>
      <c r="W18" s="1194"/>
      <c r="X18" s="1194"/>
      <c r="Y18" s="1194"/>
      <c r="Z18" s="1194"/>
      <c r="AA18" s="1194"/>
      <c r="AB18" s="1194"/>
      <c r="AC18" s="1194"/>
      <c r="AD18" s="1194"/>
      <c r="AE18" s="1194"/>
      <c r="AF18" s="1194"/>
      <c r="AG18" s="1194"/>
      <c r="AH18" s="1194"/>
      <c r="AI18" s="1195"/>
      <c r="AJ18" s="1058"/>
      <c r="AK18" s="1176"/>
      <c r="AL18" s="1176"/>
      <c r="AM18" s="1176"/>
      <c r="AN18" s="1176"/>
      <c r="AO18" s="1176"/>
      <c r="AP18" s="1176"/>
      <c r="AQ18" s="1058"/>
      <c r="AR18" s="1039"/>
      <c r="AT18" s="1191"/>
      <c r="AU18" s="167"/>
      <c r="AV18" s="167"/>
    </row>
    <row r="19" spans="1:48" ht="14.25" thickTop="1" thickBot="1" x14ac:dyDescent="0.25">
      <c r="A19" t="s">
        <v>39</v>
      </c>
      <c r="B19" s="1196">
        <v>0.35416666666666669</v>
      </c>
      <c r="C19" s="1197"/>
      <c r="D19" s="1198"/>
      <c r="E19" s="1196">
        <v>0.38541666666666669</v>
      </c>
      <c r="F19" s="1197"/>
      <c r="G19" s="1198"/>
      <c r="H19" s="1196">
        <v>0.41666666666666669</v>
      </c>
      <c r="I19" s="1197"/>
      <c r="J19" s="1198"/>
      <c r="K19" s="1196">
        <v>0.44791666666666669</v>
      </c>
      <c r="L19" s="1197"/>
      <c r="M19" s="1198"/>
      <c r="N19" s="1196">
        <v>0.47916666666666669</v>
      </c>
      <c r="O19" s="1197"/>
      <c r="P19" s="1198"/>
      <c r="Q19" s="1196">
        <v>0.51041666666666663</v>
      </c>
      <c r="R19" s="1197"/>
      <c r="S19" s="1198"/>
      <c r="T19" s="1196">
        <v>4.1666666666666664E-2</v>
      </c>
      <c r="U19" s="1197"/>
      <c r="V19" s="1198"/>
      <c r="W19" s="1196">
        <v>7.2916666666666671E-2</v>
      </c>
      <c r="X19" s="1197"/>
      <c r="Y19" s="1198"/>
      <c r="Z19" s="1196">
        <v>0.10416666666666667</v>
      </c>
      <c r="AA19" s="1197"/>
      <c r="AB19" s="1198"/>
      <c r="AC19" s="1196">
        <v>0.13541666666666666</v>
      </c>
      <c r="AD19" s="1197"/>
      <c r="AE19" s="1198"/>
      <c r="AF19" s="1199" t="s">
        <v>40</v>
      </c>
      <c r="AG19" s="1200"/>
      <c r="AH19" s="1200"/>
      <c r="AI19" s="1200"/>
      <c r="AJ19" s="1201"/>
      <c r="AK19" s="1201"/>
      <c r="AL19" s="1201"/>
      <c r="AM19" s="1201"/>
      <c r="AN19" s="1201"/>
      <c r="AO19" s="1201"/>
      <c r="AP19" s="1201"/>
      <c r="AQ19" s="1202"/>
      <c r="AT19" s="1191"/>
      <c r="AU19" s="167"/>
      <c r="AV19" s="167"/>
    </row>
    <row r="20" spans="1:48" x14ac:dyDescent="0.2">
      <c r="A20" s="1203" t="s">
        <v>41</v>
      </c>
      <c r="B20" s="1204"/>
      <c r="C20" s="1205"/>
      <c r="D20" s="1206"/>
      <c r="E20" s="1204"/>
      <c r="F20" s="1205"/>
      <c r="G20" s="1206"/>
      <c r="H20" s="1204"/>
      <c r="I20" s="1205"/>
      <c r="J20" s="1206"/>
      <c r="K20" s="1204"/>
      <c r="L20" s="1205"/>
      <c r="M20" s="1206"/>
      <c r="N20" s="1204"/>
      <c r="O20" s="1205"/>
      <c r="P20" s="1206"/>
      <c r="Q20" s="1204"/>
      <c r="R20" s="1205"/>
      <c r="S20" s="1206"/>
      <c r="T20" s="1204"/>
      <c r="U20" s="1205"/>
      <c r="V20" s="1206"/>
      <c r="W20" s="1204"/>
      <c r="X20" s="1205"/>
      <c r="Y20" s="1206"/>
      <c r="Z20" s="1204"/>
      <c r="AA20" s="1205"/>
      <c r="AB20" s="1206"/>
      <c r="AC20" s="1204"/>
      <c r="AD20" s="1205"/>
      <c r="AE20" s="1206"/>
      <c r="AF20" s="1199"/>
      <c r="AG20" s="1200"/>
      <c r="AH20" s="1200"/>
      <c r="AI20" s="1200"/>
      <c r="AJ20" s="1200"/>
      <c r="AK20" s="1200"/>
      <c r="AL20" s="1200"/>
      <c r="AM20" s="1200"/>
      <c r="AN20" s="1200"/>
      <c r="AO20" s="1200"/>
      <c r="AP20" s="1200"/>
      <c r="AQ20" s="1207"/>
      <c r="AT20" s="1191"/>
      <c r="AU20" s="1208"/>
      <c r="AV20" s="1208"/>
    </row>
    <row r="21" spans="1:48" x14ac:dyDescent="0.2">
      <c r="A21" s="1203" t="s">
        <v>42</v>
      </c>
      <c r="B21" s="1204"/>
      <c r="C21" s="1205"/>
      <c r="D21" s="1206"/>
      <c r="E21" s="1204"/>
      <c r="F21" s="1205"/>
      <c r="G21" s="1206"/>
      <c r="H21" s="1204"/>
      <c r="I21" s="1205"/>
      <c r="J21" s="1206"/>
      <c r="K21" s="1204"/>
      <c r="L21" s="1205"/>
      <c r="M21" s="1206"/>
      <c r="N21" s="1204"/>
      <c r="O21" s="1205"/>
      <c r="P21" s="1206"/>
      <c r="Q21" s="1204"/>
      <c r="R21" s="1205"/>
      <c r="S21" s="1206"/>
      <c r="T21" s="1204"/>
      <c r="U21" s="1205"/>
      <c r="V21" s="1206"/>
      <c r="W21" s="1204"/>
      <c r="X21" s="1205"/>
      <c r="Y21" s="1206"/>
      <c r="Z21" s="1204"/>
      <c r="AA21" s="1205"/>
      <c r="AB21" s="1206"/>
      <c r="AC21" s="1204"/>
      <c r="AD21" s="1205"/>
      <c r="AE21" s="1206"/>
      <c r="AF21" s="1199"/>
      <c r="AG21" s="1200"/>
      <c r="AH21" s="1200"/>
      <c r="AI21" s="1200"/>
      <c r="AJ21" s="1200"/>
      <c r="AK21" s="1200"/>
      <c r="AL21" s="1200"/>
      <c r="AM21" s="1200"/>
      <c r="AN21" s="1200"/>
      <c r="AO21" s="1200"/>
      <c r="AP21" s="1200"/>
      <c r="AQ21" s="1207"/>
    </row>
    <row r="22" spans="1:48" ht="13.5" thickBot="1" x14ac:dyDescent="0.25">
      <c r="A22" s="1058"/>
      <c r="B22" s="1209" t="s">
        <v>43</v>
      </c>
      <c r="C22" s="1210"/>
      <c r="D22" s="1211"/>
      <c r="E22" s="1209" t="str">
        <f>IF(AK8&gt;1,"Match 2","")</f>
        <v>Match 2</v>
      </c>
      <c r="F22" s="1210"/>
      <c r="G22" s="1211"/>
      <c r="H22" s="1209" t="str">
        <f>IF(AK8&gt;2,"Match 3","")</f>
        <v>Match 3</v>
      </c>
      <c r="I22" s="1210"/>
      <c r="J22" s="1211"/>
      <c r="K22" s="1209" t="str">
        <f>IF(AK8&gt;3,"Match 4","")</f>
        <v>Match 4</v>
      </c>
      <c r="L22" s="1210"/>
      <c r="M22" s="1211"/>
      <c r="N22" s="1209" t="str">
        <f>IF(AK8&gt;4,"Match 5","")</f>
        <v>Match 5</v>
      </c>
      <c r="O22" s="1210"/>
      <c r="P22" s="1211"/>
      <c r="Q22" s="1209" t="str">
        <f>IF(AK8&gt;5,"Match 6","")</f>
        <v>Match 6</v>
      </c>
      <c r="R22" s="1210"/>
      <c r="S22" s="1211"/>
      <c r="T22" s="1209" t="str">
        <f>IF(AK8&gt;6,"Match 7","")</f>
        <v>Match 7</v>
      </c>
      <c r="U22" s="1210"/>
      <c r="V22" s="1211"/>
      <c r="W22" s="1209" t="str">
        <f>IF(AK8&gt;7,"Match 8","")</f>
        <v/>
      </c>
      <c r="X22" s="1210"/>
      <c r="Y22" s="1211"/>
      <c r="Z22" s="1209" t="str">
        <f>IF(AK8&gt;8,"Match 9","")</f>
        <v/>
      </c>
      <c r="AA22" s="1210"/>
      <c r="AB22" s="1211"/>
      <c r="AC22" s="1209" t="str">
        <f>IF(AK8&gt;9,"Match 10","")</f>
        <v/>
      </c>
      <c r="AD22" s="1210"/>
      <c r="AE22" s="1211"/>
      <c r="AF22" s="1212"/>
      <c r="AG22" s="1213"/>
      <c r="AH22" s="1213"/>
      <c r="AI22" s="1213"/>
      <c r="AJ22" s="1213"/>
      <c r="AK22" s="1213"/>
      <c r="AL22" s="1213"/>
      <c r="AM22" s="1213"/>
      <c r="AN22" s="1213"/>
      <c r="AO22" s="1213"/>
      <c r="AP22" s="1213"/>
      <c r="AQ22" s="1214"/>
      <c r="AT22" s="1191"/>
      <c r="AU22" s="1208"/>
      <c r="AV22" s="1208"/>
    </row>
    <row r="23" spans="1:48" ht="15.75" x14ac:dyDescent="0.25">
      <c r="A23" s="1058"/>
      <c r="B23" s="1215" t="s">
        <v>44</v>
      </c>
      <c r="C23" s="1216"/>
      <c r="D23" s="1217"/>
      <c r="E23" s="1215" t="s">
        <v>45</v>
      </c>
      <c r="F23" s="1216"/>
      <c r="G23" s="1217"/>
      <c r="H23" s="1215" t="s">
        <v>46</v>
      </c>
      <c r="I23" s="1216"/>
      <c r="J23" s="1217"/>
      <c r="K23" s="1215" t="s">
        <v>47</v>
      </c>
      <c r="L23" s="1216"/>
      <c r="M23" s="1217"/>
      <c r="N23" s="1215" t="s">
        <v>48</v>
      </c>
      <c r="O23" s="1216"/>
      <c r="P23" s="1217"/>
      <c r="Q23" s="1215" t="s">
        <v>46</v>
      </c>
      <c r="R23" s="1216"/>
      <c r="S23" s="1217"/>
      <c r="T23" s="1215" t="s">
        <v>44</v>
      </c>
      <c r="U23" s="1216"/>
      <c r="V23" s="1217"/>
      <c r="W23" s="1215" t="s">
        <v>48</v>
      </c>
      <c r="X23" s="1216"/>
      <c r="Y23" s="1217"/>
      <c r="Z23" s="1215" t="s">
        <v>47</v>
      </c>
      <c r="AA23" s="1216"/>
      <c r="AB23" s="1217"/>
      <c r="AC23" s="1215" t="s">
        <v>45</v>
      </c>
      <c r="AD23" s="1216"/>
      <c r="AE23" s="1217"/>
      <c r="AF23" s="1218" t="s">
        <v>49</v>
      </c>
      <c r="AG23" s="1219">
        <v>1</v>
      </c>
      <c r="AH23" s="1219">
        <v>2</v>
      </c>
      <c r="AI23" s="1219">
        <v>3</v>
      </c>
      <c r="AJ23" s="1219">
        <v>4</v>
      </c>
      <c r="AK23" s="1219">
        <v>5</v>
      </c>
      <c r="AL23" s="1219">
        <v>6</v>
      </c>
      <c r="AM23" s="1219">
        <v>7</v>
      </c>
      <c r="AN23" s="1219">
        <v>8</v>
      </c>
      <c r="AO23" s="1219">
        <v>9</v>
      </c>
      <c r="AP23" s="1219">
        <v>10</v>
      </c>
      <c r="AQ23" s="1220" t="s">
        <v>50</v>
      </c>
      <c r="AT23" s="1191"/>
      <c r="AU23" s="1208"/>
      <c r="AV23" s="1208"/>
    </row>
    <row r="24" spans="1:48" ht="15.75" x14ac:dyDescent="0.25">
      <c r="A24" s="1058"/>
      <c r="B24" s="1221">
        <v>1</v>
      </c>
      <c r="C24" s="1222" t="s">
        <v>51</v>
      </c>
      <c r="D24" s="1223">
        <v>2</v>
      </c>
      <c r="E24" s="1221">
        <v>3</v>
      </c>
      <c r="F24" s="1222" t="str">
        <f>IF(AK8&gt;1,"v","")</f>
        <v>v</v>
      </c>
      <c r="G24" s="1223">
        <v>4</v>
      </c>
      <c r="H24" s="1221">
        <v>1</v>
      </c>
      <c r="I24" s="1222" t="str">
        <f>IF(AK8&gt;2,"v","")</f>
        <v>v</v>
      </c>
      <c r="J24" s="1223">
        <v>5</v>
      </c>
      <c r="K24" s="1221">
        <v>2</v>
      </c>
      <c r="L24" s="1222" t="str">
        <f>IF(AK8&gt;3,"v","")</f>
        <v>v</v>
      </c>
      <c r="M24" s="1223">
        <v>3</v>
      </c>
      <c r="N24" s="1221">
        <v>4</v>
      </c>
      <c r="O24" s="1222" t="str">
        <f>IF(AK8&gt;4,"v","")</f>
        <v>v</v>
      </c>
      <c r="P24" s="1223">
        <v>5</v>
      </c>
      <c r="Q24" s="1224">
        <v>1</v>
      </c>
      <c r="R24" s="1222" t="str">
        <f>IF(AK8&gt;5,"v","")</f>
        <v>v</v>
      </c>
      <c r="S24" s="1225">
        <v>4</v>
      </c>
      <c r="T24" s="1224">
        <v>3</v>
      </c>
      <c r="U24" s="1222" t="str">
        <f>IF(AK8&gt;6,"v","")</f>
        <v>v</v>
      </c>
      <c r="V24" s="1225">
        <v>2</v>
      </c>
      <c r="W24" s="1221"/>
      <c r="X24" s="1222" t="str">
        <f>IF(AK8&gt;7,"v","")</f>
        <v/>
      </c>
      <c r="Y24" s="1223"/>
      <c r="Z24" s="1221"/>
      <c r="AA24" s="1222" t="str">
        <f>IF(AK8&gt;8,"v","")</f>
        <v/>
      </c>
      <c r="AB24" s="1223"/>
      <c r="AC24" s="1221"/>
      <c r="AD24" s="1222" t="str">
        <f>IF(AK8&gt;9,"v","")</f>
        <v/>
      </c>
      <c r="AE24" s="1223"/>
      <c r="AF24" s="1218" t="str">
        <f>IF(AK9&gt;0,"Team 1","")</f>
        <v>Team 1</v>
      </c>
      <c r="AG24" s="1226">
        <f>IF(AK9&lt;1,"",IF(AK8&lt;1,"",IF(B24=1,B30-D30,IF(D24=1,D30-B30,""))))</f>
        <v>9</v>
      </c>
      <c r="AH24" s="1226" t="str">
        <f>IF(AK9&lt;1,"",IF(AK8&lt;2,"",IF(E24=1,E30-G30,IF(G24=1,G30-E30,""))))</f>
        <v/>
      </c>
      <c r="AI24" s="1226">
        <f>IF(AK9&lt;1,"",IF(AK8&lt;3,"",IF(H24=1,H30-J30,IF(J24=1,J30-H30,""))))</f>
        <v>17</v>
      </c>
      <c r="AJ24" s="1226" t="str">
        <f>IF(AK9&lt;1,"",IF(AK8&lt;4,"",IF(K24=1,K30-M30,IF(M24=1,M30-K30,""))))</f>
        <v/>
      </c>
      <c r="AK24" s="1226" t="str">
        <f>IF(AK9&lt;1,"",IF(AK8&lt;5,"",IF(N24=1,N30-P30,IF(P24=1,P30-N30,""))))</f>
        <v/>
      </c>
      <c r="AL24" s="1226">
        <f>IF(AK9&lt;1,"",IF(AK8&lt;6,"",IF(Q24=1,Q30-S30,IF(S24=1,S30-Q30,""))))</f>
        <v>6</v>
      </c>
      <c r="AM24" s="1226" t="str">
        <f>IF(AK9&lt;1,"",IF(AK8&lt;7,"",IF(T24=1,T30-V30,IF(V24=1,V30-T30,""))))</f>
        <v/>
      </c>
      <c r="AN24" s="1226" t="str">
        <f>IF(AK9&lt;1,"",IF(AK8&lt;8,"",IF(W24=1,W30-Y30,IF(Y24=1,Y30-W30,""))))</f>
        <v/>
      </c>
      <c r="AO24" s="1226" t="str">
        <f>IF(AK9&lt;1,"",IF(AK8&lt;9,"",IF(Z24=1,Z30-AB30,IF(AB24=1,AB30-Z30,""))))</f>
        <v/>
      </c>
      <c r="AP24" s="1226" t="str">
        <f>IF(AK9&lt;1,"",IF(AK8&lt;10,"",IF(AC24=1,AC30-AE30,IF(AE24=1,AE30-AC30,""))))</f>
        <v/>
      </c>
      <c r="AQ24" s="1220">
        <f>SUM(AG24:AP24)</f>
        <v>32</v>
      </c>
      <c r="AT24" s="1191"/>
      <c r="AU24" s="1208"/>
      <c r="AV24" s="1208"/>
    </row>
    <row r="25" spans="1:48" ht="15" x14ac:dyDescent="0.2">
      <c r="A25" t="s">
        <v>52</v>
      </c>
      <c r="B25" s="1227">
        <v>21</v>
      </c>
      <c r="C25" s="1228" t="s">
        <v>53</v>
      </c>
      <c r="D25" s="1229">
        <v>11</v>
      </c>
      <c r="E25" s="1227">
        <v>12</v>
      </c>
      <c r="F25" s="1228" t="str">
        <f>IF(AK8&gt;1,"/","")</f>
        <v>/</v>
      </c>
      <c r="G25" s="1229">
        <v>23</v>
      </c>
      <c r="H25" s="1227">
        <v>21</v>
      </c>
      <c r="I25" s="1228" t="str">
        <f>IF(AK8&gt;2,"/","")</f>
        <v>/</v>
      </c>
      <c r="J25" s="1229">
        <v>9</v>
      </c>
      <c r="K25" s="1227">
        <v>13</v>
      </c>
      <c r="L25" s="1228" t="str">
        <f>IF(AK8&gt;3,"/","")</f>
        <v>/</v>
      </c>
      <c r="M25" s="1229">
        <v>14</v>
      </c>
      <c r="N25" s="1227">
        <v>14</v>
      </c>
      <c r="O25" s="1228" t="str">
        <f>IF(AK8&gt;4,"/","")</f>
        <v>/</v>
      </c>
      <c r="P25" s="1229">
        <v>16</v>
      </c>
      <c r="Q25" s="1227">
        <v>17</v>
      </c>
      <c r="R25" s="1228" t="str">
        <f>IF(AK8&gt;5,"/","")</f>
        <v>/</v>
      </c>
      <c r="S25" s="1229">
        <v>11</v>
      </c>
      <c r="T25" s="1227">
        <v>17</v>
      </c>
      <c r="U25" s="1228" t="str">
        <f>IF(AK8&gt;6,"/","")</f>
        <v>/</v>
      </c>
      <c r="V25" s="1229">
        <v>9</v>
      </c>
      <c r="W25" s="1227"/>
      <c r="X25" s="1228" t="str">
        <f>IF(AK8&gt;7,"/","")</f>
        <v/>
      </c>
      <c r="Y25" s="1229"/>
      <c r="Z25" s="1227"/>
      <c r="AA25" s="1228" t="str">
        <f>IF(AK8&gt;8,"/","")</f>
        <v/>
      </c>
      <c r="AB25" s="1229"/>
      <c r="AC25" s="1227"/>
      <c r="AD25" s="1228" t="str">
        <f>IF(AK8&gt;9,"/","")</f>
        <v/>
      </c>
      <c r="AE25" s="1229"/>
      <c r="AF25" s="1218" t="str">
        <f>IF(AK9&gt;1,"Team 2","")</f>
        <v>Team 2</v>
      </c>
      <c r="AG25" s="1226">
        <f>IF(AK9&lt;2,"",IF(AK8&lt;1,"",IF(B24=2,B30-D30,IF(D24=2,D30-B30,""))))</f>
        <v>-9</v>
      </c>
      <c r="AH25" s="1226" t="str">
        <f>IF(AK9&lt;2,"",IF(AK8&lt;2,"",IF(E24=2,E30-G30,IF(G24=2,G30-E30,""))))</f>
        <v/>
      </c>
      <c r="AI25" s="1226" t="str">
        <f>IF(AK9&lt;2,"",IF(AK8&lt;3,"",IF(H24=2,H30-J30,IF(J24=2,J30-H30,""))))</f>
        <v/>
      </c>
      <c r="AJ25" s="1226">
        <f>IF(AK9&lt;2,"",IF(AK8&lt;4,"",IF(K24=2,K30-M30,IF(M24=2,M30-K30,""))))</f>
        <v>-8</v>
      </c>
      <c r="AK25" s="1226" t="str">
        <f>IF(AK9&lt;2,"",IF(AK8&lt;5,"",IF(N24=2,N30-P30,IF(P24=2,P30-N30,""))))</f>
        <v/>
      </c>
      <c r="AL25" s="1226" t="str">
        <f>IF(AK9&lt;2,"",IF(AK8&lt;6,"",IF(Q24=2,Q30-S30,IF(S24=2,S30-Q30,""))))</f>
        <v/>
      </c>
      <c r="AM25" s="1226">
        <f>IF(AK9&lt;2,"",IF(AK8&lt;7,"",IF(T24=2,T30-V30,IF(V24=2,V30-T30,""))))</f>
        <v>-8</v>
      </c>
      <c r="AN25" s="1226" t="str">
        <f>IF(AK9&lt;2,"",IF(AK8&lt;8,"",IF(W24=2,W30-Y30,IF(Y24=2,Y30-W30,""))))</f>
        <v/>
      </c>
      <c r="AO25" s="1226" t="str">
        <f>IF(AK9&lt;2,"",IF(AK8&lt;9,"",IF(Z24=2,Z30-AB30,IF(AB24=2,AB30-Z30,""))))</f>
        <v/>
      </c>
      <c r="AP25" s="1226" t="str">
        <f>IF(AK9&lt;2,"",IF(AK8&lt;10,"",IF(AC24=2,AC30-AE30,IF(AE24=2,AE30-AC30,""))))</f>
        <v/>
      </c>
      <c r="AQ25" s="1220">
        <f>SUM(AG25:AP25)</f>
        <v>-25</v>
      </c>
    </row>
    <row r="26" spans="1:48" ht="15" x14ac:dyDescent="0.2">
      <c r="A26" s="1039" t="str">
        <f>IF(AK7&gt;1,"Game 2","")</f>
        <v>Game 2</v>
      </c>
      <c r="B26" s="1227">
        <v>16</v>
      </c>
      <c r="C26" s="1228" t="s">
        <v>53</v>
      </c>
      <c r="D26" s="1229">
        <v>17</v>
      </c>
      <c r="E26" s="1227">
        <v>12</v>
      </c>
      <c r="F26" s="1228" t="str">
        <f>IF(AK8&gt;1,IF(AK7&gt;1,"/",""),"")</f>
        <v>/</v>
      </c>
      <c r="G26" s="1229">
        <v>19</v>
      </c>
      <c r="H26" s="1227">
        <v>18</v>
      </c>
      <c r="I26" s="1228" t="str">
        <f>IF(AK8&gt;2,IF(AK7&gt;1,"/",""),"")</f>
        <v>/</v>
      </c>
      <c r="J26" s="1229">
        <v>13</v>
      </c>
      <c r="K26" s="1227">
        <v>15</v>
      </c>
      <c r="L26" s="1228" t="str">
        <f>IF(AK8&gt;3,IF(AK7&gt;1,"/",""),"")</f>
        <v>/</v>
      </c>
      <c r="M26" s="1229">
        <v>22</v>
      </c>
      <c r="N26" s="1227">
        <v>21</v>
      </c>
      <c r="O26" s="1228" t="str">
        <f>IF(AK8&gt;4,IF(AK7&gt;1,"/",""),"")</f>
        <v>/</v>
      </c>
      <c r="P26" s="1229">
        <v>10</v>
      </c>
      <c r="Q26" s="1227"/>
      <c r="R26" s="1228" t="str">
        <f>IF(AK8&gt;5,IF(AK7&gt;1,"/",""),"")</f>
        <v>/</v>
      </c>
      <c r="S26" s="1229"/>
      <c r="T26" s="1227"/>
      <c r="U26" s="1228" t="str">
        <f>IF(AK8&gt;6,IF(AK7&gt;1,"/",""),"")</f>
        <v>/</v>
      </c>
      <c r="V26" s="1229"/>
      <c r="W26" s="1227"/>
      <c r="X26" s="1228" t="str">
        <f>IF(AK8&gt;7,IF(AK7&gt;1,"/",""),"")</f>
        <v/>
      </c>
      <c r="Y26" s="1229"/>
      <c r="Z26" s="1227"/>
      <c r="AA26" s="1228" t="str">
        <f>IF(AK8&gt;8,IF(AK7&gt;1,"/",""),"")</f>
        <v/>
      </c>
      <c r="AB26" s="1229"/>
      <c r="AC26" s="1227"/>
      <c r="AD26" s="1228" t="str">
        <f>IF(AK8&gt;9,IF(AK7&gt;1,"/",""),"")</f>
        <v/>
      </c>
      <c r="AE26" s="1229"/>
      <c r="AF26" s="1218" t="str">
        <f>IF(AK9&gt;2,"Team 3","")</f>
        <v>Team 3</v>
      </c>
      <c r="AG26" s="1226" t="str">
        <f>IF(AK9&lt;3,"",IF(AK8&lt;1,"",IF(B24=3,B30-D30,IF(D24=3,D30-B30,""))))</f>
        <v/>
      </c>
      <c r="AH26" s="1226">
        <f>IF(AK9&lt;3,"",IF(AK8&lt;2,"",IF(E24=3,E30-G30,IF(G24=3,G30-E30,""))))</f>
        <v>-18</v>
      </c>
      <c r="AI26" s="1226" t="str">
        <f>IF(AK9&lt;3,"",IF(AK8&lt;3,"",IF(H24=3,H30-J30,IF(J24=3,J30-H30,""))))</f>
        <v/>
      </c>
      <c r="AJ26" s="1226">
        <f>IF(AK9&lt;3,"",IF(AK8&lt;4,"",IF(K24=3,K30-M30,IF(M24=3,M30-K30,""))))</f>
        <v>8</v>
      </c>
      <c r="AK26" s="1226" t="str">
        <f>IF(AK9&lt;3,"",IF(AK8&lt;5,"",IF(N24=3,N30-P30,IF(P24=3,P30-N30,""))))</f>
        <v/>
      </c>
      <c r="AL26" s="1226" t="str">
        <f>IF(AK9&lt;3,"",IF(AK8&lt;6,"",IF(Q24=3,Q30-S30,IF(S24=3,S30-Q30,""))))</f>
        <v/>
      </c>
      <c r="AM26" s="1226">
        <f>IF(AK9&lt;3,"",IF(AK8&lt;7,"",IF(T24=3,T30-V30,IF(V24=3,V30-T30,""))))</f>
        <v>8</v>
      </c>
      <c r="AN26" s="1226" t="str">
        <f>IF(AK9&lt;3,"",IF(AK8&lt;8,"",IF(W24=3,W30-Y30,IF(Y24=3,Y30-W30,""))))</f>
        <v/>
      </c>
      <c r="AO26" s="1226" t="str">
        <f>IF(AK9&lt;3,"",IF(AK8&lt;9,"",IF(Z24=3,Z30-AB30,IF(AB24=3,AB30-Z30,""))))</f>
        <v/>
      </c>
      <c r="AP26" s="1226" t="str">
        <f>IF(AK9&lt;3,"",IF(AK8&lt;9,"",IF(AC24=3,AC30-AE30,IF(AE24=3,AE30-AC30,""))))</f>
        <v/>
      </c>
      <c r="AQ26" s="1220">
        <f>SUM(AG26:AP26)</f>
        <v>-2</v>
      </c>
    </row>
    <row r="27" spans="1:48" ht="15" x14ac:dyDescent="0.2">
      <c r="A27" s="1039" t="str">
        <f>IF(AK7&gt;2,"Game 3","")</f>
        <v/>
      </c>
      <c r="B27" s="1227"/>
      <c r="C27" s="1228" t="s">
        <v>53</v>
      </c>
      <c r="D27" s="1229"/>
      <c r="E27" s="1227"/>
      <c r="F27" s="1228" t="str">
        <f>IF(AK8&gt;1,IF(AK7&gt;2,"/",""),"")</f>
        <v/>
      </c>
      <c r="G27" s="1229"/>
      <c r="H27" s="1227"/>
      <c r="I27" s="1228" t="str">
        <f>IF(AK8&gt;2,IF(AK7&gt;2,"/",""),"")</f>
        <v/>
      </c>
      <c r="J27" s="1229"/>
      <c r="K27" s="1227"/>
      <c r="L27" s="1228" t="str">
        <f>IF(AK8&gt;3,IF(AK7&gt;2,"/",""),"")</f>
        <v/>
      </c>
      <c r="M27" s="1229"/>
      <c r="N27" s="1227"/>
      <c r="O27" s="1228" t="str">
        <f>IF(AK8&gt;4,IF(AK7&gt;2,"/",""),"")</f>
        <v/>
      </c>
      <c r="P27" s="1229"/>
      <c r="Q27" s="1227"/>
      <c r="R27" s="1228" t="str">
        <f>IF(AK8&gt;5,IF(AK7&gt;2,"/",""),"")</f>
        <v/>
      </c>
      <c r="S27" s="1229"/>
      <c r="T27" s="1227"/>
      <c r="U27" s="1228" t="str">
        <f>IF(AK8&gt;6,IF(AK7&gt;2,"/",""),"")</f>
        <v/>
      </c>
      <c r="V27" s="1229"/>
      <c r="W27" s="1227"/>
      <c r="X27" s="1228" t="str">
        <f>IF(AK8&gt;7,IF(AK7&gt;2,"/",""),"")</f>
        <v/>
      </c>
      <c r="Y27" s="1229"/>
      <c r="Z27" s="1227"/>
      <c r="AA27" s="1228" t="str">
        <f>IF(AK8&gt;8,IF(AK7&gt;2,"/",""),"")</f>
        <v/>
      </c>
      <c r="AB27" s="1229"/>
      <c r="AC27" s="1227"/>
      <c r="AD27" s="1228" t="str">
        <f>IF(AK8&gt;9,IF(AK7&gt;2,"/",""),"")</f>
        <v/>
      </c>
      <c r="AE27" s="1229"/>
      <c r="AF27" s="1218" t="str">
        <f>IF(AK9&gt;3,"Team 4","")</f>
        <v>Team 4</v>
      </c>
      <c r="AG27" s="1226" t="str">
        <f>IF(AK9&lt;4,"",IF(AK8&lt;1,"",IF(B24=4,B30-D30,IF(D24=4,D30-B30,""))))</f>
        <v/>
      </c>
      <c r="AH27" s="1226">
        <f>IF(AK9&lt;4,"",IF(AK8&lt;2,"",IF(E24=4,E30-G30,IF(G24=4,G30-E30,""))))</f>
        <v>18</v>
      </c>
      <c r="AI27" s="1226" t="str">
        <f>IF(AK9&lt;4,"",IF(AK8&lt;3,"",IF(H24=4,H30-J30,IF(J24=4,J30-H30,""))))</f>
        <v/>
      </c>
      <c r="AJ27" s="1226" t="str">
        <f>IF(AK9&lt;4,"",IF(AK8&lt;4,"",IF(K24=4,K30-M30,IF(M24=4,M30-K30,""))))</f>
        <v/>
      </c>
      <c r="AK27" s="1226">
        <f>IF(AK9&lt;4,"",IF(AK8&lt;5,"",IF(N24=4,N30-P30,IF(P24=4,P30-N30,""))))</f>
        <v>9</v>
      </c>
      <c r="AL27" s="1226">
        <f>IF(AK9&lt;4,"",IF(AK8&lt;6,"",IF(Q24=4,Q30-S30,IF(S24=4,S30-Q30,""))))</f>
        <v>-6</v>
      </c>
      <c r="AM27" s="1226" t="str">
        <f>IF(AK9&lt;4,"",IF(AK8&lt;7,"",IF(T24=4,T30-V30,IF(V24=4,V30-T30,""))))</f>
        <v/>
      </c>
      <c r="AN27" s="1226" t="str">
        <f>IF(AK9&lt;4,"",IF(AK8&lt;8,"",IF(W24=4,W30-Y30,IF(Y24=4,Y30-W30,""))))</f>
        <v/>
      </c>
      <c r="AO27" s="1226" t="str">
        <f>IF(AK9&lt;4,"",IF(AK8&lt;9,"",IF(Z24=4,Z30-AB30,IF(AB24=4,AB30-Z30,""))))</f>
        <v/>
      </c>
      <c r="AP27" s="1226" t="str">
        <f>IF(AK9&lt;4,"",IF(AK8&lt;10,"",IF(AC24=4,AC30-AE30,IF(AE24=4,AE30-AC30,""))))</f>
        <v/>
      </c>
      <c r="AQ27" s="1220">
        <f>SUM(AG27:AP27)</f>
        <v>21</v>
      </c>
    </row>
    <row r="28" spans="1:48" ht="15" x14ac:dyDescent="0.2">
      <c r="A28" s="1039" t="str">
        <f>IF(AK7&gt;3,"Game 4","")</f>
        <v/>
      </c>
      <c r="B28" s="1227"/>
      <c r="C28" s="1228" t="s">
        <v>53</v>
      </c>
      <c r="D28" s="1229"/>
      <c r="E28" s="1227"/>
      <c r="F28" s="1228" t="str">
        <f>IF(AK8&gt;1,IF(AK7&gt;3,"/",""),"")</f>
        <v/>
      </c>
      <c r="G28" s="1229"/>
      <c r="H28" s="1227"/>
      <c r="I28" s="1228" t="str">
        <f>IF(AK8&gt;2,IF(AK7&gt;3,"/",""),"")</f>
        <v/>
      </c>
      <c r="J28" s="1229"/>
      <c r="K28" s="1227"/>
      <c r="L28" s="1228" t="str">
        <f>IF(AK8&gt;3,IF(AK7&gt;3,"/",""),"")</f>
        <v/>
      </c>
      <c r="M28" s="1229"/>
      <c r="N28" s="1227"/>
      <c r="O28" s="1228" t="str">
        <f>IF(AK8&gt;4,IF(AK7&gt;3,"/",""),"")</f>
        <v/>
      </c>
      <c r="P28" s="1229"/>
      <c r="Q28" s="1227"/>
      <c r="R28" s="1228" t="str">
        <f>IF(AK8&gt;5,IF(AK7&gt;3,"/",""),"")</f>
        <v/>
      </c>
      <c r="S28" s="1229"/>
      <c r="T28" s="1227"/>
      <c r="U28" s="1228" t="str">
        <f>IF(AK8&gt;6,IF(AK7&gt;3,"/",""),"")</f>
        <v/>
      </c>
      <c r="V28" s="1229"/>
      <c r="W28" s="1227"/>
      <c r="X28" s="1228" t="str">
        <f>IF(AK8&gt;7,IF(AK7&gt;3,"/",""),"")</f>
        <v/>
      </c>
      <c r="Y28" s="1229"/>
      <c r="Z28" s="1227"/>
      <c r="AA28" s="1228" t="str">
        <f>IF(AK8&gt;8,IF(AK7&gt;3,"/",""),"")</f>
        <v/>
      </c>
      <c r="AB28" s="1229"/>
      <c r="AC28" s="1227"/>
      <c r="AD28" s="1228" t="str">
        <f>IF(AK8&gt;9,IF(AK7&gt;3,"/",""),"")</f>
        <v/>
      </c>
      <c r="AE28" s="1229"/>
      <c r="AF28" s="1218" t="str">
        <f>IF(AK9&gt;4,"Team 5","")</f>
        <v>Team 5</v>
      </c>
      <c r="AG28" s="1230" t="str">
        <f>IF(AK9&lt;5,"",IF(AK8&lt;1,"",IF(B24=5,B30-D30,IF(D24=5,D30-B30,""))))</f>
        <v/>
      </c>
      <c r="AH28" s="1226" t="str">
        <f>IF(AK9&lt;5,"",IF(AK8&lt;2,"",IF(E24=5,E30-G30,IF(G24=5,G30-E30,""))))</f>
        <v/>
      </c>
      <c r="AI28" s="1226">
        <f>IF(AK9&lt;5,"",IF(AK8&lt;3,"",IF(H24=5,H30-J30,IF(J24=5,J30-H30,""))))</f>
        <v>-17</v>
      </c>
      <c r="AJ28" s="1226" t="str">
        <f>IF(AK9&lt;5,"",IF(AK8&lt;4,"",IF(K24=5,K30-M30,IF(M24=5,M30-K30,""))))</f>
        <v/>
      </c>
      <c r="AK28" s="1226">
        <f>IF(AK9&lt;5,"",IF(AK8&lt;5,"",IF(N24=5,N30-P30,IF(P24=5,P30-N30,""))))</f>
        <v>-9</v>
      </c>
      <c r="AL28" s="1226" t="str">
        <f>IF(AK9&lt;5,"",IF(AK8&lt;6,"",IF(Q24=5,Q30-S30,IF(S24=5,S30-Q30,""))))</f>
        <v/>
      </c>
      <c r="AM28" s="1226" t="str">
        <f>IF(AK9&lt;5,"",IF(AK8&lt;7,"",IF(T24=5,T30-V30,IF(V24=5,V30-T30,""))))</f>
        <v/>
      </c>
      <c r="AN28" s="1226" t="str">
        <f>IF(AK9&lt;5,"",IF(AK8&lt;8,"",IF(W24=5,W30-Y30,IF(Y24=5,Y30-W30,""))))</f>
        <v/>
      </c>
      <c r="AO28" s="1226" t="str">
        <f>IF(AK9&lt;5,"",IF(AK8&lt;9,"",IF(Z24=5,Z30-AB30,IF(AB24=5,AB30-Z30,""))))</f>
        <v/>
      </c>
      <c r="AP28" s="1226" t="str">
        <f>IF(AK9&lt;5,"",IF(AK8&lt;10,"",IF(AC24=5,AC30-AE30,IF(AE24=5,AE30-AC30,""))))</f>
        <v/>
      </c>
      <c r="AQ28" s="1220">
        <f>SUM(AG28:AP28)</f>
        <v>-26</v>
      </c>
    </row>
    <row r="29" spans="1:48" ht="15" x14ac:dyDescent="0.2">
      <c r="A29" s="1039" t="str">
        <f>IF(AK7&gt;4,"Game 5","")</f>
        <v/>
      </c>
      <c r="B29" s="1227"/>
      <c r="C29" s="1228" t="s">
        <v>53</v>
      </c>
      <c r="D29" s="1229"/>
      <c r="E29" s="1227"/>
      <c r="F29" s="1228" t="str">
        <f>IF(AK8&gt;1,IF(AK7&gt;4,"/",""),"")</f>
        <v/>
      </c>
      <c r="G29" s="1229"/>
      <c r="H29" s="1227"/>
      <c r="I29" s="1228" t="str">
        <f>IF(AK8&gt;2,IF(AK7&gt;4,"/",""),"")</f>
        <v/>
      </c>
      <c r="J29" s="1229"/>
      <c r="K29" s="1227"/>
      <c r="L29" s="1228" t="str">
        <f>IF(AK8&gt;3,IF(AK7&gt;4,"/",""),"")</f>
        <v/>
      </c>
      <c r="M29" s="1229"/>
      <c r="N29" s="1227"/>
      <c r="O29" s="1228" t="str">
        <f>IF(AK8&gt;4,IF(AK7&gt;4,"/",""),"")</f>
        <v/>
      </c>
      <c r="P29" s="1229"/>
      <c r="Q29" s="1227"/>
      <c r="R29" s="1228" t="str">
        <f>IF(AK8&gt;5,IF(AK7&gt;4,"/",""),"")</f>
        <v/>
      </c>
      <c r="S29" s="1229"/>
      <c r="T29" s="1227"/>
      <c r="U29" s="1228" t="str">
        <f>IF(AK8&gt;6,IF(AK7&gt;4,"/",""),"")</f>
        <v/>
      </c>
      <c r="V29" s="1229"/>
      <c r="W29" s="1227"/>
      <c r="X29" s="1228" t="str">
        <f>IF(AK8&gt;7,IF(AK7&gt;4,"/",""),"")</f>
        <v/>
      </c>
      <c r="Y29" s="1229"/>
      <c r="Z29" s="1227"/>
      <c r="AA29" s="1228" t="str">
        <f>IF(AK8&gt;8,IF(AK7&gt;4,"/",""),"")</f>
        <v/>
      </c>
      <c r="AB29" s="1229"/>
      <c r="AC29" s="1227"/>
      <c r="AD29" s="1228" t="str">
        <f>IF(AK8&gt;9,IF(AK7&gt;4,"/",""),"")</f>
        <v/>
      </c>
      <c r="AE29" s="1229"/>
      <c r="AF29" s="1058"/>
      <c r="AG29" s="1058"/>
      <c r="AH29" s="1058"/>
      <c r="AI29" s="1058"/>
      <c r="AJ29" s="1058"/>
      <c r="AK29" s="1058"/>
      <c r="AL29" s="1058"/>
      <c r="AM29" s="1058"/>
      <c r="AN29" s="1058"/>
      <c r="AO29" s="1058"/>
      <c r="AP29" s="1058"/>
      <c r="AQ29" s="1058"/>
    </row>
    <row r="30" spans="1:48" hidden="1" x14ac:dyDescent="0.2">
      <c r="A30" s="1028"/>
      <c r="B30" s="1028">
        <f>IF($AK7=5,SUM(B25:B29),IF($AK7=4,SUM(B25:B28),IF($AK7=3,SUM(B25:B27),IF($AK7=2,SUM(B25:B26),B25))))</f>
        <v>37</v>
      </c>
      <c r="C30" s="1028"/>
      <c r="D30" s="1028">
        <f>IF($AK7=5,SUM(D25:D29),IF($AK7=4,SUM(D25:D28),IF($AK7=3,SUM(D25:D27),IF($AK7=2,SUM(D25:D26),D25))))</f>
        <v>28</v>
      </c>
      <c r="E30" s="1028">
        <f>IF($AK7=5,SUM(E25:E29),IF($AK7=4,SUM(E25:E28),IF($AK7=3,SUM(E25:E27),IF($AK7=2,SUM(E25:E26),E25))))</f>
        <v>24</v>
      </c>
      <c r="F30" s="1028"/>
      <c r="G30" s="1028">
        <f>IF($AK7=5,SUM(G25:G29),IF($AK7=4,SUM(G25:G28),IF($AK7=3,SUM(G25:G27),IF($AK7=2,SUM(G25:G26),G25))))</f>
        <v>42</v>
      </c>
      <c r="H30" s="1028">
        <f>IF($AK7=5,SUM(H25:H29),IF($AK7=4,SUM(H25:H28),IF($AK7=3,SUM(H25:H27),IF($AK7=2,SUM(H25:H26),H25))))</f>
        <v>39</v>
      </c>
      <c r="I30" s="1028"/>
      <c r="J30" s="1028">
        <f>IF($AK7=5,SUM(J25:J29),IF($AK7=4,SUM(J25:J28),IF($AK7=3,SUM(J25:J27),IF($AK7=2,SUM(J25:J26),J25))))</f>
        <v>22</v>
      </c>
      <c r="K30" s="1028">
        <f>IF($AK7=5,SUM(K25:K29),IF($AK7=4,SUM(K25:K28),IF($AK7=3,SUM(K25:K27),IF($AK7=2,SUM(K25:K26),K25))))</f>
        <v>28</v>
      </c>
      <c r="L30" s="1028"/>
      <c r="M30" s="1028">
        <f>IF($AK7=5,SUM(M25:M29),IF($AK7=4,SUM(M25:M28),IF($AK7=3,SUM(M25:M27),IF($AK7=2,SUM(M25:M26),M25))))</f>
        <v>36</v>
      </c>
      <c r="N30" s="1028">
        <f>IF($AK7=5,SUM(N25:N29),IF($AK7=4,SUM(N25:N28),IF($AK7=3,SUM(N25:N27),IF($AK7=2,SUM(N25:N26),N25))))</f>
        <v>35</v>
      </c>
      <c r="O30" s="1028"/>
      <c r="P30" s="1028">
        <f>IF($AK7=5,SUM(P25:P29),IF($AK7=4,SUM(P25:P28),IF($AK7=3,SUM(P25:P27),IF($AK7=2,SUM(P25:P26),P25))))</f>
        <v>26</v>
      </c>
      <c r="Q30" s="1028">
        <f>IF($AK7=5,SUM(Q25:Q29),IF($AK7=4,SUM(Q25:Q28),IF($AK7=3,SUM(Q25:Q27),IF($AK7=2,SUM(Q25:Q26),Q25))))</f>
        <v>17</v>
      </c>
      <c r="R30" s="1028"/>
      <c r="S30" s="1028">
        <f>IF($AK7=5,SUM(S25:S29),IF($AK7=4,SUM(S25:S28),IF($AK7=3,SUM(S25:S27),IF($AK7=2,SUM(S25:S26),S25))))</f>
        <v>11</v>
      </c>
      <c r="T30" s="1028">
        <f>IF($AK7=5,SUM(T25:T29),IF($AK7=4,SUM(T25:T28),IF($AK7=3,SUM(T25:T27),IF($AK7=2,SUM(T25:T26),T25))))</f>
        <v>17</v>
      </c>
      <c r="U30" s="1028"/>
      <c r="V30" s="1028">
        <f>IF($AK7=5,SUM(V25:V29),IF($AK7=4,SUM(V25:V28),IF($AK7=3,SUM(V25:V27),IF($AK7=2,SUM(V25:V26),V25))))</f>
        <v>9</v>
      </c>
      <c r="W30" s="1028">
        <f>IF($AK7=5,SUM(W25:W29),IF($AK7=4,SUM(W25:W28),IF($AK7=3,SUM(W25:W27),IF($AK7=2,SUM(W25:W26),W25))))</f>
        <v>0</v>
      </c>
      <c r="X30" s="1028"/>
      <c r="Y30" s="1028">
        <f>IF($AK7=5,SUM(Y25:Y29),IF($AK7=4,SUM(Y25:Y28),IF($AK7=3,SUM(Y25:Y27),IF($AK7=2,SUM(Y25:Y26),Y25))))</f>
        <v>0</v>
      </c>
      <c r="Z30" s="1028">
        <f>IF($AK7=5,SUM(Z25:Z29),IF($AK7=4,SUM(Z25:Z28),IF($AK7=3,SUM(Z25:Z27),IF($AK7=2,SUM(Z25:Z26),Z25))))</f>
        <v>0</v>
      </c>
      <c r="AA30" s="1028"/>
      <c r="AB30" s="1028">
        <f>IF($AK7=5,SUM(AB25:AB29),IF($AK7=4,SUM(AB25:AB28),IF($AK7=3,SUM(AB25:AB27),IF($AK7=2,SUM(AB25:AB26),AB25))))</f>
        <v>0</v>
      </c>
      <c r="AC30" s="1028">
        <f>IF($AK7=5,SUM(AC25:AC29),IF($AK7=4,SUM(AC25:AC28),IF($AK7=3,SUM(AC25:AC27),IF($AK7=2,SUM(AC25:AC26),AC25))))</f>
        <v>0</v>
      </c>
      <c r="AD30" s="1028"/>
      <c r="AE30" s="1028">
        <f>IF($AK7=5,SUM(AE25:AE29),IF($AK7=4,SUM(AE25:AE28),IF($AK7=3,SUM(AE25:AE27),IF($AK7=2,SUM(AE25:AE26),AE25))))</f>
        <v>0</v>
      </c>
      <c r="AF30" s="1058"/>
      <c r="AG30" s="1058"/>
      <c r="AH30" s="1058"/>
      <c r="AI30" s="1058"/>
      <c r="AJ30" s="1058"/>
      <c r="AK30" s="1058"/>
      <c r="AL30" s="1058"/>
      <c r="AM30" s="1058"/>
      <c r="AN30" s="1058"/>
      <c r="AO30" s="1058"/>
      <c r="AP30" s="1058"/>
      <c r="AQ30" s="1058"/>
    </row>
    <row r="31" spans="1:48" s="1231" customFormat="1" ht="12.75" hidden="1" customHeight="1" x14ac:dyDescent="0.2">
      <c r="A31" s="1231" t="s">
        <v>54</v>
      </c>
      <c r="B31" s="1232">
        <f>IF(AND(B25&gt;D25,$AK8&gt;0,ISNUMBER(B25),ISNUMBER(D25)),1,0)</f>
        <v>1</v>
      </c>
      <c r="C31" s="1232"/>
      <c r="D31" s="1233">
        <f>IF(AND(D25&gt;B25,$AK8&gt;0,ISNUMBER(B25),ISNUMBER(D25)),1,0)</f>
        <v>0</v>
      </c>
      <c r="E31" s="1232">
        <f>IF(AND(E25&gt;G25,$AK8&gt;1,ISNUMBER(E25),ISNUMBER(G25)),1,0)</f>
        <v>0</v>
      </c>
      <c r="F31" s="1232"/>
      <c r="G31" s="1233">
        <f>IF(AND(G25&gt;E25,$AK8&gt;1,ISNUMBER(E25),ISNUMBER(G25)),1,0)</f>
        <v>1</v>
      </c>
      <c r="H31" s="1232">
        <f>IF(AND(H25&gt;J25,$AK8&gt;2,ISNUMBER(H25),ISNUMBER(J25)),1,0)</f>
        <v>1</v>
      </c>
      <c r="I31" s="1232"/>
      <c r="J31" s="1233">
        <f>IF(AND(J25&gt;H25,$AK8&gt;2,ISNUMBER(H25),ISNUMBER(J25)),1,0)</f>
        <v>0</v>
      </c>
      <c r="K31" s="1232">
        <f>IF(AND(K25&gt;M25,$AK8&gt;3,ISNUMBER(K25),ISNUMBER(M25)),1,0)</f>
        <v>0</v>
      </c>
      <c r="L31" s="1232"/>
      <c r="M31" s="1233">
        <f>IF(AND(M25&gt;K25,$AK8&gt;3,ISNUMBER(K25),ISNUMBER(M25)),1,0)</f>
        <v>1</v>
      </c>
      <c r="N31" s="1232">
        <f>IF(AND(N25&gt;P25,$AK8&gt;4,ISNUMBER(N25),ISNUMBER(P25)),1,0)</f>
        <v>0</v>
      </c>
      <c r="O31" s="1232"/>
      <c r="P31" s="1233">
        <f>IF(AND(P25&gt;N25,$AK8&gt;4,ISNUMBER(N25),ISNUMBER(P25)),1,0)</f>
        <v>1</v>
      </c>
      <c r="Q31" s="1232">
        <f>IF(AND(Q25&gt;S25,$AK8&gt;5,ISNUMBER(Q25),ISNUMBER(S25)),1,0)</f>
        <v>1</v>
      </c>
      <c r="R31" s="1232"/>
      <c r="S31" s="1233">
        <f>IF(AND(S25&gt;Q25,$AK8&gt;5,ISNUMBER(Q25),ISNUMBER(S25)),1,0)</f>
        <v>0</v>
      </c>
      <c r="T31" s="1232">
        <f>IF(AND(T25&gt;V25,$AK8&gt;6,ISNUMBER(T25),ISNUMBER(V25)),1,0)</f>
        <v>1</v>
      </c>
      <c r="U31" s="1232"/>
      <c r="V31" s="1233">
        <f>IF(AND(V25&gt;T25,$AK8&gt;6,ISNUMBER(T25),ISNUMBER(V25)),1,0)</f>
        <v>0</v>
      </c>
      <c r="W31" s="1232">
        <f>IF(AND(W25&gt;Y25,$AK8&gt;7,ISNUMBER(W25),ISNUMBER(Y25)),1,0)</f>
        <v>0</v>
      </c>
      <c r="X31" s="1232"/>
      <c r="Y31" s="1233">
        <f>IF(AND(Y25&gt;W25,$AK8&gt;7,ISNUMBER(W25),ISNUMBER(Y25)),1,0)</f>
        <v>0</v>
      </c>
      <c r="Z31" s="1232">
        <f>IF(AND(Z25&gt;AB25,$AK8&gt;8,ISNUMBER(Z25),ISNUMBER(AB25)),1,0)</f>
        <v>0</v>
      </c>
      <c r="AA31" s="1232"/>
      <c r="AB31" s="1233">
        <f>IF(AND(AB25&gt;Z25,$AK8&gt;8,ISNUMBER(Z25),ISNUMBER(AB25)),1,0)</f>
        <v>0</v>
      </c>
      <c r="AC31" s="1232">
        <f>IF(AND(AC25&gt;AE25,$AK8&gt;9,ISNUMBER(AC25),ISNUMBER(AE25)),1,0)</f>
        <v>0</v>
      </c>
      <c r="AD31" s="1232"/>
      <c r="AE31" s="1233">
        <f>IF(AND(AE25&gt;AC25,$AK8&gt;9,ISNUMBER(AC25),ISNUMBER(AE25)),1,0)</f>
        <v>0</v>
      </c>
    </row>
    <row r="32" spans="1:48" s="1231" customFormat="1" ht="12.75" hidden="1" customHeight="1" x14ac:dyDescent="0.2">
      <c r="A32" s="1231" t="s">
        <v>55</v>
      </c>
      <c r="B32" s="1232">
        <f>IF(AND(B26&gt;D26,$AK8&gt;0,$AK7&gt;1,ISNUMBER(B26),ISNUMBER(D26)),1,0)</f>
        <v>0</v>
      </c>
      <c r="C32" s="1232"/>
      <c r="D32" s="1233">
        <f>IF(AND(D26&gt;B26,$AK8&gt;0,$AK7&gt;1,ISNUMBER(B26),ISNUMBER(D26)),1,0)</f>
        <v>1</v>
      </c>
      <c r="E32" s="1232">
        <f>IF(AND(E26&gt;G26,$AK8&gt;1,$AK7&gt;1,ISNUMBER(E26),ISNUMBER(G26)),1,0)</f>
        <v>0</v>
      </c>
      <c r="F32" s="1232"/>
      <c r="G32" s="1233">
        <f>IF(AND(G26&gt;E26,$AK8&gt;1,$AK7&gt;1,ISNUMBER(E26),ISNUMBER(G26)),1,0)</f>
        <v>1</v>
      </c>
      <c r="H32" s="1232">
        <f>IF(AND(H26&gt;J26,$AK8&gt;2,$AK7&gt;1,ISNUMBER(H26),ISNUMBER(J26)),1,0)</f>
        <v>1</v>
      </c>
      <c r="I32" s="1232"/>
      <c r="J32" s="1233">
        <f>IF(AND(J26&gt;H26,$AK8&gt;2,$AK7&gt;1,ISNUMBER(H26),ISNUMBER(J26)),1,0)</f>
        <v>0</v>
      </c>
      <c r="K32" s="1232">
        <f>IF(AND(K26&gt;M26,$AK8&gt;3,$AK7&gt;1,ISNUMBER(K26),ISNUMBER(M26)),1,0)</f>
        <v>0</v>
      </c>
      <c r="L32" s="1232"/>
      <c r="M32" s="1233">
        <f>IF(AND(M26&gt;K26,$AK8&gt;3,$AK7&gt;1,ISNUMBER(K26),ISNUMBER(M26)),1,0)</f>
        <v>1</v>
      </c>
      <c r="N32" s="1232">
        <f>IF(AND(N26&gt;P26,$AK8&gt;4,$AK7&gt;1,ISNUMBER(N26),ISNUMBER(P26)),1,0)</f>
        <v>1</v>
      </c>
      <c r="O32" s="1232"/>
      <c r="P32" s="1233">
        <f>IF(AND(P26&gt;N26,$AK8&gt;4,$AK7&gt;1,ISNUMBER(N26),ISNUMBER(P26)),1,0)</f>
        <v>0</v>
      </c>
      <c r="Q32" s="1232">
        <f>IF(AND(Q26&gt;S26,$AK8&gt;5,$AK7&gt;1,ISNUMBER(Q26),ISNUMBER(S26)),1,0)</f>
        <v>0</v>
      </c>
      <c r="R32" s="1232"/>
      <c r="S32" s="1233">
        <f>IF(AND(S26&gt;Q26,$AK8&gt;5,$AK7&gt;1,ISNUMBER(Q26),ISNUMBER(S26)),1,0)</f>
        <v>0</v>
      </c>
      <c r="T32" s="1232">
        <f>IF(AND(T26&gt;V26,$AK8&gt;6,$AK7&gt;1,ISNUMBER(T26),ISNUMBER(V26)),1,0)</f>
        <v>0</v>
      </c>
      <c r="U32" s="1232"/>
      <c r="V32" s="1233">
        <f>IF(AND(V26&gt;T26,$AK8&gt;6,$AK7&gt;1,ISNUMBER(T26),ISNUMBER(V26)),1,0)</f>
        <v>0</v>
      </c>
      <c r="W32" s="1232">
        <f>IF(AND(W26&gt;Y26,$AK8&gt;7,$AK7&gt;1,ISNUMBER(W26),ISNUMBER(Y26)),1,0)</f>
        <v>0</v>
      </c>
      <c r="X32" s="1232"/>
      <c r="Y32" s="1233">
        <f>IF(AND(Y26&gt;W26,$AK8&gt;7,$AK7&gt;1,ISNUMBER(W26),ISNUMBER(Y26)),1,0)</f>
        <v>0</v>
      </c>
      <c r="Z32" s="1232">
        <f>IF(AND(Z26&gt;AB26,$AK8&gt;8,$AK7&gt;1,ISNUMBER(Z26),ISNUMBER(AB26)),1,0)</f>
        <v>0</v>
      </c>
      <c r="AA32" s="1232"/>
      <c r="AB32" s="1233">
        <f>IF(AND(AB26&gt;Z26,$AK8&gt;8,$AK7&gt;1,ISNUMBER(Z26),ISNUMBER(AB26)),1,0)</f>
        <v>0</v>
      </c>
      <c r="AC32" s="1232">
        <f>IF(AND(AC26&gt;AE26,$AK8&gt;9,$AK7&gt;1,ISNUMBER(AC26),ISNUMBER(AE26)),1,0)</f>
        <v>0</v>
      </c>
      <c r="AD32" s="1232"/>
      <c r="AE32" s="1233">
        <f>IF(AND(AE26&gt;AC26,$AK8&gt;9,$AK7&gt;1,ISNUMBER(AC26),ISNUMBER(AE26)),1,0)</f>
        <v>0</v>
      </c>
    </row>
    <row r="33" spans="1:33" s="1231" customFormat="1" ht="12.75" hidden="1" customHeight="1" x14ac:dyDescent="0.2">
      <c r="A33" s="1231" t="s">
        <v>56</v>
      </c>
      <c r="B33" s="1232">
        <f>IF(AND(B27&gt;D27,$AK8&gt;0,$AK7&gt;2,ISNUMBER(B27),ISNUMBER(D27)),1,0)</f>
        <v>0</v>
      </c>
      <c r="C33" s="1232"/>
      <c r="D33" s="1233">
        <f>IF(AND(D27&gt;B27,$AK8&gt;0,$AK7&gt;2,ISNUMBER(B27),ISNUMBER(D27)),1,0)</f>
        <v>0</v>
      </c>
      <c r="E33" s="1232">
        <f>IF(AND(E27&gt;G27,$AK8&gt;1,$AK7&gt;2,ISNUMBER(E27),ISNUMBER(G27)),1,0)</f>
        <v>0</v>
      </c>
      <c r="F33" s="1232"/>
      <c r="G33" s="1233">
        <f>IF(AND(G27&gt;E27,$AK8&gt;1,$AK7&gt;2,ISNUMBER(E27),ISNUMBER(G27)),1,0)</f>
        <v>0</v>
      </c>
      <c r="H33" s="1232">
        <f>IF(AND(H27&gt;J27,$AK8&gt;2,$AK7&gt;2,ISNUMBER(H27),ISNUMBER(J27)),1,0)</f>
        <v>0</v>
      </c>
      <c r="I33" s="1232"/>
      <c r="J33" s="1233">
        <f>IF(AND(J27&gt;H27,$AK8&gt;2,$AK7&gt;2,ISNUMBER(H27),ISNUMBER(J27)),1,0)</f>
        <v>0</v>
      </c>
      <c r="K33" s="1232">
        <f>IF(AND(K27&gt;M27,$AK8&gt;3,$AK7&gt;2,ISNUMBER(K27),ISNUMBER(M27)),1,0)</f>
        <v>0</v>
      </c>
      <c r="L33" s="1232"/>
      <c r="M33" s="1233">
        <f>IF(AND(M27&gt;K27,$AK8&gt;3,$AK7&gt;2,ISNUMBER(K27),ISNUMBER(M27)),1,0)</f>
        <v>0</v>
      </c>
      <c r="N33" s="1232">
        <f>IF(AND(N27&gt;P27,$AK8&gt;4,$AK7&gt;2,ISNUMBER(N27),ISNUMBER(P27)),1,0)</f>
        <v>0</v>
      </c>
      <c r="O33" s="1232"/>
      <c r="P33" s="1233">
        <f>IF(AND(P27&gt;N27,$AK8&gt;4,$AK7&gt;2,ISNUMBER(N27),ISNUMBER(P27)),1,0)</f>
        <v>0</v>
      </c>
      <c r="Q33" s="1232">
        <f>IF(AND(Q27&gt;S27,$AK8&gt;5,$AK7&gt;2,ISNUMBER(Q27),ISNUMBER(S27)),1,0)</f>
        <v>0</v>
      </c>
      <c r="R33" s="1232"/>
      <c r="S33" s="1233">
        <f>IF(AND(S27&gt;Q27,$AK8&gt;5,$AK7&gt;2,ISNUMBER(Q27),ISNUMBER(S27)),1,0)</f>
        <v>0</v>
      </c>
      <c r="T33" s="1232">
        <f>IF(AND(T27&gt;V27,$AK8&gt;6,$AK7&gt;2,ISNUMBER(T27),ISNUMBER(V27)),1,0)</f>
        <v>0</v>
      </c>
      <c r="U33" s="1232"/>
      <c r="V33" s="1233">
        <f>IF(AND(V27&gt;T27,$AK8&gt;6,$AK7&gt;2,ISNUMBER(T27),ISNUMBER(V27)),1,0)</f>
        <v>0</v>
      </c>
      <c r="W33" s="1232">
        <f>IF(AND(W27&gt;Y27,$AK8&gt;7,$AK7&gt;2,ISNUMBER(W27),ISNUMBER(Y27)),1,0)</f>
        <v>0</v>
      </c>
      <c r="X33" s="1232"/>
      <c r="Y33" s="1233">
        <f>IF(AND(Y27&gt;W27,$AK8&gt;7,$AK7&gt;2,ISNUMBER(W27),ISNUMBER(Y27)),1,0)</f>
        <v>0</v>
      </c>
      <c r="Z33" s="1232">
        <f>IF(AND(Z27&gt;AB27,$AK8&gt;8,$AK7&gt;2,ISNUMBER(Z27),ISNUMBER(AB27)),1,0)</f>
        <v>0</v>
      </c>
      <c r="AA33" s="1232"/>
      <c r="AB33" s="1233">
        <f>IF(AND(AB27&gt;Z27,$AK8&gt;8,$AK7&gt;2,ISNUMBER(Z27),ISNUMBER(AB27)),1,0)</f>
        <v>0</v>
      </c>
      <c r="AC33" s="1232">
        <f>IF(AND(AC27&gt;AE27,$AK8&gt;9,$AK7&gt;2,ISNUMBER(AC27),ISNUMBER(AE27)),1,0)</f>
        <v>0</v>
      </c>
      <c r="AD33" s="1232"/>
      <c r="AE33" s="1233">
        <f>IF(AND(AE27&gt;AC27,$AK8&gt;9,$AK7&gt;2,ISNUMBER(AC27),ISNUMBER(AE27)),1,0)</f>
        <v>0</v>
      </c>
    </row>
    <row r="34" spans="1:33" s="1231" customFormat="1" ht="12.75" hidden="1" customHeight="1" x14ac:dyDescent="0.2">
      <c r="A34" s="1231" t="s">
        <v>57</v>
      </c>
      <c r="B34" s="1232">
        <f>IF(AND(B28&gt;D28,$AK8&gt;0,$AK7&gt;3,ISNUMBER(B28),ISNUMBER(D28)),1,0)</f>
        <v>0</v>
      </c>
      <c r="C34" s="1232"/>
      <c r="D34" s="1233">
        <f>IF(AND(D28&gt;B28,$AK8&gt;0,$AK7&gt;3,ISNUMBER(B28),ISNUMBER(D28)),1,0)</f>
        <v>0</v>
      </c>
      <c r="E34" s="1232">
        <f>IF(AND(E28&gt;G28,$AK8&gt;1,$AK7&gt;3,ISNUMBER(E28),ISNUMBER(G28)),1,0)</f>
        <v>0</v>
      </c>
      <c r="F34" s="1232"/>
      <c r="G34" s="1233">
        <f>IF(AND(G28&gt;E28,$AK8&gt;1,$AK7&gt;3,ISNUMBER(E28),ISNUMBER(G28)),1,0)</f>
        <v>0</v>
      </c>
      <c r="H34" s="1232">
        <f>IF(AND(H28&gt;J28,$AK8&gt;2,$AK7&gt;3,ISNUMBER(H28),ISNUMBER(J28)),1,0)</f>
        <v>0</v>
      </c>
      <c r="I34" s="1232"/>
      <c r="J34" s="1233">
        <f>IF(AND(J28&gt;H28,$AK8&gt;2,$AK7&gt;3,ISNUMBER(H28),ISNUMBER(J28)),1,0)</f>
        <v>0</v>
      </c>
      <c r="K34" s="1232">
        <f>IF(AND(K28&gt;M28,$AK8&gt;3,$AK7&gt;3,ISNUMBER(K28),ISNUMBER(M28)),1,0)</f>
        <v>0</v>
      </c>
      <c r="L34" s="1232"/>
      <c r="M34" s="1233">
        <f>IF(AND(M28&gt;K28,$AK8&gt;3,$AK7&gt;3,ISNUMBER(K28),ISNUMBER(M28)),1,0)</f>
        <v>0</v>
      </c>
      <c r="N34" s="1232">
        <f>IF(AND(N28&gt;P28,$AK8&gt;4,$AK7&gt;3,ISNUMBER(N28),ISNUMBER(P28)),1,0)</f>
        <v>0</v>
      </c>
      <c r="O34" s="1232"/>
      <c r="P34" s="1233">
        <f>IF(AND(P28&gt;N28,$AK8&gt;4,$AK7&gt;3,ISNUMBER(N28),ISNUMBER(P28)),1,0)</f>
        <v>0</v>
      </c>
      <c r="Q34" s="1232">
        <f>IF(AND(Q28&gt;S28,$AK8&gt;5,$AK7&gt;3,ISNUMBER(Q28),ISNUMBER(S28)),1,0)</f>
        <v>0</v>
      </c>
      <c r="R34" s="1232"/>
      <c r="S34" s="1233">
        <f>IF(AND(S28&gt;Q28,$AK8&gt;5,$AK7&gt;3,ISNUMBER(Q28),ISNUMBER(S28)),1,0)</f>
        <v>0</v>
      </c>
      <c r="T34" s="1232">
        <f>IF(AND(T28&gt;V28,$AK8&gt;6,$AK7&gt;3,ISNUMBER(T28),ISNUMBER(V28)),1,0)</f>
        <v>0</v>
      </c>
      <c r="U34" s="1232"/>
      <c r="V34" s="1233">
        <f>IF(AND(V28&gt;T28,$AK8&gt;6,$AK7&gt;3,ISNUMBER(T28),ISNUMBER(V28)),1,0)</f>
        <v>0</v>
      </c>
      <c r="W34" s="1232">
        <f>IF(AND(W28&gt;Y28,$AK8&gt;7,$AK7&gt;3,ISNUMBER(W28),ISNUMBER(Y28)),1,0)</f>
        <v>0</v>
      </c>
      <c r="X34" s="1232"/>
      <c r="Y34" s="1233">
        <f>IF(AND(Y28&gt;W28,$AK8&gt;7,$AK7&gt;3,ISNUMBER(W28),ISNUMBER(Y28)),1,0)</f>
        <v>0</v>
      </c>
      <c r="Z34" s="1232">
        <f>IF(AND(Z28&gt;AB28,$AK8&gt;8,$AK7&gt;3,ISNUMBER(Z28),ISNUMBER(AB28)),1,0)</f>
        <v>0</v>
      </c>
      <c r="AA34" s="1232"/>
      <c r="AB34" s="1233">
        <f>IF(AND(AB28&gt;Z28,$AK8&gt;8,$AK7&gt;3,ISNUMBER(Z28),ISNUMBER(AB28)),1,0)</f>
        <v>0</v>
      </c>
      <c r="AC34" s="1232">
        <f>IF(AND(AC28&gt;AE28,$AK8&gt;9,$AK7&gt;3,ISNUMBER(AC28),ISNUMBER(AE28)),1,0)</f>
        <v>0</v>
      </c>
      <c r="AD34" s="1232"/>
      <c r="AE34" s="1233">
        <f>IF(AND(AE28&gt;AC28,$AK8&gt;9,$AK7&gt;3,ISNUMBER(AC28),ISNUMBER(AE28)),1,0)</f>
        <v>0</v>
      </c>
    </row>
    <row r="35" spans="1:33" s="1231" customFormat="1" ht="12.75" hidden="1" customHeight="1" x14ac:dyDescent="0.2">
      <c r="A35" s="1231" t="s">
        <v>58</v>
      </c>
      <c r="B35" s="1232">
        <f>IF(AND(B29&gt;D29,$AK8&gt;0,$AK7&gt;4,ISNUMBER(B29),ISNUMBER(D29)),1,0)</f>
        <v>0</v>
      </c>
      <c r="C35" s="1232"/>
      <c r="D35" s="1233">
        <f>IF(AND(D29&gt;B29,$AK8&gt;0,$AK7&gt;4,ISNUMBER(B29),ISNUMBER(D29)),1,0)</f>
        <v>0</v>
      </c>
      <c r="E35" s="1232">
        <f>IF(AND(E29&gt;G29,$AK8&gt;1,$AK7&gt;4,ISNUMBER(E29),ISNUMBER(G29)),1,0)</f>
        <v>0</v>
      </c>
      <c r="F35" s="1232"/>
      <c r="G35" s="1233">
        <f>IF(AND(G29&gt;E29,$AK8&gt;1,$AK7&gt;4,ISNUMBER(E29),ISNUMBER(G29)),1,0)</f>
        <v>0</v>
      </c>
      <c r="H35" s="1232">
        <f>IF(AND(H29&gt;J29,$AK8&gt;2,$AK7&gt;4,ISNUMBER(H29),ISNUMBER(J29)),1,0)</f>
        <v>0</v>
      </c>
      <c r="I35" s="1232"/>
      <c r="J35" s="1233">
        <f>IF(AND(J29&gt;H29,$AK8&gt;2,$AK7&gt;4,ISNUMBER(H29),ISNUMBER(J29)),1,0)</f>
        <v>0</v>
      </c>
      <c r="K35" s="1232">
        <f>IF(AND(K29&gt;M29,$AK8&gt;3,$AK7&gt;4,ISNUMBER(K29),ISNUMBER(M29)),1,0)</f>
        <v>0</v>
      </c>
      <c r="L35" s="1232"/>
      <c r="M35" s="1233">
        <f>IF(AND(M29&gt;K29,$AK8&gt;3,$AK7&gt;4,ISNUMBER(K29),ISNUMBER(M29)),1,0)</f>
        <v>0</v>
      </c>
      <c r="N35" s="1232">
        <f>IF(AND(N29&gt;P29,$AK8&gt;4,$AK7&gt;4,ISNUMBER(N29),ISNUMBER(P29)),1,0)</f>
        <v>0</v>
      </c>
      <c r="O35" s="1232"/>
      <c r="P35" s="1233">
        <f>IF(AND(P29&gt;N29,$AK8&gt;4,$AK7&gt;4,ISNUMBER(N29),ISNUMBER(P29)),1,0)</f>
        <v>0</v>
      </c>
      <c r="Q35" s="1232">
        <f>IF(AND(Q29&gt;S29,$AK8&gt;5,$AK7&gt;4,ISNUMBER(Q29),ISNUMBER(S29)),1,0)</f>
        <v>0</v>
      </c>
      <c r="R35" s="1232"/>
      <c r="S35" s="1233">
        <f>IF(AND(S29&gt;Q29,$AK8&gt;5,$AK7&gt;4,ISNUMBER(Q29),ISNUMBER(S29)),1,0)</f>
        <v>0</v>
      </c>
      <c r="T35" s="1232">
        <f>IF(AND(T29&gt;V29,$AK8&gt;6,$AK7&gt;4,ISNUMBER(T29),ISNUMBER(V29)),1,0)</f>
        <v>0</v>
      </c>
      <c r="U35" s="1232"/>
      <c r="V35" s="1233">
        <f>IF(AND(V29&gt;T29,$AK8&gt;6,$AK7&gt;4,ISNUMBER(T29),ISNUMBER(V29)),1,0)</f>
        <v>0</v>
      </c>
      <c r="W35" s="1232">
        <f>IF(AND(W29&gt;Y29,$AK8&gt;7,$AK7&gt;4,ISNUMBER(W29),ISNUMBER(Y29)),1,0)</f>
        <v>0</v>
      </c>
      <c r="X35" s="1232"/>
      <c r="Y35" s="1233">
        <f>IF(AND(Y29&gt;W29,$AK8&gt;7,$AK7&gt;4,ISNUMBER(W29),ISNUMBER(Y29)),1,0)</f>
        <v>0</v>
      </c>
      <c r="Z35" s="1232">
        <f>IF(AND(Z29&gt;AB29,$AK8&gt;8,$AK7&gt;4,ISNUMBER(Z29),ISNUMBER(AB29)),1,0)</f>
        <v>0</v>
      </c>
      <c r="AA35" s="1232"/>
      <c r="AB35" s="1233">
        <f>IF(AND(AB29&gt;Z29,$AK8&gt;8,$AK7&gt;4,ISNUMBER(Z29),ISNUMBER(AB29)),1,0)</f>
        <v>0</v>
      </c>
      <c r="AC35" s="1232">
        <f>IF(AND(AC29&gt;AE29,$AK8&gt;9,$AK7&gt;4,ISNUMBER(AC29),ISNUMBER(AE29)),1,0)</f>
        <v>0</v>
      </c>
      <c r="AD35" s="1232"/>
      <c r="AE35" s="1233">
        <f>IF(AND(AE29&gt;AC29,$AK8&gt;9,$AK7&gt;4,ISNUMBER(AC29),ISNUMBER(AE29)),1,0)</f>
        <v>0</v>
      </c>
    </row>
    <row r="36" spans="1:33" s="1231" customFormat="1" ht="38.25" hidden="1" customHeight="1" x14ac:dyDescent="0.2">
      <c r="A36" s="1234" t="s">
        <v>59</v>
      </c>
      <c r="B36" s="1231">
        <f>SUM(B31:B35)</f>
        <v>1</v>
      </c>
      <c r="D36" s="1235">
        <f>SUM(D31:D35)</f>
        <v>1</v>
      </c>
      <c r="E36" s="1231">
        <f>SUM(E31:E35)</f>
        <v>0</v>
      </c>
      <c r="G36" s="1235">
        <f>SUM(G31:G35)</f>
        <v>2</v>
      </c>
      <c r="H36" s="1231">
        <f>SUM(H31:H35)</f>
        <v>2</v>
      </c>
      <c r="J36" s="1235">
        <f>SUM(J31:J35)</f>
        <v>0</v>
      </c>
      <c r="K36" s="1231">
        <f>SUM(K31:K35)</f>
        <v>0</v>
      </c>
      <c r="M36" s="1235">
        <f>SUM(M31:M35)</f>
        <v>2</v>
      </c>
      <c r="N36" s="1231">
        <f>SUM(N31:N35)</f>
        <v>1</v>
      </c>
      <c r="P36" s="1235">
        <f>SUM(P31:P35)</f>
        <v>1</v>
      </c>
      <c r="Q36" s="1231">
        <f>SUM(Q31:Q35)</f>
        <v>1</v>
      </c>
      <c r="S36" s="1235">
        <f>SUM(S31:S35)</f>
        <v>0</v>
      </c>
      <c r="T36" s="1231">
        <f>SUM(T31:T35)</f>
        <v>1</v>
      </c>
      <c r="V36" s="1235">
        <f>SUM(V31:V35)</f>
        <v>0</v>
      </c>
      <c r="W36" s="1231">
        <f>SUM(W31:W35)</f>
        <v>0</v>
      </c>
      <c r="Y36" s="1235">
        <f>SUM(Y31:Y35)</f>
        <v>0</v>
      </c>
      <c r="Z36" s="1231">
        <f>SUM(Z31:Z35)</f>
        <v>0</v>
      </c>
      <c r="AB36" s="1235">
        <f>SUM(AB31:AB35)</f>
        <v>0</v>
      </c>
      <c r="AC36" s="1231">
        <f>SUM(AC31:AC35)</f>
        <v>0</v>
      </c>
      <c r="AE36" s="1235">
        <f>SUM(AE31:AE35)</f>
        <v>0</v>
      </c>
    </row>
    <row r="37" spans="1:33" s="1231" customFormat="1" ht="25.5" hidden="1" customHeight="1" x14ac:dyDescent="0.2">
      <c r="A37" s="1234" t="s">
        <v>60</v>
      </c>
      <c r="B37" s="1231">
        <f>IF(B36&gt;D36,IF(C71=AK7,1,IF(C71=AK7-1,1,0)),0)</f>
        <v>0</v>
      </c>
      <c r="C37" s="1231">
        <f>B37+D37</f>
        <v>0</v>
      </c>
      <c r="D37" s="1235">
        <f>IF(D36&gt;B36,IF(C71=AK7,1,IF(C71=AK7-1,1,0)),0)</f>
        <v>0</v>
      </c>
      <c r="E37" s="1231">
        <f>IF(E36&gt;G36,IF(F71=AK7,1,IF(F71=AK7-1,1,0)),0)</f>
        <v>0</v>
      </c>
      <c r="F37" s="1231">
        <f>E37+G37</f>
        <v>1</v>
      </c>
      <c r="G37" s="1235">
        <f>IF(G36&gt;E36,IF(F71=AK7,1,IF(F71=AK7-1,1,0)),0)</f>
        <v>1</v>
      </c>
      <c r="H37" s="1231">
        <f>IF(H36&gt;J36,IF(I71=AK7,1,IF(I71=AK7-1,1,0)),0)</f>
        <v>1</v>
      </c>
      <c r="I37" s="1231">
        <f>H37+J37</f>
        <v>1</v>
      </c>
      <c r="J37" s="1235">
        <f>IF(J36&gt;H36,IF(I71=AK7,1,IF(I71=AK7-1,1,0)),0)</f>
        <v>0</v>
      </c>
      <c r="K37" s="1231">
        <f>IF(K36&gt;M36,IF(L71=AK7,1,IF(L71=AK7-1,1,0)),0)</f>
        <v>0</v>
      </c>
      <c r="L37" s="1231">
        <f>K37+M37</f>
        <v>1</v>
      </c>
      <c r="M37" s="1235">
        <f>IF(M36&gt;K36,IF(L71=AK7,1,IF(L71=AK7-1,1,0)),0)</f>
        <v>1</v>
      </c>
      <c r="N37" s="1231">
        <f>IF(N36&gt;P36,IF(O71=AK7,1,IF(O71=AK7-1,1,0)),0)</f>
        <v>0</v>
      </c>
      <c r="O37" s="1231">
        <f>N37+P37</f>
        <v>0</v>
      </c>
      <c r="P37" s="1235">
        <f>IF(P36&gt;N36,IF(O71=AK7,1,IF(O71=AK7-1,1,0)),0)</f>
        <v>0</v>
      </c>
      <c r="Q37" s="1231">
        <f>IF(Q36&gt;S36,IF(R71=AK7,1,IF(R71=AK7-1,1,0)),0)</f>
        <v>1</v>
      </c>
      <c r="R37" s="1231">
        <f>Q37+S37</f>
        <v>1</v>
      </c>
      <c r="S37" s="1235">
        <f>IF(S36&gt;Q36,IF(R71=AK7,1,IF(R71=AK7-1,1,0)),0)</f>
        <v>0</v>
      </c>
      <c r="T37" s="1231">
        <f>IF(T36&gt;V36,IF(U71=AK7,1,IF(U71=AK7-1,1,0)),0)</f>
        <v>1</v>
      </c>
      <c r="U37" s="1231">
        <f>T37+V37</f>
        <v>1</v>
      </c>
      <c r="V37" s="1235">
        <f>IF(V36&gt;T36,IF(U71=AK7,1,IF(U71=AK7-1,1,0)),0)</f>
        <v>0</v>
      </c>
      <c r="W37" s="1231">
        <f>IF(W36&gt;Y36,IF(X71=AK7,1,IF(X71=AK7-1,1,0)),0)</f>
        <v>0</v>
      </c>
      <c r="X37" s="1231">
        <f>W37+Y37</f>
        <v>0</v>
      </c>
      <c r="Y37" s="1235">
        <f>IF(Y36&gt;W36,IF(X71=AK7,1,IF(X71=AK7-1,1,0)),0)</f>
        <v>0</v>
      </c>
      <c r="Z37" s="1231">
        <f>IF(Z36&gt;AB36,IF(AA71=AK7,1,IF(AA71=AK7-1,1,0)),0)</f>
        <v>0</v>
      </c>
      <c r="AA37" s="1231">
        <f>Z37+AB37</f>
        <v>0</v>
      </c>
      <c r="AB37" s="1235">
        <f>IF(AB36&gt;Z36,IF(AA71=AK7,1,IF(AA71=AK7-1,1,0)),0)</f>
        <v>0</v>
      </c>
      <c r="AC37" s="1231">
        <f>IF(AC36&gt;AE36,IF(AD71=AK7,1,IF(AD71=AK7-1,1,0)),0)</f>
        <v>0</v>
      </c>
      <c r="AD37" s="1231">
        <f>AC37+AE37</f>
        <v>0</v>
      </c>
      <c r="AE37" s="1235">
        <f>IF(AE36&gt;AC36,IF(AD71=AK7,1,IF(AD71=AK7-1,1,0)),0)</f>
        <v>0</v>
      </c>
    </row>
    <row r="38" spans="1:33" s="1231" customFormat="1" ht="25.5" hidden="1" customHeight="1" x14ac:dyDescent="0.2">
      <c r="A38" s="1234"/>
      <c r="D38" s="1235"/>
      <c r="G38" s="1235"/>
      <c r="J38" s="1235"/>
      <c r="M38" s="1235"/>
      <c r="P38" s="1235"/>
      <c r="S38" s="1235"/>
      <c r="V38" s="1235"/>
      <c r="Y38" s="1235"/>
      <c r="AB38" s="1235"/>
      <c r="AE38" s="1235"/>
    </row>
    <row r="39" spans="1:33" s="1231" customFormat="1" ht="12.75" hidden="1" customHeight="1" x14ac:dyDescent="0.2">
      <c r="A39" s="1231" t="s">
        <v>61</v>
      </c>
      <c r="B39" s="1231">
        <f>IF(B31=1,B25,0)</f>
        <v>21</v>
      </c>
      <c r="D39" s="1235">
        <f t="shared" ref="D39:E43" si="0">IF(D31=1,D25,0)</f>
        <v>0</v>
      </c>
      <c r="E39" s="1231">
        <f t="shared" si="0"/>
        <v>0</v>
      </c>
      <c r="G39" s="1235">
        <f t="shared" ref="G39:H43" si="1">IF(G31=1,G25,0)</f>
        <v>23</v>
      </c>
      <c r="H39" s="1231">
        <f t="shared" si="1"/>
        <v>21</v>
      </c>
      <c r="J39" s="1235">
        <f t="shared" ref="J39:K43" si="2">IF(J31=1,J25,0)</f>
        <v>0</v>
      </c>
      <c r="K39" s="1231">
        <f t="shared" si="2"/>
        <v>0</v>
      </c>
      <c r="M39" s="1235">
        <f t="shared" ref="M39:N43" si="3">IF(M31=1,M25,0)</f>
        <v>14</v>
      </c>
      <c r="N39" s="1231">
        <f t="shared" si="3"/>
        <v>0</v>
      </c>
      <c r="P39" s="1235">
        <f t="shared" ref="P39:Q43" si="4">IF(P31=1,P25,0)</f>
        <v>16</v>
      </c>
      <c r="Q39" s="1231">
        <f t="shared" si="4"/>
        <v>17</v>
      </c>
      <c r="S39" s="1235">
        <f t="shared" ref="S39:T43" si="5">IF(S31=1,S25,0)</f>
        <v>0</v>
      </c>
      <c r="T39" s="1231">
        <f t="shared" si="5"/>
        <v>17</v>
      </c>
      <c r="V39" s="1235">
        <f t="shared" ref="V39:W43" si="6">IF(V31=1,V25,0)</f>
        <v>0</v>
      </c>
      <c r="W39" s="1231">
        <f t="shared" si="6"/>
        <v>0</v>
      </c>
      <c r="Y39" s="1235">
        <f t="shared" ref="Y39:Z43" si="7">IF(Y31=1,Y25,0)</f>
        <v>0</v>
      </c>
      <c r="Z39" s="1231">
        <f t="shared" si="7"/>
        <v>0</v>
      </c>
      <c r="AB39" s="1235">
        <f t="shared" ref="AB39:AC43" si="8">IF(AB31=1,AB25,0)</f>
        <v>0</v>
      </c>
      <c r="AC39" s="1231">
        <f t="shared" si="8"/>
        <v>0</v>
      </c>
      <c r="AE39" s="1235">
        <f>IF(AE31=1,AE25,0)</f>
        <v>0</v>
      </c>
    </row>
    <row r="40" spans="1:33" s="1231" customFormat="1" ht="12.75" hidden="1" customHeight="1" x14ac:dyDescent="0.2">
      <c r="A40" s="1231" t="s">
        <v>62</v>
      </c>
      <c r="B40" s="1231">
        <f>IF(B32=1,B26,0)</f>
        <v>0</v>
      </c>
      <c r="D40" s="1235">
        <f t="shared" si="0"/>
        <v>17</v>
      </c>
      <c r="E40" s="1231">
        <f t="shared" si="0"/>
        <v>0</v>
      </c>
      <c r="G40" s="1235">
        <f t="shared" si="1"/>
        <v>19</v>
      </c>
      <c r="H40" s="1231">
        <f t="shared" si="1"/>
        <v>18</v>
      </c>
      <c r="J40" s="1235">
        <f t="shared" si="2"/>
        <v>0</v>
      </c>
      <c r="K40" s="1231">
        <f t="shared" si="2"/>
        <v>0</v>
      </c>
      <c r="M40" s="1235">
        <f t="shared" si="3"/>
        <v>22</v>
      </c>
      <c r="N40" s="1231">
        <f t="shared" si="3"/>
        <v>21</v>
      </c>
      <c r="P40" s="1235">
        <f t="shared" si="4"/>
        <v>0</v>
      </c>
      <c r="Q40" s="1231">
        <f t="shared" si="4"/>
        <v>0</v>
      </c>
      <c r="S40" s="1235">
        <f t="shared" si="5"/>
        <v>0</v>
      </c>
      <c r="T40" s="1231">
        <f t="shared" si="5"/>
        <v>0</v>
      </c>
      <c r="V40" s="1235">
        <f t="shared" si="6"/>
        <v>0</v>
      </c>
      <c r="W40" s="1231">
        <f t="shared" si="6"/>
        <v>0</v>
      </c>
      <c r="Y40" s="1235">
        <f t="shared" si="7"/>
        <v>0</v>
      </c>
      <c r="Z40" s="1231">
        <f t="shared" si="7"/>
        <v>0</v>
      </c>
      <c r="AB40" s="1235">
        <f t="shared" si="8"/>
        <v>0</v>
      </c>
      <c r="AC40" s="1231">
        <f t="shared" si="8"/>
        <v>0</v>
      </c>
      <c r="AE40" s="1235">
        <f>IF(AE32=1,AE26,0)</f>
        <v>0</v>
      </c>
    </row>
    <row r="41" spans="1:33" s="1231" customFormat="1" ht="12.75" hidden="1" customHeight="1" x14ac:dyDescent="0.2">
      <c r="A41" s="1231" t="s">
        <v>63</v>
      </c>
      <c r="B41" s="1231">
        <f>IF(B33=1,B27,0)</f>
        <v>0</v>
      </c>
      <c r="D41" s="1235">
        <f t="shared" si="0"/>
        <v>0</v>
      </c>
      <c r="E41" s="1231">
        <f t="shared" si="0"/>
        <v>0</v>
      </c>
      <c r="G41" s="1235">
        <f t="shared" si="1"/>
        <v>0</v>
      </c>
      <c r="H41" s="1231">
        <f t="shared" si="1"/>
        <v>0</v>
      </c>
      <c r="J41" s="1235">
        <f t="shared" si="2"/>
        <v>0</v>
      </c>
      <c r="K41" s="1231">
        <f t="shared" si="2"/>
        <v>0</v>
      </c>
      <c r="M41" s="1235">
        <f t="shared" si="3"/>
        <v>0</v>
      </c>
      <c r="N41" s="1231">
        <f t="shared" si="3"/>
        <v>0</v>
      </c>
      <c r="P41" s="1235">
        <f t="shared" si="4"/>
        <v>0</v>
      </c>
      <c r="Q41" s="1231">
        <f t="shared" si="4"/>
        <v>0</v>
      </c>
      <c r="S41" s="1235">
        <f t="shared" si="5"/>
        <v>0</v>
      </c>
      <c r="T41" s="1231">
        <f t="shared" si="5"/>
        <v>0</v>
      </c>
      <c r="V41" s="1235">
        <f t="shared" si="6"/>
        <v>0</v>
      </c>
      <c r="W41" s="1231">
        <f t="shared" si="6"/>
        <v>0</v>
      </c>
      <c r="Y41" s="1235">
        <f t="shared" si="7"/>
        <v>0</v>
      </c>
      <c r="Z41" s="1231">
        <f t="shared" si="7"/>
        <v>0</v>
      </c>
      <c r="AB41" s="1235">
        <f t="shared" si="8"/>
        <v>0</v>
      </c>
      <c r="AC41" s="1231">
        <f t="shared" si="8"/>
        <v>0</v>
      </c>
      <c r="AE41" s="1235">
        <f>IF(AE33=1,AE27,0)</f>
        <v>0</v>
      </c>
    </row>
    <row r="42" spans="1:33" s="1231" customFormat="1" ht="12.75" hidden="1" customHeight="1" x14ac:dyDescent="0.2">
      <c r="A42" s="1231" t="s">
        <v>64</v>
      </c>
      <c r="B42" s="1231">
        <f>IF(B34=1,B28,0)</f>
        <v>0</v>
      </c>
      <c r="D42" s="1235">
        <f t="shared" si="0"/>
        <v>0</v>
      </c>
      <c r="E42" s="1231">
        <f t="shared" si="0"/>
        <v>0</v>
      </c>
      <c r="G42" s="1235">
        <f t="shared" si="1"/>
        <v>0</v>
      </c>
      <c r="H42" s="1231">
        <f t="shared" si="1"/>
        <v>0</v>
      </c>
      <c r="J42" s="1235">
        <f t="shared" si="2"/>
        <v>0</v>
      </c>
      <c r="K42" s="1231">
        <f t="shared" si="2"/>
        <v>0</v>
      </c>
      <c r="M42" s="1235">
        <f t="shared" si="3"/>
        <v>0</v>
      </c>
      <c r="N42" s="1231">
        <f t="shared" si="3"/>
        <v>0</v>
      </c>
      <c r="P42" s="1235">
        <f t="shared" si="4"/>
        <v>0</v>
      </c>
      <c r="Q42" s="1231">
        <f t="shared" si="4"/>
        <v>0</v>
      </c>
      <c r="S42" s="1235">
        <f t="shared" si="5"/>
        <v>0</v>
      </c>
      <c r="T42" s="1231">
        <f t="shared" si="5"/>
        <v>0</v>
      </c>
      <c r="V42" s="1235">
        <f t="shared" si="6"/>
        <v>0</v>
      </c>
      <c r="W42" s="1231">
        <f t="shared" si="6"/>
        <v>0</v>
      </c>
      <c r="Y42" s="1235">
        <f t="shared" si="7"/>
        <v>0</v>
      </c>
      <c r="Z42" s="1231">
        <f t="shared" si="7"/>
        <v>0</v>
      </c>
      <c r="AB42" s="1235">
        <f t="shared" si="8"/>
        <v>0</v>
      </c>
      <c r="AC42" s="1231">
        <f t="shared" si="8"/>
        <v>0</v>
      </c>
      <c r="AE42" s="1235">
        <f>IF(AE34=1,AE28,0)</f>
        <v>0</v>
      </c>
    </row>
    <row r="43" spans="1:33" s="1231" customFormat="1" ht="12.75" hidden="1" customHeight="1" x14ac:dyDescent="0.2">
      <c r="A43" s="1231" t="s">
        <v>65</v>
      </c>
      <c r="B43" s="1231">
        <f>IF(B35=1,B29,0)</f>
        <v>0</v>
      </c>
      <c r="D43" s="1235">
        <f t="shared" si="0"/>
        <v>0</v>
      </c>
      <c r="E43" s="1231">
        <f t="shared" si="0"/>
        <v>0</v>
      </c>
      <c r="G43" s="1235">
        <f t="shared" si="1"/>
        <v>0</v>
      </c>
      <c r="H43" s="1231">
        <f t="shared" si="1"/>
        <v>0</v>
      </c>
      <c r="J43" s="1235">
        <f t="shared" si="2"/>
        <v>0</v>
      </c>
      <c r="K43" s="1231">
        <f t="shared" si="2"/>
        <v>0</v>
      </c>
      <c r="M43" s="1235">
        <f t="shared" si="3"/>
        <v>0</v>
      </c>
      <c r="N43" s="1231">
        <f t="shared" si="3"/>
        <v>0</v>
      </c>
      <c r="P43" s="1235">
        <f t="shared" si="4"/>
        <v>0</v>
      </c>
      <c r="Q43" s="1231">
        <f t="shared" si="4"/>
        <v>0</v>
      </c>
      <c r="S43" s="1235">
        <f t="shared" si="5"/>
        <v>0</v>
      </c>
      <c r="T43" s="1231">
        <f t="shared" si="5"/>
        <v>0</v>
      </c>
      <c r="V43" s="1235">
        <f t="shared" si="6"/>
        <v>0</v>
      </c>
      <c r="W43" s="1231">
        <f t="shared" si="6"/>
        <v>0</v>
      </c>
      <c r="Y43" s="1235">
        <f t="shared" si="7"/>
        <v>0</v>
      </c>
      <c r="Z43" s="1231">
        <f t="shared" si="7"/>
        <v>0</v>
      </c>
      <c r="AB43" s="1235">
        <f t="shared" si="8"/>
        <v>0</v>
      </c>
      <c r="AC43" s="1231">
        <f t="shared" si="8"/>
        <v>0</v>
      </c>
      <c r="AE43" s="1235">
        <f>IF(AE35=1,AE29,0)</f>
        <v>0</v>
      </c>
    </row>
    <row r="44" spans="1:33" s="1231" customFormat="1" ht="38.25" hidden="1" customHeight="1" x14ac:dyDescent="0.2">
      <c r="A44" s="1234" t="s">
        <v>66</v>
      </c>
      <c r="B44" s="1231">
        <f>SUM(B39:D43)</f>
        <v>38</v>
      </c>
      <c r="D44" s="1235"/>
      <c r="E44" s="1231">
        <f>SUM(E39:G43)</f>
        <v>42</v>
      </c>
      <c r="G44" s="1235"/>
      <c r="H44" s="1231">
        <f>SUM(H39:J43)</f>
        <v>39</v>
      </c>
      <c r="J44" s="1235"/>
      <c r="K44" s="1231">
        <f>SUM(K39:M43)</f>
        <v>36</v>
      </c>
      <c r="M44" s="1235"/>
      <c r="N44" s="1231">
        <f>SUM(N39:P43)</f>
        <v>37</v>
      </c>
      <c r="P44" s="1235"/>
      <c r="Q44" s="1231">
        <f>SUM(Q39:S43)</f>
        <v>17</v>
      </c>
      <c r="S44" s="1235"/>
      <c r="T44" s="1231">
        <f>SUM(T39:V43)</f>
        <v>17</v>
      </c>
      <c r="V44" s="1235"/>
      <c r="W44" s="1231">
        <f>SUM(W39:Y43)</f>
        <v>0</v>
      </c>
      <c r="Y44" s="1235"/>
      <c r="Z44" s="1231">
        <f>SUM(Z39:AB43)</f>
        <v>0</v>
      </c>
      <c r="AB44" s="1235"/>
      <c r="AC44" s="1231">
        <f>SUM(AC39:AE43)</f>
        <v>0</v>
      </c>
      <c r="AE44" s="1235"/>
    </row>
    <row r="45" spans="1:33" s="1231" customFormat="1" ht="38.25" hidden="1" customHeight="1" x14ac:dyDescent="0.2">
      <c r="A45" s="1231" t="s">
        <v>67</v>
      </c>
      <c r="D45" s="1235"/>
      <c r="G45" s="1235"/>
      <c r="J45" s="1235"/>
      <c r="M45" s="1235"/>
      <c r="P45" s="1235"/>
      <c r="S45" s="1235"/>
      <c r="V45" s="1235"/>
      <c r="Y45" s="1235"/>
      <c r="AB45" s="1235"/>
      <c r="AE45" s="1235"/>
      <c r="AF45" s="1234" t="s">
        <v>68</v>
      </c>
      <c r="AG45" s="1231" t="s">
        <v>69</v>
      </c>
    </row>
    <row r="46" spans="1:33" s="1231" customFormat="1" ht="12.75" hidden="1" customHeight="1" x14ac:dyDescent="0.2">
      <c r="A46" s="1231" t="s">
        <v>70</v>
      </c>
      <c r="B46" s="1231">
        <f>IF(B24=1,IF(B37=1,1,0),0)</f>
        <v>0</v>
      </c>
      <c r="D46" s="1235">
        <f>IF(D24=1,IF(D37=1,1,0),0)</f>
        <v>0</v>
      </c>
      <c r="E46" s="1231">
        <f>IF(E24=1,IF(E37=1,1,0),0)</f>
        <v>0</v>
      </c>
      <c r="G46" s="1235">
        <f>IF(G24=1,IF(G37=1,1,0),0)</f>
        <v>0</v>
      </c>
      <c r="H46" s="1231">
        <f>IF(H24=1,IF(H37=1,1,0),0)</f>
        <v>1</v>
      </c>
      <c r="J46" s="1235">
        <f>IF(J24=1,IF(J37=1,1,0),0)</f>
        <v>0</v>
      </c>
      <c r="K46" s="1231">
        <f>IF(K24=1,IF(K37=1,1,0),0)</f>
        <v>0</v>
      </c>
      <c r="M46" s="1235">
        <f>IF(M24=1,IF(M37=1,1,0),0)</f>
        <v>0</v>
      </c>
      <c r="N46" s="1231">
        <f>IF(N24=1,IF(N37=1,1,0),0)</f>
        <v>0</v>
      </c>
      <c r="P46" s="1235">
        <f>IF(P24=1,IF(P37=1,1,0),0)</f>
        <v>0</v>
      </c>
      <c r="Q46" s="1231">
        <f>IF(Q24=1,IF(Q37=1,1,0),0)</f>
        <v>1</v>
      </c>
      <c r="S46" s="1235">
        <f>IF(S24=1,IF(S37=1,1,0),0)</f>
        <v>0</v>
      </c>
      <c r="T46" s="1231">
        <f>IF(T24=1,IF(T37=1,1,0),0)</f>
        <v>0</v>
      </c>
      <c r="V46" s="1235">
        <f>IF(V24=1,IF(V37=1,1,0),0)</f>
        <v>0</v>
      </c>
      <c r="W46" s="1231">
        <f>IF(W24=1,IF(W37=1,1,0),0)</f>
        <v>0</v>
      </c>
      <c r="Y46" s="1235">
        <f>IF(Y24=1,IF(Y37=1,1,0),0)</f>
        <v>0</v>
      </c>
      <c r="Z46" s="1231">
        <f>IF(Z24=1,IF(Z37=1,1,0),0)</f>
        <v>0</v>
      </c>
      <c r="AB46" s="1235">
        <f>IF(AB24=1,IF(AB37=1,1,0),0)</f>
        <v>0</v>
      </c>
      <c r="AC46" s="1231">
        <f>IF(AC24=1,IF(AC37=1,1,0),0)</f>
        <v>0</v>
      </c>
      <c r="AE46" s="1235">
        <f>IF(AE24=1,IF(AE37=1,1,0),0)</f>
        <v>0</v>
      </c>
      <c r="AF46" s="1231">
        <f>SUM(B46:AE46)</f>
        <v>2</v>
      </c>
      <c r="AG46" s="1231">
        <f>AF52-AF46</f>
        <v>0</v>
      </c>
    </row>
    <row r="47" spans="1:33" s="1231" customFormat="1" ht="12.75" hidden="1" customHeight="1" x14ac:dyDescent="0.2">
      <c r="A47" s="1231" t="s">
        <v>71</v>
      </c>
      <c r="B47" s="1231">
        <f>IF(B24=2,IF(B37=1,1,0),0)</f>
        <v>0</v>
      </c>
      <c r="D47" s="1235">
        <f>IF(D24=2,IF(D37=1,1,0),0)</f>
        <v>0</v>
      </c>
      <c r="E47" s="1231">
        <f>IF(E24=2,IF(E37=1,1,0),0)</f>
        <v>0</v>
      </c>
      <c r="G47" s="1235">
        <f>IF(G24=2,IF(G37=1,1,0),0)</f>
        <v>0</v>
      </c>
      <c r="H47" s="1231">
        <f>IF(H24=2,IF(H37=1,1,0),0)</f>
        <v>0</v>
      </c>
      <c r="J47" s="1235">
        <f>IF(J24=2,IF(J37=1,1,0),0)</f>
        <v>0</v>
      </c>
      <c r="K47" s="1231">
        <f>IF(K24=2,IF(K37=1,1,0),0)</f>
        <v>0</v>
      </c>
      <c r="M47" s="1235">
        <f>IF(M24=2,IF(M37=1,1,0),0)</f>
        <v>0</v>
      </c>
      <c r="N47" s="1231">
        <f>IF(N24=2,IF(N37=1,1,0),0)</f>
        <v>0</v>
      </c>
      <c r="P47" s="1235">
        <f>IF(P24=2,IF(P37=1,1,0),0)</f>
        <v>0</v>
      </c>
      <c r="Q47" s="1231">
        <f>IF(Q24=2,IF(Q37=1,1,0),0)</f>
        <v>0</v>
      </c>
      <c r="S47" s="1235">
        <f>IF(S24=2,IF(S37=1,1,0),0)</f>
        <v>0</v>
      </c>
      <c r="T47" s="1231">
        <f>IF(T24=2,IF(T37=1,1,0),0)</f>
        <v>0</v>
      </c>
      <c r="V47" s="1235">
        <f>IF(V24=2,IF(V37=1,1,0),0)</f>
        <v>0</v>
      </c>
      <c r="W47" s="1231">
        <f>IF(W24=2,IF(W37=1,1,0),0)</f>
        <v>0</v>
      </c>
      <c r="Y47" s="1235">
        <f>IF(Y24=2,IF(Y37=1,1,0),0)</f>
        <v>0</v>
      </c>
      <c r="Z47" s="1231">
        <f>IF(Z24=2,IF(Z37=1,1,0),0)</f>
        <v>0</v>
      </c>
      <c r="AB47" s="1235">
        <f>IF(AB24=2,IF(AB37=1,1,0),0)</f>
        <v>0</v>
      </c>
      <c r="AC47" s="1231">
        <f>IF(AC24=2,IF(AC37=1,1,0),0)</f>
        <v>0</v>
      </c>
      <c r="AE47" s="1235">
        <f>IF(AE24=2,IF(AE37=1,1,0),0)</f>
        <v>0</v>
      </c>
      <c r="AF47" s="1231">
        <f>SUM(B47:AE47)</f>
        <v>0</v>
      </c>
      <c r="AG47" s="1231">
        <f>AF53-AF47</f>
        <v>2</v>
      </c>
    </row>
    <row r="48" spans="1:33" s="1231" customFormat="1" ht="12.75" hidden="1" customHeight="1" x14ac:dyDescent="0.2">
      <c r="A48" s="1231" t="s">
        <v>72</v>
      </c>
      <c r="B48" s="1231">
        <f>IF(B24=3,IF(B37=1,1,0),0)</f>
        <v>0</v>
      </c>
      <c r="D48" s="1235">
        <f>IF(D24=3,IF(D37=1,1,0),0)</f>
        <v>0</v>
      </c>
      <c r="E48" s="1231">
        <f>IF(E24=3,IF(E37=1,1,0),0)</f>
        <v>0</v>
      </c>
      <c r="G48" s="1235">
        <f>IF(G24=3,IF(G37=1,1,0),0)</f>
        <v>0</v>
      </c>
      <c r="H48" s="1231">
        <f>IF(H24=3,IF(H37=1,1,0),0)</f>
        <v>0</v>
      </c>
      <c r="J48" s="1235">
        <f>IF(J24=3,IF(J37=1,1,0),0)</f>
        <v>0</v>
      </c>
      <c r="K48" s="1231">
        <f>IF(K24=3,IF(K37=1,1,0),0)</f>
        <v>0</v>
      </c>
      <c r="M48" s="1235">
        <f>IF(M24=3,IF(M37=1,1,0),0)</f>
        <v>1</v>
      </c>
      <c r="N48" s="1231">
        <f>IF(N24=3,IF(N37=1,1,0),0)</f>
        <v>0</v>
      </c>
      <c r="P48" s="1235">
        <f>IF(P24=3,IF(P37=1,1,0),0)</f>
        <v>0</v>
      </c>
      <c r="Q48" s="1231">
        <f>IF(Q24=3,IF(Q37=1,1,0),0)</f>
        <v>0</v>
      </c>
      <c r="S48" s="1235">
        <f>IF(S24=3,IF(S37=1,1,0),0)</f>
        <v>0</v>
      </c>
      <c r="T48" s="1231">
        <f>IF(T24=3,IF(T37=1,1,0),0)</f>
        <v>1</v>
      </c>
      <c r="V48" s="1235">
        <f>IF(V24=3,IF(V37=1,1,0),0)</f>
        <v>0</v>
      </c>
      <c r="W48" s="1231">
        <f>IF(W24=3,IF(W37=1,1,0),0)</f>
        <v>0</v>
      </c>
      <c r="Y48" s="1235">
        <f>IF(Y24=3,IF(Y37=1,1,0),0)</f>
        <v>0</v>
      </c>
      <c r="Z48" s="1231">
        <f>IF(Z24=3,IF(Z37=1,1,0),0)</f>
        <v>0</v>
      </c>
      <c r="AB48" s="1235">
        <f>IF(AB24=3,IF(AB37=1,1,0),0)</f>
        <v>0</v>
      </c>
      <c r="AC48" s="1231">
        <f>IF(AC24=3,IF(AC37=1,1,0),0)</f>
        <v>0</v>
      </c>
      <c r="AE48" s="1235">
        <f>IF(AE24=3,IF(AE37=1,1,0),0)</f>
        <v>0</v>
      </c>
      <c r="AF48" s="1231">
        <f>SUM(B48:AE48)</f>
        <v>2</v>
      </c>
      <c r="AG48" s="1231">
        <f>AF54-AF48</f>
        <v>1</v>
      </c>
    </row>
    <row r="49" spans="1:37" s="1231" customFormat="1" ht="12.75" hidden="1" customHeight="1" x14ac:dyDescent="0.2">
      <c r="A49" s="1231" t="s">
        <v>73</v>
      </c>
      <c r="B49" s="1231">
        <f>IF(B24=4,IF(B37=1,1,0),0)</f>
        <v>0</v>
      </c>
      <c r="D49" s="1235">
        <f>IF(D24=4,IF(D37=1,1,0),0)</f>
        <v>0</v>
      </c>
      <c r="E49" s="1231">
        <f>IF(E24=4,IF(E37=1,1,0),0)</f>
        <v>0</v>
      </c>
      <c r="G49" s="1235">
        <f>IF(G24=4,IF(G37=1,1,0),0)</f>
        <v>1</v>
      </c>
      <c r="H49" s="1231">
        <f>IF(H24=4,IF(H37=1,1,0),0)</f>
        <v>0</v>
      </c>
      <c r="J49" s="1235">
        <f>IF(J24=4,IF(J37=1,1,0),0)</f>
        <v>0</v>
      </c>
      <c r="K49" s="1231">
        <f>IF(K24=4,IF(K37=1,1,0),0)</f>
        <v>0</v>
      </c>
      <c r="M49" s="1235">
        <f>IF(M24=4,IF(M37=1,1,0),0)</f>
        <v>0</v>
      </c>
      <c r="N49" s="1231">
        <f>IF(N24=4,IF(N37=1,1,0),0)</f>
        <v>0</v>
      </c>
      <c r="P49" s="1235">
        <f>IF(P24=4,IF(P37=1,1,0),0)</f>
        <v>0</v>
      </c>
      <c r="Q49" s="1231">
        <f>IF(Q24=4,IF(Q37=1,1,0),0)</f>
        <v>0</v>
      </c>
      <c r="S49" s="1235">
        <f>IF(S24=4,IF(S37=1,1,0),0)</f>
        <v>0</v>
      </c>
      <c r="T49" s="1231">
        <f>IF(T24=4,IF(T37=1,1,0),0)</f>
        <v>0</v>
      </c>
      <c r="V49" s="1235">
        <f>IF(V24=4,IF(V37=1,1,0),0)</f>
        <v>0</v>
      </c>
      <c r="W49" s="1231">
        <f>IF(W24=4,IF(W37=1,1,0),0)</f>
        <v>0</v>
      </c>
      <c r="Y49" s="1235">
        <f>IF(Y24=4,IF(Y37=1,1,0),0)</f>
        <v>0</v>
      </c>
      <c r="Z49" s="1231">
        <f>IF(Z24=4,IF(Z37=1,1,0),0)</f>
        <v>0</v>
      </c>
      <c r="AB49" s="1235">
        <f>IF(AB24=4,IF(AB37=1,1,0),0)</f>
        <v>0</v>
      </c>
      <c r="AC49" s="1231">
        <f>IF(AC24=4,IF(AC37=1,1,0),0)</f>
        <v>0</v>
      </c>
      <c r="AE49" s="1235">
        <f>IF(AE24=4,IF(AE37=1,1,0),0)</f>
        <v>0</v>
      </c>
      <c r="AF49" s="1231">
        <f>SUM(B49:AE49)</f>
        <v>1</v>
      </c>
      <c r="AG49" s="1231">
        <f>AF55-AF49</f>
        <v>1</v>
      </c>
    </row>
    <row r="50" spans="1:37" s="1231" customFormat="1" ht="12.75" hidden="1" customHeight="1" x14ac:dyDescent="0.2">
      <c r="A50" s="1231" t="s">
        <v>74</v>
      </c>
      <c r="B50" s="1231">
        <f>IF(B24=5,IF(B37=1,1,0),0)</f>
        <v>0</v>
      </c>
      <c r="D50" s="1235">
        <f>IF(D24=5,IF(D37=1,1,0),0)</f>
        <v>0</v>
      </c>
      <c r="E50" s="1231">
        <f>IF(E24=5,IF(E37=1,1,0),0)</f>
        <v>0</v>
      </c>
      <c r="G50" s="1235">
        <f>IF(G24=5,IF(G37=1,1,0),0)</f>
        <v>0</v>
      </c>
      <c r="H50" s="1231">
        <f>IF(H24=5,IF(H37=1,1,0),0)</f>
        <v>0</v>
      </c>
      <c r="J50" s="1235">
        <f>IF(J24=5,IF(J37=1,1,0),0)</f>
        <v>0</v>
      </c>
      <c r="K50" s="1231">
        <f>IF(K24=5,IF(K37=1,1,0),0)</f>
        <v>0</v>
      </c>
      <c r="M50" s="1235">
        <f>IF(M24=5,IF(M37=1,1,0),0)</f>
        <v>0</v>
      </c>
      <c r="N50" s="1231">
        <f>IF(N24=5,IF(N37=1,1,0),0)</f>
        <v>0</v>
      </c>
      <c r="P50" s="1235">
        <f>IF(P24=5,IF(P37=1,1,0),0)</f>
        <v>0</v>
      </c>
      <c r="Q50" s="1231">
        <f>IF(Q24=5,IF(Q37=1,1,0),0)</f>
        <v>0</v>
      </c>
      <c r="S50" s="1235">
        <f>IF(S24=5,IF(S37=1,1,0),0)</f>
        <v>0</v>
      </c>
      <c r="T50" s="1231">
        <f>IF(T24=5,IF(T37=1,1,0),0)</f>
        <v>0</v>
      </c>
      <c r="V50" s="1235">
        <f>IF(V24=5,IF(V37=1,1,0),0)</f>
        <v>0</v>
      </c>
      <c r="W50" s="1231">
        <f>IF(W24=5,IF(W37=1,1,0),0)</f>
        <v>0</v>
      </c>
      <c r="Y50" s="1235">
        <f>IF(Y24=5,IF(Y37=1,1,0),0)</f>
        <v>0</v>
      </c>
      <c r="Z50" s="1231">
        <f>IF(Z24=5,IF(Z37=1,1,0),0)</f>
        <v>0</v>
      </c>
      <c r="AB50" s="1235">
        <f>IF(AB24=5,IF(AB37=1,1,0),0)</f>
        <v>0</v>
      </c>
      <c r="AC50" s="1231">
        <f>IF(AC24=5,IF(AC37=1,1,0),0)</f>
        <v>0</v>
      </c>
      <c r="AE50" s="1235">
        <f>IF(AE24=5,IF(AE37=1,1,0),0)</f>
        <v>0</v>
      </c>
      <c r="AF50" s="1231">
        <f>SUM(B50:AE50)</f>
        <v>0</v>
      </c>
      <c r="AG50" s="1231">
        <f>AF56-AF50</f>
        <v>1</v>
      </c>
    </row>
    <row r="51" spans="1:37" s="1231" customFormat="1" ht="38.25" hidden="1" customHeight="1" x14ac:dyDescent="0.2">
      <c r="A51" s="1234"/>
      <c r="D51" s="1235"/>
      <c r="G51" s="1235"/>
      <c r="J51" s="1235"/>
      <c r="M51" s="1235"/>
      <c r="P51" s="1235"/>
      <c r="S51" s="1235"/>
      <c r="V51" s="1235"/>
      <c r="Y51" s="1235"/>
      <c r="AB51" s="1235"/>
      <c r="AE51" s="1235"/>
      <c r="AF51" s="1234" t="s">
        <v>75</v>
      </c>
    </row>
    <row r="52" spans="1:37" s="1231" customFormat="1" ht="12.75" hidden="1" customHeight="1" x14ac:dyDescent="0.2">
      <c r="A52" s="1231" t="s">
        <v>76</v>
      </c>
      <c r="B52" s="1231">
        <f>IF(B24=1,IF(C37=1,1,0),0)</f>
        <v>0</v>
      </c>
      <c r="D52" s="1235">
        <f>IF(D24=1,IF(C37=1,1,0),0)</f>
        <v>0</v>
      </c>
      <c r="E52" s="1231">
        <f>IF(E24=1,IF(F37=1,1,0),0)</f>
        <v>0</v>
      </c>
      <c r="G52" s="1235">
        <f>IF(G24=1,IF(F37=1,1,0),0)</f>
        <v>0</v>
      </c>
      <c r="H52" s="1231">
        <f>IF(H24=1,IF(I37=1,1,0),0)</f>
        <v>1</v>
      </c>
      <c r="J52" s="1235">
        <f>IF(J24=1,IF(I37=1,1,0),0)</f>
        <v>0</v>
      </c>
      <c r="K52" s="1231">
        <f>IF(K24=1,IF(L37=1,1,0),0)</f>
        <v>0</v>
      </c>
      <c r="M52" s="1235">
        <f>IF(M24=1,IF(L37=1,1,0),0)</f>
        <v>0</v>
      </c>
      <c r="N52" s="1231">
        <f>IF(N24=1,IF(O37=1,1,0),0)</f>
        <v>0</v>
      </c>
      <c r="P52" s="1235">
        <f>IF(P24=1,IF(O37=1,1,0),0)</f>
        <v>0</v>
      </c>
      <c r="Q52" s="1231">
        <f>IF(Q24=1,IF(R37=1,1,0),0)</f>
        <v>1</v>
      </c>
      <c r="S52" s="1235">
        <f>IF(S24=1,IF(R37=1,1,0),0)</f>
        <v>0</v>
      </c>
      <c r="T52" s="1231">
        <f>IF(T24=1,IF(U37=1,1,0),0)</f>
        <v>0</v>
      </c>
      <c r="V52" s="1235">
        <f>IF(V24=1,IF(U37=1,1,0),0)</f>
        <v>0</v>
      </c>
      <c r="W52" s="1231">
        <f>IF(W24=1,IF(X37=1,1,0),0)</f>
        <v>0</v>
      </c>
      <c r="Y52" s="1235">
        <f>IF(Y24=1,IF(X37=1,1,0),0)</f>
        <v>0</v>
      </c>
      <c r="Z52" s="1231">
        <f>IF(Z24=1,IF(AA37=1,1,0),0)</f>
        <v>0</v>
      </c>
      <c r="AB52" s="1235">
        <f>IF(AB24=1,IF(AA37=1,1,0),0)</f>
        <v>0</v>
      </c>
      <c r="AC52" s="1231">
        <f>IF(AC24=1,IF(AD37=1,1,0),0)</f>
        <v>0</v>
      </c>
      <c r="AE52" s="1235">
        <f>IF(AE24=1,IF(AD37=1,1,0),0)</f>
        <v>0</v>
      </c>
      <c r="AF52" s="1231">
        <f>SUM(B52:AE52)</f>
        <v>2</v>
      </c>
    </row>
    <row r="53" spans="1:37" s="1231" customFormat="1" ht="12.75" hidden="1" customHeight="1" x14ac:dyDescent="0.2">
      <c r="A53" s="1231" t="s">
        <v>77</v>
      </c>
      <c r="B53" s="1231">
        <f>IF(B24=2,IF(C37=1,1,0),0)</f>
        <v>0</v>
      </c>
      <c r="D53" s="1235">
        <f>IF(D24=2,IF(C37=1,1,0),0)</f>
        <v>0</v>
      </c>
      <c r="E53" s="1231">
        <f>IF(E24=2,IF(F37=1,1,0),0)</f>
        <v>0</v>
      </c>
      <c r="G53" s="1235">
        <f>IF(G24=2,IF(F37=1,1,0),0)</f>
        <v>0</v>
      </c>
      <c r="H53" s="1231">
        <f>IF(H24=2,IF(I37=1,1,0),0)</f>
        <v>0</v>
      </c>
      <c r="J53" s="1235">
        <f>IF(J24=2,IF(I37=1,1,0),0)</f>
        <v>0</v>
      </c>
      <c r="K53" s="1231">
        <f>IF(K24=2,IF(L37=1,1,0),0)</f>
        <v>1</v>
      </c>
      <c r="M53" s="1235">
        <f>IF(M24=2,IF(L37=1,1,0),0)</f>
        <v>0</v>
      </c>
      <c r="N53" s="1231">
        <f>IF(N24=2,IF(O37=1,1,0),0)</f>
        <v>0</v>
      </c>
      <c r="P53" s="1235">
        <f>IF(P24=2,IF(O37=1,1,0),0)</f>
        <v>0</v>
      </c>
      <c r="Q53" s="1231">
        <f>IF(Q24=2,IF(R37=1,1,0),0)</f>
        <v>0</v>
      </c>
      <c r="S53" s="1235">
        <f>IF(S24=2,IF(R37=1,1,0),0)</f>
        <v>0</v>
      </c>
      <c r="T53" s="1231">
        <f>IF(T24=2,IF(U37=1,1,0),0)</f>
        <v>0</v>
      </c>
      <c r="V53" s="1235">
        <f>IF(V24=2,IF(U37=1,1,0),0)</f>
        <v>1</v>
      </c>
      <c r="W53" s="1231">
        <f>IF(W24=2,IF(X37=1,1,0),0)</f>
        <v>0</v>
      </c>
      <c r="Y53" s="1235">
        <f>IF(Y24=2,IF(X37=1,1,0),0)</f>
        <v>0</v>
      </c>
      <c r="Z53" s="1231">
        <f>IF(Z24=2,IF(AA37=1,1,0),0)</f>
        <v>0</v>
      </c>
      <c r="AB53" s="1235">
        <f>IF(AB24=2,IF(AA37=1,1,0),0)</f>
        <v>0</v>
      </c>
      <c r="AC53" s="1231">
        <f>IF(AC24=2,IF(AD37=1,1,0),0)</f>
        <v>0</v>
      </c>
      <c r="AE53" s="1235">
        <f>IF(AE24=2,IF(AD37=1,1,0),0)</f>
        <v>0</v>
      </c>
      <c r="AF53" s="1231">
        <f>SUM(B53:AE53)</f>
        <v>2</v>
      </c>
    </row>
    <row r="54" spans="1:37" s="1231" customFormat="1" ht="12.75" hidden="1" customHeight="1" x14ac:dyDescent="0.2">
      <c r="A54" s="1231" t="s">
        <v>78</v>
      </c>
      <c r="B54" s="1231">
        <f>IF(B24=3,IF(C37=1,1,0),0)</f>
        <v>0</v>
      </c>
      <c r="D54" s="1235">
        <f>IF(D24=3,IF(C37=1,1,0),0)</f>
        <v>0</v>
      </c>
      <c r="E54" s="1231">
        <f>IF(E24=3,IF(F37=1,1,0),0)</f>
        <v>1</v>
      </c>
      <c r="G54" s="1235">
        <f>IF(G24=3,IF(F37=1,1,0),0)</f>
        <v>0</v>
      </c>
      <c r="H54" s="1231">
        <f>IF(H24=3,IF(I37=1,1,0),0)</f>
        <v>0</v>
      </c>
      <c r="J54" s="1235">
        <f>IF(J24=3,IF(I37=1,1,0),0)</f>
        <v>0</v>
      </c>
      <c r="K54" s="1231">
        <f>IF(K24=3,IF(L37=1,1,0),0)</f>
        <v>0</v>
      </c>
      <c r="M54" s="1235">
        <f>IF(M24=3,IF(L37=1,1,0),0)</f>
        <v>1</v>
      </c>
      <c r="N54" s="1231">
        <f>IF(N24=3,IF(O37=1,1,0),0)</f>
        <v>0</v>
      </c>
      <c r="P54" s="1235">
        <f>IF(P24=3,IF(O37=1,1,0),0)</f>
        <v>0</v>
      </c>
      <c r="Q54" s="1231">
        <f>IF(Q24=3,IF(R37=1,1,0),0)</f>
        <v>0</v>
      </c>
      <c r="S54" s="1235">
        <f>IF(S24=3,IF(R37=1,1,0),0)</f>
        <v>0</v>
      </c>
      <c r="T54" s="1231">
        <f>IF(T24=3,IF(U37=1,1,0),0)</f>
        <v>1</v>
      </c>
      <c r="V54" s="1235">
        <f>IF(V24=3,IF(U37=1,1,0),0)</f>
        <v>0</v>
      </c>
      <c r="W54" s="1231">
        <f>IF(W24=3,IF(X37=1,1,0),0)</f>
        <v>0</v>
      </c>
      <c r="Y54" s="1235">
        <f>IF(Y24=3,IF(X37=1,1,0),0)</f>
        <v>0</v>
      </c>
      <c r="Z54" s="1231">
        <f>IF(Z24=3,IF(AA37=1,1,0),0)</f>
        <v>0</v>
      </c>
      <c r="AB54" s="1235">
        <f>IF(AB24=3,IF(AA37=1,1,0),0)</f>
        <v>0</v>
      </c>
      <c r="AC54" s="1231">
        <f>IF(AC24=3,IF(AD37=1,1,0),0)</f>
        <v>0</v>
      </c>
      <c r="AE54" s="1235">
        <f>IF(AE24=3,IF(AD37=1,1,0),0)</f>
        <v>0</v>
      </c>
      <c r="AF54" s="1231">
        <f>SUM(B54:AE54)</f>
        <v>3</v>
      </c>
    </row>
    <row r="55" spans="1:37" s="1231" customFormat="1" ht="12.75" hidden="1" customHeight="1" x14ac:dyDescent="0.2">
      <c r="A55" s="1231" t="s">
        <v>79</v>
      </c>
      <c r="B55" s="1231">
        <f>IF(B24=4,IF(C37=1,1,0),0)</f>
        <v>0</v>
      </c>
      <c r="D55" s="1235">
        <f>IF(D24=4,IF(C37=1,1,0),0)</f>
        <v>0</v>
      </c>
      <c r="E55" s="1231">
        <f>IF(E24=4,IF(F37=1,1,0),0)</f>
        <v>0</v>
      </c>
      <c r="G55" s="1235">
        <f>IF(G24=4,IF(F37=1,1,0),0)</f>
        <v>1</v>
      </c>
      <c r="H55" s="1231">
        <f>IF(H24=4,IF(I37=1,1,0),0)</f>
        <v>0</v>
      </c>
      <c r="J55" s="1235">
        <f>IF(J24=4,IF(I37=1,1,0),0)</f>
        <v>0</v>
      </c>
      <c r="K55" s="1231">
        <f>IF(K24=4,IF(L37=1,1,0),0)</f>
        <v>0</v>
      </c>
      <c r="M55" s="1235">
        <f>IF(M24=4,IF(L37=1,1,0),0)</f>
        <v>0</v>
      </c>
      <c r="N55" s="1231">
        <f>IF(N24=4,IF(O37=1,1,0),0)</f>
        <v>0</v>
      </c>
      <c r="P55" s="1235">
        <f>IF(P24=4,IF(O37=1,1,0),0)</f>
        <v>0</v>
      </c>
      <c r="Q55" s="1231">
        <f>IF(Q24=4,IF(R37=1,1,0),0)</f>
        <v>0</v>
      </c>
      <c r="S55" s="1235">
        <f>IF(S24=4,IF(R37=1,1,0),0)</f>
        <v>1</v>
      </c>
      <c r="T55" s="1231">
        <f>IF(T24=4,IF(U37=1,1,0),0)</f>
        <v>0</v>
      </c>
      <c r="V55" s="1235">
        <f>IF(V24=4,IF(U37=1,1,0),0)</f>
        <v>0</v>
      </c>
      <c r="W55" s="1231">
        <f>IF(W24=4,IF(X37=1,1,0),0)</f>
        <v>0</v>
      </c>
      <c r="Y55" s="1235">
        <f>IF(Y24=4,IF(X37=1,1,0),0)</f>
        <v>0</v>
      </c>
      <c r="Z55" s="1231">
        <f>IF(Z24=4,IF(AA37=1,1,0),0)</f>
        <v>0</v>
      </c>
      <c r="AB55" s="1235">
        <f>IF(AB24=4,IF(AA37=1,1,0),0)</f>
        <v>0</v>
      </c>
      <c r="AC55" s="1231">
        <f>IF(AC24=4,IF(AD37=1,1,0),0)</f>
        <v>0</v>
      </c>
      <c r="AE55" s="1235">
        <f>IF(AE24=4,IF(AD37=1,1,0),0)</f>
        <v>0</v>
      </c>
      <c r="AF55" s="1231">
        <f>SUM(B55:AE55)</f>
        <v>2</v>
      </c>
    </row>
    <row r="56" spans="1:37" s="1231" customFormat="1" ht="12.75" hidden="1" customHeight="1" x14ac:dyDescent="0.2">
      <c r="A56" s="1231" t="s">
        <v>80</v>
      </c>
      <c r="B56" s="1231">
        <f>IF(B24=5,IF(C37=1,1,0),0)</f>
        <v>0</v>
      </c>
      <c r="D56" s="1235">
        <f>IF(D24=5,IF(C37=1,1,0),0)</f>
        <v>0</v>
      </c>
      <c r="E56" s="1231">
        <f>IF(E24=5,IF(F37=1,1,0),0)</f>
        <v>0</v>
      </c>
      <c r="G56" s="1235">
        <f>IF(G24=5,IF(F37=1,1,0),0)</f>
        <v>0</v>
      </c>
      <c r="H56" s="1231">
        <f>IF(H24=5,IF(I37=1,1,0),0)</f>
        <v>0</v>
      </c>
      <c r="J56" s="1235">
        <f>IF(J24=5,IF(I37=1,1,0),0)</f>
        <v>1</v>
      </c>
      <c r="K56" s="1231">
        <f>IF(K24=5,IF(L37=1,1,0),0)</f>
        <v>0</v>
      </c>
      <c r="M56" s="1235">
        <f>IF(M24=5,IF(L37=1,1,0),0)</f>
        <v>0</v>
      </c>
      <c r="N56" s="1231">
        <f>IF(N24=5,IF(O37=1,1,0),0)</f>
        <v>0</v>
      </c>
      <c r="P56" s="1235">
        <f>IF(P24=5,IF(O37=1,1,0),0)</f>
        <v>0</v>
      </c>
      <c r="Q56" s="1231">
        <f>IF(Q24=5,IF(R37=1,1,0),0)</f>
        <v>0</v>
      </c>
      <c r="S56" s="1235">
        <f>IF(S24=5,IF(R37=1,1,0),0)</f>
        <v>0</v>
      </c>
      <c r="T56" s="1231">
        <f>IF(T24=5,IF(U37=1,1,0),0)</f>
        <v>0</v>
      </c>
      <c r="V56" s="1235">
        <f>IF(V24=5,IF(U37=1,1,0),0)</f>
        <v>0</v>
      </c>
      <c r="W56" s="1231">
        <f>IF(W24=5,IF(X37=1,1,0),0)</f>
        <v>0</v>
      </c>
      <c r="Y56" s="1235">
        <f>IF(Y24=5,IF(X37=1,1,0),0)</f>
        <v>0</v>
      </c>
      <c r="Z56" s="1231">
        <f>IF(Z24=5,IF(AA37=1,1,0),0)</f>
        <v>0</v>
      </c>
      <c r="AB56" s="1235">
        <f>IF(AB24=5,IF(AA37=1,1,0),0)</f>
        <v>0</v>
      </c>
      <c r="AC56" s="1231">
        <f>IF(AC24=5,IF(AD37=1,1,0),0)</f>
        <v>0</v>
      </c>
      <c r="AE56" s="1235">
        <f>IF(AE24=5,IF(AD37=1,1,0),0)</f>
        <v>0</v>
      </c>
      <c r="AF56" s="1231">
        <f>SUM(B56:AE56)</f>
        <v>1</v>
      </c>
    </row>
    <row r="57" spans="1:37" s="1231" customFormat="1" ht="38.25" hidden="1" customHeight="1" x14ac:dyDescent="0.2">
      <c r="A57" s="1234"/>
      <c r="D57" s="1235"/>
      <c r="G57" s="1235"/>
      <c r="J57" s="1235"/>
      <c r="M57" s="1235"/>
      <c r="P57" s="1235"/>
      <c r="S57" s="1235"/>
      <c r="V57" s="1235"/>
      <c r="Y57" s="1235"/>
      <c r="AB57" s="1235"/>
      <c r="AE57" s="1235"/>
      <c r="AF57" s="1234" t="s">
        <v>81</v>
      </c>
      <c r="AG57" s="1236"/>
      <c r="AH57" s="1236"/>
      <c r="AI57" s="1236"/>
      <c r="AJ57" s="1236"/>
      <c r="AK57" s="1236"/>
    </row>
    <row r="58" spans="1:37" s="1231" customFormat="1" ht="12.75" hidden="1" customHeight="1" x14ac:dyDescent="0.2">
      <c r="A58" s="1231" t="s">
        <v>76</v>
      </c>
      <c r="B58" s="1231">
        <f>IF(B24=1,B44,0)</f>
        <v>38</v>
      </c>
      <c r="D58" s="1235">
        <f>IF(D24=1,B44,0)</f>
        <v>0</v>
      </c>
      <c r="E58" s="1231">
        <f>IF(E24=1,E44,0)</f>
        <v>0</v>
      </c>
      <c r="G58" s="1235">
        <f>IF(G24=1,E44,0)</f>
        <v>0</v>
      </c>
      <c r="H58" s="1231">
        <f>IF(H24=1,H44,0)</f>
        <v>39</v>
      </c>
      <c r="J58" s="1235">
        <f>IF(J24=1,H44,0)</f>
        <v>0</v>
      </c>
      <c r="K58" s="1231">
        <f>IF(K24=1,K44,0)</f>
        <v>0</v>
      </c>
      <c r="M58" s="1235">
        <f>IF(M24=1,K44,0)</f>
        <v>0</v>
      </c>
      <c r="N58" s="1231">
        <f>IF(N24=1,N44,0)</f>
        <v>0</v>
      </c>
      <c r="P58" s="1235">
        <f>IF(P24=1,N44,0)</f>
        <v>0</v>
      </c>
      <c r="Q58" s="1231">
        <f>IF(Q24=1,Q44,0)</f>
        <v>17</v>
      </c>
      <c r="S58" s="1235">
        <f>IF(S24=1,Q44,0)</f>
        <v>0</v>
      </c>
      <c r="T58" s="1231">
        <f>IF(T24=1,T44,0)</f>
        <v>0</v>
      </c>
      <c r="V58" s="1235">
        <f>IF(V24=1,T44,0)</f>
        <v>0</v>
      </c>
      <c r="W58" s="1231">
        <f>IF(W24=1,W44,0)</f>
        <v>0</v>
      </c>
      <c r="Y58" s="1235">
        <f>IF(Y24=1,W44,0)</f>
        <v>0</v>
      </c>
      <c r="Z58" s="1231">
        <f>IF(Z24=1,Z44,0)</f>
        <v>0</v>
      </c>
      <c r="AB58" s="1235">
        <f>IF(AB24=1,Z44,0)</f>
        <v>0</v>
      </c>
      <c r="AC58" s="1231">
        <f>IF(AC24=1,AC44,0)</f>
        <v>0</v>
      </c>
      <c r="AE58" s="1235">
        <f>IF(AE24=1,AC44,0)</f>
        <v>0</v>
      </c>
      <c r="AF58" s="1231">
        <f>SUM(B58:AE58)</f>
        <v>94</v>
      </c>
    </row>
    <row r="59" spans="1:37" s="1231" customFormat="1" ht="12.75" hidden="1" customHeight="1" x14ac:dyDescent="0.2">
      <c r="A59" s="1231" t="s">
        <v>77</v>
      </c>
      <c r="B59" s="1231">
        <f>IF(B24=2,B44,0)</f>
        <v>0</v>
      </c>
      <c r="D59" s="1235">
        <f>IF(D24=2,B44,0)</f>
        <v>38</v>
      </c>
      <c r="E59" s="1231">
        <f>IF(E24=2,E44,0)</f>
        <v>0</v>
      </c>
      <c r="G59" s="1235">
        <f>IF(G24=2,E44,0)</f>
        <v>0</v>
      </c>
      <c r="H59" s="1231">
        <f>IF(H24=2,H44,0)</f>
        <v>0</v>
      </c>
      <c r="J59" s="1235">
        <f>IF(J24=2,H44,0)</f>
        <v>0</v>
      </c>
      <c r="K59" s="1231">
        <f>IF(K24=2,K44,0)</f>
        <v>36</v>
      </c>
      <c r="M59" s="1235">
        <f>IF(M24=2,K44,0)</f>
        <v>0</v>
      </c>
      <c r="N59" s="1231">
        <f>IF(N24=2,N44,0)</f>
        <v>0</v>
      </c>
      <c r="P59" s="1235">
        <f>IF(P24=2,N44,0)</f>
        <v>0</v>
      </c>
      <c r="Q59" s="1231">
        <f>IF(Q24=2,Q44,0)</f>
        <v>0</v>
      </c>
      <c r="S59" s="1235">
        <f>IF(S24=2,Q44,0)</f>
        <v>0</v>
      </c>
      <c r="T59" s="1231">
        <f>IF(T24=2,T44,0)</f>
        <v>0</v>
      </c>
      <c r="V59" s="1235">
        <f>IF(V24=2,T44,0)</f>
        <v>17</v>
      </c>
      <c r="W59" s="1231">
        <f>IF(W24=2,W44,0)</f>
        <v>0</v>
      </c>
      <c r="Y59" s="1235">
        <f>IF(Y24=2,W44,0)</f>
        <v>0</v>
      </c>
      <c r="Z59" s="1231">
        <f>IF(Z24=2,Z44,0)</f>
        <v>0</v>
      </c>
      <c r="AB59" s="1235">
        <f>IF(AB24=2,Z44,0)</f>
        <v>0</v>
      </c>
      <c r="AC59" s="1231">
        <f>IF(AC24=2,AC44,0)</f>
        <v>0</v>
      </c>
      <c r="AE59" s="1235">
        <f>IF(AE24=2,AC44,0)</f>
        <v>0</v>
      </c>
      <c r="AF59" s="1231">
        <f>SUM(B59:AE59)</f>
        <v>91</v>
      </c>
    </row>
    <row r="60" spans="1:37" s="1231" customFormat="1" ht="12.75" hidden="1" customHeight="1" x14ac:dyDescent="0.2">
      <c r="A60" s="1231" t="s">
        <v>78</v>
      </c>
      <c r="B60" s="1231">
        <f>IF(B24=3,B44,0)</f>
        <v>0</v>
      </c>
      <c r="D60" s="1235">
        <f>IF(D24=3,B44,0)</f>
        <v>0</v>
      </c>
      <c r="E60" s="1231">
        <f>IF(E24=3,E44,0)</f>
        <v>42</v>
      </c>
      <c r="G60" s="1235">
        <f>IF(G24=3,E44,0)</f>
        <v>0</v>
      </c>
      <c r="H60" s="1231">
        <f>IF(H24=3,H44,0)</f>
        <v>0</v>
      </c>
      <c r="J60" s="1235">
        <f>IF(J24=3,H44,0)</f>
        <v>0</v>
      </c>
      <c r="K60" s="1231">
        <f>IF(K24=3,K44,0)</f>
        <v>0</v>
      </c>
      <c r="M60" s="1235">
        <f>IF(M24=3,K44,0)</f>
        <v>36</v>
      </c>
      <c r="N60" s="1231">
        <f>IF(N24=3,N44,0)</f>
        <v>0</v>
      </c>
      <c r="P60" s="1235">
        <f>IF(P24=3,N44,0)</f>
        <v>0</v>
      </c>
      <c r="Q60" s="1231">
        <f>IF(Q24=3,Q44,0)</f>
        <v>0</v>
      </c>
      <c r="S60" s="1235">
        <f>IF(S24=3,Q44,0)</f>
        <v>0</v>
      </c>
      <c r="T60" s="1231">
        <f>IF(T24=3,T44,0)</f>
        <v>17</v>
      </c>
      <c r="V60" s="1235">
        <f>IF(V24=3,T44,0)</f>
        <v>0</v>
      </c>
      <c r="W60" s="1231">
        <f>IF(W24=3,W44,0)</f>
        <v>0</v>
      </c>
      <c r="Y60" s="1235">
        <f>IF(Y24=3,W44,0)</f>
        <v>0</v>
      </c>
      <c r="Z60" s="1231">
        <f>IF(Z24=3,Z44,0)</f>
        <v>0</v>
      </c>
      <c r="AB60" s="1235">
        <f>IF(AB24=3,Z44,0)</f>
        <v>0</v>
      </c>
      <c r="AC60" s="1231">
        <f>IF(AC24=3,AC44,0)</f>
        <v>0</v>
      </c>
      <c r="AE60" s="1235">
        <f>IF(AE24=3,AC44,0)</f>
        <v>0</v>
      </c>
      <c r="AF60" s="1231">
        <f>SUM(B60:AE60)</f>
        <v>95</v>
      </c>
    </row>
    <row r="61" spans="1:37" s="1231" customFormat="1" ht="12.75" hidden="1" customHeight="1" x14ac:dyDescent="0.2">
      <c r="A61" s="1231" t="s">
        <v>79</v>
      </c>
      <c r="B61" s="1231">
        <f>IF(B24=4,B44,0)</f>
        <v>0</v>
      </c>
      <c r="D61" s="1235">
        <f>IF(D24=4,B44,0)</f>
        <v>0</v>
      </c>
      <c r="E61" s="1231">
        <f>IF(E24=4,E44,0)</f>
        <v>0</v>
      </c>
      <c r="G61" s="1235">
        <f>IF(G24=4,E44,0)</f>
        <v>42</v>
      </c>
      <c r="H61" s="1231">
        <f>IF(H24=4,H44,0)</f>
        <v>0</v>
      </c>
      <c r="J61" s="1235">
        <f>IF(J24=4,H44,0)</f>
        <v>0</v>
      </c>
      <c r="K61" s="1231">
        <f>IF(K24=4,K44,0)</f>
        <v>0</v>
      </c>
      <c r="M61" s="1235">
        <f>IF(M24=4,K44,0)</f>
        <v>0</v>
      </c>
      <c r="N61" s="1231">
        <f>IF(N24=4,N44,0)</f>
        <v>37</v>
      </c>
      <c r="P61" s="1235">
        <f>IF(P24=4,N44,0)</f>
        <v>0</v>
      </c>
      <c r="Q61" s="1231">
        <f>IF(Q24=4,Q44,0)</f>
        <v>0</v>
      </c>
      <c r="S61" s="1235">
        <f>IF(S24=4,Q44,0)</f>
        <v>17</v>
      </c>
      <c r="T61" s="1231">
        <f>IF(T24=4,T44,0)</f>
        <v>0</v>
      </c>
      <c r="V61" s="1235">
        <f>IF(V24=4,T44,0)</f>
        <v>0</v>
      </c>
      <c r="W61" s="1231">
        <f>IF(W24=4,W44,0)</f>
        <v>0</v>
      </c>
      <c r="Y61" s="1235">
        <f>IF(Y24=4,W44,0)</f>
        <v>0</v>
      </c>
      <c r="Z61" s="1231">
        <f>IF(Z24=4,Z44,0)</f>
        <v>0</v>
      </c>
      <c r="AB61" s="1235">
        <f>IF(AB24=4,Z44,0)</f>
        <v>0</v>
      </c>
      <c r="AC61" s="1231">
        <f>IF(AC24=4,AC44,0)</f>
        <v>0</v>
      </c>
      <c r="AE61" s="1235">
        <f>IF(AE24=4,AC44,0)</f>
        <v>0</v>
      </c>
      <c r="AF61" s="1231">
        <f>SUM(B61:AE61)</f>
        <v>96</v>
      </c>
    </row>
    <row r="62" spans="1:37" s="1231" customFormat="1" ht="12.75" hidden="1" customHeight="1" x14ac:dyDescent="0.2">
      <c r="A62" s="1231" t="s">
        <v>80</v>
      </c>
      <c r="B62" s="1231">
        <f>IF(B24=5,B44,0)</f>
        <v>0</v>
      </c>
      <c r="D62" s="1235">
        <f>IF(D24=5,B44,0)</f>
        <v>0</v>
      </c>
      <c r="E62" s="1231">
        <f>IF(E24=5,E44,0)</f>
        <v>0</v>
      </c>
      <c r="G62" s="1235">
        <f>IF(G24=5,E44,0)</f>
        <v>0</v>
      </c>
      <c r="H62" s="1231">
        <f>IF(H24=5,H44,0)</f>
        <v>0</v>
      </c>
      <c r="J62" s="1235">
        <f>IF(J24=5,H44,0)</f>
        <v>39</v>
      </c>
      <c r="K62" s="1231">
        <f>IF(K24=5,K44,0)</f>
        <v>0</v>
      </c>
      <c r="M62" s="1235">
        <f>IF(M24=5,K44,0)</f>
        <v>0</v>
      </c>
      <c r="N62" s="1231">
        <f>IF(N24=5,N44,0)</f>
        <v>0</v>
      </c>
      <c r="P62" s="1235">
        <f>IF(P24=5,N44,0)</f>
        <v>37</v>
      </c>
      <c r="Q62" s="1231">
        <f>IF(Q24=5,Q44,0)</f>
        <v>0</v>
      </c>
      <c r="S62" s="1235">
        <f>IF(S24=5,Q44,0)</f>
        <v>0</v>
      </c>
      <c r="T62" s="1231">
        <f>IF(T24=5,T44,0)</f>
        <v>0</v>
      </c>
      <c r="V62" s="1235">
        <f>IF(V24=5,T44,0)</f>
        <v>0</v>
      </c>
      <c r="W62" s="1231">
        <f>IF(W24=5,W44,0)</f>
        <v>0</v>
      </c>
      <c r="Y62" s="1235">
        <f>IF(Y24=5,W44,0)</f>
        <v>0</v>
      </c>
      <c r="Z62" s="1231">
        <f>IF(Z24=5,Z44,0)</f>
        <v>0</v>
      </c>
      <c r="AB62" s="1235">
        <f>IF(AB24=5,Z44,0)</f>
        <v>0</v>
      </c>
      <c r="AC62" s="1231">
        <f>IF(AC24=5,AC44,0)</f>
        <v>0</v>
      </c>
      <c r="AE62" s="1235">
        <f>IF(AE24=5,AC44,0)</f>
        <v>0</v>
      </c>
      <c r="AF62" s="1231">
        <f>SUM(B62:AE62)</f>
        <v>76</v>
      </c>
    </row>
    <row r="63" spans="1:37" s="1231" customFormat="1" ht="38.25" hidden="1" customHeight="1" x14ac:dyDescent="0.2">
      <c r="A63" s="1231" t="s">
        <v>82</v>
      </c>
      <c r="D63" s="1235"/>
      <c r="G63" s="1235"/>
      <c r="J63" s="1235"/>
      <c r="M63" s="1235"/>
      <c r="P63" s="1235"/>
      <c r="S63" s="1235"/>
      <c r="V63" s="1235"/>
      <c r="Y63" s="1235"/>
      <c r="AB63" s="1235"/>
      <c r="AE63" s="1235"/>
      <c r="AF63" s="1234" t="s">
        <v>83</v>
      </c>
      <c r="AG63" s="1231" t="s">
        <v>84</v>
      </c>
    </row>
    <row r="64" spans="1:37" s="1231" customFormat="1" ht="12.75" hidden="1" customHeight="1" x14ac:dyDescent="0.2">
      <c r="A64" s="1231" t="s">
        <v>70</v>
      </c>
      <c r="B64" s="1231">
        <f>IF(B24=1,SUMIF(B31:B35,"&gt;0"),0)</f>
        <v>1</v>
      </c>
      <c r="D64" s="1235">
        <f>IF(D24=1,SUMIF(D31:D35,"&gt;0"),0)</f>
        <v>0</v>
      </c>
      <c r="E64" s="1231">
        <f>IF(E24=1,SUMIF(E31:E35,"&gt;0"),0)</f>
        <v>0</v>
      </c>
      <c r="G64" s="1235">
        <f>IF(G24=1,SUMIF(G31:G35,"&gt;0"),0)</f>
        <v>0</v>
      </c>
      <c r="H64" s="1231">
        <f>IF(H24=1,SUMIF(H31:H35,"&gt;0"),0)</f>
        <v>2</v>
      </c>
      <c r="J64" s="1235">
        <f>IF(J24=1,SUMIF(J31:J35,"&gt;0"),0)</f>
        <v>0</v>
      </c>
      <c r="K64" s="1231">
        <f>IF(K24=1,SUMIF(K31:K35,"&gt;0"),0)</f>
        <v>0</v>
      </c>
      <c r="M64" s="1235">
        <f>IF(M24=1,SUMIF(M31:M35,"&gt;0"),0)</f>
        <v>0</v>
      </c>
      <c r="N64" s="1231">
        <f>IF(N24=1,SUMIF(N31:N35,"&gt;0"),0)</f>
        <v>0</v>
      </c>
      <c r="P64" s="1235">
        <f>IF(P24=1,SUMIF(P31:P35,"&gt;0"),0)</f>
        <v>0</v>
      </c>
      <c r="Q64" s="1231">
        <f>IF(Q24=1,SUMIF(Q31:Q35,"&gt;0"),0)</f>
        <v>1</v>
      </c>
      <c r="S64" s="1235">
        <f>IF(S24=1,SUMIF(S31:S35,"&gt;0"),0)</f>
        <v>0</v>
      </c>
      <c r="T64" s="1231">
        <f>IF(T24=1,SUMIF(T31:T35,"&gt;0"),0)</f>
        <v>0</v>
      </c>
      <c r="V64" s="1235">
        <f>IF(V24=1,SUMIF(V31:V35,"&gt;0"),0)</f>
        <v>0</v>
      </c>
      <c r="W64" s="1231">
        <f>IF(W24=1,SUMIF(W31:W35,"&gt;0"),0)</f>
        <v>0</v>
      </c>
      <c r="Y64" s="1235">
        <f>IF(Y24=1,SUMIF(Y31:Y35,"&gt;0"),0)</f>
        <v>0</v>
      </c>
      <c r="Z64" s="1231">
        <f>IF(Z24=1,SUMIF(Z31:Z35,"&gt;0"),0)</f>
        <v>0</v>
      </c>
      <c r="AB64" s="1235">
        <f>IF(AB24=1,SUMIF(AB31:AB35,"&gt;0"),0)</f>
        <v>0</v>
      </c>
      <c r="AC64" s="1231">
        <f>IF(AC24=1,SUMIF(AC31:AC35,"&gt;0"),0)</f>
        <v>0</v>
      </c>
      <c r="AE64" s="1235">
        <f>IF(AE24=1,SUMIF(AE31:AE35,"&gt;0"),0)</f>
        <v>0</v>
      </c>
      <c r="AF64" s="1231">
        <f>SUM(B64:AE64)</f>
        <v>4</v>
      </c>
      <c r="AG64" s="1231">
        <f>AF72-AF64</f>
        <v>1</v>
      </c>
    </row>
    <row r="65" spans="1:54" s="1231" customFormat="1" ht="12.75" hidden="1" customHeight="1" x14ac:dyDescent="0.2">
      <c r="A65" s="1231" t="s">
        <v>71</v>
      </c>
      <c r="B65" s="1231">
        <f>IF(B24=2,SUMIF(B31:B35,"&gt;0"),0)</f>
        <v>0</v>
      </c>
      <c r="D65" s="1235">
        <f>IF(D24=2,SUMIF(D31:D35,"&gt;0"),0)</f>
        <v>1</v>
      </c>
      <c r="E65" s="1231">
        <f>IF(E24=2,SUMIF(E31:E35,"&gt;0"),0)</f>
        <v>0</v>
      </c>
      <c r="G65" s="1235">
        <f>IF(G24=2,SUMIF(G31:G35,"&gt;0"),0)</f>
        <v>0</v>
      </c>
      <c r="H65" s="1231">
        <f>IF(H24=2,SUMIF(H31:H35,"&gt;0"),0)</f>
        <v>0</v>
      </c>
      <c r="J65" s="1235">
        <f>IF(J24=2,SUMIF(J31:J35,"&gt;0"),0)</f>
        <v>0</v>
      </c>
      <c r="K65" s="1231">
        <f>IF(K24=2,SUMIF(K31:K35,"&gt;0"),0)</f>
        <v>0</v>
      </c>
      <c r="M65" s="1235">
        <f>IF(M24=2,SUMIF(M31:M35,"&gt;0"),0)</f>
        <v>0</v>
      </c>
      <c r="N65" s="1231">
        <f>IF(N24=2,SUMIF(N31:N35,"&gt;0"),0)</f>
        <v>0</v>
      </c>
      <c r="P65" s="1235">
        <f>IF(P24=2,SUMIF(P31:P35,"&gt;0"),0)</f>
        <v>0</v>
      </c>
      <c r="Q65" s="1231">
        <f>IF(Q24=2,SUMIF(Q31:Q35,"&gt;0"),0)</f>
        <v>0</v>
      </c>
      <c r="S65" s="1235">
        <f>IF(S24=2,SUMIF(S31:S35,"&gt;0"),0)</f>
        <v>0</v>
      </c>
      <c r="T65" s="1231">
        <f>IF(T24=2,SUMIF(T31:T35,"&gt;0"),0)</f>
        <v>0</v>
      </c>
      <c r="V65" s="1235">
        <f>IF(V24=2,SUMIF(V31:V35,"&gt;0"),0)</f>
        <v>0</v>
      </c>
      <c r="W65" s="1231">
        <f>IF(W24=2,SUMIF(W31:W35,"&gt;0"),0)</f>
        <v>0</v>
      </c>
      <c r="Y65" s="1235">
        <f>IF(Y24=2,SUMIF(Y31:Y35,"&gt;0"),0)</f>
        <v>0</v>
      </c>
      <c r="Z65" s="1231">
        <f>IF(Z24=2,SUMIF(Z31:Z35,"&gt;0"),0)</f>
        <v>0</v>
      </c>
      <c r="AB65" s="1235">
        <f>IF(AB24=2,SUMIF(AB31:AB35,"&gt;0"),0)</f>
        <v>0</v>
      </c>
      <c r="AC65" s="1231">
        <f>IF(AC24=2,SUMIF(AC31:AC35,"&gt;0"),0)</f>
        <v>0</v>
      </c>
      <c r="AE65" s="1235">
        <f>IF(AE24=2,SUMIF(AE31:AE35,"&gt;0"),0)</f>
        <v>0</v>
      </c>
      <c r="AF65" s="1231">
        <f>SUM(B65:AE65)</f>
        <v>1</v>
      </c>
      <c r="AG65" s="1231">
        <f>AF73-AF65</f>
        <v>4</v>
      </c>
    </row>
    <row r="66" spans="1:54" s="1231" customFormat="1" ht="12.75" hidden="1" customHeight="1" x14ac:dyDescent="0.2">
      <c r="A66" s="1231" t="s">
        <v>72</v>
      </c>
      <c r="B66" s="1231">
        <f>IF(B24=3,SUMIF(B31:B35,"&gt;0"),0)</f>
        <v>0</v>
      </c>
      <c r="D66" s="1235">
        <f>IF(D24=3,SUMIF(D31:D35,"&gt;0"),0)</f>
        <v>0</v>
      </c>
      <c r="E66" s="1231">
        <f>IF(E24=3,SUMIF(E31:E35,"&gt;0"),0)</f>
        <v>0</v>
      </c>
      <c r="G66" s="1235">
        <f>IF(G24=3,SUMIF(G31:G35,"&gt;0"),0)</f>
        <v>0</v>
      </c>
      <c r="H66" s="1231">
        <f>IF(H24=3,SUMIF(H31:H35,"&gt;0"),0)</f>
        <v>0</v>
      </c>
      <c r="J66" s="1235">
        <f>IF(J24=3,SUMIF(J31:J35,"&gt;0"),0)</f>
        <v>0</v>
      </c>
      <c r="K66" s="1231">
        <f>IF(K24=3,SUMIF(K31:K35,"&gt;0"),0)</f>
        <v>0</v>
      </c>
      <c r="M66" s="1235">
        <f>IF(M24=3,SUMIF(M31:M35,"&gt;0"),0)</f>
        <v>2</v>
      </c>
      <c r="N66" s="1231">
        <f>IF(N24=3,SUMIF(N31:N35,"&gt;0"),0)</f>
        <v>0</v>
      </c>
      <c r="P66" s="1235">
        <f>IF(P24=3,SUMIF(P31:P35,"&gt;0"),0)</f>
        <v>0</v>
      </c>
      <c r="Q66" s="1231">
        <f>IF(Q24=3,SUMIF(Q31:Q35,"&gt;0"),0)</f>
        <v>0</v>
      </c>
      <c r="S66" s="1235">
        <f>IF(S24=3,SUMIF(S31:S35,"&gt;0"),0)</f>
        <v>0</v>
      </c>
      <c r="T66" s="1231">
        <f>IF(T24=3,SUMIF(T31:T35,"&gt;0"),0)</f>
        <v>1</v>
      </c>
      <c r="V66" s="1235">
        <f>IF(V24=3,SUMIF(V31:V35,"&gt;0"),0)</f>
        <v>0</v>
      </c>
      <c r="W66" s="1231">
        <f>IF(W24=3,SUMIF(W31:W35,"&gt;0"),0)</f>
        <v>0</v>
      </c>
      <c r="Y66" s="1235">
        <f>IF(Y24=3,SUMIF(Y31:Y35,"&gt;0"),0)</f>
        <v>0</v>
      </c>
      <c r="Z66" s="1231">
        <f>IF(Z24=3,SUMIF(Z31:Z35,"&gt;0"),0)</f>
        <v>0</v>
      </c>
      <c r="AB66" s="1235">
        <f>IF(AB24=3,SUMIF(AB31:AB35,"&gt;0"),0)</f>
        <v>0</v>
      </c>
      <c r="AC66" s="1231">
        <f>IF(AC24=3,SUMIF(AC31:AC35,"&gt;0"),0)</f>
        <v>0</v>
      </c>
      <c r="AE66" s="1235">
        <f>IF(AE24=3,SUMIF(AE31:AE35,"&gt;0"),0)</f>
        <v>0</v>
      </c>
      <c r="AF66" s="1231">
        <f>SUM(B66:AE66)</f>
        <v>3</v>
      </c>
      <c r="AG66" s="1231">
        <f>AF74-AF66</f>
        <v>2</v>
      </c>
    </row>
    <row r="67" spans="1:54" s="1231" customFormat="1" ht="12.75" hidden="1" customHeight="1" x14ac:dyDescent="0.2">
      <c r="A67" s="1231" t="s">
        <v>73</v>
      </c>
      <c r="B67" s="1231">
        <f>IF(B24=4,SUMIF(B31:B35,"&gt;0"),0)</f>
        <v>0</v>
      </c>
      <c r="D67" s="1235">
        <f>IF(D24=4,SUMIF(D31:D35,"&gt;0"),0)</f>
        <v>0</v>
      </c>
      <c r="E67" s="1231">
        <f>IF(E24=4,SUMIF(E31:E35,"&gt;0"),0)</f>
        <v>0</v>
      </c>
      <c r="G67" s="1235">
        <f>IF(G24=4,SUMIF(G31:G35,"&gt;0"),0)</f>
        <v>2</v>
      </c>
      <c r="H67" s="1231">
        <f>IF(H24=4,SUMIF(H31:H35,"&gt;0"),0)</f>
        <v>0</v>
      </c>
      <c r="J67" s="1235">
        <f>IF(J24=4,SUMIF(J31:J35,"&gt;0"),0)</f>
        <v>0</v>
      </c>
      <c r="K67" s="1231">
        <f>IF(K24=4,SUMIF(K31:K35,"&gt;0"),0)</f>
        <v>0</v>
      </c>
      <c r="M67" s="1235">
        <f>IF(M24=4,SUMIF(M31:M35,"&gt;0"),0)</f>
        <v>0</v>
      </c>
      <c r="N67" s="1231">
        <f>IF(N24=4,SUMIF(N31:N35,"&gt;0"),0)</f>
        <v>1</v>
      </c>
      <c r="P67" s="1235">
        <f>IF(P24=4,SUMIF(P31:P35,"&gt;0"),0)</f>
        <v>0</v>
      </c>
      <c r="Q67" s="1231">
        <f>IF(Q24=4,SUMIF(Q31:Q35,"&gt;0"),0)</f>
        <v>0</v>
      </c>
      <c r="S67" s="1235">
        <f>IF(S24=4,SUMIF(S31:S35,"&gt;0"),0)</f>
        <v>0</v>
      </c>
      <c r="T67" s="1231">
        <f>IF(T24=4,SUMIF(T31:T35,"&gt;0"),0)</f>
        <v>0</v>
      </c>
      <c r="V67" s="1235">
        <f>IF(V24=4,SUMIF(V31:V35,"&gt;0"),0)</f>
        <v>0</v>
      </c>
      <c r="W67" s="1231">
        <f>IF(W24=4,SUMIF(W31:W35,"&gt;0"),0)</f>
        <v>0</v>
      </c>
      <c r="Y67" s="1235">
        <f>IF(Y24=4,SUMIF(Y31:Y35,"&gt;0"),0)</f>
        <v>0</v>
      </c>
      <c r="Z67" s="1231">
        <f>IF(Z24=4,SUMIF(Z31:Z35,"&gt;0"),0)</f>
        <v>0</v>
      </c>
      <c r="AB67" s="1235">
        <f>IF(AB24=4,SUMIF(AB31:AB35,"&gt;0"),0)</f>
        <v>0</v>
      </c>
      <c r="AC67" s="1231">
        <f>IF(AC24=4,SUMIF(AC31:AC35,"&gt;0"),0)</f>
        <v>0</v>
      </c>
      <c r="AE67" s="1235">
        <f>IF(AE24=4,SUMIF(AE31:AE35,"&gt;0"),0)</f>
        <v>0</v>
      </c>
      <c r="AF67" s="1231">
        <f>SUM(B67:AE67)</f>
        <v>3</v>
      </c>
      <c r="AG67" s="1231">
        <f>AF75-AF67</f>
        <v>2</v>
      </c>
    </row>
    <row r="68" spans="1:54" s="1231" customFormat="1" ht="12.75" hidden="1" customHeight="1" x14ac:dyDescent="0.2">
      <c r="A68" s="1231" t="s">
        <v>74</v>
      </c>
      <c r="B68" s="1231">
        <f>IF(B24=5,SUMIF(B31:B35,"&gt;0"),0)</f>
        <v>0</v>
      </c>
      <c r="D68" s="1235">
        <f>IF(D24=5,SUMIF(D31:D35,"&gt;0"),0)</f>
        <v>0</v>
      </c>
      <c r="E68" s="1231">
        <f>IF(E24=5,SUMIF(E31:E35,"&gt;0"),0)</f>
        <v>0</v>
      </c>
      <c r="G68" s="1235">
        <f>IF(G24=5,SUMIF(G31:G35,"&gt;0"),0)</f>
        <v>0</v>
      </c>
      <c r="H68" s="1231">
        <f>IF(H24=5,SUMIF(H31:H35,"&gt;0"),0)</f>
        <v>0</v>
      </c>
      <c r="J68" s="1235">
        <f>IF(J24=5,SUMIF(J31:J35,"&gt;0"),0)</f>
        <v>0</v>
      </c>
      <c r="K68" s="1231">
        <f>IF(K24=5,SUMIF(K31:K35,"&gt;0"),0)</f>
        <v>0</v>
      </c>
      <c r="M68" s="1235">
        <f>IF(M24=5,SUMIF(M31:M35,"&gt;0"),0)</f>
        <v>0</v>
      </c>
      <c r="N68" s="1231">
        <f>IF(N24=5,SUMIF(N31:N35,"&gt;0"),0)</f>
        <v>0</v>
      </c>
      <c r="P68" s="1235">
        <f>IF(P24=5,SUMIF(P31:P35,"&gt;0"),0)</f>
        <v>1</v>
      </c>
      <c r="Q68" s="1231">
        <f>IF(Q24=5,SUMIF(Q31:Q35,"&gt;0"),0)</f>
        <v>0</v>
      </c>
      <c r="S68" s="1235">
        <f>IF(S24=5,SUMIF(S31:S35,"&gt;0"),0)</f>
        <v>0</v>
      </c>
      <c r="T68" s="1231">
        <f>IF(T24=5,SUMIF(T31:T35,"&gt;0"),0)</f>
        <v>0</v>
      </c>
      <c r="V68" s="1235">
        <f>IF(V24=5,SUMIF(V31:V35,"&gt;0"),0)</f>
        <v>0</v>
      </c>
      <c r="W68" s="1231">
        <f>IF(W24=5,SUMIF(W31:W35,"&gt;0"),0)</f>
        <v>0</v>
      </c>
      <c r="Y68" s="1235">
        <f>IF(Y24=5,SUMIF(Y31:Y35,"&gt;0"),0)</f>
        <v>0</v>
      </c>
      <c r="Z68" s="1231">
        <f>IF(Z24=5,SUMIF(Z31:Z35,"&gt;0"),0)</f>
        <v>0</v>
      </c>
      <c r="AB68" s="1235">
        <f>IF(AB24=5,SUMIF(AB31:AB35,"&gt;0"),0)</f>
        <v>0</v>
      </c>
      <c r="AC68" s="1231">
        <f>IF(AC24=5,SUMIF(AC31:AC35,"&gt;0"),0)</f>
        <v>0</v>
      </c>
      <c r="AE68" s="1235">
        <f>IF(AE24=5,SUMIF(AE31:AE35,"&gt;0"),0)</f>
        <v>0</v>
      </c>
      <c r="AF68" s="1231">
        <f>SUM(B68:AE68)</f>
        <v>1</v>
      </c>
      <c r="AG68" s="1231">
        <f>AF76-AF68</f>
        <v>3</v>
      </c>
    </row>
    <row r="69" spans="1:54" s="1231" customFormat="1" ht="12.75" hidden="1" customHeight="1" x14ac:dyDescent="0.2">
      <c r="D69" s="1235"/>
      <c r="G69" s="1235"/>
      <c r="J69" s="1235"/>
      <c r="M69" s="1235"/>
      <c r="P69" s="1235"/>
      <c r="S69" s="1235"/>
      <c r="V69" s="1235"/>
      <c r="Y69" s="1235"/>
      <c r="AB69" s="1235"/>
      <c r="AE69" s="1235"/>
    </row>
    <row r="70" spans="1:54" s="1231" customFormat="1" ht="12.75" hidden="1" customHeight="1" x14ac:dyDescent="0.2">
      <c r="D70" s="1235"/>
      <c r="G70" s="1235"/>
      <c r="J70" s="1235"/>
      <c r="M70" s="1235"/>
      <c r="P70" s="1235"/>
      <c r="S70" s="1235"/>
      <c r="V70" s="1235"/>
      <c r="Y70" s="1235"/>
      <c r="AB70" s="1235"/>
      <c r="AE70" s="1235"/>
    </row>
    <row r="71" spans="1:54" s="1231" customFormat="1" ht="51" hidden="1" customHeight="1" x14ac:dyDescent="0.2">
      <c r="A71" s="1234" t="s">
        <v>85</v>
      </c>
      <c r="C71" s="1231">
        <f>SUMIF(B64:D68,"&gt;0")</f>
        <v>2</v>
      </c>
      <c r="D71" s="1235"/>
      <c r="F71" s="1231">
        <f>SUMIF(E64:G68,"&gt;0")</f>
        <v>2</v>
      </c>
      <c r="G71" s="1235"/>
      <c r="I71" s="1231">
        <f>SUMIF(H64:J68,"&gt;0")</f>
        <v>2</v>
      </c>
      <c r="J71" s="1235"/>
      <c r="L71" s="1231">
        <f>SUMIF(K64:M68,"&gt;0")</f>
        <v>2</v>
      </c>
      <c r="M71" s="1235"/>
      <c r="O71" s="1231">
        <f>SUMIF(N64:P68,"&gt;0")</f>
        <v>2</v>
      </c>
      <c r="P71" s="1235"/>
      <c r="R71" s="1231">
        <f>SUMIF(Q64:S68,"&gt;0")</f>
        <v>1</v>
      </c>
      <c r="S71" s="1235"/>
      <c r="U71" s="1231">
        <f>SUMIF(T64:V68,"&gt;0")</f>
        <v>1</v>
      </c>
      <c r="V71" s="1235"/>
      <c r="X71" s="1231">
        <f>SUMIF(W64:Y68,"&gt;0")</f>
        <v>0</v>
      </c>
      <c r="Y71" s="1235"/>
      <c r="AA71" s="1231">
        <f>SUMIF(Z64:AB68,"&gt;0")</f>
        <v>0</v>
      </c>
      <c r="AB71" s="1235"/>
      <c r="AD71" s="1231">
        <f>SUMIF(AC64:AE68,"&gt;0")</f>
        <v>0</v>
      </c>
      <c r="AE71" s="1235"/>
      <c r="AF71" s="1234" t="s">
        <v>86</v>
      </c>
    </row>
    <row r="72" spans="1:54" s="1231" customFormat="1" ht="12.75" hidden="1" customHeight="1" x14ac:dyDescent="0.2">
      <c r="A72" s="1231" t="s">
        <v>76</v>
      </c>
      <c r="B72" s="1231">
        <f>IF(B24=1,C71,0)</f>
        <v>2</v>
      </c>
      <c r="D72" s="1235">
        <f>IF(D24=1,C71,0)</f>
        <v>0</v>
      </c>
      <c r="E72" s="1231">
        <f>IF(E24=1,F71,0)</f>
        <v>0</v>
      </c>
      <c r="G72" s="1235">
        <f>IF(G24=1,F71,0)</f>
        <v>0</v>
      </c>
      <c r="H72" s="1231">
        <f>IF(H24=1,I71,0)</f>
        <v>2</v>
      </c>
      <c r="J72" s="1235">
        <f>IF(J24=1,I71,0)</f>
        <v>0</v>
      </c>
      <c r="K72" s="1231">
        <f>IF(K24=1,L71,0)</f>
        <v>0</v>
      </c>
      <c r="M72" s="1235">
        <f>IF(M24=1,L71,0)</f>
        <v>0</v>
      </c>
      <c r="N72" s="1231">
        <f>IF(N24=1,O71,0)</f>
        <v>0</v>
      </c>
      <c r="P72" s="1235">
        <f>IF(P24=1,O71,0)</f>
        <v>0</v>
      </c>
      <c r="Q72" s="1231">
        <f>IF(Q24=1,R71,0)</f>
        <v>1</v>
      </c>
      <c r="S72" s="1235">
        <f>IF(S24=1,R71,0)</f>
        <v>0</v>
      </c>
      <c r="T72" s="1231">
        <f>IF(T24=1,U71,0)</f>
        <v>0</v>
      </c>
      <c r="V72" s="1235">
        <f>IF(V24=1,U71,0)</f>
        <v>0</v>
      </c>
      <c r="W72" s="1231">
        <f>IF(W24=1,X71,0)</f>
        <v>0</v>
      </c>
      <c r="Y72" s="1235">
        <f>IF(Y24=1,X71,0)</f>
        <v>0</v>
      </c>
      <c r="Z72" s="1231">
        <f>IF(Z24=1,AA71,0)</f>
        <v>0</v>
      </c>
      <c r="AB72" s="1235">
        <f>IF(AB24=1,AA71,0)</f>
        <v>0</v>
      </c>
      <c r="AC72" s="1231">
        <f>IF(AC24=1,AD71,0)</f>
        <v>0</v>
      </c>
      <c r="AE72" s="1235">
        <f>IF(AE24=1,AD71,0)</f>
        <v>0</v>
      </c>
      <c r="AF72" s="1231">
        <f>SUM(B72:AE72)</f>
        <v>5</v>
      </c>
    </row>
    <row r="73" spans="1:54" s="1231" customFormat="1" ht="12.75" hidden="1" customHeight="1" x14ac:dyDescent="0.2">
      <c r="A73" s="1231" t="s">
        <v>77</v>
      </c>
      <c r="B73" s="1231">
        <f>IF(B24=2,C71,0)</f>
        <v>0</v>
      </c>
      <c r="D73" s="1235">
        <f>IF(D24=2,C71,0)</f>
        <v>2</v>
      </c>
      <c r="E73" s="1231">
        <f>IF(E24=2,F71,0)</f>
        <v>0</v>
      </c>
      <c r="G73" s="1235">
        <f>IF(G24=2,F71,0)</f>
        <v>0</v>
      </c>
      <c r="H73" s="1231">
        <f>IF(H24=2,I71,0)</f>
        <v>0</v>
      </c>
      <c r="J73" s="1235">
        <f>IF(J24=2,I71,0)</f>
        <v>0</v>
      </c>
      <c r="K73" s="1231">
        <f>IF(K24=2,L71,0)</f>
        <v>2</v>
      </c>
      <c r="M73" s="1235">
        <f>IF(M24=2,L71,0)</f>
        <v>0</v>
      </c>
      <c r="N73" s="1231">
        <f>IF(N24=2,O71,0)</f>
        <v>0</v>
      </c>
      <c r="P73" s="1235">
        <f>IF(P24=2,O71,0)</f>
        <v>0</v>
      </c>
      <c r="Q73" s="1231">
        <f>IF(Q24=2,R71,0)</f>
        <v>0</v>
      </c>
      <c r="S73" s="1235">
        <f>IF(S24=2,R71,0)</f>
        <v>0</v>
      </c>
      <c r="T73" s="1231">
        <f>IF(T24=2,U71,0)</f>
        <v>0</v>
      </c>
      <c r="V73" s="1235">
        <f>IF(V24=2,U71,0)</f>
        <v>1</v>
      </c>
      <c r="W73" s="1231">
        <f>IF(W24=2,X71,0)</f>
        <v>0</v>
      </c>
      <c r="Y73" s="1235">
        <f>IF(Y24=2,X71,0)</f>
        <v>0</v>
      </c>
      <c r="Z73" s="1231">
        <f>IF(Z24=2,AA71,0)</f>
        <v>0</v>
      </c>
      <c r="AB73" s="1235">
        <f>IF(AB24=2,AA71,0)</f>
        <v>0</v>
      </c>
      <c r="AC73" s="1231">
        <f>IF(AC24=2,AD71,0)</f>
        <v>0</v>
      </c>
      <c r="AE73" s="1235">
        <f>IF(AE24=2,AD71,0)</f>
        <v>0</v>
      </c>
      <c r="AF73" s="1231">
        <f>SUM(B73:AE73)</f>
        <v>5</v>
      </c>
    </row>
    <row r="74" spans="1:54" s="1231" customFormat="1" ht="12.75" hidden="1" customHeight="1" x14ac:dyDescent="0.2">
      <c r="A74" s="1231" t="s">
        <v>78</v>
      </c>
      <c r="B74" s="1231">
        <f>IF(B24=3,C71,0)</f>
        <v>0</v>
      </c>
      <c r="D74" s="1235">
        <f>IF(D24=3,C71,0)</f>
        <v>0</v>
      </c>
      <c r="E74" s="1231">
        <f>IF(E24=3,F71,0)</f>
        <v>2</v>
      </c>
      <c r="G74" s="1235">
        <f>IF(G24=3,F71,0)</f>
        <v>0</v>
      </c>
      <c r="H74" s="1231">
        <f>IF(H24=3,I71,0)</f>
        <v>0</v>
      </c>
      <c r="J74" s="1235">
        <f>IF(J24=3,I71,0)</f>
        <v>0</v>
      </c>
      <c r="K74" s="1231">
        <f>IF(K24=3,L71,0)</f>
        <v>0</v>
      </c>
      <c r="M74" s="1235">
        <f>IF(M24=3,L71,0)</f>
        <v>2</v>
      </c>
      <c r="N74" s="1231">
        <f>IF(N24=3,O71,0)</f>
        <v>0</v>
      </c>
      <c r="P74" s="1235">
        <f>IF(P24=3,O71,0)</f>
        <v>0</v>
      </c>
      <c r="Q74" s="1231">
        <f>IF(Q24=3,R71,0)</f>
        <v>0</v>
      </c>
      <c r="S74" s="1235">
        <f>IF(S24=3,R71,0)</f>
        <v>0</v>
      </c>
      <c r="T74" s="1231">
        <f>IF(T24=3,U71,0)</f>
        <v>1</v>
      </c>
      <c r="V74" s="1235">
        <f>IF(V24=3,U71,0)</f>
        <v>0</v>
      </c>
      <c r="W74" s="1231">
        <f>IF(W24=3,X71,0)</f>
        <v>0</v>
      </c>
      <c r="Y74" s="1235">
        <f>IF(Y24=3,X71,0)</f>
        <v>0</v>
      </c>
      <c r="Z74" s="1231">
        <f>IF(Z24=3,AA71,0)</f>
        <v>0</v>
      </c>
      <c r="AB74" s="1235">
        <f>IF(AB24=3,AA71,0)</f>
        <v>0</v>
      </c>
      <c r="AC74" s="1231">
        <f>IF(AC24=3,AD71,0)</f>
        <v>0</v>
      </c>
      <c r="AE74" s="1235">
        <f>IF(AE24=3,AD71,0)</f>
        <v>0</v>
      </c>
      <c r="AF74" s="1231">
        <f>SUM(B74:AE74)</f>
        <v>5</v>
      </c>
    </row>
    <row r="75" spans="1:54" s="1231" customFormat="1" ht="12.75" hidden="1" customHeight="1" x14ac:dyDescent="0.2">
      <c r="A75" s="1231" t="s">
        <v>79</v>
      </c>
      <c r="B75" s="1231">
        <f>IF(B24=4,C71,0)</f>
        <v>0</v>
      </c>
      <c r="D75" s="1235">
        <f>IF(D24=4,C71,0)</f>
        <v>0</v>
      </c>
      <c r="E75" s="1231">
        <f>IF(E24=4,F71,0)</f>
        <v>0</v>
      </c>
      <c r="G75" s="1235">
        <f>IF(G24=4,F71,0)</f>
        <v>2</v>
      </c>
      <c r="H75" s="1231">
        <f>IF(H24=4,I71,0)</f>
        <v>0</v>
      </c>
      <c r="J75" s="1235">
        <f>IF(J24=4,I71,0)</f>
        <v>0</v>
      </c>
      <c r="K75" s="1231">
        <f>IF(K24=4,L71,0)</f>
        <v>0</v>
      </c>
      <c r="M75" s="1235">
        <f>IF(M24=4,L71,0)</f>
        <v>0</v>
      </c>
      <c r="N75" s="1231">
        <f>IF(N24=4,O71,0)</f>
        <v>2</v>
      </c>
      <c r="P75" s="1235">
        <f>IF(P24=4,O71,0)</f>
        <v>0</v>
      </c>
      <c r="Q75" s="1231">
        <f>IF(Q24=4,R71,0)</f>
        <v>0</v>
      </c>
      <c r="S75" s="1235">
        <f>IF(S24=4,R71,0)</f>
        <v>1</v>
      </c>
      <c r="T75" s="1231">
        <f>IF(T24=4,U71,0)</f>
        <v>0</v>
      </c>
      <c r="V75" s="1235">
        <f>IF(V24=4,U71,0)</f>
        <v>0</v>
      </c>
      <c r="W75" s="1231">
        <f>IF(W24=4,X71,0)</f>
        <v>0</v>
      </c>
      <c r="Y75" s="1235">
        <f>IF(Y24=4,X71,0)</f>
        <v>0</v>
      </c>
      <c r="Z75" s="1231">
        <f>IF(Z24=4,AA71,0)</f>
        <v>0</v>
      </c>
      <c r="AB75" s="1235">
        <f>IF(AB24=4,AA71,0)</f>
        <v>0</v>
      </c>
      <c r="AC75" s="1231">
        <f>IF(AC24=4,AD71,0)</f>
        <v>0</v>
      </c>
      <c r="AE75" s="1235">
        <f>IF(AE24=4,AD71,0)</f>
        <v>0</v>
      </c>
      <c r="AF75" s="1231">
        <f>SUM(B75:AE75)</f>
        <v>5</v>
      </c>
    </row>
    <row r="76" spans="1:54" s="1231" customFormat="1" ht="12.75" hidden="1" customHeight="1" x14ac:dyDescent="0.2">
      <c r="A76" s="1231" t="s">
        <v>80</v>
      </c>
      <c r="B76" s="1231">
        <f>IF(B24=5,C71,0)</f>
        <v>0</v>
      </c>
      <c r="D76" s="1235">
        <f>IF(D24=5,C71,0)</f>
        <v>0</v>
      </c>
      <c r="E76" s="1231">
        <f>IF(E24=5,F71,0)</f>
        <v>0</v>
      </c>
      <c r="G76" s="1235">
        <f>IF(G24=5,F71,0)</f>
        <v>0</v>
      </c>
      <c r="H76" s="1231">
        <f>IF(H24=5,I71,0)</f>
        <v>0</v>
      </c>
      <c r="J76" s="1235">
        <f>IF(J24=5,I71,0)</f>
        <v>2</v>
      </c>
      <c r="K76" s="1231">
        <f>IF(K24=5,L71,0)</f>
        <v>0</v>
      </c>
      <c r="M76" s="1235">
        <f>IF(M24=5,L71,0)</f>
        <v>0</v>
      </c>
      <c r="N76" s="1231">
        <f>IF(N24=5,O71,0)</f>
        <v>0</v>
      </c>
      <c r="P76" s="1235">
        <f>IF(P24=5,O71,0)</f>
        <v>2</v>
      </c>
      <c r="Q76" s="1231">
        <f>IF(Q24=5,R71,0)</f>
        <v>0</v>
      </c>
      <c r="S76" s="1235">
        <f>IF(S24=5,R71,0)</f>
        <v>0</v>
      </c>
      <c r="T76" s="1231">
        <f>IF(T24=5,U71,0)</f>
        <v>0</v>
      </c>
      <c r="V76" s="1235">
        <f>IF(V24=5,U71,0)</f>
        <v>0</v>
      </c>
      <c r="W76" s="1231">
        <f>IF(W24=5,X71,0)</f>
        <v>0</v>
      </c>
      <c r="Y76" s="1235">
        <f>IF(Y24=5,X71,0)</f>
        <v>0</v>
      </c>
      <c r="Z76" s="1231">
        <f>IF(Z24=5,AA71,0)</f>
        <v>0</v>
      </c>
      <c r="AB76" s="1235">
        <f>IF(AB24=5,AA71,0)</f>
        <v>0</v>
      </c>
      <c r="AC76" s="1231">
        <f>IF(AC24=5,AD71,0)</f>
        <v>0</v>
      </c>
      <c r="AE76" s="1235">
        <f>IF(AE24=5,AD71,0)</f>
        <v>0</v>
      </c>
      <c r="AF76" s="1231">
        <f>SUM(B76:AE76)</f>
        <v>4</v>
      </c>
    </row>
    <row r="77" spans="1:54" hidden="1" x14ac:dyDescent="0.2">
      <c r="A77" s="1237"/>
      <c r="B77" s="1237"/>
      <c r="C77" s="1237"/>
      <c r="D77" s="1237"/>
      <c r="E77" s="1237"/>
      <c r="F77" s="1237"/>
      <c r="G77" s="1237"/>
      <c r="H77" s="1237"/>
      <c r="I77" s="1237"/>
      <c r="J77" s="1237"/>
      <c r="K77" s="1237"/>
      <c r="L77" s="1237"/>
      <c r="M77" s="1237"/>
      <c r="N77" s="1237"/>
      <c r="O77" s="1237"/>
      <c r="P77" s="1237"/>
      <c r="Q77" s="1237"/>
      <c r="R77" s="1237"/>
      <c r="S77" s="1237"/>
      <c r="T77" s="1237"/>
      <c r="U77" s="1237"/>
      <c r="V77" s="1237"/>
      <c r="W77" s="1237"/>
      <c r="X77" s="1237"/>
      <c r="Y77" s="1237"/>
      <c r="Z77" s="1237"/>
      <c r="AA77" s="1237"/>
      <c r="AB77" s="1237"/>
      <c r="AC77" s="1237"/>
      <c r="AD77" s="1237"/>
      <c r="AE77" s="1237"/>
      <c r="AF77" s="1237"/>
      <c r="AG77" s="1237"/>
      <c r="AH77" s="1237"/>
      <c r="AI77" s="1237"/>
      <c r="AJ77" s="1237"/>
      <c r="AK77" s="1237"/>
      <c r="AL77" s="1237"/>
      <c r="AM77" s="1237"/>
      <c r="AN77" s="1238"/>
      <c r="AO77" s="1238"/>
      <c r="AP77" s="1238"/>
      <c r="AQ77" s="1238"/>
      <c r="AR77" s="1239"/>
      <c r="AS77" s="1239"/>
      <c r="AT77" s="1239"/>
      <c r="AU77" s="1239"/>
      <c r="AV77" s="1239"/>
      <c r="AW77" s="1240"/>
      <c r="BB77" s="1240"/>
    </row>
    <row r="78" spans="1:54" s="1239" customFormat="1" hidden="1" x14ac:dyDescent="0.2">
      <c r="A78" s="1241"/>
      <c r="B78" s="1241"/>
      <c r="C78" s="1241" t="s">
        <v>87</v>
      </c>
      <c r="D78" s="1241">
        <v>1</v>
      </c>
      <c r="E78" s="1241"/>
      <c r="F78" s="1241"/>
      <c r="G78" s="1241">
        <v>2</v>
      </c>
      <c r="H78" s="1241"/>
      <c r="I78" s="1241"/>
      <c r="J78" s="1241">
        <v>3</v>
      </c>
      <c r="K78" s="1241"/>
      <c r="L78" s="1241"/>
      <c r="M78" s="1241">
        <v>4</v>
      </c>
      <c r="N78" s="1241"/>
      <c r="O78" s="1241"/>
      <c r="P78" s="1241">
        <v>5</v>
      </c>
      <c r="Q78" s="1241"/>
      <c r="R78" s="1241"/>
      <c r="S78" s="1241">
        <v>6</v>
      </c>
      <c r="T78" s="1241"/>
      <c r="U78" s="1241"/>
      <c r="V78" s="1241">
        <v>7</v>
      </c>
      <c r="W78" s="1241"/>
      <c r="X78" s="1241"/>
      <c r="Y78" s="1241">
        <v>8</v>
      </c>
      <c r="Z78" s="1241"/>
      <c r="AA78" s="1241"/>
      <c r="AB78" s="1241">
        <v>9</v>
      </c>
      <c r="AC78" s="1241"/>
      <c r="AD78" s="1241"/>
      <c r="AE78" s="1241">
        <v>10</v>
      </c>
      <c r="AF78"/>
      <c r="AG78" s="1241"/>
      <c r="AI78" s="1242"/>
      <c r="AJ78"/>
      <c r="AK78"/>
      <c r="AL78"/>
      <c r="AM78"/>
      <c r="AN78"/>
      <c r="AO78"/>
      <c r="AT78" s="1242" t="s">
        <v>88</v>
      </c>
      <c r="AW78" s="1243"/>
      <c r="BB78" s="1243"/>
    </row>
    <row r="79" spans="1:54" s="1239" customFormat="1" hidden="1" x14ac:dyDescent="0.2">
      <c r="A79" s="1244">
        <v>1</v>
      </c>
      <c r="B79" s="1244" t="str">
        <f>E8</f>
        <v>SC Midlands KP White</v>
      </c>
      <c r="C79" s="1244">
        <f>VLOOKUP(B79,AU$3:AY$7,3,FALSE)</f>
        <v>1192.0777643975948</v>
      </c>
      <c r="D79" s="1244">
        <f>IF(B72,B87,IF(D72,D87,C79))</f>
        <v>1194.3690992371967</v>
      </c>
      <c r="E79" s="1244"/>
      <c r="F79" s="1244"/>
      <c r="G79" s="1244">
        <f>IF(E72,E87,IF(G72,G87,D79))</f>
        <v>1194.3690992371967</v>
      </c>
      <c r="H79" s="1244"/>
      <c r="I79" s="1244"/>
      <c r="J79" s="1244">
        <f>IF(H72,H87,IF(J72,J87,G79))</f>
        <v>1219.5912238611652</v>
      </c>
      <c r="K79" s="1244"/>
      <c r="L79" s="1244"/>
      <c r="M79" s="1244">
        <f>IF(K72,K87,IF(M72,M87,J79))</f>
        <v>1219.5912238611652</v>
      </c>
      <c r="N79" s="1244"/>
      <c r="O79" s="1244"/>
      <c r="P79" s="1244">
        <f>IF(N72,N87,IF(P72,P87,M79))</f>
        <v>1219.5912238611652</v>
      </c>
      <c r="Q79" s="1244"/>
      <c r="R79" s="1244"/>
      <c r="S79" s="1244">
        <f>IF(Q72,Q87,IF(S72,S87,P79))</f>
        <v>1235.0933022219344</v>
      </c>
      <c r="T79" s="1244"/>
      <c r="U79" s="1244"/>
      <c r="V79" s="1244">
        <f>IF(T72,T87,IF(V72,V87,S79))</f>
        <v>1235.0933022219344</v>
      </c>
      <c r="W79" s="1244"/>
      <c r="X79" s="1244"/>
      <c r="Y79" s="1244">
        <f>IF(W72,W87,IF(Y72,Y87,V79))</f>
        <v>1235.0933022219344</v>
      </c>
      <c r="Z79" s="1244"/>
      <c r="AA79" s="1244"/>
      <c r="AB79" s="1244">
        <f>IF(Z72,Z87,IF(AB72,AB87,Y79))</f>
        <v>1235.0933022219344</v>
      </c>
      <c r="AC79" s="1244"/>
      <c r="AD79" s="1244"/>
      <c r="AE79" s="1244">
        <f>IF(AC72,AC87,IF(AE72,AE87,AB79))</f>
        <v>1235.0933022219344</v>
      </c>
      <c r="AF79"/>
      <c r="AG79"/>
      <c r="AJ79"/>
      <c r="AK79"/>
      <c r="AL79"/>
      <c r="AM79"/>
      <c r="AN79"/>
      <c r="AO79"/>
      <c r="AT79" s="1239" t="str">
        <f>B79</f>
        <v>SC Midlands KP White</v>
      </c>
      <c r="AU79" s="1239">
        <f>AE79</f>
        <v>1235.0933022219344</v>
      </c>
      <c r="AW79" s="1243"/>
      <c r="BB79" s="1243"/>
    </row>
    <row r="80" spans="1:54" s="1239" customFormat="1" hidden="1" x14ac:dyDescent="0.2">
      <c r="A80" s="1244">
        <v>2</v>
      </c>
      <c r="B80" s="1244" t="str">
        <f>E10</f>
        <v>SC Midlands KP Garnet</v>
      </c>
      <c r="C80" s="1244">
        <f>VLOOKUP(B80,AU$3:AY$7,3,FALSE)</f>
        <v>1216.9982652053041</v>
      </c>
      <c r="D80" s="1244">
        <f>IF(B73,B87,IF(D73,D87,C80))</f>
        <v>1214.7069303657022</v>
      </c>
      <c r="E80" s="1244"/>
      <c r="F80" s="1244"/>
      <c r="G80" s="1244">
        <f>IF(E73,E87,IF(G73,G87,D80))</f>
        <v>1214.7069303657022</v>
      </c>
      <c r="H80" s="1244"/>
      <c r="I80" s="1244"/>
      <c r="J80" s="1244">
        <f>IF(H73,H87,IF(J73,J87,G80))</f>
        <v>1214.7069303657022</v>
      </c>
      <c r="K80" s="1244"/>
      <c r="L80" s="1244"/>
      <c r="M80" s="1244">
        <f>IF(K73,K87,IF(M73,M87,J80))</f>
        <v>1174.9238302353183</v>
      </c>
      <c r="N80" s="1244"/>
      <c r="O80" s="1244"/>
      <c r="P80" s="1244">
        <f>IF(N73,N87,IF(P73,P87,M80))</f>
        <v>1174.9238302353183</v>
      </c>
      <c r="Q80" s="1244"/>
      <c r="R80" s="1244"/>
      <c r="S80" s="1244">
        <f>IF(Q73,Q87,IF(S73,S87,P80))</f>
        <v>1174.9238302353183</v>
      </c>
      <c r="T80" s="1244"/>
      <c r="U80" s="1244"/>
      <c r="V80" s="1244">
        <f>IF(T73,T87,IF(V73,V87,S80))</f>
        <v>1158.6168950584097</v>
      </c>
      <c r="W80" s="1244"/>
      <c r="X80" s="1244"/>
      <c r="Y80" s="1244">
        <f>IF(W73,W87,IF(Y73,Y87,V80))</f>
        <v>1158.6168950584097</v>
      </c>
      <c r="Z80" s="1244"/>
      <c r="AA80" s="1244"/>
      <c r="AB80" s="1244">
        <f>IF(Z73,Z87,IF(AB73,AB87,Y80))</f>
        <v>1158.6168950584097</v>
      </c>
      <c r="AC80" s="1244"/>
      <c r="AD80" s="1244"/>
      <c r="AE80" s="1244">
        <f>IF(AC73,AC87,IF(AE73,AE87,AB80))</f>
        <v>1158.6168950584097</v>
      </c>
      <c r="AF80"/>
      <c r="AG80"/>
      <c r="AJ80"/>
      <c r="AL80"/>
      <c r="AM80"/>
      <c r="AN80"/>
      <c r="AO80"/>
      <c r="AT80" s="1239" t="str">
        <f>B80</f>
        <v>SC Midlands KP Garnet</v>
      </c>
      <c r="AU80" s="1239">
        <f>AE80</f>
        <v>1158.6168950584097</v>
      </c>
      <c r="AW80" s="1243"/>
      <c r="BB80" s="1243"/>
    </row>
    <row r="81" spans="1:54" s="1239" customFormat="1" hidden="1" x14ac:dyDescent="0.2">
      <c r="A81" s="1244">
        <v>3</v>
      </c>
      <c r="B81" s="1244" t="str">
        <f>E12</f>
        <v>Foothills Vanessa</v>
      </c>
      <c r="C81" s="1244">
        <f>VLOOKUP(B81,AU$3:AY$7,3,FALSE)</f>
        <v>1157.3958897894904</v>
      </c>
      <c r="D81" s="1244">
        <f>IF(B74,B87,IF(D74,D87,C81))</f>
        <v>1157.3958897894904</v>
      </c>
      <c r="E81" s="1244"/>
      <c r="F81" s="1244"/>
      <c r="G81" s="1244">
        <f>IF(E74,E87,IF(G74,G87,D81))</f>
        <v>1128.4748996573649</v>
      </c>
      <c r="H81" s="1244"/>
      <c r="I81" s="1244"/>
      <c r="J81" s="1244">
        <f>IF(H74,H87,IF(J74,J87,G81))</f>
        <v>1128.4748996573649</v>
      </c>
      <c r="K81" s="1244"/>
      <c r="L81" s="1244"/>
      <c r="M81" s="1244">
        <f>IF(K74,K87,IF(M74,M87,J81))</f>
        <v>1168.2579997877488</v>
      </c>
      <c r="N81" s="1244"/>
      <c r="O81" s="1244"/>
      <c r="P81" s="1244">
        <f>IF(N74,N87,IF(P74,P87,M81))</f>
        <v>1168.2579997877488</v>
      </c>
      <c r="Q81" s="1244"/>
      <c r="R81" s="1244"/>
      <c r="S81" s="1244">
        <f>IF(Q74,Q87,IF(S74,S87,P81))</f>
        <v>1168.2579997877488</v>
      </c>
      <c r="T81" s="1244"/>
      <c r="U81" s="1244"/>
      <c r="V81" s="1244">
        <f>IF(T74,T87,IF(V74,V87,S81))</f>
        <v>1184.5649349646574</v>
      </c>
      <c r="W81" s="1244"/>
      <c r="X81" s="1244"/>
      <c r="Y81" s="1244">
        <f>IF(W74,W87,IF(Y74,Y87,V81))</f>
        <v>1184.5649349646574</v>
      </c>
      <c r="Z81" s="1244"/>
      <c r="AA81" s="1244"/>
      <c r="AB81" s="1244">
        <f>IF(Z74,Z87,IF(AB74,AB87,Y81))</f>
        <v>1184.5649349646574</v>
      </c>
      <c r="AC81" s="1244"/>
      <c r="AD81" s="1244"/>
      <c r="AE81" s="1244">
        <f>IF(AC74,AC87,IF(AE74,AE87,AB81))</f>
        <v>1184.5649349646574</v>
      </c>
      <c r="AF81"/>
      <c r="AG81"/>
      <c r="AJ81"/>
      <c r="AL81"/>
      <c r="AM81"/>
      <c r="AN81"/>
      <c r="AO81"/>
      <c r="AT81" s="1239" t="str">
        <f>B81</f>
        <v>Foothills Vanessa</v>
      </c>
      <c r="AU81" s="1239">
        <f>AE81</f>
        <v>1184.5649349646574</v>
      </c>
      <c r="AW81" s="1243"/>
      <c r="BB81" s="1243"/>
    </row>
    <row r="82" spans="1:54" s="1239" customFormat="1" hidden="1" x14ac:dyDescent="0.2">
      <c r="A82" s="1244">
        <v>4</v>
      </c>
      <c r="B82" s="1244" t="str">
        <f>E14</f>
        <v>SC Midlands KP Silver</v>
      </c>
      <c r="C82" s="1244">
        <f>VLOOKUP(B82,AU$3:AY$7,3,FALSE)</f>
        <v>1190.9295575057661</v>
      </c>
      <c r="D82" s="1244">
        <f>IF(B75,B87,IF(D75,D87,C82))</f>
        <v>1190.9295575057661</v>
      </c>
      <c r="E82" s="1244"/>
      <c r="F82" s="1244"/>
      <c r="G82" s="1244">
        <f>IF(E75,E87,IF(G75,G87,D82))</f>
        <v>1219.8505476378916</v>
      </c>
      <c r="H82" s="1244"/>
      <c r="I82" s="1244"/>
      <c r="J82" s="1244">
        <f>IF(H75,H87,IF(J75,J87,G82))</f>
        <v>1219.8505476378916</v>
      </c>
      <c r="K82" s="1244"/>
      <c r="L82" s="1244"/>
      <c r="M82" s="1244">
        <f>IF(K75,K87,IF(M75,M87,J82))</f>
        <v>1219.8505476378916</v>
      </c>
      <c r="N82" s="1244"/>
      <c r="O82" s="1244"/>
      <c r="P82" s="1244">
        <f>IF(N75,N87,IF(P75,P87,M82))</f>
        <v>1208.775500407447</v>
      </c>
      <c r="Q82" s="1244"/>
      <c r="R82" s="1244"/>
      <c r="S82" s="1244">
        <f>IF(Q75,Q87,IF(S75,S87,P82))</f>
        <v>1193.2734220466778</v>
      </c>
      <c r="T82" s="1244"/>
      <c r="U82" s="1244"/>
      <c r="V82" s="1244">
        <f>IF(T75,T87,IF(V75,V87,S82))</f>
        <v>1193.2734220466778</v>
      </c>
      <c r="W82" s="1244"/>
      <c r="X82" s="1244"/>
      <c r="Y82" s="1244">
        <f>IF(W75,W87,IF(Y75,Y87,V82))</f>
        <v>1193.2734220466778</v>
      </c>
      <c r="Z82" s="1244"/>
      <c r="AA82" s="1244"/>
      <c r="AB82" s="1244">
        <f>IF(Z75,Z87,IF(AB75,AB87,Y82))</f>
        <v>1193.2734220466778</v>
      </c>
      <c r="AC82" s="1244"/>
      <c r="AD82" s="1244"/>
      <c r="AE82" s="1244">
        <f>IF(AC75,AC87,IF(AE75,AE87,AB82))</f>
        <v>1193.2734220466778</v>
      </c>
      <c r="AF82"/>
      <c r="AG82"/>
      <c r="AJ82"/>
      <c r="AL82"/>
      <c r="AM82"/>
      <c r="AN82"/>
      <c r="AO82"/>
      <c r="AT82" s="1239" t="str">
        <f>B82</f>
        <v>SC Midlands KP Silver</v>
      </c>
      <c r="AU82" s="1239">
        <f>AE82</f>
        <v>1193.2734220466778</v>
      </c>
      <c r="AW82" s="1243"/>
      <c r="BB82" s="1243"/>
    </row>
    <row r="83" spans="1:54" s="1239" customFormat="1" hidden="1" x14ac:dyDescent="0.2">
      <c r="A83" s="1244">
        <v>5</v>
      </c>
      <c r="B83" s="1244" t="str">
        <f>E16</f>
        <v>Columbia SC Starlings 12</v>
      </c>
      <c r="C83" s="1244">
        <f>VLOOKUP(B83,AU$3:AY$7,3,FALSE)</f>
        <v>1119.6481618996331</v>
      </c>
      <c r="D83" s="1244">
        <f>IF(B76,B87,IF(D76,D87,C83))</f>
        <v>1119.6481618996331</v>
      </c>
      <c r="E83" s="1244"/>
      <c r="F83" s="1244"/>
      <c r="G83" s="1244">
        <f>IF(E76,E87,IF(G76,G87,D83))</f>
        <v>1119.6481618996331</v>
      </c>
      <c r="H83" s="1244"/>
      <c r="I83" s="1244"/>
      <c r="J83" s="1244">
        <f>IF(H76,H87,IF(J76,J87,G83))</f>
        <v>1094.4260372756646</v>
      </c>
      <c r="K83" s="1244"/>
      <c r="L83" s="1244"/>
      <c r="M83" s="1244">
        <f>IF(K76,K87,IF(M76,M87,J83))</f>
        <v>1094.4260372756646</v>
      </c>
      <c r="N83" s="1244"/>
      <c r="O83" s="1244"/>
      <c r="P83" s="1244">
        <f>IF(N76,N87,IF(P76,P87,M83))</f>
        <v>1105.5010845061092</v>
      </c>
      <c r="Q83" s="1244"/>
      <c r="R83" s="1244"/>
      <c r="S83" s="1244">
        <f>IF(Q76,Q87,IF(S76,S87,P83))</f>
        <v>1105.5010845061092</v>
      </c>
      <c r="T83" s="1244"/>
      <c r="U83" s="1244"/>
      <c r="V83" s="1244">
        <f>IF(T76,T87,IF(V76,V87,S83))</f>
        <v>1105.5010845061092</v>
      </c>
      <c r="W83" s="1244"/>
      <c r="X83" s="1244"/>
      <c r="Y83" s="1244">
        <f>IF(W76,W87,IF(Y76,Y87,V83))</f>
        <v>1105.5010845061092</v>
      </c>
      <c r="Z83" s="1244"/>
      <c r="AA83" s="1244"/>
      <c r="AB83" s="1244">
        <f>IF(Z76,Z87,IF(AB76,AB87,Y83))</f>
        <v>1105.5010845061092</v>
      </c>
      <c r="AC83" s="1244"/>
      <c r="AD83" s="1244"/>
      <c r="AE83" s="1244">
        <f>IF(AC76,AC87,IF(AE76,AE87,AB83))</f>
        <v>1105.5010845061092</v>
      </c>
      <c r="AF83"/>
      <c r="AG83"/>
      <c r="AJ83"/>
      <c r="AL83"/>
      <c r="AM83"/>
      <c r="AN83"/>
      <c r="AO83"/>
      <c r="AT83" s="1239" t="str">
        <f>B83</f>
        <v>Columbia SC Starlings 12</v>
      </c>
      <c r="AU83" s="1239">
        <f>AE83</f>
        <v>1105.5010845061092</v>
      </c>
      <c r="AW83" s="1243"/>
      <c r="BB83" s="1243"/>
    </row>
    <row r="84" spans="1:54" s="1239" customFormat="1" hidden="1" x14ac:dyDescent="0.2">
      <c r="A84" s="1244"/>
      <c r="B84" s="1244"/>
      <c r="C84" s="1244"/>
      <c r="D84" s="1244"/>
      <c r="E84" s="1244"/>
      <c r="F84" s="1244"/>
      <c r="G84" s="1244"/>
      <c r="H84" s="1244"/>
      <c r="I84" s="1244"/>
      <c r="J84" s="1244"/>
      <c r="K84" s="1244"/>
      <c r="L84" s="1244"/>
      <c r="M84" s="1244"/>
      <c r="N84" s="1244"/>
      <c r="O84" s="1244"/>
      <c r="P84" s="1244"/>
      <c r="Q84" s="1244"/>
      <c r="R84" s="1244"/>
      <c r="S84" s="1244"/>
      <c r="T84" s="1244"/>
      <c r="U84" s="1244"/>
      <c r="V84" s="1244"/>
      <c r="W84" s="1244"/>
      <c r="X84" s="1244"/>
      <c r="Y84" s="1244"/>
      <c r="Z84" s="1244"/>
      <c r="AA84" s="1244"/>
      <c r="AB84" s="1244"/>
      <c r="AC84" s="1244"/>
      <c r="AD84" s="1244"/>
      <c r="AE84" s="1244"/>
      <c r="AF84"/>
      <c r="AG84"/>
      <c r="AJ84"/>
      <c r="AL84"/>
      <c r="AM84"/>
      <c r="AN84"/>
      <c r="AO84"/>
      <c r="AW84" s="1243"/>
      <c r="BB84" s="1243"/>
    </row>
    <row r="85" spans="1:54" s="1239" customFormat="1" hidden="1" x14ac:dyDescent="0.2">
      <c r="A85" s="1244" t="s">
        <v>89</v>
      </c>
      <c r="B85" s="1244">
        <f>VLOOKUP(B24,$A79:$AE83,3,FALSE)</f>
        <v>1192.0777643975948</v>
      </c>
      <c r="C85" s="1244">
        <v>1</v>
      </c>
      <c r="D85" s="1244">
        <f>VLOOKUP(D24,$A79:$AE83,3,FALSE)</f>
        <v>1216.9982652053041</v>
      </c>
      <c r="E85" s="1244">
        <f>VLOOKUP(E24,$A79:$AE83,4,FALSE)</f>
        <v>1157.3958897894904</v>
      </c>
      <c r="F85" s="1244">
        <v>2</v>
      </c>
      <c r="G85" s="1244">
        <f>VLOOKUP(G24,$A79:$AE83,4,FALSE)</f>
        <v>1190.9295575057661</v>
      </c>
      <c r="H85" s="1244">
        <f>VLOOKUP(H24,$A79:$AE83,7,FALSE)</f>
        <v>1194.3690992371967</v>
      </c>
      <c r="I85" s="1244">
        <v>3</v>
      </c>
      <c r="J85" s="1244">
        <f>VLOOKUP(J24,$A79:$AE83,7,FALSE)</f>
        <v>1119.6481618996331</v>
      </c>
      <c r="K85" s="1244">
        <f>VLOOKUP(K24,$A79:$AE83,10,FALSE)</f>
        <v>1214.7069303657022</v>
      </c>
      <c r="L85" s="1244">
        <v>4</v>
      </c>
      <c r="M85" s="1244">
        <f>VLOOKUP(M24,$A79:$AE83,10,FALSE)</f>
        <v>1128.4748996573649</v>
      </c>
      <c r="N85" s="1244">
        <f>VLOOKUP(N24,$A79:$AE83,13,FALSE)</f>
        <v>1219.8505476378916</v>
      </c>
      <c r="O85" s="1244">
        <v>5</v>
      </c>
      <c r="P85" s="1244">
        <f>VLOOKUP(P24,$A79:$AE83,13,FALSE)</f>
        <v>1094.4260372756646</v>
      </c>
      <c r="Q85" s="1244">
        <f>VLOOKUP(Q24,$A79:$AE83,16,FALSE)</f>
        <v>1219.5912238611652</v>
      </c>
      <c r="R85" s="1244">
        <v>6</v>
      </c>
      <c r="S85" s="1244">
        <f>VLOOKUP(S24,$A79:$AE83,16,FALSE)</f>
        <v>1208.775500407447</v>
      </c>
      <c r="T85" s="1244">
        <f>VLOOKUP(T24,$A79:$AE83,19,FALSE)</f>
        <v>1168.2579997877488</v>
      </c>
      <c r="U85" s="1244">
        <v>7</v>
      </c>
      <c r="V85" s="1244">
        <f>VLOOKUP(V24,$A79:$AE83,19,FALSE)</f>
        <v>1174.9238302353183</v>
      </c>
      <c r="W85" s="1244" t="e">
        <f>VLOOKUP(W24,$A79:$AE83,22,FALSE)</f>
        <v>#N/A</v>
      </c>
      <c r="X85" s="1244">
        <v>8</v>
      </c>
      <c r="Y85" s="1244" t="e">
        <f>VLOOKUP(Y24,$A79:$AE83,22,FALSE)</f>
        <v>#N/A</v>
      </c>
      <c r="Z85" s="1244" t="e">
        <f>VLOOKUP(Z24,$A79:$AE83,25,FALSE)</f>
        <v>#N/A</v>
      </c>
      <c r="AA85" s="1244">
        <v>9</v>
      </c>
      <c r="AB85" s="1244" t="e">
        <f>VLOOKUP(AB24,$A79:$AE83,25,FALSE)</f>
        <v>#N/A</v>
      </c>
      <c r="AC85" s="1244" t="e">
        <f>VLOOKUP(AC24,$A79:$AE83,28,FALSE)</f>
        <v>#N/A</v>
      </c>
      <c r="AD85" s="1244">
        <v>10</v>
      </c>
      <c r="AE85" s="1244" t="e">
        <f>VLOOKUP(AE24,$A79:$AE83,28,FALSE)</f>
        <v>#N/A</v>
      </c>
      <c r="AF85"/>
      <c r="AG85" s="1237"/>
      <c r="AH85" s="1237"/>
      <c r="AI85" s="1237"/>
      <c r="AJ85" s="1237"/>
      <c r="AK85" s="1237"/>
      <c r="AL85" s="1237"/>
      <c r="AM85" s="1237"/>
      <c r="AN85" s="1238"/>
      <c r="AO85" s="1238"/>
      <c r="AP85" s="1238"/>
      <c r="AQ85" s="1238"/>
      <c r="AW85" s="1243"/>
      <c r="BB85" s="1243"/>
    </row>
    <row r="86" spans="1:54" s="1249" customFormat="1" hidden="1" x14ac:dyDescent="0.2">
      <c r="A86" s="1245" t="s">
        <v>90</v>
      </c>
      <c r="B86" s="1245">
        <f>1/(1+(10^-((B85-D85)/400)))*(B36+D36)</f>
        <v>0.92839578626244146</v>
      </c>
      <c r="C86" s="1245"/>
      <c r="D86" s="1245">
        <f>1/(1+(10^-((D85-B85)/400)))*(B36+D36)</f>
        <v>1.0716042137375585</v>
      </c>
      <c r="E86" s="1245">
        <f>1/(1+(10^-((E85-G85)/400)))*(E36+G36)</f>
        <v>0.90378094162892442</v>
      </c>
      <c r="F86" s="1245"/>
      <c r="G86" s="1245">
        <f>1/(1+(10^-((G85-E85)/400)))*(E36+G36)</f>
        <v>1.0962190583710756</v>
      </c>
      <c r="H86" s="1245">
        <f>1/(1+(10^-((H85-J85)/400)))*(H36+J36)</f>
        <v>1.2118086055009827</v>
      </c>
      <c r="I86" s="1245"/>
      <c r="J86" s="1245">
        <f>1/(1+(10^-((J85-H85)/400)))*(H36+J36)</f>
        <v>0.78819139449901732</v>
      </c>
      <c r="K86" s="1245">
        <f>1/(1+(10^-((K85-M85)/400)))*(K36+M36)</f>
        <v>1.2432218790744947</v>
      </c>
      <c r="L86" s="1245"/>
      <c r="M86" s="1245">
        <f>1/(1+(10^-((M85-K85)/400)))*(K36+M36)</f>
        <v>0.75677812092550545</v>
      </c>
      <c r="N86" s="1245">
        <f>1/(1+(10^-((N85-P85)/400)))*(N36+P36)</f>
        <v>1.346095225951393</v>
      </c>
      <c r="O86" s="1245"/>
      <c r="P86" s="1245">
        <f>1/(1+(10^-((P85-N85)/400)))*(N36+P36)</f>
        <v>0.65390477404860692</v>
      </c>
      <c r="Q86" s="1245">
        <f>1/(1+(10^-((Q85-S85)/400)))*(Q36+S36)</f>
        <v>0.51556005122595794</v>
      </c>
      <c r="R86" s="1245"/>
      <c r="S86" s="1245">
        <f>1/(1+(10^-((S85-Q85)/400)))*(Q36+S36)</f>
        <v>0.48443994877404206</v>
      </c>
      <c r="T86" s="1245">
        <f>1/(1+(10^-((T85-V85)/400)))*(T36+V36)</f>
        <v>0.49040827572160739</v>
      </c>
      <c r="U86" s="1245"/>
      <c r="V86" s="1245">
        <f>1/(1+(10^-((V85-T85)/400)))*(T36+V36)</f>
        <v>0.50959172427839261</v>
      </c>
      <c r="W86" s="1245" t="e">
        <f>1/(1+(10^-((W85-Y85)/400)))*(W36+Y36)</f>
        <v>#N/A</v>
      </c>
      <c r="X86" s="1245"/>
      <c r="Y86" s="1245" t="e">
        <f>1/(1+(10^-((Y85-W85)/400)))*(W36+Y36)</f>
        <v>#N/A</v>
      </c>
      <c r="Z86" s="1245" t="e">
        <f>1/(1+(10^-((Z85-AB85)/400)))*(Z36+AB36)</f>
        <v>#N/A</v>
      </c>
      <c r="AA86" s="1245"/>
      <c r="AB86" s="1245" t="e">
        <f>1/(1+(10^-((AB85-Z85)/400)))*(Z36+AB36)</f>
        <v>#N/A</v>
      </c>
      <c r="AC86" s="1245" t="e">
        <f>1/(1+(10^-((AC85-AE85)/400)))*(AC36+AE36)</f>
        <v>#N/A</v>
      </c>
      <c r="AD86" s="1245"/>
      <c r="AE86" s="1245" t="e">
        <f>1/(1+(10^-((AE85-AC85)/400)))*(AC36+AE36)</f>
        <v>#N/A</v>
      </c>
      <c r="AF86" s="1246"/>
      <c r="AG86" s="1247"/>
      <c r="AH86" s="1247"/>
      <c r="AI86" s="1247"/>
      <c r="AJ86" s="1247"/>
      <c r="AK86" s="1247"/>
      <c r="AL86" s="1247"/>
      <c r="AM86" s="1247"/>
      <c r="AN86" s="1248"/>
      <c r="AO86" s="1248"/>
      <c r="AP86" s="1248"/>
      <c r="AQ86" s="1248"/>
      <c r="AW86" s="1250"/>
      <c r="BB86" s="1250"/>
    </row>
    <row r="87" spans="1:54" s="1255" customFormat="1" hidden="1" x14ac:dyDescent="0.2">
      <c r="A87" s="1251" t="s">
        <v>91</v>
      </c>
      <c r="B87" s="1251">
        <f>B85+(B36-B86)*$BA$1</f>
        <v>1194.3690992371967</v>
      </c>
      <c r="C87" s="1251"/>
      <c r="D87" s="1251">
        <f>D85+(D36-D86)*$BA$1</f>
        <v>1214.7069303657022</v>
      </c>
      <c r="E87" s="1251">
        <f>E85+(E36-E86)*$BA$1</f>
        <v>1128.4748996573649</v>
      </c>
      <c r="F87" s="1251"/>
      <c r="G87" s="1251">
        <f>G85+(G36-G86)*$BA$1</f>
        <v>1219.8505476378916</v>
      </c>
      <c r="H87" s="1251">
        <f>H85+(H36-H86)*$BA$1</f>
        <v>1219.5912238611652</v>
      </c>
      <c r="I87" s="1251"/>
      <c r="J87" s="1251">
        <f>J85+(J36-J86)*$BA$1</f>
        <v>1094.4260372756646</v>
      </c>
      <c r="K87" s="1251">
        <f>K85+(K36-K86)*$BA$1</f>
        <v>1174.9238302353183</v>
      </c>
      <c r="L87" s="1251"/>
      <c r="M87" s="1251">
        <f>M85+(M36-M86)*$BA$1</f>
        <v>1168.2579997877488</v>
      </c>
      <c r="N87" s="1251">
        <f>N85+(N36-N86)*$BA$1</f>
        <v>1208.775500407447</v>
      </c>
      <c r="O87" s="1251"/>
      <c r="P87" s="1251">
        <f>P85+(P36-P86)*$BA$1</f>
        <v>1105.5010845061092</v>
      </c>
      <c r="Q87" s="1251">
        <f>Q85+(Q36-Q86)*$BA$1</f>
        <v>1235.0933022219344</v>
      </c>
      <c r="R87" s="1251"/>
      <c r="S87" s="1251">
        <f>S85+(S36-S86)*$BA$1</f>
        <v>1193.2734220466778</v>
      </c>
      <c r="T87" s="1251">
        <f>T85+(T36-T86)*$BA$1</f>
        <v>1184.5649349646574</v>
      </c>
      <c r="U87" s="1251"/>
      <c r="V87" s="1251">
        <f>V85+(V36-V86)*$BA$1</f>
        <v>1158.6168950584097</v>
      </c>
      <c r="W87" s="1251" t="e">
        <f>W85+(W36-W86)*$BA$1</f>
        <v>#N/A</v>
      </c>
      <c r="X87" s="1251"/>
      <c r="Y87" s="1251" t="e">
        <f>Y85+(Y36-Y86)*$BA$1</f>
        <v>#N/A</v>
      </c>
      <c r="Z87" s="1251" t="e">
        <f>Z85+(Z36-Z86)*$BA$1</f>
        <v>#N/A</v>
      </c>
      <c r="AA87" s="1251"/>
      <c r="AB87" s="1251" t="e">
        <f>AB85+(AB36-AB86)*$BA$1</f>
        <v>#N/A</v>
      </c>
      <c r="AC87" s="1251" t="e">
        <f>AC85+(AC36-AC86)*$BA$1</f>
        <v>#N/A</v>
      </c>
      <c r="AD87" s="1251"/>
      <c r="AE87" s="1251" t="e">
        <f>AE85+(AE36-AE86)*$BA$1</f>
        <v>#N/A</v>
      </c>
      <c r="AF87" s="1252"/>
      <c r="AG87" s="1253"/>
      <c r="AH87" s="1253"/>
      <c r="AI87" s="1253"/>
      <c r="AJ87" s="1253"/>
      <c r="AK87" s="1253"/>
      <c r="AL87" s="1253"/>
      <c r="AM87" s="1253"/>
      <c r="AN87" s="1254"/>
      <c r="AO87" s="1254"/>
      <c r="AP87" s="1254"/>
      <c r="AQ87" s="1254"/>
      <c r="AW87" s="1256"/>
      <c r="BB87" s="1256"/>
    </row>
    <row r="88" spans="1:54" s="1255" customFormat="1" hidden="1" x14ac:dyDescent="0.2">
      <c r="A88" s="1251"/>
      <c r="B88" s="1251"/>
      <c r="C88" s="1251"/>
      <c r="D88" s="1251"/>
      <c r="E88" s="1251"/>
      <c r="F88" s="1251"/>
      <c r="G88" s="1251"/>
      <c r="H88" s="1251"/>
      <c r="I88" s="1251"/>
      <c r="J88" s="1251"/>
      <c r="K88" s="1251"/>
      <c r="L88" s="1251"/>
      <c r="M88" s="1251"/>
      <c r="N88" s="1251"/>
      <c r="O88" s="1251"/>
      <c r="P88" s="1251"/>
      <c r="Q88" s="1251"/>
      <c r="R88" s="1251"/>
      <c r="S88" s="1251"/>
      <c r="T88" s="1251"/>
      <c r="U88" s="1251"/>
      <c r="V88" s="1251"/>
      <c r="W88" s="1251"/>
      <c r="X88" s="1251"/>
      <c r="Y88" s="1251"/>
      <c r="Z88" s="1251"/>
      <c r="AA88" s="1251"/>
      <c r="AB88" s="1251"/>
      <c r="AC88" s="1251"/>
      <c r="AD88" s="1251"/>
      <c r="AE88" s="1251"/>
      <c r="AF88" s="1252"/>
      <c r="AG88" s="1253"/>
      <c r="AH88" s="1253"/>
      <c r="AI88" s="1253"/>
      <c r="AJ88" s="1253"/>
      <c r="AK88" s="1253"/>
      <c r="AL88" s="1253"/>
      <c r="AM88" s="1253"/>
      <c r="AN88" s="1254"/>
      <c r="AO88" s="1254"/>
      <c r="AP88" s="1254"/>
      <c r="AQ88" s="1254"/>
      <c r="AW88" s="1256"/>
      <c r="BB88" s="1256"/>
    </row>
    <row r="89" spans="1:54" s="1239" customFormat="1" x14ac:dyDescent="0.2">
      <c r="A89" s="1257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1257"/>
      <c r="C89" s="1257"/>
      <c r="D89" s="1257"/>
      <c r="E89" s="1257"/>
      <c r="F89" s="1257"/>
      <c r="G89" s="1257"/>
      <c r="H89" s="1257"/>
      <c r="I89" s="1257"/>
      <c r="J89" s="1257"/>
      <c r="K89" s="1257"/>
      <c r="L89" s="1257"/>
      <c r="M89" s="1257"/>
      <c r="N89" s="1257"/>
      <c r="O89" s="1257"/>
      <c r="P89" s="1257"/>
      <c r="Q89" s="1257"/>
      <c r="R89" s="1257"/>
      <c r="S89" s="1257"/>
      <c r="T89" s="1257"/>
      <c r="U89" s="1257"/>
      <c r="V89" s="1257"/>
      <c r="W89" s="1257"/>
      <c r="X89" s="1257"/>
      <c r="Y89" s="1257"/>
      <c r="Z89" s="1257"/>
      <c r="AA89" s="1257"/>
      <c r="AB89" s="1257"/>
      <c r="AC89" s="1257"/>
      <c r="AD89" s="1257"/>
      <c r="AE89" s="1257"/>
      <c r="AF89" s="1257"/>
      <c r="AG89" s="1257"/>
      <c r="AH89" s="1257"/>
      <c r="AI89" s="1257"/>
      <c r="AJ89" s="1257"/>
      <c r="AK89" s="1257"/>
      <c r="AL89" s="1257"/>
      <c r="AM89" s="1257"/>
      <c r="AN89" s="1258"/>
      <c r="AO89" s="1258"/>
      <c r="AP89" s="1258"/>
      <c r="AQ89" s="1258"/>
    </row>
    <row r="90" spans="1:54" s="1239" customFormat="1" x14ac:dyDescent="0.2">
      <c r="A90" s="1259"/>
      <c r="B90" s="1259"/>
      <c r="C90" s="1259"/>
      <c r="D90" s="1259"/>
      <c r="E90" s="1259"/>
      <c r="F90" s="1259"/>
      <c r="G90" s="1259"/>
      <c r="H90" s="1259"/>
      <c r="I90" s="1259"/>
      <c r="J90" s="1259"/>
      <c r="K90" s="1259"/>
      <c r="L90" s="1259"/>
      <c r="M90" s="1259"/>
      <c r="N90" s="1259"/>
      <c r="O90" s="1259"/>
      <c r="P90" s="1259"/>
      <c r="Q90" s="1259"/>
      <c r="R90" s="1259"/>
      <c r="S90" s="1259"/>
      <c r="T90" s="1259"/>
      <c r="U90" s="1259"/>
      <c r="V90" s="1259"/>
      <c r="W90" s="1259"/>
      <c r="X90" s="1259"/>
      <c r="Y90" s="1259"/>
      <c r="Z90" s="1259"/>
      <c r="AA90" s="1259"/>
      <c r="AB90" s="1259"/>
      <c r="AC90" s="1259"/>
      <c r="AD90" s="1259"/>
      <c r="AE90" s="1259"/>
      <c r="AF90" s="1259"/>
      <c r="AG90" s="1259"/>
      <c r="AH90" s="1259"/>
      <c r="AI90" s="1259"/>
      <c r="AJ90" s="1259"/>
      <c r="AK90" s="1259"/>
      <c r="AL90" s="1259"/>
      <c r="AM90" s="1259"/>
      <c r="AN90" s="1259"/>
      <c r="AO90" s="1259"/>
      <c r="AP90" s="1259"/>
      <c r="AQ90" s="1259"/>
    </row>
    <row r="91" spans="1:54" ht="21" thickBot="1" x14ac:dyDescent="0.35">
      <c r="A91" s="1260" t="s">
        <v>93</v>
      </c>
      <c r="B91" s="1260"/>
      <c r="C91" s="1260"/>
      <c r="D91" s="1260"/>
      <c r="E91" s="1260"/>
      <c r="F91" s="1260"/>
      <c r="G91" s="1260"/>
      <c r="H91" s="1260"/>
      <c r="I91" s="1260"/>
      <c r="J91" s="1260"/>
      <c r="K91" s="1260"/>
      <c r="L91" s="1260"/>
      <c r="M91" s="1260"/>
      <c r="N91" s="1260"/>
      <c r="O91" s="1260"/>
      <c r="P91" s="1260"/>
      <c r="Q91" s="1260"/>
      <c r="R91" s="1260"/>
      <c r="S91" s="1260"/>
      <c r="T91" s="1260"/>
      <c r="U91" s="1260"/>
      <c r="V91" s="1260"/>
      <c r="W91" s="1260"/>
      <c r="X91" s="1260"/>
      <c r="Y91" s="1260"/>
      <c r="Z91" s="1260"/>
      <c r="AA91" s="1260"/>
      <c r="AB91" s="1260"/>
      <c r="AC91" s="1260"/>
      <c r="AD91" s="1260"/>
      <c r="AE91" s="1260"/>
      <c r="AF91" s="1260"/>
      <c r="AG91" s="1260"/>
      <c r="AH91" s="1260"/>
      <c r="AI91" s="1260"/>
      <c r="AJ91" s="1260"/>
      <c r="AK91" s="1260"/>
      <c r="AL91" s="1260"/>
      <c r="AM91" s="1260"/>
      <c r="AN91" s="1260"/>
      <c r="AO91" s="1260"/>
      <c r="AP91" s="1260"/>
      <c r="AQ91" s="1260"/>
    </row>
    <row r="92" spans="1:54" ht="13.5" thickBot="1" x14ac:dyDescent="0.25">
      <c r="A92" s="1261" t="s">
        <v>94</v>
      </c>
      <c r="B92" s="1262" t="s">
        <v>95</v>
      </c>
      <c r="C92" s="1263"/>
      <c r="D92" s="1263"/>
      <c r="E92" s="1263"/>
      <c r="F92" s="1263"/>
      <c r="G92" s="1263"/>
      <c r="H92" s="1263"/>
      <c r="I92" s="1263"/>
      <c r="J92" s="1263"/>
      <c r="K92" s="1264"/>
      <c r="L92" s="1262" t="s">
        <v>96</v>
      </c>
      <c r="M92" s="1263"/>
      <c r="N92" s="1263"/>
      <c r="O92" s="1263"/>
      <c r="P92" s="1263"/>
      <c r="Q92" s="1263"/>
      <c r="R92" s="1263"/>
      <c r="S92" s="1263"/>
      <c r="T92" s="1263"/>
      <c r="U92" s="1264"/>
      <c r="V92" s="1262" t="s">
        <v>97</v>
      </c>
      <c r="W92" s="1263"/>
      <c r="X92" s="1263"/>
      <c r="Y92" s="1263"/>
      <c r="Z92" s="1263"/>
      <c r="AA92" s="1263"/>
      <c r="AB92" s="1263"/>
      <c r="AC92" s="1263"/>
      <c r="AD92" s="1263"/>
      <c r="AE92" s="1264"/>
      <c r="AF92" s="1262" t="s">
        <v>98</v>
      </c>
      <c r="AG92" s="1263"/>
      <c r="AH92" s="1263"/>
      <c r="AI92" s="1263"/>
      <c r="AJ92" s="1263"/>
      <c r="AK92" s="1263"/>
      <c r="AL92" s="1263"/>
      <c r="AM92" s="1263"/>
      <c r="AN92" s="1263"/>
      <c r="AO92" s="1264"/>
    </row>
    <row r="93" spans="1:54" ht="13.5" thickBot="1" x14ac:dyDescent="0.25">
      <c r="A93" s="1265"/>
      <c r="B93" s="1266" t="s">
        <v>7</v>
      </c>
      <c r="C93" s="1267"/>
      <c r="D93" s="1267"/>
      <c r="E93" s="1267"/>
      <c r="F93" s="1267"/>
      <c r="G93" s="1268"/>
      <c r="H93" s="1266" t="s">
        <v>99</v>
      </c>
      <c r="I93" s="1267"/>
      <c r="J93" s="1267"/>
      <c r="K93" s="1268"/>
      <c r="L93" s="1266" t="s">
        <v>7</v>
      </c>
      <c r="M93" s="1267"/>
      <c r="N93" s="1267"/>
      <c r="O93" s="1267"/>
      <c r="P93" s="1267"/>
      <c r="Q93" s="1268"/>
      <c r="R93" s="1266" t="s">
        <v>99</v>
      </c>
      <c r="S93" s="1267"/>
      <c r="T93" s="1267"/>
      <c r="U93" s="1268"/>
      <c r="V93" s="1266" t="s">
        <v>7</v>
      </c>
      <c r="W93" s="1267"/>
      <c r="X93" s="1267"/>
      <c r="Y93" s="1267"/>
      <c r="Z93" s="1267"/>
      <c r="AA93" s="1268"/>
      <c r="AB93" s="1266" t="s">
        <v>99</v>
      </c>
      <c r="AC93" s="1267"/>
      <c r="AD93" s="1267"/>
      <c r="AE93" s="1268"/>
      <c r="AF93" s="1266" t="s">
        <v>7</v>
      </c>
      <c r="AG93" s="1267"/>
      <c r="AH93" s="1267"/>
      <c r="AI93" s="1267"/>
      <c r="AJ93" s="1267"/>
      <c r="AK93" s="1268"/>
      <c r="AL93" s="1266" t="s">
        <v>99</v>
      </c>
      <c r="AM93" s="1267"/>
      <c r="AN93" s="1267"/>
      <c r="AO93" s="1268"/>
    </row>
    <row r="94" spans="1:54" ht="13.5" thickBot="1" x14ac:dyDescent="0.25">
      <c r="A94" s="1269" t="s">
        <v>100</v>
      </c>
      <c r="B94" s="1270" t="str">
        <f>IF($AF$8=1,$E$8,IF($AF$10=1,$E$10,IF($AF$12=1,$E$12,IF($AF$14=1,$E$14,IF($AF$16=1,$E$16,"1st Place "&amp;$A94)))))</f>
        <v>SC Midlands KP White</v>
      </c>
      <c r="C94" s="1271"/>
      <c r="D94" s="1271"/>
      <c r="E94" s="1271"/>
      <c r="F94" s="1271"/>
      <c r="G94" s="1271"/>
      <c r="H94" s="1272" t="str">
        <f>IF($AF$8=1,$E$9,IF($AF$10=1,$E$11,IF($AF$12=1,$E$13,IF($AF$14=1,$E$15,IF($AF$16=1,$E$17,"1st Place "&amp;$A94)))))</f>
        <v>fj2scmid2pm</v>
      </c>
      <c r="I94" s="1272"/>
      <c r="J94" s="1272"/>
      <c r="K94" s="1273"/>
      <c r="L94" s="1270" t="str">
        <f>IF($AF$8=2,$E$8,IF($AF$10=2,$E$10,IF($AF$12=2,$E$12,IF($AF$14=2,$E$14,IF($AF$16=2,$E$16,"2nd Place "&amp;$A94)))))</f>
        <v>SC Midlands KP Silver</v>
      </c>
      <c r="M94" s="1271"/>
      <c r="N94" s="1271"/>
      <c r="O94" s="1271"/>
      <c r="P94" s="1271"/>
      <c r="Q94" s="1271"/>
      <c r="R94" s="1272" t="str">
        <f>IF($AF$8=2,$E$9,IF($AF$10=2,$E$11,IF($AF$12=2,$E$13,IF($AF$14=2,$E$15,IF($AF$16=2,$E$17,"2nd Place "&amp;$A94)))))</f>
        <v>fj1scmid4pm</v>
      </c>
      <c r="S94" s="1272"/>
      <c r="T94" s="1272"/>
      <c r="U94" s="1273"/>
      <c r="V94" s="1270" t="str">
        <f>IF($AF$8=3,$E$8,IF($AF$10=3,$E$10,IF($AF$12=3,$E$12,IF($AF$14=3,$E$14,IF($AF$16=3,$E$16,"3rd Place "&amp;$A94)))))</f>
        <v>Foothills Vanessa</v>
      </c>
      <c r="W94" s="1271"/>
      <c r="X94" s="1271"/>
      <c r="Y94" s="1271"/>
      <c r="Z94" s="1271"/>
      <c r="AA94" s="1271"/>
      <c r="AB94" s="1272" t="str">
        <f>IF($AF$8=3,$E$9,IF($AF$10=3,$E$11,IF($AF$12=3,$E$13,IF($AF$14=3,$E$15,IF($AF$16=3,$E$17,"3rd Place "&amp;$A94)))))</f>
        <v>fj2footh2pm</v>
      </c>
      <c r="AC94" s="1272"/>
      <c r="AD94" s="1272"/>
      <c r="AE94" s="1273"/>
      <c r="AF94" s="1270" t="str">
        <f>IF($AF$8=4,$E$8,IF($AF$10=4,$E$10,IF($AF$12=4,$E$12,IF($AF$14=4,$E$14,IF($AF$16=4,$E$16,"4th Place "&amp;$A94)))))</f>
        <v>SC Midlands KP Garnet</v>
      </c>
      <c r="AG94" s="1271"/>
      <c r="AH94" s="1271"/>
      <c r="AI94" s="1271"/>
      <c r="AJ94" s="1271"/>
      <c r="AK94" s="1271"/>
      <c r="AL94" s="1272" t="str">
        <f>IF($AF$8=4,$E$9,IF($AF$10=4,$E$11,IF($AF$12=4,$E$13,IF($AF$14=4,$E$15,IF($AF$16=4,$E$17,"4th Place "&amp;$A94)))))</f>
        <v>fj1scmid2pm</v>
      </c>
      <c r="AM94" s="1272"/>
      <c r="AN94" s="1272"/>
      <c r="AO94" s="1273"/>
    </row>
    <row r="95" spans="1:54" s="1039" customFormat="1" x14ac:dyDescent="0.2">
      <c r="A95" s="1274"/>
      <c r="B95" s="1275"/>
      <c r="C95" s="1275"/>
      <c r="D95" s="1275"/>
      <c r="E95" s="1275"/>
      <c r="F95" s="1275"/>
      <c r="G95" s="1275"/>
      <c r="H95" s="1275"/>
      <c r="I95" s="1275"/>
      <c r="J95" s="1275"/>
      <c r="K95" s="1275"/>
      <c r="L95" s="1275"/>
      <c r="M95" s="1275"/>
      <c r="N95" s="1275"/>
      <c r="O95" s="1275"/>
      <c r="P95" s="1275"/>
      <c r="Q95" s="1275"/>
      <c r="R95" s="1275"/>
      <c r="S95" s="1275"/>
      <c r="T95" s="1275"/>
      <c r="U95" s="1275"/>
      <c r="V95" s="1275"/>
      <c r="W95" s="1275"/>
      <c r="X95" s="1275"/>
      <c r="Y95" s="1275"/>
      <c r="Z95" s="1275"/>
      <c r="AA95" s="1275"/>
      <c r="AB95" s="1275"/>
      <c r="AC95" s="1275"/>
      <c r="AD95" s="1275"/>
      <c r="AE95" s="1275"/>
      <c r="AF95" s="1275"/>
      <c r="AG95" s="1275"/>
      <c r="AH95" s="1275"/>
      <c r="AI95" s="1275"/>
      <c r="AJ95" s="1275"/>
      <c r="AK95" s="1275"/>
      <c r="AL95" s="1275"/>
      <c r="AM95" s="1275"/>
      <c r="AN95" s="1275"/>
      <c r="AO95" s="1275"/>
      <c r="AZ95"/>
      <c r="BA95"/>
    </row>
    <row r="96" spans="1:54" ht="15.75" x14ac:dyDescent="0.25">
      <c r="A96" s="1276" t="s">
        <v>102</v>
      </c>
      <c r="B96" s="1276"/>
      <c r="C96" s="1276"/>
      <c r="D96" s="1276"/>
      <c r="E96" s="1276"/>
      <c r="F96" s="1276"/>
      <c r="G96" s="1276"/>
      <c r="H96" s="1276"/>
      <c r="I96" s="1276"/>
      <c r="J96" s="1276"/>
      <c r="K96" s="1276"/>
      <c r="L96" s="1276"/>
      <c r="M96" s="1276"/>
      <c r="N96" s="1276"/>
      <c r="O96" s="1276"/>
      <c r="P96" s="1276"/>
      <c r="Q96" s="1276"/>
      <c r="R96" s="1276"/>
      <c r="S96" s="1276"/>
      <c r="T96" s="1276"/>
      <c r="U96" s="1276"/>
      <c r="V96" s="1276"/>
      <c r="W96" s="1276"/>
      <c r="X96" s="1276"/>
      <c r="Y96" s="1276"/>
      <c r="Z96" s="1276"/>
      <c r="AA96" s="1276"/>
      <c r="AB96" s="1276"/>
      <c r="AC96" s="1276"/>
      <c r="AD96" s="1276"/>
      <c r="AE96" s="1276"/>
      <c r="AF96" s="1276"/>
      <c r="AG96" s="1276"/>
      <c r="AH96" s="1276"/>
      <c r="AI96" s="1276"/>
      <c r="AJ96" s="1276"/>
      <c r="AK96" s="1276"/>
      <c r="AL96" s="1276"/>
      <c r="AM96" s="1276"/>
      <c r="AN96" s="1276"/>
      <c r="AO96" s="1276"/>
      <c r="AP96" s="1276"/>
      <c r="AQ96" s="1276"/>
      <c r="AT96" s="1277"/>
      <c r="AU96" s="1277"/>
      <c r="AV96" s="1277"/>
    </row>
    <row r="97" spans="1:50" ht="36" customHeight="1" x14ac:dyDescent="0.25">
      <c r="A97" s="1278" t="s">
        <v>350</v>
      </c>
      <c r="B97" s="1278"/>
      <c r="C97" s="1278"/>
      <c r="D97" s="1278"/>
      <c r="E97" s="1278"/>
      <c r="F97" s="1278"/>
      <c r="G97" s="1278"/>
      <c r="H97" s="1278"/>
      <c r="I97" s="1278"/>
      <c r="J97" s="1278"/>
      <c r="K97" s="1278"/>
      <c r="L97" s="1278"/>
      <c r="M97" s="1278"/>
      <c r="N97" s="1278"/>
      <c r="O97" s="1278"/>
      <c r="P97" s="1278"/>
      <c r="Q97" s="1278"/>
      <c r="R97" s="1278"/>
      <c r="S97" s="1278"/>
      <c r="T97" s="1278"/>
      <c r="U97" s="1278"/>
      <c r="V97" s="1278"/>
      <c r="W97" s="1278"/>
      <c r="X97" s="1278"/>
      <c r="Y97" s="1278"/>
      <c r="Z97" s="1278"/>
      <c r="AA97" s="1278"/>
      <c r="AB97" s="1278"/>
      <c r="AC97" s="1278"/>
      <c r="AD97" s="1278"/>
      <c r="AE97" s="1278"/>
      <c r="AF97" s="1278"/>
      <c r="AG97" s="1278"/>
      <c r="AH97" s="1278"/>
      <c r="AI97" s="1278"/>
      <c r="AJ97" s="1278"/>
      <c r="AK97" s="1278"/>
      <c r="AL97" s="1278"/>
      <c r="AM97" s="1278"/>
      <c r="AN97" s="1278"/>
      <c r="AO97" s="1278"/>
      <c r="AP97" s="1278"/>
      <c r="AQ97" s="1278"/>
      <c r="AR97" s="1279"/>
    </row>
    <row r="98" spans="1:50" x14ac:dyDescent="0.2">
      <c r="A98" s="1280" t="s">
        <v>1206</v>
      </c>
      <c r="B98" s="1280"/>
      <c r="C98" s="1280"/>
      <c r="D98" s="1280"/>
      <c r="E98" s="1280"/>
      <c r="F98" s="1280"/>
      <c r="G98" s="1280"/>
      <c r="H98" s="1280"/>
      <c r="I98" s="1280"/>
      <c r="J98" s="1280"/>
      <c r="K98" s="1280"/>
      <c r="L98" s="1280"/>
      <c r="M98" s="1280"/>
      <c r="N98" s="1280"/>
      <c r="O98" s="1280"/>
      <c r="P98" s="1280"/>
      <c r="Q98" s="1280"/>
      <c r="R98" s="1280"/>
      <c r="S98" s="1280"/>
      <c r="T98" s="1280"/>
      <c r="U98" s="1280"/>
      <c r="V98" s="1280"/>
      <c r="W98" s="1280"/>
      <c r="X98" s="1280"/>
      <c r="Y98" s="1280"/>
      <c r="Z98" s="1280"/>
      <c r="AA98" s="1280"/>
      <c r="AB98" s="1280"/>
      <c r="AC98" s="1280"/>
      <c r="AD98" s="1280"/>
      <c r="AE98" s="1280"/>
      <c r="AF98" s="1280"/>
      <c r="AG98" s="1280"/>
      <c r="AH98" s="1280"/>
      <c r="AI98" s="1280"/>
      <c r="AJ98" s="1280"/>
      <c r="AK98" s="1280"/>
      <c r="AL98" s="1280"/>
      <c r="AM98" s="1280"/>
      <c r="AN98" s="1280"/>
      <c r="AO98" s="1280"/>
      <c r="AP98" s="1280"/>
      <c r="AQ98" s="1280"/>
    </row>
    <row r="99" spans="1:50" x14ac:dyDescent="0.2">
      <c r="A99" s="1280"/>
      <c r="B99" s="1280"/>
      <c r="C99" s="1280"/>
      <c r="D99" s="1280"/>
      <c r="E99" s="1280"/>
      <c r="F99" s="1280"/>
      <c r="G99" s="1280"/>
      <c r="H99" s="1280"/>
      <c r="I99" s="1280"/>
      <c r="J99" s="1280"/>
      <c r="K99" s="1280"/>
      <c r="L99" s="1280"/>
      <c r="M99" s="1280"/>
      <c r="N99" s="1280"/>
      <c r="O99" s="1280"/>
      <c r="P99" s="1280"/>
      <c r="Q99" s="1280"/>
      <c r="R99" s="1280"/>
      <c r="S99" s="1280"/>
      <c r="T99" s="1280"/>
      <c r="U99" s="1280"/>
      <c r="V99" s="1280"/>
      <c r="W99" s="1280"/>
      <c r="X99" s="1280"/>
      <c r="Y99" s="1280"/>
      <c r="Z99" s="1280"/>
      <c r="AA99" s="1280"/>
      <c r="AB99" s="1280"/>
      <c r="AC99" s="1280"/>
      <c r="AD99" s="1280"/>
      <c r="AE99" s="1280"/>
      <c r="AF99" s="1280"/>
      <c r="AG99" s="1280"/>
      <c r="AH99" s="1280"/>
      <c r="AI99" s="1280"/>
      <c r="AJ99" s="1280"/>
      <c r="AK99" s="1280"/>
      <c r="AL99" s="1280"/>
      <c r="AM99" s="1280"/>
      <c r="AN99" s="1280"/>
      <c r="AO99" s="1280"/>
      <c r="AP99" s="1280"/>
      <c r="AQ99" s="1280"/>
    </row>
    <row r="100" spans="1:50" x14ac:dyDescent="0.2">
      <c r="A100" s="1281" t="s">
        <v>104</v>
      </c>
      <c r="B100" s="1281"/>
      <c r="C100" s="1281"/>
      <c r="D100" s="1281"/>
      <c r="E100" s="1281"/>
      <c r="F100" s="1281"/>
      <c r="G100" s="1281"/>
      <c r="H100" s="1281"/>
      <c r="I100" s="1281"/>
      <c r="J100" s="1281"/>
      <c r="K100" s="1281"/>
      <c r="L100" s="1282"/>
      <c r="R100" s="1283"/>
      <c r="S100" s="1283"/>
      <c r="T100" s="1284"/>
      <c r="U100" s="1284"/>
      <c r="V100" s="1284"/>
      <c r="W100" s="1284"/>
      <c r="X100" s="1284"/>
      <c r="Y100" s="1284"/>
      <c r="Z100" s="1284"/>
      <c r="AA100" s="1284"/>
      <c r="AB100" s="1284"/>
      <c r="AC100" s="1284"/>
      <c r="AD100" s="1284"/>
      <c r="AE100" s="1284"/>
      <c r="AF100" s="1284"/>
      <c r="AG100" s="1283"/>
      <c r="AH100" s="1284"/>
      <c r="AI100" s="1284"/>
      <c r="AJ100" s="1283"/>
      <c r="AK100" s="1283"/>
      <c r="AL100" s="1283"/>
      <c r="AM100" s="1283"/>
    </row>
    <row r="101" spans="1:50" x14ac:dyDescent="0.2">
      <c r="C101" s="1039"/>
      <c r="D101" s="1039"/>
      <c r="E101" s="1039"/>
      <c r="L101" s="1282"/>
      <c r="R101" s="1283"/>
      <c r="S101" s="1283"/>
      <c r="T101" s="1284"/>
      <c r="U101" s="1284"/>
      <c r="V101" s="1284"/>
      <c r="W101" s="1284"/>
      <c r="X101" s="1284"/>
      <c r="Y101" s="1284"/>
      <c r="Z101" s="1284"/>
      <c r="AA101" s="1284"/>
      <c r="AB101" s="1284"/>
      <c r="AC101" s="1284"/>
      <c r="AD101" s="1284"/>
      <c r="AE101" s="1284"/>
      <c r="AF101" s="1284"/>
      <c r="AG101" s="1283"/>
      <c r="AH101" s="1284"/>
      <c r="AI101" s="1284"/>
      <c r="AJ101" s="1283"/>
      <c r="AK101" s="1283"/>
      <c r="AL101" s="1283"/>
      <c r="AM101" s="1283"/>
    </row>
    <row r="102" spans="1:50" x14ac:dyDescent="0.2">
      <c r="A102" s="1258"/>
      <c r="B102" s="1258"/>
      <c r="C102" s="1258"/>
      <c r="D102" s="1258"/>
      <c r="E102" s="1258"/>
      <c r="F102" s="1258"/>
      <c r="G102" s="1258"/>
      <c r="H102" s="1258"/>
      <c r="I102" s="1258"/>
      <c r="J102" s="1258"/>
      <c r="K102" s="1258"/>
      <c r="L102" s="1258"/>
      <c r="M102" s="1258"/>
      <c r="N102" s="1258"/>
      <c r="O102" s="1258"/>
      <c r="P102" s="1240"/>
      <c r="R102" s="1285"/>
      <c r="S102" s="1285"/>
      <c r="T102" s="1285"/>
      <c r="U102" s="1285"/>
      <c r="V102" s="1285"/>
      <c r="W102" s="1285"/>
      <c r="X102" s="1285"/>
      <c r="Y102" s="1285"/>
      <c r="Z102" s="1285"/>
      <c r="AA102" s="1285"/>
      <c r="AB102" s="1285"/>
      <c r="AC102" s="1285"/>
      <c r="AD102" s="1285"/>
      <c r="AE102" s="1285"/>
      <c r="AF102" s="1285"/>
      <c r="AG102" s="1283"/>
      <c r="AH102" s="1284"/>
      <c r="AI102" s="1284"/>
      <c r="AJ102" s="1283"/>
      <c r="AK102" s="1283"/>
      <c r="AL102" s="1283"/>
      <c r="AM102" s="1283"/>
    </row>
    <row r="103" spans="1:50" x14ac:dyDescent="0.2">
      <c r="R103" s="1283"/>
      <c r="S103" s="1283"/>
      <c r="T103" s="1284"/>
      <c r="U103" s="1284"/>
      <c r="V103" s="1284"/>
      <c r="W103" s="1284"/>
      <c r="X103" s="1284"/>
      <c r="Y103" s="1284"/>
      <c r="Z103" s="1284"/>
      <c r="AA103" s="1284"/>
      <c r="AB103" s="1284"/>
      <c r="AC103" s="1284"/>
      <c r="AD103" s="1284"/>
      <c r="AE103" s="1284"/>
      <c r="AF103" s="1284"/>
      <c r="AG103" s="1283"/>
      <c r="AH103" s="1284"/>
      <c r="AI103" s="1284"/>
      <c r="AJ103" s="1283"/>
      <c r="AK103" s="1283"/>
      <c r="AL103" s="1283"/>
      <c r="AM103" s="1283"/>
    </row>
    <row r="104" spans="1:50" ht="13.5" thickBot="1" x14ac:dyDescent="0.25">
      <c r="A104" s="1286" t="str">
        <f>IF(B132=1,B124,IF(B132=2,B125,IF(B132=3,B126,IF(B132=4,B127,IF(OR(B132="B",B132="b"),"BYE","invalid")))))</f>
        <v>SC Midlands KP White</v>
      </c>
      <c r="B104" s="1286"/>
      <c r="C104" s="1286"/>
      <c r="D104" s="1286"/>
      <c r="E104" s="1286"/>
      <c r="F104" s="1287"/>
      <c r="G104" s="1287"/>
      <c r="H104" s="1287"/>
      <c r="I104" s="1287"/>
      <c r="J104" s="1287"/>
      <c r="K104" s="1287"/>
      <c r="L104" s="1287"/>
      <c r="M104" s="1287"/>
      <c r="N104" s="1287"/>
      <c r="S104" s="1288"/>
      <c r="T104" s="1289"/>
      <c r="U104" s="1284"/>
      <c r="V104" s="1284"/>
      <c r="W104" s="1284"/>
      <c r="X104" s="1284"/>
      <c r="Y104" s="1284"/>
      <c r="Z104" s="1284"/>
      <c r="AA104" s="1284"/>
      <c r="AB104" s="1283"/>
      <c r="AC104" s="1283"/>
      <c r="AD104" s="1283"/>
      <c r="AE104" s="1283"/>
      <c r="AF104" s="1283"/>
      <c r="AG104" s="1283"/>
      <c r="AH104" s="1283"/>
      <c r="AI104" s="1283"/>
      <c r="AJ104" s="1283"/>
      <c r="AK104" s="1283"/>
      <c r="AL104" s="1283"/>
    </row>
    <row r="105" spans="1:50" x14ac:dyDescent="0.2">
      <c r="A105" s="1290" t="s">
        <v>1207</v>
      </c>
      <c r="B105" s="1290"/>
      <c r="C105" s="1290"/>
      <c r="D105" s="1290"/>
      <c r="E105" s="1290"/>
      <c r="F105" s="1291"/>
      <c r="G105" s="1287"/>
      <c r="H105" s="1287"/>
      <c r="I105" s="1287"/>
      <c r="J105" s="1287"/>
      <c r="K105" s="1287"/>
      <c r="L105" s="1287"/>
      <c r="M105" s="1287"/>
      <c r="N105" s="1287"/>
      <c r="S105" s="1292"/>
      <c r="T105" s="1293"/>
      <c r="U105" s="1294"/>
      <c r="V105" s="1294"/>
      <c r="W105" s="1294"/>
      <c r="X105" s="1294"/>
      <c r="Y105" s="1294"/>
      <c r="Z105" s="1294"/>
      <c r="AA105" s="1294"/>
      <c r="AB105" s="1283"/>
      <c r="AC105" s="1283"/>
      <c r="AD105" s="1283"/>
      <c r="AE105" s="1283"/>
      <c r="AF105" s="1283"/>
      <c r="AG105" s="1283"/>
      <c r="AH105" s="1283"/>
      <c r="AI105" s="1283"/>
      <c r="AJ105" s="1283"/>
      <c r="AK105" s="1283"/>
      <c r="AL105" s="1283"/>
    </row>
    <row r="106" spans="1:50" x14ac:dyDescent="0.2">
      <c r="A106" s="1287"/>
      <c r="B106" s="1287"/>
      <c r="C106" s="1287"/>
      <c r="D106" s="1287"/>
      <c r="E106" s="1287"/>
      <c r="F106" s="1291"/>
      <c r="G106" s="1287"/>
      <c r="H106" s="1287"/>
      <c r="I106" s="1287"/>
      <c r="J106" s="1287"/>
      <c r="K106" s="1287"/>
      <c r="L106" s="1287"/>
      <c r="M106" s="1287"/>
      <c r="N106" s="1287"/>
      <c r="R106" s="1287"/>
      <c r="S106" s="1287"/>
      <c r="T106" s="1283"/>
      <c r="U106" s="1283"/>
      <c r="V106" s="1283"/>
      <c r="W106" s="1283"/>
      <c r="X106" s="1283"/>
      <c r="Y106" s="1283"/>
      <c r="Z106" s="1283"/>
      <c r="AA106" s="1283"/>
      <c r="AB106" s="1283"/>
      <c r="AC106" s="1283"/>
      <c r="AD106" s="1283"/>
      <c r="AE106" s="1283"/>
      <c r="AF106" s="1283"/>
      <c r="AG106" s="1283"/>
      <c r="AH106" s="1283"/>
      <c r="AI106" s="1283"/>
      <c r="AJ106" s="1283"/>
      <c r="AK106" s="1283"/>
      <c r="AL106" s="1283"/>
    </row>
    <row r="107" spans="1:50" ht="13.5" thickBot="1" x14ac:dyDescent="0.25">
      <c r="A107" s="1295" t="str">
        <f>B126&amp;" ref"</f>
        <v>Foothills Vanessa ref</v>
      </c>
      <c r="B107" s="1295"/>
      <c r="C107" s="1295"/>
      <c r="D107" s="1295"/>
      <c r="E107" s="1296"/>
      <c r="F107" s="1297" t="str">
        <f>IF(H132=1,B124,IF(H132=2,B125,IF(H132=3,B126,IF(H132=4,B127,"Winner Match 1"))))</f>
        <v>Winner Match 1</v>
      </c>
      <c r="G107" s="1298"/>
      <c r="H107" s="1298"/>
      <c r="I107" s="1298"/>
      <c r="J107" s="1298"/>
      <c r="K107" s="1298"/>
      <c r="L107" s="1298"/>
      <c r="M107" s="1298"/>
      <c r="N107" s="1287"/>
      <c r="P107" s="1299"/>
      <c r="Q107" s="1299"/>
      <c r="R107" s="1299"/>
      <c r="S107" s="1299"/>
      <c r="T107" s="1285"/>
      <c r="U107" s="1285"/>
      <c r="V107" s="1285"/>
      <c r="W107" s="1285"/>
      <c r="X107" s="1285"/>
      <c r="Y107" s="1285"/>
      <c r="Z107" s="1285"/>
      <c r="AA107" s="1283"/>
      <c r="AB107" s="1284"/>
      <c r="AC107" s="1284"/>
      <c r="AD107" s="1284"/>
      <c r="AE107" s="1284"/>
      <c r="AF107" s="1284"/>
      <c r="AG107" s="1284"/>
      <c r="AH107" s="1284"/>
      <c r="AI107" s="1283"/>
      <c r="AJ107" s="1283"/>
      <c r="AK107" s="1283"/>
      <c r="AL107" s="1283"/>
    </row>
    <row r="108" spans="1:50" x14ac:dyDescent="0.2">
      <c r="A108" s="1300" t="s">
        <v>109</v>
      </c>
      <c r="B108" s="1300"/>
      <c r="C108" s="1300"/>
      <c r="D108" s="1300"/>
      <c r="E108" s="1300"/>
      <c r="F108" s="1301"/>
      <c r="G108" s="1302"/>
      <c r="H108" s="1302"/>
      <c r="I108" s="1303"/>
      <c r="J108" s="1304"/>
      <c r="K108" s="1305"/>
      <c r="L108" s="1305"/>
      <c r="M108" s="1305"/>
      <c r="N108" s="1287"/>
      <c r="O108" s="1287"/>
      <c r="P108" s="1296"/>
      <c r="Q108" s="355"/>
      <c r="R108" s="1306"/>
      <c r="S108" s="1306"/>
      <c r="T108" s="1307"/>
      <c r="U108" s="1307"/>
      <c r="V108" s="1307"/>
      <c r="W108" s="1307"/>
      <c r="X108" s="1307"/>
      <c r="Y108" s="1307"/>
      <c r="Z108" s="1307"/>
      <c r="AA108" s="1283"/>
      <c r="AB108" s="1285"/>
      <c r="AC108" s="1285"/>
      <c r="AD108" s="1285"/>
      <c r="AE108" s="1285"/>
      <c r="AF108" s="1285"/>
      <c r="AG108" s="1285"/>
      <c r="AH108" s="1285"/>
      <c r="AI108" s="1283"/>
      <c r="AJ108" s="1283"/>
      <c r="AK108" s="1283"/>
      <c r="AL108" s="1283"/>
    </row>
    <row r="109" spans="1:50" ht="13.5" thickBot="1" x14ac:dyDescent="0.25">
      <c r="A109" s="1286" t="str">
        <f>IF(D132=1,B124,IF(D132=2,B125,IF(D132=3,B126,IF(D132=4,B127,IF(OR(D132="B",D132="b"),"BYE","invalid")))))</f>
        <v>SC Midlands KP Garnet</v>
      </c>
      <c r="B109" s="1286"/>
      <c r="C109" s="1286"/>
      <c r="D109" s="1286"/>
      <c r="E109" s="1308"/>
      <c r="F109" s="1291"/>
      <c r="G109" s="1287"/>
      <c r="H109" s="1287"/>
      <c r="I109" s="1287"/>
      <c r="J109" s="1291"/>
      <c r="K109" s="1287"/>
      <c r="L109" s="1287"/>
      <c r="M109" s="1287"/>
      <c r="N109" s="1287"/>
      <c r="O109" s="1287"/>
      <c r="P109" s="1287"/>
      <c r="T109" s="1283"/>
      <c r="U109" s="1284"/>
      <c r="V109" s="1284"/>
      <c r="W109" s="1284"/>
      <c r="X109" s="1284"/>
      <c r="Y109" s="1284"/>
      <c r="Z109" s="1284"/>
      <c r="AA109" s="1284"/>
      <c r="AB109" s="1283"/>
      <c r="AC109" s="1283"/>
      <c r="AD109" s="1283"/>
      <c r="AE109" s="1283"/>
      <c r="AF109" s="1283"/>
      <c r="AG109" s="1283"/>
      <c r="AH109" s="1283"/>
      <c r="AI109" s="1283"/>
      <c r="AJ109" s="1283"/>
      <c r="AK109" s="1283"/>
      <c r="AL109" s="1283"/>
    </row>
    <row r="110" spans="1:50" x14ac:dyDescent="0.2">
      <c r="A110" s="1290" t="s">
        <v>1208</v>
      </c>
      <c r="B110" s="1290"/>
      <c r="C110" s="1290"/>
      <c r="D110" s="1290"/>
      <c r="E110" s="1290"/>
      <c r="F110" s="1287"/>
      <c r="G110" s="1287"/>
      <c r="H110" s="1287"/>
      <c r="I110" s="1287"/>
      <c r="J110" s="1291"/>
      <c r="K110" s="1287"/>
      <c r="L110" s="1287"/>
      <c r="M110" s="1287"/>
      <c r="N110" s="1287"/>
      <c r="O110" s="1287"/>
      <c r="P110" s="1287"/>
      <c r="T110" s="1283"/>
      <c r="U110" s="1294"/>
      <c r="V110" s="1294"/>
      <c r="W110" s="1294"/>
      <c r="X110" s="1294"/>
      <c r="Y110" s="1294"/>
      <c r="Z110" s="1294"/>
      <c r="AA110" s="1294"/>
      <c r="AB110" s="1283"/>
      <c r="AC110" s="1283"/>
      <c r="AD110" s="1283"/>
      <c r="AE110" s="1283"/>
      <c r="AF110" s="1283"/>
      <c r="AG110" s="1283"/>
      <c r="AH110" s="1283"/>
      <c r="AI110" s="1283"/>
      <c r="AJ110" s="1283"/>
      <c r="AK110" s="1283"/>
      <c r="AL110" s="1283"/>
      <c r="AQ110" s="1309"/>
      <c r="AR110" s="1309"/>
      <c r="AS110" s="1309"/>
      <c r="AW110" s="1309"/>
      <c r="AX110" s="1309"/>
    </row>
    <row r="111" spans="1:50" x14ac:dyDescent="0.2">
      <c r="A111" s="1287"/>
      <c r="B111" s="1287"/>
      <c r="C111" s="1287"/>
      <c r="D111" s="1287"/>
      <c r="E111" s="1287"/>
      <c r="F111" s="1310" t="s">
        <v>113</v>
      </c>
      <c r="G111" s="1310"/>
      <c r="H111" s="1310"/>
      <c r="I111" s="1311"/>
      <c r="J111" s="1291"/>
      <c r="K111" s="1287"/>
      <c r="L111" s="1287"/>
      <c r="M111" s="1287"/>
      <c r="N111" s="1287"/>
      <c r="O111" s="1287"/>
      <c r="P111" s="1287"/>
      <c r="R111" s="1287"/>
      <c r="S111" s="1287"/>
      <c r="T111" s="1283"/>
      <c r="U111" s="1283"/>
      <c r="V111" s="1283"/>
      <c r="W111" s="1285"/>
      <c r="X111" s="1285"/>
      <c r="Y111" s="1285"/>
      <c r="Z111" s="1283"/>
      <c r="AA111" s="1285"/>
      <c r="AB111" s="1285"/>
      <c r="AC111" s="1285"/>
      <c r="AD111" s="1285"/>
      <c r="AE111" s="1285"/>
      <c r="AF111" s="1283"/>
      <c r="AG111" s="1283"/>
      <c r="AH111" s="1283"/>
      <c r="AI111" s="1283"/>
      <c r="AJ111" s="1283"/>
      <c r="AK111" s="1283"/>
      <c r="AL111" s="1283"/>
    </row>
    <row r="112" spans="1:50" ht="13.5" thickBot="1" x14ac:dyDescent="0.25">
      <c r="A112" s="1287"/>
      <c r="B112" s="1287"/>
      <c r="C112" s="1287"/>
      <c r="D112" s="1287"/>
      <c r="E112" s="1287"/>
      <c r="F112" s="1287"/>
      <c r="G112" s="1287"/>
      <c r="H112" s="1287"/>
      <c r="I112" s="1287"/>
      <c r="J112" s="1312" t="str">
        <f>IF(K137=1,B124,IF(K137=2,B125,IF(K137=3,B126,IF(K137=4,B127,"Division Winner"))))</f>
        <v>Division Winner</v>
      </c>
      <c r="K112" s="1313"/>
      <c r="L112" s="1313"/>
      <c r="M112" s="1313"/>
      <c r="N112" s="1313"/>
      <c r="O112" s="1313"/>
      <c r="P112" s="1313"/>
      <c r="Q112" s="1288"/>
      <c r="R112" s="1287"/>
      <c r="S112" s="1287"/>
      <c r="T112" s="1283"/>
      <c r="U112" s="1283"/>
      <c r="V112" s="1283"/>
      <c r="W112" s="1283"/>
      <c r="X112" s="1283"/>
      <c r="Y112" s="1283"/>
      <c r="Z112" s="1283"/>
      <c r="AA112" s="1284"/>
      <c r="AB112" s="1284"/>
      <c r="AC112" s="1284"/>
      <c r="AD112" s="1284"/>
      <c r="AE112" s="1284"/>
      <c r="AF112" s="1314"/>
      <c r="AG112" s="1314"/>
      <c r="AH112" s="1314"/>
      <c r="AI112" s="1314"/>
      <c r="AJ112" s="1314"/>
      <c r="AK112" s="1284"/>
      <c r="AL112" s="1283"/>
    </row>
    <row r="113" spans="1:53" ht="13.5" thickBot="1" x14ac:dyDescent="0.25">
      <c r="A113" s="1286" t="str">
        <f>IF(E132=1,B124,IF(E132=2,B125,IF(E132=3,B126,IF(E132=4,B127,IF(OR(E132="B",E132="b"),"BYE","invalid")))))</f>
        <v>SC Midlands KP Silver</v>
      </c>
      <c r="B113" s="1286"/>
      <c r="C113" s="1286"/>
      <c r="D113" s="1286"/>
      <c r="E113" s="1286"/>
      <c r="F113" s="1300" t="s">
        <v>114</v>
      </c>
      <c r="G113" s="1300"/>
      <c r="H113" s="1300"/>
      <c r="I113" s="1300"/>
      <c r="J113" s="1315" t="s">
        <v>115</v>
      </c>
      <c r="K113" s="1310"/>
      <c r="L113" s="1310"/>
      <c r="M113" s="1310"/>
      <c r="N113" s="1310"/>
      <c r="O113" s="1310"/>
      <c r="P113" s="1310"/>
      <c r="R113" s="1316"/>
      <c r="S113" s="1316"/>
      <c r="T113" s="1284"/>
      <c r="U113" s="1284"/>
      <c r="V113" s="1284"/>
      <c r="W113" s="1284"/>
      <c r="X113" s="1284"/>
      <c r="Y113" s="1284"/>
      <c r="Z113" s="1284"/>
      <c r="AA113" s="1284"/>
      <c r="AB113" s="1317"/>
      <c r="AC113" s="1317"/>
      <c r="AD113" s="1317"/>
      <c r="AE113" s="1317"/>
      <c r="AF113" s="1285"/>
      <c r="AG113" s="1285"/>
      <c r="AH113" s="1285"/>
      <c r="AI113" s="1285"/>
      <c r="AJ113" s="1285"/>
      <c r="AK113" s="1283"/>
      <c r="AL113" s="1283"/>
    </row>
    <row r="114" spans="1:53" x14ac:dyDescent="0.2">
      <c r="A114" s="1290" t="s">
        <v>1209</v>
      </c>
      <c r="B114" s="1290"/>
      <c r="C114" s="1290"/>
      <c r="D114" s="1290"/>
      <c r="E114" s="1290"/>
      <c r="F114" s="1291"/>
      <c r="G114" s="1287"/>
      <c r="H114" s="1287"/>
      <c r="I114" s="1287"/>
      <c r="J114" s="1315"/>
      <c r="K114" s="1310"/>
      <c r="L114" s="1310"/>
      <c r="M114" s="1310"/>
      <c r="N114" s="1310"/>
      <c r="O114" s="1310"/>
      <c r="P114" s="1310"/>
      <c r="Q114" s="1287"/>
      <c r="R114" s="1309"/>
      <c r="S114" s="1309"/>
      <c r="T114" s="1294"/>
      <c r="U114" s="1294"/>
      <c r="V114" s="1294"/>
      <c r="W114" s="1294"/>
      <c r="X114" s="1294"/>
      <c r="Y114" s="1294"/>
      <c r="Z114" s="1294"/>
      <c r="AA114" s="1294"/>
      <c r="AB114" s="1283"/>
      <c r="AC114" s="1283"/>
      <c r="AD114" s="1283"/>
      <c r="AE114" s="1283"/>
      <c r="AF114" s="1283"/>
      <c r="AG114" s="1283"/>
      <c r="AH114" s="1283"/>
      <c r="AI114" s="1283"/>
      <c r="AJ114" s="1283"/>
      <c r="AK114" s="1283"/>
      <c r="AL114" s="1283"/>
    </row>
    <row r="115" spans="1:53" x14ac:dyDescent="0.2">
      <c r="A115" s="1287"/>
      <c r="B115" s="1287"/>
      <c r="C115" s="1287"/>
      <c r="D115" s="1287"/>
      <c r="E115" s="1287"/>
      <c r="F115" s="1291"/>
      <c r="G115" s="1287"/>
      <c r="H115" s="1287"/>
      <c r="I115" s="1287"/>
      <c r="J115" s="1291"/>
      <c r="K115" s="1287"/>
      <c r="L115" s="1287"/>
      <c r="M115" s="1287"/>
      <c r="N115" s="1287"/>
      <c r="P115" s="1287"/>
      <c r="Q115" s="1287"/>
      <c r="R115" s="1287"/>
      <c r="S115" s="1287"/>
      <c r="T115" s="1283"/>
      <c r="U115" s="1283"/>
      <c r="V115" s="1283"/>
      <c r="W115" s="1283"/>
      <c r="X115" s="1283"/>
      <c r="Y115" s="1283"/>
      <c r="Z115" s="1283"/>
      <c r="AA115" s="1283"/>
      <c r="AB115" s="1283"/>
      <c r="AC115" s="1283"/>
      <c r="AD115" s="1283"/>
      <c r="AE115" s="1283"/>
      <c r="AF115" s="1283"/>
      <c r="AG115" s="1283"/>
      <c r="AH115" s="1283"/>
      <c r="AI115" s="1283"/>
      <c r="AJ115" s="1283"/>
      <c r="AK115" s="1283"/>
      <c r="AL115" s="1283"/>
    </row>
    <row r="116" spans="1:53" ht="13.5" thickBot="1" x14ac:dyDescent="0.25">
      <c r="A116" s="1310" t="s">
        <v>120</v>
      </c>
      <c r="B116" s="1310"/>
      <c r="C116" s="1310"/>
      <c r="D116" s="1310"/>
      <c r="E116" s="1296"/>
      <c r="F116" s="1318"/>
      <c r="G116" s="1319"/>
      <c r="H116" s="1319"/>
      <c r="I116" s="1320"/>
      <c r="J116" s="1304"/>
      <c r="K116" s="1305"/>
      <c r="L116" s="1305"/>
      <c r="M116" s="1305"/>
      <c r="N116" s="1287"/>
      <c r="Q116" s="1299"/>
      <c r="R116" s="1299"/>
      <c r="S116" s="1299"/>
      <c r="T116" s="1285"/>
      <c r="U116" s="1285"/>
      <c r="V116" s="1285"/>
      <c r="W116" s="1285"/>
      <c r="X116" s="1285"/>
      <c r="Y116" s="1285"/>
      <c r="Z116" s="1285"/>
      <c r="AA116" s="1283"/>
      <c r="AB116" s="1285"/>
      <c r="AC116" s="1285"/>
      <c r="AD116" s="1285"/>
      <c r="AE116" s="1285"/>
      <c r="AF116" s="1285"/>
      <c r="AG116" s="1285"/>
      <c r="AH116" s="1285"/>
      <c r="AI116" s="1283"/>
      <c r="AJ116" s="1283"/>
      <c r="AK116" s="1283"/>
      <c r="AL116" s="1283"/>
      <c r="AZ116" s="1231"/>
      <c r="BA116" s="1231"/>
    </row>
    <row r="117" spans="1:53" x14ac:dyDescent="0.2">
      <c r="A117" s="1300" t="s">
        <v>109</v>
      </c>
      <c r="B117" s="1300"/>
      <c r="C117" s="1300"/>
      <c r="D117" s="1300"/>
      <c r="E117" s="1321"/>
      <c r="F117" s="1297" t="str">
        <f>IF(J132=1,B124,IF(J132=2,B125,IF(J132=3,B126,IF(J132=4,B127,"Winner Match 2"))))</f>
        <v>Winner Match 2</v>
      </c>
      <c r="G117" s="1298"/>
      <c r="H117" s="1298"/>
      <c r="I117" s="1298"/>
      <c r="J117" s="1298"/>
      <c r="K117" s="1298"/>
      <c r="L117" s="1298"/>
      <c r="M117" s="1298"/>
      <c r="N117" s="1287"/>
      <c r="P117" s="1296"/>
      <c r="Q117" s="1296"/>
      <c r="S117" s="1306"/>
      <c r="T117" s="1317"/>
      <c r="U117" s="1317"/>
      <c r="V117" s="1317"/>
      <c r="W117" s="1317"/>
      <c r="X117" s="1317"/>
      <c r="Y117" s="1317"/>
      <c r="Z117" s="1317"/>
      <c r="AA117" s="1283"/>
      <c r="AB117" s="1284"/>
      <c r="AC117" s="1284"/>
      <c r="AD117" s="1284"/>
      <c r="AE117" s="1284"/>
      <c r="AF117" s="1284"/>
      <c r="AG117" s="1284"/>
      <c r="AH117" s="1284"/>
      <c r="AI117" s="1283"/>
      <c r="AJ117" s="1283"/>
      <c r="AK117" s="1283"/>
      <c r="AL117" s="1283"/>
      <c r="AZ117" s="1231"/>
      <c r="BA117" s="1231"/>
    </row>
    <row r="118" spans="1:53" ht="13.5" thickBot="1" x14ac:dyDescent="0.25">
      <c r="A118" s="1286" t="str">
        <f>IF(G132=1,B124,IF(G132=2,B125,IF(G132=3,B126,IF(G132=4,B127,IF(OR(G132="B",G132="b"),"BYE","invalid")))))</f>
        <v>Foothills Vanessa</v>
      </c>
      <c r="B118" s="1286"/>
      <c r="C118" s="1286"/>
      <c r="D118" s="1286"/>
      <c r="E118" s="1308"/>
      <c r="F118" s="1291"/>
      <c r="G118" s="1287"/>
      <c r="H118" s="1287"/>
      <c r="I118" s="1287"/>
      <c r="J118" s="1287"/>
      <c r="K118" s="1287"/>
      <c r="L118" s="1287"/>
      <c r="M118" s="1287"/>
      <c r="N118" s="1287"/>
      <c r="P118" s="1287"/>
      <c r="Q118" s="1287"/>
      <c r="R118" s="1287"/>
      <c r="S118" s="1316"/>
      <c r="T118" s="1284"/>
      <c r="U118" s="1284"/>
      <c r="V118" s="1284"/>
      <c r="W118" s="1284"/>
      <c r="X118" s="1284"/>
      <c r="Y118" s="1284"/>
      <c r="Z118" s="1284"/>
      <c r="AA118" s="1284"/>
      <c r="AB118" s="1283"/>
      <c r="AC118" s="1283"/>
      <c r="AD118" s="1283"/>
      <c r="AE118" s="1283"/>
      <c r="AF118" s="1283"/>
      <c r="AG118" s="1283"/>
      <c r="AH118" s="1283"/>
      <c r="AI118" s="1283"/>
      <c r="AJ118" s="1283"/>
      <c r="AK118" s="1283"/>
      <c r="AL118" s="1283"/>
      <c r="AZ118" s="1231"/>
      <c r="BA118" s="1231"/>
    </row>
    <row r="119" spans="1:53" x14ac:dyDescent="0.2">
      <c r="A119" s="1290" t="s">
        <v>1210</v>
      </c>
      <c r="B119" s="1290"/>
      <c r="C119" s="1290"/>
      <c r="D119" s="1290"/>
      <c r="E119" s="1290"/>
      <c r="S119" s="1309"/>
      <c r="T119" s="1294"/>
      <c r="U119" s="1294"/>
      <c r="V119" s="1294"/>
      <c r="W119" s="1294"/>
      <c r="X119" s="1294"/>
      <c r="Y119" s="1294"/>
      <c r="Z119" s="1294"/>
      <c r="AA119" s="1294"/>
      <c r="AB119" s="1283"/>
      <c r="AC119" s="1283"/>
      <c r="AD119" s="1283"/>
      <c r="AE119" s="1283"/>
      <c r="AF119" s="1283"/>
      <c r="AG119" s="1283"/>
      <c r="AH119" s="1283"/>
      <c r="AI119" s="1283"/>
      <c r="AJ119" s="1283"/>
      <c r="AK119" s="1283"/>
      <c r="AL119" s="1283"/>
      <c r="AZ119" s="1231"/>
      <c r="BA119" s="1231"/>
    </row>
    <row r="120" spans="1:53" x14ac:dyDescent="0.2">
      <c r="T120" s="1283"/>
      <c r="U120" s="1283"/>
      <c r="V120" s="1283"/>
      <c r="W120" s="1283"/>
      <c r="X120" s="1283"/>
      <c r="Y120" s="1283"/>
      <c r="Z120" s="1283"/>
      <c r="AA120" s="1283"/>
      <c r="AB120" s="1283"/>
      <c r="AC120" s="1283"/>
      <c r="AD120" s="1283"/>
      <c r="AE120" s="1283"/>
      <c r="AF120" s="1283"/>
      <c r="AG120" s="1283"/>
      <c r="AH120" s="1283"/>
      <c r="AI120" s="1283"/>
      <c r="AJ120" s="1283"/>
      <c r="AK120" s="1283"/>
      <c r="AL120" s="1283"/>
      <c r="AT120" s="1231"/>
      <c r="AU120" s="1231"/>
      <c r="AV120" s="1231"/>
      <c r="AZ120" s="1231"/>
      <c r="BA120" s="1231"/>
    </row>
    <row r="121" spans="1:53" x14ac:dyDescent="0.2">
      <c r="T121" s="1283"/>
      <c r="U121" s="1283"/>
      <c r="V121" s="1283"/>
      <c r="W121" s="1283"/>
      <c r="X121" s="1283"/>
      <c r="Y121" s="1283"/>
      <c r="Z121" s="1283"/>
      <c r="AA121" s="1283"/>
      <c r="AB121" s="1283"/>
      <c r="AC121" s="1283"/>
      <c r="AD121" s="1283"/>
      <c r="AE121" s="1283"/>
      <c r="AF121" s="1283"/>
      <c r="AG121" s="1283"/>
      <c r="AH121" s="1283"/>
      <c r="AI121" s="1283"/>
      <c r="AJ121" s="1283"/>
      <c r="AK121" s="1283"/>
      <c r="AL121" s="1283"/>
      <c r="AT121" s="1231"/>
      <c r="AU121" s="1231"/>
      <c r="AV121" s="1231"/>
      <c r="AZ121" s="1231"/>
      <c r="BA121" s="1231"/>
    </row>
    <row r="122" spans="1:53" ht="16.5" thickBot="1" x14ac:dyDescent="0.3">
      <c r="A122" s="1322" t="s">
        <v>123</v>
      </c>
      <c r="B122" s="1322"/>
      <c r="C122" s="1322"/>
      <c r="D122" s="1322"/>
      <c r="E122" s="1322"/>
      <c r="F122" s="1322"/>
      <c r="G122" s="1322"/>
      <c r="H122" s="1322"/>
      <c r="I122" s="1322"/>
      <c r="J122" s="1322"/>
      <c r="Q122" s="1323"/>
      <c r="R122" s="1323"/>
      <c r="S122" s="1323"/>
      <c r="T122" s="1324"/>
      <c r="U122" s="1324"/>
      <c r="V122" s="1324"/>
      <c r="W122" s="1324"/>
      <c r="X122" s="1324"/>
      <c r="Y122" s="1324"/>
      <c r="Z122" s="1324"/>
      <c r="AA122" s="1324"/>
      <c r="AB122" s="1324"/>
      <c r="AC122" s="1324"/>
      <c r="AD122" s="1324"/>
      <c r="AE122" s="1324"/>
      <c r="AF122" s="1283"/>
      <c r="AG122" s="1283"/>
      <c r="AH122" s="1283"/>
      <c r="AI122" s="1283"/>
      <c r="AJ122" s="1283"/>
      <c r="AK122" s="1283"/>
      <c r="AL122" s="1283"/>
      <c r="AT122" s="1231"/>
      <c r="AU122" s="1231"/>
      <c r="AV122" s="1231"/>
      <c r="AZ122" s="1231"/>
      <c r="BA122" s="1231"/>
    </row>
    <row r="123" spans="1:53" ht="13.5" thickBot="1" x14ac:dyDescent="0.25">
      <c r="A123" s="1325" t="s">
        <v>125</v>
      </c>
      <c r="B123" s="1326" t="s">
        <v>126</v>
      </c>
      <c r="C123" s="1327"/>
      <c r="D123" s="1327"/>
      <c r="E123" s="1327"/>
      <c r="F123" s="1327"/>
      <c r="G123" s="1327"/>
      <c r="H123" s="1327"/>
      <c r="I123" s="1327"/>
      <c r="J123" s="1328"/>
      <c r="K123" s="1329" t="s">
        <v>127</v>
      </c>
      <c r="L123" s="1330"/>
      <c r="M123" s="1330"/>
      <c r="N123" s="1330"/>
      <c r="O123" s="1330"/>
      <c r="P123" s="1330"/>
      <c r="Q123" s="1331"/>
      <c r="T123" s="1284"/>
      <c r="U123" s="1284"/>
      <c r="V123" s="1284"/>
      <c r="W123" s="1284"/>
      <c r="X123" s="1283"/>
      <c r="Y123" s="1283"/>
      <c r="Z123" s="1283"/>
      <c r="AA123" s="1283"/>
      <c r="AB123" s="1283"/>
      <c r="AC123" s="1283"/>
      <c r="AD123" s="1283"/>
      <c r="AE123" s="1283"/>
      <c r="AF123" s="1283"/>
      <c r="AG123" s="1283"/>
      <c r="AH123" s="1283"/>
      <c r="AI123" s="1283"/>
      <c r="AJ123" s="1283"/>
      <c r="AK123" s="1283"/>
      <c r="AL123" s="1283"/>
      <c r="AT123" s="1231"/>
      <c r="AU123" s="1231"/>
      <c r="AV123" s="1231"/>
      <c r="AZ123" s="1231"/>
      <c r="BA123" s="1231"/>
    </row>
    <row r="124" spans="1:53" ht="13.5" thickBot="1" x14ac:dyDescent="0.25">
      <c r="A124" s="1325">
        <v>1</v>
      </c>
      <c r="B124" s="1332" t="str">
        <f>B94</f>
        <v>SC Midlands KP White</v>
      </c>
      <c r="C124" s="1333"/>
      <c r="D124" s="1333"/>
      <c r="E124" s="1333"/>
      <c r="F124" s="1333"/>
      <c r="G124" s="1333"/>
      <c r="H124" s="1333"/>
      <c r="I124" s="1333"/>
      <c r="J124" s="1334"/>
      <c r="K124" s="1335" t="str">
        <f>H94</f>
        <v>fj2scmid2pm</v>
      </c>
      <c r="L124" s="1336"/>
      <c r="M124" s="1336"/>
      <c r="N124" s="1336"/>
      <c r="O124" s="1336"/>
      <c r="P124" s="1336"/>
      <c r="Q124" s="1337"/>
      <c r="T124" s="1284"/>
      <c r="U124" s="1284"/>
      <c r="V124" s="1284"/>
      <c r="W124" s="1285"/>
      <c r="X124" s="1285"/>
      <c r="Y124" s="1285"/>
      <c r="Z124" s="1285"/>
      <c r="AA124" s="1285"/>
      <c r="AB124" s="1285"/>
      <c r="AC124" s="1285"/>
      <c r="AD124" s="1285"/>
      <c r="AE124" s="1285"/>
      <c r="AF124" s="1283"/>
      <c r="AG124" s="1283"/>
      <c r="AH124" s="1283"/>
      <c r="AI124" s="1283"/>
      <c r="AJ124" s="1283"/>
      <c r="AK124" s="1283"/>
      <c r="AL124" s="1283"/>
      <c r="AT124" s="1231"/>
      <c r="AU124" s="1231"/>
      <c r="AV124" s="1231"/>
      <c r="AZ124" s="1231"/>
      <c r="BA124" s="1231"/>
    </row>
    <row r="125" spans="1:53" ht="13.5" thickBot="1" x14ac:dyDescent="0.25">
      <c r="A125" s="1325">
        <v>2</v>
      </c>
      <c r="B125" s="1332" t="str">
        <f>L94</f>
        <v>SC Midlands KP Silver</v>
      </c>
      <c r="C125" s="1333"/>
      <c r="D125" s="1333"/>
      <c r="E125" s="1333"/>
      <c r="F125" s="1333"/>
      <c r="G125" s="1333"/>
      <c r="H125" s="1333"/>
      <c r="I125" s="1333"/>
      <c r="J125" s="1334"/>
      <c r="K125" s="1335" t="str">
        <f>R94</f>
        <v>fj1scmid4pm</v>
      </c>
      <c r="L125" s="1336"/>
      <c r="M125" s="1336"/>
      <c r="N125" s="1336"/>
      <c r="O125" s="1336"/>
      <c r="P125" s="1336"/>
      <c r="Q125" s="1337"/>
      <c r="T125" s="1284"/>
      <c r="U125" s="1284"/>
      <c r="V125" s="1284"/>
      <c r="W125" s="1285"/>
      <c r="X125" s="1285"/>
      <c r="Y125" s="1285"/>
      <c r="Z125" s="1285"/>
      <c r="AA125" s="1285"/>
      <c r="AB125" s="1285"/>
      <c r="AC125" s="1285"/>
      <c r="AD125" s="1285"/>
      <c r="AE125" s="1285"/>
      <c r="AF125" s="1283"/>
      <c r="AG125" s="1283"/>
      <c r="AH125" s="1283"/>
      <c r="AI125" s="1283"/>
      <c r="AJ125" s="1283"/>
      <c r="AK125" s="1283"/>
      <c r="AL125" s="1283"/>
      <c r="AT125" s="1231"/>
      <c r="AU125" s="1231"/>
      <c r="AV125" s="1231"/>
      <c r="AZ125" s="1231"/>
      <c r="BA125" s="1231"/>
    </row>
    <row r="126" spans="1:53" ht="13.5" thickBot="1" x14ac:dyDescent="0.25">
      <c r="A126" s="1325">
        <v>3</v>
      </c>
      <c r="B126" s="1332" t="str">
        <f>V94</f>
        <v>Foothills Vanessa</v>
      </c>
      <c r="C126" s="1333"/>
      <c r="D126" s="1333"/>
      <c r="E126" s="1333"/>
      <c r="F126" s="1333"/>
      <c r="G126" s="1333"/>
      <c r="H126" s="1333"/>
      <c r="I126" s="1333"/>
      <c r="J126" s="1334"/>
      <c r="K126" s="1335" t="str">
        <f>AB94</f>
        <v>fj2footh2pm</v>
      </c>
      <c r="L126" s="1336"/>
      <c r="M126" s="1336"/>
      <c r="N126" s="1336"/>
      <c r="O126" s="1336"/>
      <c r="P126" s="1336"/>
      <c r="Q126" s="1337"/>
      <c r="T126" s="1284"/>
      <c r="U126" s="1284"/>
      <c r="V126" s="1284"/>
      <c r="W126" s="1285"/>
      <c r="X126" s="1285"/>
      <c r="Y126" s="1285"/>
      <c r="Z126" s="1285"/>
      <c r="AA126" s="1285"/>
      <c r="AB126" s="1285"/>
      <c r="AC126" s="1285"/>
      <c r="AD126" s="1285"/>
      <c r="AE126" s="1285"/>
      <c r="AF126" s="1283"/>
      <c r="AG126" s="1283"/>
      <c r="AH126" s="1283"/>
      <c r="AI126" s="1283"/>
      <c r="AJ126" s="1283"/>
      <c r="AK126" s="1283"/>
      <c r="AL126" s="1283"/>
      <c r="AT126" s="1231"/>
      <c r="AU126" s="1231"/>
      <c r="AV126" s="1231"/>
      <c r="AZ126" s="1231"/>
      <c r="BA126" s="1231"/>
    </row>
    <row r="127" spans="1:53" ht="13.5" thickBot="1" x14ac:dyDescent="0.25">
      <c r="A127" s="1325">
        <v>4</v>
      </c>
      <c r="B127" s="1338" t="str">
        <f>AF94</f>
        <v>SC Midlands KP Garnet</v>
      </c>
      <c r="C127" s="1339"/>
      <c r="D127" s="1339"/>
      <c r="E127" s="1339"/>
      <c r="F127" s="1339"/>
      <c r="G127" s="1339"/>
      <c r="H127" s="1339"/>
      <c r="I127" s="1339"/>
      <c r="J127" s="1340"/>
      <c r="K127" s="1335" t="str">
        <f>AL94</f>
        <v>fj1scmid2pm</v>
      </c>
      <c r="L127" s="1336"/>
      <c r="M127" s="1336"/>
      <c r="N127" s="1336"/>
      <c r="O127" s="1336"/>
      <c r="P127" s="1336"/>
      <c r="Q127" s="1337"/>
      <c r="T127" s="1284"/>
      <c r="U127" s="1284"/>
      <c r="V127" s="1284"/>
      <c r="W127" s="1285"/>
      <c r="X127" s="1285"/>
      <c r="Y127" s="1285"/>
      <c r="Z127" s="1285"/>
      <c r="AA127" s="1285"/>
      <c r="AB127" s="1285"/>
      <c r="AC127" s="1285"/>
      <c r="AD127" s="1285"/>
      <c r="AE127" s="1285"/>
      <c r="AF127" s="1283"/>
      <c r="AG127" s="1283"/>
      <c r="AH127" s="1283"/>
      <c r="AI127" s="1283"/>
      <c r="AJ127" s="1283"/>
      <c r="AK127" s="1283"/>
      <c r="AL127" s="1283"/>
      <c r="AT127" s="1231"/>
      <c r="AU127" s="1231"/>
      <c r="AV127" s="1231"/>
      <c r="AZ127" s="1231"/>
      <c r="BA127" s="1231"/>
    </row>
    <row r="128" spans="1:53" ht="13.5" thickBot="1" x14ac:dyDescent="0.25">
      <c r="T128" s="1283"/>
      <c r="U128" s="1283"/>
      <c r="V128" s="1283"/>
      <c r="W128" s="1283"/>
      <c r="X128" s="1283"/>
      <c r="Y128" s="1283"/>
      <c r="Z128" s="1283"/>
      <c r="AA128" s="1283"/>
      <c r="AB128" s="1283"/>
      <c r="AC128" s="1283"/>
      <c r="AD128" s="1283"/>
      <c r="AE128" s="1283"/>
      <c r="AF128" s="1283"/>
      <c r="AG128" s="1283"/>
      <c r="AH128" s="1283"/>
      <c r="AI128" s="1283"/>
      <c r="AJ128" s="1283"/>
      <c r="AK128" s="1283"/>
      <c r="AL128" s="1283"/>
      <c r="AT128" s="1231"/>
      <c r="AU128" s="1231"/>
      <c r="AV128" s="1231"/>
      <c r="AZ128" s="1231"/>
      <c r="BA128" s="1231"/>
    </row>
    <row r="129" spans="1:77" x14ac:dyDescent="0.2">
      <c r="B129" s="1341" t="s">
        <v>128</v>
      </c>
      <c r="C129" s="1342"/>
      <c r="D129" s="1343"/>
      <c r="E129" s="1344" t="s">
        <v>128</v>
      </c>
      <c r="F129" s="1342"/>
      <c r="G129" s="1343"/>
      <c r="H129" s="1344" t="s">
        <v>11</v>
      </c>
      <c r="I129" s="1342"/>
      <c r="J129" s="1345"/>
      <c r="K129" s="1346" t="s">
        <v>129</v>
      </c>
      <c r="L129" s="1347"/>
      <c r="M129" s="1347"/>
      <c r="N129" s="1347"/>
      <c r="O129" s="1347"/>
      <c r="P129" s="1347"/>
      <c r="Q129" s="1348"/>
      <c r="R129" s="1283"/>
      <c r="S129" s="1283"/>
      <c r="T129" s="1283"/>
      <c r="U129" s="1283"/>
      <c r="V129" s="1283"/>
      <c r="W129" s="1349"/>
      <c r="X129" s="1285"/>
      <c r="Y129" s="1285"/>
      <c r="Z129" s="1349"/>
      <c r="AA129" s="1285"/>
      <c r="AB129" s="1285"/>
      <c r="AC129" s="1349"/>
      <c r="AD129" s="1285"/>
      <c r="AE129" s="1285"/>
      <c r="AF129" s="1285"/>
      <c r="AG129" s="1285"/>
      <c r="AH129" s="1283"/>
      <c r="AI129" s="1283"/>
      <c r="AJ129" s="1283"/>
      <c r="AZ129" s="1231"/>
      <c r="BA129" s="1231"/>
    </row>
    <row r="130" spans="1:77" x14ac:dyDescent="0.2">
      <c r="A130" s="1203" t="s">
        <v>130</v>
      </c>
      <c r="B130" s="1350">
        <v>3</v>
      </c>
      <c r="C130" s="1351"/>
      <c r="D130" s="1352"/>
      <c r="E130" s="1353" t="s">
        <v>131</v>
      </c>
      <c r="F130" s="1351"/>
      <c r="G130" s="1352"/>
      <c r="H130" s="1353" t="s">
        <v>132</v>
      </c>
      <c r="I130" s="1351"/>
      <c r="J130" s="1354"/>
      <c r="K130" s="1355"/>
      <c r="L130" s="1356"/>
      <c r="M130" s="1356"/>
      <c r="N130" s="1356"/>
      <c r="O130" s="1356"/>
      <c r="P130" s="1356"/>
      <c r="Q130" s="1357"/>
      <c r="R130" s="1283"/>
      <c r="S130" s="1283"/>
      <c r="T130" s="1358"/>
      <c r="U130" s="1358"/>
      <c r="V130" s="1358"/>
      <c r="W130" s="1359"/>
      <c r="X130" s="1359"/>
      <c r="Y130" s="1359"/>
      <c r="Z130" s="1359"/>
      <c r="AA130" s="1359"/>
      <c r="AB130" s="1359"/>
      <c r="AC130" s="1359"/>
      <c r="AD130" s="1359"/>
      <c r="AE130" s="1359"/>
      <c r="AF130" s="1283"/>
      <c r="AG130" s="1283"/>
      <c r="AH130" s="1283"/>
      <c r="AI130" s="1283"/>
      <c r="AJ130" s="1283"/>
      <c r="AZ130" s="1231"/>
      <c r="BA130" s="1231"/>
    </row>
    <row r="131" spans="1:77" ht="13.5" thickBot="1" x14ac:dyDescent="0.25">
      <c r="A131" s="1058"/>
      <c r="B131" s="1360" t="s">
        <v>43</v>
      </c>
      <c r="C131" s="1210"/>
      <c r="D131" s="1211"/>
      <c r="E131" s="1209" t="s">
        <v>133</v>
      </c>
      <c r="F131" s="1210"/>
      <c r="G131" s="1211"/>
      <c r="H131" s="1209" t="s">
        <v>134</v>
      </c>
      <c r="I131" s="1210"/>
      <c r="J131" s="1361"/>
      <c r="K131" s="1362"/>
      <c r="L131" s="1363"/>
      <c r="M131" s="1363"/>
      <c r="N131" s="1363"/>
      <c r="O131" s="1363"/>
      <c r="P131" s="1363"/>
      <c r="Q131" s="1364"/>
      <c r="R131" s="1283"/>
      <c r="S131" s="1283"/>
      <c r="T131" s="1284"/>
      <c r="U131" s="1284"/>
      <c r="V131" s="1284"/>
      <c r="W131" s="1365"/>
      <c r="X131" s="1365"/>
      <c r="Y131" s="1365"/>
      <c r="Z131" s="1365"/>
      <c r="AA131" s="1365"/>
      <c r="AB131" s="1365"/>
      <c r="AC131" s="1365"/>
      <c r="AD131" s="1365"/>
      <c r="AE131" s="1365"/>
      <c r="AF131" s="1283"/>
      <c r="AG131" s="1283"/>
      <c r="AH131" s="1283"/>
      <c r="AI131" s="1283"/>
      <c r="AJ131" s="1283"/>
      <c r="AZ131" s="1231"/>
      <c r="BA131" s="1231"/>
    </row>
    <row r="132" spans="1:77" ht="13.5" thickBot="1" x14ac:dyDescent="0.25">
      <c r="A132" s="1058"/>
      <c r="B132" s="1366">
        <v>1</v>
      </c>
      <c r="C132" s="1367" t="s">
        <v>51</v>
      </c>
      <c r="D132" s="1225">
        <v>4</v>
      </c>
      <c r="E132" s="1224">
        <v>2</v>
      </c>
      <c r="F132" s="1367" t="s">
        <v>51</v>
      </c>
      <c r="G132" s="1225">
        <v>3</v>
      </c>
      <c r="H132" s="1368" t="str">
        <f>IF(OR(AND(OR(B136&gt;0,D136&gt;0),B136&gt;D136),OR(D132="b",D132="B")),B132,IF(OR(AND(OR(B136&gt;0,D136&gt;0),D136&gt;B136),OR(B132="b",B132="B")),D132,"W1"))</f>
        <v>W1</v>
      </c>
      <c r="I132" s="1369" t="s">
        <v>51</v>
      </c>
      <c r="J132" s="1370" t="str">
        <f>IF(OR(AND(OR(E136&gt;0,G136&gt;0),E136&gt;G136),OR(G132="b",G132="B")),E132,IF(OR(AND(OR(E136&gt;0,G136&gt;0),G136&gt;E136),OR(E132="b",E132="B")),G132,"W2"))</f>
        <v>W2</v>
      </c>
      <c r="K132" s="1371" t="s">
        <v>135</v>
      </c>
      <c r="L132" s="1372"/>
      <c r="M132" s="1372"/>
      <c r="N132" s="1373"/>
      <c r="R132" s="1283"/>
      <c r="S132" s="1283"/>
      <c r="T132" s="1284"/>
      <c r="U132" s="1284"/>
      <c r="V132" s="1284"/>
      <c r="W132" s="1374"/>
      <c r="X132" s="1375"/>
      <c r="Y132" s="1376"/>
      <c r="Z132" s="1377"/>
      <c r="AA132" s="1375"/>
      <c r="AB132" s="1376"/>
      <c r="AC132" s="1378"/>
      <c r="AD132" s="1379"/>
      <c r="AE132" s="1380"/>
      <c r="AF132" s="1365"/>
      <c r="AG132" s="1365"/>
      <c r="AH132" s="1283"/>
      <c r="AI132" s="1283"/>
      <c r="AJ132" s="1283"/>
      <c r="AZ132" s="1231"/>
      <c r="BA132" s="1231"/>
    </row>
    <row r="133" spans="1:77" ht="13.5" hidden="1" customHeight="1" x14ac:dyDescent="0.2">
      <c r="A133" s="1058"/>
      <c r="B133" s="1381">
        <f>IF(B137&gt;D137,1,0)</f>
        <v>0</v>
      </c>
      <c r="C133" s="1382"/>
      <c r="D133" s="1383">
        <f>IF(D137&gt;B137,1,0)</f>
        <v>0</v>
      </c>
      <c r="E133" s="1381">
        <f>IF(E137&gt;G137,1,0)</f>
        <v>0</v>
      </c>
      <c r="F133" s="1382"/>
      <c r="G133" s="1383">
        <f>IF(G137&gt;E137,1,0)</f>
        <v>0</v>
      </c>
      <c r="H133" s="1381">
        <f>IF(H137&gt;J137,1,0)</f>
        <v>0</v>
      </c>
      <c r="I133" s="1382"/>
      <c r="J133" s="1383">
        <f>IF(J137&gt;H137,1,0)</f>
        <v>0</v>
      </c>
      <c r="K133" s="1384"/>
      <c r="L133" s="1385"/>
      <c r="M133" s="1385"/>
      <c r="N133" s="1386"/>
      <c r="R133" s="1283"/>
      <c r="S133" s="1283"/>
      <c r="T133" s="1284"/>
      <c r="U133" s="1284"/>
      <c r="V133" s="1284"/>
      <c r="W133" s="1374"/>
      <c r="X133" s="1375"/>
      <c r="Y133" s="1376"/>
      <c r="Z133" s="1374"/>
      <c r="AA133" s="1375"/>
      <c r="AB133" s="1376"/>
      <c r="AC133" s="1374"/>
      <c r="AD133" s="1375"/>
      <c r="AE133" s="1376"/>
      <c r="AF133" s="1375"/>
      <c r="AG133" s="1375"/>
      <c r="AH133" s="1283"/>
      <c r="AI133" s="1283"/>
      <c r="AJ133" s="1283"/>
      <c r="AZ133" s="1231"/>
      <c r="BA133" s="1231"/>
    </row>
    <row r="134" spans="1:77" ht="13.5" hidden="1" customHeight="1" x14ac:dyDescent="0.2">
      <c r="A134" s="1058"/>
      <c r="B134" s="1381">
        <f>IF(B138&gt;D138,1,0)</f>
        <v>0</v>
      </c>
      <c r="C134" s="1382"/>
      <c r="D134" s="1383">
        <f>IF(D138&gt;B138,1,0)</f>
        <v>0</v>
      </c>
      <c r="E134" s="1381">
        <f>IF(E138&gt;G138,1,0)</f>
        <v>0</v>
      </c>
      <c r="F134" s="1382"/>
      <c r="G134" s="1383">
        <f>IF(G138&gt;E138,1,0)</f>
        <v>0</v>
      </c>
      <c r="H134" s="1381">
        <f>IF(H138&gt;J138,1,0)</f>
        <v>0</v>
      </c>
      <c r="I134" s="1382"/>
      <c r="J134" s="1383">
        <f>IF(J138&gt;H138,1,0)</f>
        <v>0</v>
      </c>
      <c r="K134" s="1384"/>
      <c r="L134" s="1385"/>
      <c r="M134" s="1385"/>
      <c r="N134" s="1386"/>
      <c r="R134" s="1283"/>
      <c r="S134" s="1283"/>
      <c r="T134" s="1284"/>
      <c r="U134" s="1284"/>
      <c r="V134" s="1284"/>
      <c r="W134" s="1374"/>
      <c r="X134" s="1375"/>
      <c r="Y134" s="1376"/>
      <c r="Z134" s="1374"/>
      <c r="AA134" s="1375"/>
      <c r="AB134" s="1376"/>
      <c r="AC134" s="1374"/>
      <c r="AD134" s="1375"/>
      <c r="AE134" s="1376"/>
      <c r="AF134" s="1375"/>
      <c r="AG134" s="1375"/>
      <c r="AH134" s="1283"/>
      <c r="AI134" s="1283"/>
      <c r="AJ134" s="1283"/>
      <c r="AZ134" s="1231"/>
      <c r="BA134" s="1231"/>
    </row>
    <row r="135" spans="1:77" ht="13.5" hidden="1" customHeight="1" thickBot="1" x14ac:dyDescent="0.25">
      <c r="A135" s="1058"/>
      <c r="B135" s="1381">
        <f>IF(B139&gt;D139,1,0)</f>
        <v>0</v>
      </c>
      <c r="C135" s="1382"/>
      <c r="D135" s="1383">
        <f>IF(D139&gt;B139,1,0)</f>
        <v>0</v>
      </c>
      <c r="E135" s="1381">
        <f>IF(E139&gt;G139,1,0)</f>
        <v>0</v>
      </c>
      <c r="F135" s="1382"/>
      <c r="G135" s="1383">
        <f>IF(G139&gt;E139,1,0)</f>
        <v>0</v>
      </c>
      <c r="H135" s="1381">
        <f>IF(H139&gt;J139,1,0)</f>
        <v>0</v>
      </c>
      <c r="I135" s="1382"/>
      <c r="J135" s="1383">
        <f>IF(J139&gt;H139,1,0)</f>
        <v>0</v>
      </c>
      <c r="K135" s="1384"/>
      <c r="L135" s="1385"/>
      <c r="M135" s="1385"/>
      <c r="N135" s="1386"/>
      <c r="R135" s="1283"/>
      <c r="S135" s="1283"/>
      <c r="T135" s="1284"/>
      <c r="U135" s="1284"/>
      <c r="V135" s="1284"/>
      <c r="W135" s="1374"/>
      <c r="X135" s="1375"/>
      <c r="Y135" s="1376"/>
      <c r="Z135" s="1374"/>
      <c r="AA135" s="1375"/>
      <c r="AB135" s="1376"/>
      <c r="AC135" s="1374"/>
      <c r="AD135" s="1375"/>
      <c r="AE135" s="1376"/>
      <c r="AF135" s="1375"/>
      <c r="AG135" s="1375"/>
      <c r="AH135" s="1283"/>
      <c r="AI135" s="1283"/>
      <c r="AJ135" s="1283"/>
      <c r="AZ135" s="1231"/>
      <c r="BA135" s="1231"/>
    </row>
    <row r="136" spans="1:77" ht="13.5" hidden="1" customHeight="1" x14ac:dyDescent="0.2">
      <c r="A136" s="1058"/>
      <c r="B136" s="1381">
        <f>SUM(B133:B135)</f>
        <v>0</v>
      </c>
      <c r="C136" s="1382"/>
      <c r="D136" s="1381">
        <f>SUM(D133:D135)</f>
        <v>0</v>
      </c>
      <c r="E136" s="1381">
        <f>SUM(E133:E135)</f>
        <v>0</v>
      </c>
      <c r="F136" s="1382"/>
      <c r="G136" s="1381">
        <f>SUM(G133:G135)</f>
        <v>0</v>
      </c>
      <c r="H136" s="1381">
        <f>SUM(H133:H135)</f>
        <v>0</v>
      </c>
      <c r="I136" s="1382"/>
      <c r="J136" s="1381">
        <f>SUM(J133:J135)</f>
        <v>0</v>
      </c>
      <c r="K136" s="1384"/>
      <c r="L136" s="1385"/>
      <c r="M136" s="1385"/>
      <c r="N136" s="1386"/>
      <c r="R136" s="1283"/>
      <c r="S136" s="1283"/>
      <c r="T136" s="1284"/>
      <c r="U136" s="1284"/>
      <c r="V136" s="1284"/>
      <c r="W136" s="1374"/>
      <c r="X136" s="1375"/>
      <c r="Y136" s="1374"/>
      <c r="Z136" s="1374"/>
      <c r="AA136" s="1375"/>
      <c r="AB136" s="1374"/>
      <c r="AC136" s="1374"/>
      <c r="AD136" s="1375"/>
      <c r="AE136" s="1374"/>
      <c r="AF136" s="1375"/>
      <c r="AG136" s="1375"/>
      <c r="AH136" s="1283"/>
      <c r="AI136" s="1283"/>
      <c r="AJ136" s="1283"/>
      <c r="AZ136" s="1231"/>
      <c r="BA136" s="1231"/>
    </row>
    <row r="137" spans="1:77" ht="12.75" customHeight="1" x14ac:dyDescent="0.2">
      <c r="A137" s="1046" t="s">
        <v>52</v>
      </c>
      <c r="B137" s="1387"/>
      <c r="C137" s="1228" t="s">
        <v>53</v>
      </c>
      <c r="D137" s="1388"/>
      <c r="E137" s="1389"/>
      <c r="F137" s="1228" t="s">
        <v>53</v>
      </c>
      <c r="G137" s="1388"/>
      <c r="H137" s="1389"/>
      <c r="I137" s="1228" t="s">
        <v>53</v>
      </c>
      <c r="J137" s="1390"/>
      <c r="K137" s="1391" t="str">
        <f>IF(AND(OR(H136&gt;0,J136&gt;0),AND(1&lt;=H132,H132&lt;=4),AND(1&lt;=J132,J132&lt;=4)),IF(H136&gt;J136,H132,IF(J136&gt;H136,J132,"")),"")</f>
        <v/>
      </c>
      <c r="L137" s="1392"/>
      <c r="M137" s="1392"/>
      <c r="N137" s="1393"/>
      <c r="R137" s="1283"/>
      <c r="S137" s="1283"/>
      <c r="T137" s="1284"/>
      <c r="U137" s="1284"/>
      <c r="V137" s="1394"/>
      <c r="W137" s="1395"/>
      <c r="X137" s="1289"/>
      <c r="Y137" s="1396"/>
      <c r="Z137" s="1395"/>
      <c r="AA137" s="1289"/>
      <c r="AB137" s="1396"/>
      <c r="AC137" s="1395"/>
      <c r="AD137" s="1289"/>
      <c r="AE137" s="1396"/>
      <c r="AF137" s="1397"/>
      <c r="AG137" s="1397"/>
      <c r="AH137" s="1283"/>
      <c r="AI137" s="1283"/>
      <c r="AJ137" s="1283"/>
      <c r="AZ137" s="1231"/>
      <c r="BA137" s="1231"/>
    </row>
    <row r="138" spans="1:77" ht="12.75" customHeight="1" x14ac:dyDescent="0.2">
      <c r="A138" s="1046" t="s">
        <v>136</v>
      </c>
      <c r="B138" s="1387"/>
      <c r="C138" s="1228" t="s">
        <v>53</v>
      </c>
      <c r="D138" s="1388"/>
      <c r="E138" s="1389"/>
      <c r="F138" s="1228" t="s">
        <v>53</v>
      </c>
      <c r="G138" s="1388"/>
      <c r="H138" s="1389"/>
      <c r="I138" s="1228" t="s">
        <v>53</v>
      </c>
      <c r="J138" s="1390"/>
      <c r="K138" s="1398"/>
      <c r="L138" s="1399"/>
      <c r="M138" s="1399"/>
      <c r="N138" s="1400"/>
      <c r="R138" s="1283"/>
      <c r="S138" s="1283"/>
      <c r="T138" s="1284"/>
      <c r="U138" s="1284"/>
      <c r="V138" s="1394"/>
      <c r="W138" s="1395"/>
      <c r="X138" s="1289"/>
      <c r="Y138" s="1396"/>
      <c r="Z138" s="1395"/>
      <c r="AA138" s="1289"/>
      <c r="AB138" s="1396"/>
      <c r="AC138" s="1395"/>
      <c r="AD138" s="1289"/>
      <c r="AE138" s="1396"/>
      <c r="AF138" s="1397"/>
      <c r="AG138" s="1397"/>
      <c r="AH138" s="1283"/>
      <c r="AI138" s="1283"/>
      <c r="AJ138" s="1283"/>
      <c r="AZ138" s="1231"/>
      <c r="BA138" s="1231"/>
    </row>
    <row r="139" spans="1:77" ht="13.5" customHeight="1" thickBot="1" x14ac:dyDescent="0.25">
      <c r="A139" s="1046" t="s">
        <v>137</v>
      </c>
      <c r="B139" s="1401"/>
      <c r="C139" s="1402" t="s">
        <v>53</v>
      </c>
      <c r="D139" s="1403"/>
      <c r="E139" s="1404"/>
      <c r="F139" s="1402" t="s">
        <v>53</v>
      </c>
      <c r="G139" s="1403"/>
      <c r="H139" s="1404"/>
      <c r="I139" s="1402" t="s">
        <v>53</v>
      </c>
      <c r="J139" s="1405"/>
      <c r="K139" s="1406"/>
      <c r="L139" s="1407"/>
      <c r="M139" s="1407"/>
      <c r="N139" s="1408"/>
      <c r="R139" s="1283"/>
      <c r="S139" s="1283"/>
      <c r="T139" s="1284"/>
      <c r="U139" s="1284"/>
      <c r="V139" s="1394"/>
      <c r="W139" s="1395"/>
      <c r="X139" s="1289"/>
      <c r="Y139" s="1396"/>
      <c r="Z139" s="1395"/>
      <c r="AA139" s="1289"/>
      <c r="AB139" s="1396"/>
      <c r="AC139" s="1395"/>
      <c r="AD139" s="1289"/>
      <c r="AE139" s="1396"/>
      <c r="AF139" s="1397"/>
      <c r="AG139" s="1397"/>
      <c r="AH139" s="1283"/>
      <c r="AI139" s="1283"/>
      <c r="AJ139" s="1283"/>
      <c r="AZ139" s="1231"/>
      <c r="BA139" s="1231"/>
    </row>
    <row r="140" spans="1:77" hidden="1" x14ac:dyDescent="0.2">
      <c r="B140" s="1039"/>
      <c r="C140" s="1289" t="s">
        <v>87</v>
      </c>
      <c r="D140" s="1039" t="s">
        <v>138</v>
      </c>
      <c r="E140" s="1039"/>
      <c r="F140" s="1289"/>
      <c r="G140" t="s">
        <v>139</v>
      </c>
      <c r="J140" t="s">
        <v>140</v>
      </c>
      <c r="T140" s="1395"/>
      <c r="U140" s="1395"/>
      <c r="V140" s="1395"/>
      <c r="W140" s="1395"/>
      <c r="X140" s="1395"/>
      <c r="Y140" s="1395"/>
      <c r="Z140" s="1395"/>
      <c r="AA140" s="1395"/>
      <c r="AB140" s="1395"/>
      <c r="AC140" s="1395"/>
      <c r="AD140" s="1395"/>
      <c r="AE140" s="1395"/>
      <c r="AT140" t="str">
        <f>B141</f>
        <v>SC Midlands KP White</v>
      </c>
      <c r="AU140">
        <f>J141</f>
        <v>1235.0933022219344</v>
      </c>
      <c r="AW140" s="1409"/>
      <c r="AX140" s="1231"/>
      <c r="AY140" s="1231"/>
      <c r="AZ140" s="1231"/>
      <c r="BA140" s="1231"/>
      <c r="BB140" s="1409"/>
      <c r="BC140" s="1231"/>
      <c r="BD140" s="1231"/>
      <c r="BE140" s="1409"/>
      <c r="BF140" s="1231"/>
      <c r="BG140" s="1231"/>
      <c r="BH140" s="1409"/>
      <c r="BI140" s="1231"/>
      <c r="BJ140" s="1231"/>
      <c r="BK140" s="1409"/>
      <c r="BL140" s="1231"/>
      <c r="BM140" s="1231"/>
      <c r="BN140" s="1409"/>
      <c r="BO140" s="1231"/>
      <c r="BP140" s="1231"/>
      <c r="BQ140" s="1409"/>
      <c r="BR140" s="1231"/>
      <c r="BS140" s="1231"/>
      <c r="BT140" s="1409"/>
      <c r="BU140" s="1231"/>
      <c r="BV140" s="1231"/>
      <c r="BW140" s="1409"/>
      <c r="BX140" s="1231"/>
      <c r="BY140" s="1231"/>
    </row>
    <row r="141" spans="1:77" hidden="1" x14ac:dyDescent="0.2">
      <c r="A141">
        <v>1</v>
      </c>
      <c r="B141" t="str">
        <f>B124</f>
        <v>SC Midlands KP White</v>
      </c>
      <c r="C141">
        <f>VLOOKUP(B141,AU$2:AY$7,4,FALSE)</f>
        <v>1235.0933022219344</v>
      </c>
      <c r="D141">
        <f>IF(A141=B132,B147,IF(A141=D132,D147,C141))</f>
        <v>1235.0933022219344</v>
      </c>
      <c r="G141">
        <f>IF(A141=E132,E147,IF(A141=G132,G147,D141))</f>
        <v>1235.0933022219344</v>
      </c>
      <c r="J141">
        <f>IF(A141=H132,H147,IF(A141=J132,J147,G141))</f>
        <v>1235.0933022219344</v>
      </c>
      <c r="T141" s="1395"/>
      <c r="U141" s="1395"/>
      <c r="V141" s="1395"/>
      <c r="W141" s="1395"/>
      <c r="X141" s="1395"/>
      <c r="Y141" s="1395"/>
      <c r="Z141" s="1395"/>
      <c r="AA141" s="1395"/>
      <c r="AB141" s="1395"/>
      <c r="AC141" s="1395"/>
      <c r="AD141" s="1395"/>
      <c r="AE141" s="1395"/>
      <c r="AT141" t="str">
        <f>B142</f>
        <v>SC Midlands KP Silver</v>
      </c>
      <c r="AU141">
        <f>J142</f>
        <v>1193.2734220466778</v>
      </c>
      <c r="AW141" s="1409"/>
      <c r="AX141" s="1231"/>
      <c r="AY141" s="1231"/>
      <c r="AZ141" s="1231"/>
      <c r="BA141" s="1231"/>
      <c r="BB141" s="1409"/>
      <c r="BC141" s="1231"/>
      <c r="BD141" s="1231"/>
      <c r="BE141" s="1409"/>
      <c r="BF141" s="1231"/>
      <c r="BG141" s="1231"/>
      <c r="BH141" s="1409"/>
      <c r="BI141" s="1231"/>
      <c r="BJ141" s="1231"/>
      <c r="BK141" s="1409"/>
      <c r="BL141" s="1231"/>
      <c r="BM141" s="1231"/>
      <c r="BN141" s="1409"/>
      <c r="BO141" s="1231"/>
      <c r="BP141" s="1231"/>
      <c r="BQ141" s="1409"/>
      <c r="BR141" s="1231"/>
      <c r="BS141" s="1231"/>
      <c r="BT141" s="1409"/>
      <c r="BU141" s="1231"/>
      <c r="BV141" s="1231"/>
      <c r="BW141" s="1409"/>
      <c r="BX141" s="1231"/>
      <c r="BY141" s="1231"/>
    </row>
    <row r="142" spans="1:77" hidden="1" x14ac:dyDescent="0.2">
      <c r="A142">
        <v>2</v>
      </c>
      <c r="B142" t="str">
        <f>B125</f>
        <v>SC Midlands KP Silver</v>
      </c>
      <c r="C142">
        <f>VLOOKUP(B142,AU$2:AY$7,4,FALSE)</f>
        <v>1193.2734220466778</v>
      </c>
      <c r="D142">
        <f>IF(A142=B132,B147,IF(A142=D132,D147,C142))</f>
        <v>1193.2734220466778</v>
      </c>
      <c r="G142">
        <f>IF(A142=E132,E147,IF(A142=G132,G147,D142))</f>
        <v>1193.2734220466778</v>
      </c>
      <c r="J142">
        <f>IF(A142=H132,H147,IF(A142=J132,J147,G142))</f>
        <v>1193.2734220466778</v>
      </c>
      <c r="T142" s="1395"/>
      <c r="U142" s="1395"/>
      <c r="V142" s="1395"/>
      <c r="W142" s="1395"/>
      <c r="X142" s="1395"/>
      <c r="Y142" s="1395"/>
      <c r="Z142" s="1395"/>
      <c r="AA142" s="1395"/>
      <c r="AB142" s="1395"/>
      <c r="AC142" s="1395"/>
      <c r="AD142" s="1395"/>
      <c r="AE142" s="1395"/>
      <c r="AT142" t="str">
        <f>B143</f>
        <v>Foothills Vanessa</v>
      </c>
      <c r="AU142">
        <f>J143</f>
        <v>1184.5649349646574</v>
      </c>
      <c r="AW142" s="1409"/>
      <c r="AX142" s="1231"/>
      <c r="AY142" s="1231"/>
      <c r="AZ142" s="1231"/>
      <c r="BA142" s="1231"/>
      <c r="BB142" s="1409"/>
      <c r="BC142" s="1231"/>
      <c r="BD142" s="1231"/>
      <c r="BE142" s="1409"/>
      <c r="BF142" s="1231"/>
      <c r="BG142" s="1231"/>
      <c r="BH142" s="1409"/>
      <c r="BI142" s="1231"/>
      <c r="BJ142" s="1231"/>
      <c r="BK142" s="1409"/>
      <c r="BL142" s="1231"/>
      <c r="BM142" s="1231"/>
      <c r="BN142" s="1409"/>
      <c r="BO142" s="1231"/>
      <c r="BP142" s="1231"/>
      <c r="BQ142" s="1409"/>
      <c r="BR142" s="1231"/>
      <c r="BS142" s="1231"/>
      <c r="BT142" s="1409"/>
      <c r="BU142" s="1231"/>
      <c r="BV142" s="1231"/>
      <c r="BW142" s="1409"/>
      <c r="BX142" s="1231"/>
      <c r="BY142" s="1231"/>
    </row>
    <row r="143" spans="1:77" hidden="1" x14ac:dyDescent="0.2">
      <c r="A143">
        <v>3</v>
      </c>
      <c r="B143" t="str">
        <f>B126</f>
        <v>Foothills Vanessa</v>
      </c>
      <c r="C143">
        <f>VLOOKUP(B143,AU$2:AY$7,4,FALSE)</f>
        <v>1184.5649349646574</v>
      </c>
      <c r="D143">
        <f>IF(A143=B132,B147,IF(A143=D132,D147,C143))</f>
        <v>1184.5649349646574</v>
      </c>
      <c r="G143">
        <f>IF(A143=E132,E147,IF(A143=G132,G147,D143))</f>
        <v>1184.5649349646574</v>
      </c>
      <c r="J143">
        <f>IF(A143=H132,H147,IF(A143=J132,J147,G143))</f>
        <v>1184.5649349646574</v>
      </c>
      <c r="T143" s="1395"/>
      <c r="U143" s="1395"/>
      <c r="V143" s="1395"/>
      <c r="W143" s="1395"/>
      <c r="X143" s="1395"/>
      <c r="Y143" s="1395"/>
      <c r="Z143" s="1395"/>
      <c r="AA143" s="1395"/>
      <c r="AB143" s="1395"/>
      <c r="AC143" s="1395"/>
      <c r="AD143" s="1395"/>
      <c r="AE143" s="1395"/>
      <c r="AT143" t="str">
        <f>B144</f>
        <v>SC Midlands KP Garnet</v>
      </c>
      <c r="AU143">
        <f>J144</f>
        <v>1158.6168950584097</v>
      </c>
      <c r="AW143" s="1409"/>
      <c r="AX143" s="1231"/>
      <c r="AY143" s="1231"/>
      <c r="AZ143" s="1231"/>
      <c r="BA143" s="1231"/>
      <c r="BB143" s="1409"/>
      <c r="BC143" s="1231"/>
      <c r="BD143" s="1231"/>
      <c r="BE143" s="1409"/>
      <c r="BF143" s="1231"/>
      <c r="BG143" s="1231"/>
      <c r="BH143" s="1409"/>
      <c r="BI143" s="1231"/>
      <c r="BJ143" s="1231"/>
      <c r="BK143" s="1409"/>
      <c r="BL143" s="1231"/>
      <c r="BM143" s="1231"/>
      <c r="BN143" s="1409"/>
      <c r="BO143" s="1231"/>
      <c r="BP143" s="1231"/>
      <c r="BQ143" s="1409"/>
      <c r="BR143" s="1231"/>
      <c r="BS143" s="1231"/>
      <c r="BT143" s="1409"/>
      <c r="BU143" s="1231"/>
      <c r="BV143" s="1231"/>
      <c r="BW143" s="1409"/>
      <c r="BX143" s="1231"/>
      <c r="BY143" s="1231"/>
    </row>
    <row r="144" spans="1:77" hidden="1" x14ac:dyDescent="0.2">
      <c r="A144">
        <v>4</v>
      </c>
      <c r="B144" t="str">
        <f>B127</f>
        <v>SC Midlands KP Garnet</v>
      </c>
      <c r="C144">
        <f>VLOOKUP(B144,AU$2:AY$7,4,FALSE)</f>
        <v>1158.6168950584097</v>
      </c>
      <c r="D144">
        <f>IF(A144=B132,B147,IF(A144=D132,D147,C144))</f>
        <v>1158.6168950584097</v>
      </c>
      <c r="G144">
        <f>IF(A144=E132,E147,IF(A144=G132,G147,D144))</f>
        <v>1158.6168950584097</v>
      </c>
      <c r="J144">
        <f>IF(A144=H132,H147,IF(A144=J132,J147,G144))</f>
        <v>1158.6168950584097</v>
      </c>
      <c r="T144" s="1395"/>
      <c r="U144" s="1395"/>
      <c r="V144" s="1395"/>
      <c r="W144" s="1395"/>
      <c r="X144" s="1395"/>
      <c r="Y144" s="1395"/>
      <c r="Z144" s="1395"/>
      <c r="AA144" s="1395"/>
      <c r="AB144" s="1395"/>
      <c r="AC144" s="1395"/>
      <c r="AD144" s="1395"/>
      <c r="AE144" s="1395"/>
      <c r="AT144">
        <f>W141</f>
        <v>0</v>
      </c>
      <c r="AU144">
        <f>AE141</f>
        <v>0</v>
      </c>
      <c r="AW144" s="1409"/>
      <c r="AX144" s="1231"/>
      <c r="AY144" s="1231"/>
      <c r="AZ144" s="1231"/>
      <c r="BA144" s="1231"/>
      <c r="BB144" s="1409"/>
      <c r="BC144" s="1231"/>
      <c r="BD144" s="1231"/>
      <c r="BE144" s="1409"/>
      <c r="BF144" s="1231"/>
      <c r="BG144" s="1231"/>
      <c r="BH144" s="1409"/>
      <c r="BI144" s="1231"/>
      <c r="BJ144" s="1231"/>
      <c r="BK144" s="1409"/>
      <c r="BL144" s="1231"/>
      <c r="BM144" s="1231"/>
      <c r="BN144" s="1409"/>
      <c r="BO144" s="1231"/>
      <c r="BP144" s="1231"/>
      <c r="BQ144" s="1409"/>
      <c r="BR144" s="1231"/>
      <c r="BS144" s="1231"/>
      <c r="BT144" s="1409"/>
      <c r="BU144" s="1231"/>
      <c r="BV144" s="1231"/>
      <c r="BW144" s="1409"/>
      <c r="BX144" s="1231"/>
      <c r="BY144" s="1231"/>
    </row>
    <row r="145" spans="1:77" hidden="1" x14ac:dyDescent="0.2">
      <c r="A145" t="s">
        <v>89</v>
      </c>
      <c r="B145">
        <f>VLOOKUP(B132,$A141:$J144,3,FALSE)</f>
        <v>1235.0933022219344</v>
      </c>
      <c r="D145">
        <f>VLOOKUP(D132,$A141:$J144,3,FALSE)</f>
        <v>1158.6168950584097</v>
      </c>
      <c r="E145">
        <f>VLOOKUP(E132,$A141:$J144,4,FALSE)</f>
        <v>1193.2734220466778</v>
      </c>
      <c r="G145">
        <f>VLOOKUP(G132,$A141:$J144,4,FALSE)</f>
        <v>1184.5649349646574</v>
      </c>
      <c r="H145" t="e">
        <f>VLOOKUP(H132,$A141:$J144,7,FALSE)</f>
        <v>#N/A</v>
      </c>
      <c r="J145" t="e">
        <f>VLOOKUP(J132,$A141:$J144,7,FALSE)</f>
        <v>#N/A</v>
      </c>
      <c r="T145" s="1395"/>
      <c r="U145" s="1395"/>
      <c r="V145" s="1395"/>
      <c r="W145" s="1395"/>
      <c r="X145" s="1395"/>
      <c r="Y145" s="1395"/>
      <c r="Z145" s="1395"/>
      <c r="AA145" s="1395"/>
      <c r="AB145" s="1395"/>
      <c r="AC145" s="1395"/>
      <c r="AD145" s="1395"/>
      <c r="AE145" s="1395"/>
      <c r="AT145">
        <f>W142</f>
        <v>0</v>
      </c>
      <c r="AU145">
        <f>AE142</f>
        <v>0</v>
      </c>
      <c r="AW145" s="1409"/>
      <c r="AX145" s="1231"/>
      <c r="AY145" s="1231"/>
      <c r="AZ145" s="1231"/>
      <c r="BA145" s="1231"/>
      <c r="BB145" s="1409"/>
      <c r="BC145" s="1231"/>
      <c r="BD145" s="1231"/>
      <c r="BE145" s="1409"/>
      <c r="BF145" s="1231"/>
      <c r="BG145" s="1231"/>
      <c r="BH145" s="1409"/>
      <c r="BI145" s="1231"/>
      <c r="BJ145" s="1231"/>
      <c r="BK145" s="1409"/>
      <c r="BL145" s="1231"/>
      <c r="BM145" s="1231"/>
      <c r="BN145" s="1409"/>
      <c r="BO145" s="1231"/>
      <c r="BP145" s="1231"/>
      <c r="BQ145" s="1409"/>
      <c r="BR145" s="1231"/>
      <c r="BS145" s="1231"/>
      <c r="BT145" s="1409"/>
      <c r="BU145" s="1231"/>
      <c r="BV145" s="1231"/>
      <c r="BW145" s="1409"/>
      <c r="BX145" s="1231"/>
      <c r="BY145" s="1231"/>
    </row>
    <row r="146" spans="1:77" hidden="1" x14ac:dyDescent="0.2">
      <c r="A146" s="1246" t="s">
        <v>90</v>
      </c>
      <c r="B146" s="1246">
        <f>IF(OR(B136&gt;0,D136&gt;0),1/(1+(10^-((B145-D145)/400)))*(B136+D136),0)</f>
        <v>0</v>
      </c>
      <c r="C146" s="1246"/>
      <c r="D146" s="1246">
        <f>IF(OR(B136&gt;0,D136&gt;0),1/(1+(10^-((D145-B145)/400)))*(B136+D136),0)</f>
        <v>0</v>
      </c>
      <c r="E146" s="1246">
        <f>IF(OR(E136&gt;0,G136&gt;0),1/(1+(10^-((E145-G145)/400)))*(E136+G136),0)</f>
        <v>0</v>
      </c>
      <c r="F146" s="1246"/>
      <c r="G146" s="1246">
        <f>IF(OR(E136&gt;0,G136&gt;0),1/(1+(10^-((G145-E145)/400)))*(E136+G136),0)</f>
        <v>0</v>
      </c>
      <c r="H146" s="1246">
        <f>IF(OR(H136&gt;0,J136&gt;0),1/(1+(10^-((H145-J145)/400)))*(H136+J136),0)</f>
        <v>0</v>
      </c>
      <c r="I146" s="1246"/>
      <c r="J146" s="1246">
        <f>IF(OR(H136&gt;0,J136&gt;0),1/(1+(10^-((J145-H145)/400)))*(H136+J136),0)</f>
        <v>0</v>
      </c>
      <c r="T146" s="1395"/>
      <c r="U146" s="1395"/>
      <c r="V146" s="1395"/>
      <c r="W146" s="1395"/>
      <c r="X146" s="1395"/>
      <c r="Y146" s="1395"/>
      <c r="Z146" s="1395"/>
      <c r="AA146" s="1395"/>
      <c r="AB146" s="1395"/>
      <c r="AC146" s="1395"/>
      <c r="AD146" s="1395"/>
      <c r="AE146" s="1395"/>
      <c r="AT146">
        <f>W143</f>
        <v>0</v>
      </c>
      <c r="AU146">
        <f>AE143</f>
        <v>0</v>
      </c>
      <c r="AW146" s="1409"/>
      <c r="AX146" s="1231"/>
      <c r="AY146" s="1231"/>
      <c r="AZ146" s="1231"/>
      <c r="BA146" s="1231"/>
      <c r="BB146" s="1409"/>
      <c r="BC146" s="1231"/>
      <c r="BD146" s="1231"/>
      <c r="BE146" s="1409"/>
      <c r="BF146" s="1231"/>
      <c r="BG146" s="1231"/>
      <c r="BH146" s="1409"/>
      <c r="BI146" s="1231"/>
      <c r="BJ146" s="1231"/>
      <c r="BK146" s="1409"/>
      <c r="BL146" s="1231"/>
      <c r="BM146" s="1231"/>
      <c r="BN146" s="1409"/>
      <c r="BO146" s="1231"/>
      <c r="BP146" s="1231"/>
      <c r="BQ146" s="1409"/>
      <c r="BR146" s="1231"/>
      <c r="BS146" s="1231"/>
      <c r="BT146" s="1409"/>
      <c r="BU146" s="1231"/>
      <c r="BV146" s="1231"/>
      <c r="BW146" s="1409"/>
      <c r="BX146" s="1231"/>
      <c r="BY146" s="1231"/>
    </row>
    <row r="147" spans="1:77" hidden="1" x14ac:dyDescent="0.2">
      <c r="A147" s="1252" t="s">
        <v>91</v>
      </c>
      <c r="B147" s="1252">
        <f>B145+(B136-B146)*$BA$2</f>
        <v>1235.0933022219344</v>
      </c>
      <c r="C147" s="1252"/>
      <c r="D147" s="1252">
        <f>D145+(D136-D146)*$BA$2</f>
        <v>1158.6168950584097</v>
      </c>
      <c r="E147" s="1252">
        <f>E145+(E136-E146)*$BA$2</f>
        <v>1193.2734220466778</v>
      </c>
      <c r="G147" s="1252">
        <f>G145+(G136-G146)*$BA$2</f>
        <v>1184.5649349646574</v>
      </c>
      <c r="H147" s="1252" t="e">
        <f>H145+(H136-H146)*$BA$2</f>
        <v>#N/A</v>
      </c>
      <c r="J147" s="1252" t="e">
        <f>J145+(J136-J146)*$BA$2</f>
        <v>#N/A</v>
      </c>
      <c r="T147" s="1395"/>
      <c r="U147" s="1395"/>
      <c r="V147" s="1395"/>
      <c r="W147" s="1395"/>
      <c r="X147" s="1395"/>
      <c r="Y147" s="1395"/>
      <c r="Z147" s="1395"/>
      <c r="AA147" s="1395"/>
      <c r="AB147" s="1395"/>
      <c r="AC147" s="1395"/>
      <c r="AD147" s="1395"/>
      <c r="AE147" s="1395"/>
      <c r="AT147">
        <f>W144</f>
        <v>0</v>
      </c>
      <c r="AU147">
        <f>AE144</f>
        <v>0</v>
      </c>
      <c r="AW147" s="1409"/>
      <c r="AX147" s="1231"/>
      <c r="AY147" s="1231"/>
      <c r="AZ147" s="1231"/>
      <c r="BA147" s="1231"/>
      <c r="BB147" s="1409"/>
      <c r="BC147" s="1231"/>
      <c r="BD147" s="1231"/>
      <c r="BE147" s="1409"/>
      <c r="BF147" s="1231"/>
      <c r="BG147" s="1231"/>
      <c r="BH147" s="1409"/>
      <c r="BI147" s="1231"/>
      <c r="BJ147" s="1231"/>
      <c r="BK147" s="1409"/>
      <c r="BL147" s="1231"/>
      <c r="BM147" s="1231"/>
      <c r="BN147" s="1409"/>
      <c r="BO147" s="1231"/>
      <c r="BP147" s="1231"/>
      <c r="BQ147" s="1409"/>
      <c r="BR147" s="1231"/>
      <c r="BS147" s="1231"/>
      <c r="BT147" s="1409"/>
      <c r="BU147" s="1231"/>
      <c r="BV147" s="1231"/>
      <c r="BW147" s="1409"/>
      <c r="BX147" s="1231"/>
      <c r="BY147" s="1231"/>
    </row>
    <row r="148" spans="1:77" x14ac:dyDescent="0.2">
      <c r="A148" s="1410" t="s">
        <v>141</v>
      </c>
      <c r="B148" s="1410"/>
      <c r="C148" s="1410"/>
      <c r="D148" s="1410"/>
      <c r="E148" s="1410"/>
      <c r="F148" s="1410"/>
      <c r="G148" s="1410"/>
      <c r="H148" s="1410"/>
      <c r="I148" s="1410"/>
      <c r="J148" s="1410"/>
      <c r="K148" s="1410"/>
      <c r="L148" s="1410"/>
      <c r="M148" s="1410"/>
      <c r="R148" s="1283"/>
      <c r="S148" s="1283"/>
      <c r="T148" s="1284"/>
      <c r="U148" s="1284"/>
      <c r="V148" s="1284"/>
      <c r="W148" s="1284"/>
      <c r="X148" s="1284"/>
      <c r="Y148" s="1284"/>
      <c r="Z148" s="1284"/>
      <c r="AA148" s="1284"/>
      <c r="AB148" s="1284"/>
      <c r="AC148" s="1284"/>
      <c r="AD148" s="1284"/>
      <c r="AE148" s="1284"/>
      <c r="AF148" s="1284"/>
      <c r="AG148" s="1284"/>
      <c r="AH148" s="1283"/>
      <c r="AI148" s="1283"/>
      <c r="AJ148" s="1283"/>
      <c r="AZ148" s="1231"/>
      <c r="BA148" s="1231"/>
    </row>
    <row r="149" spans="1:77" x14ac:dyDescent="0.2">
      <c r="AT149" s="1231"/>
      <c r="AU149" s="1231"/>
      <c r="AV149" s="1231"/>
      <c r="AZ149" s="1231"/>
      <c r="BA149" s="1231"/>
    </row>
    <row r="150" spans="1:77" x14ac:dyDescent="0.2">
      <c r="AT150" s="1231"/>
      <c r="AU150" s="1231"/>
      <c r="AV150" s="1231"/>
      <c r="AZ150" s="1231"/>
      <c r="BA150" s="1231"/>
    </row>
    <row r="151" spans="1:77" x14ac:dyDescent="0.2">
      <c r="AT151" s="1231"/>
      <c r="AU151" s="1231"/>
      <c r="AV151" s="1231"/>
      <c r="AZ151" s="1231"/>
      <c r="BA151" s="1231"/>
    </row>
    <row r="152" spans="1:77" x14ac:dyDescent="0.2">
      <c r="AT152" s="1231"/>
      <c r="AU152" s="1231"/>
      <c r="AV152" s="1231"/>
      <c r="AZ152" s="1231"/>
      <c r="BA152" s="1231"/>
    </row>
    <row r="153" spans="1:77" x14ac:dyDescent="0.2">
      <c r="AT153" s="1231"/>
      <c r="AU153" s="1231"/>
      <c r="AV153" s="1231"/>
      <c r="AZ153" s="1231"/>
      <c r="BA153" s="1231"/>
    </row>
    <row r="154" spans="1:77" x14ac:dyDescent="0.2">
      <c r="AT154" s="1231"/>
      <c r="AU154" s="1231"/>
      <c r="AV154" s="1231"/>
      <c r="AZ154" s="1231"/>
      <c r="BA154" s="1231"/>
    </row>
    <row r="155" spans="1:77" x14ac:dyDescent="0.2">
      <c r="AT155" s="1231"/>
      <c r="AU155" s="1231"/>
      <c r="AV155" s="1231"/>
      <c r="AZ155" s="1231"/>
      <c r="BA155" s="1231"/>
    </row>
    <row r="156" spans="1:77" x14ac:dyDescent="0.2">
      <c r="AT156" s="1231"/>
      <c r="AU156" s="1231"/>
      <c r="AV156" s="1231"/>
      <c r="AZ156" s="1231"/>
      <c r="BA156" s="1231"/>
    </row>
    <row r="157" spans="1:77" x14ac:dyDescent="0.2">
      <c r="AT157" s="1231"/>
      <c r="AU157" s="1231"/>
      <c r="AV157" s="1231"/>
      <c r="AZ157" s="1231"/>
      <c r="BA157" s="1231"/>
    </row>
    <row r="158" spans="1:77" x14ac:dyDescent="0.2">
      <c r="AT158" s="1231"/>
      <c r="AU158" s="1231"/>
      <c r="AV158" s="1231"/>
      <c r="AZ158" s="1231"/>
      <c r="BA158" s="1231"/>
    </row>
    <row r="159" spans="1:77" x14ac:dyDescent="0.2">
      <c r="AT159" s="1231"/>
      <c r="AU159" s="1231"/>
      <c r="AV159" s="1231"/>
      <c r="AZ159" s="1231"/>
      <c r="BA159" s="1231"/>
    </row>
    <row r="160" spans="1:77" x14ac:dyDescent="0.2">
      <c r="AT160" s="1231"/>
      <c r="AU160" s="1231"/>
      <c r="AV160" s="1231"/>
      <c r="AZ160" s="1231"/>
      <c r="BA160" s="1231"/>
    </row>
    <row r="161" spans="46:53" x14ac:dyDescent="0.2">
      <c r="AT161" s="1231"/>
      <c r="AU161" s="1231"/>
      <c r="AV161" s="1231"/>
      <c r="AZ161" s="1231"/>
      <c r="BA161" s="1231"/>
    </row>
    <row r="162" spans="46:53" x14ac:dyDescent="0.2">
      <c r="AT162" s="1231"/>
      <c r="AU162" s="1231"/>
      <c r="AV162" s="1231"/>
    </row>
    <row r="163" spans="46:53" x14ac:dyDescent="0.2">
      <c r="AT163" s="1231"/>
      <c r="AU163" s="1231"/>
      <c r="AV163" s="1231"/>
      <c r="AZ163" s="1239"/>
      <c r="BA163" s="1239"/>
    </row>
    <row r="164" spans="46:53" x14ac:dyDescent="0.2">
      <c r="AT164" s="1231"/>
      <c r="AU164" s="1231"/>
      <c r="AV164" s="1231"/>
      <c r="AZ164" s="1239"/>
      <c r="BA164" s="1239"/>
    </row>
    <row r="165" spans="46:53" x14ac:dyDescent="0.2">
      <c r="AT165" s="1231"/>
      <c r="AU165" s="1231"/>
      <c r="AV165" s="1231"/>
      <c r="AZ165" s="1239"/>
      <c r="BA165" s="1239"/>
    </row>
    <row r="166" spans="46:53" x14ac:dyDescent="0.2">
      <c r="AT166" s="1231"/>
      <c r="AU166" s="1231"/>
      <c r="AV166" s="1231"/>
      <c r="AZ166" s="1239"/>
      <c r="BA166" s="1239"/>
    </row>
    <row r="167" spans="46:53" x14ac:dyDescent="0.2">
      <c r="AT167" s="1231"/>
      <c r="AU167" s="1231"/>
      <c r="AV167" s="1231"/>
      <c r="AZ167" s="1239"/>
      <c r="BA167" s="1239"/>
    </row>
    <row r="168" spans="46:53" x14ac:dyDescent="0.2">
      <c r="AT168" s="1231"/>
      <c r="AU168" s="1231"/>
      <c r="AV168" s="1231"/>
      <c r="AZ168" s="1239"/>
      <c r="BA168" s="1239"/>
    </row>
    <row r="169" spans="46:53" x14ac:dyDescent="0.2">
      <c r="AT169" s="1231"/>
      <c r="AU169" s="1231"/>
      <c r="AV169" s="1231"/>
      <c r="AZ169" s="1239"/>
      <c r="BA169" s="1239"/>
    </row>
    <row r="170" spans="46:53" x14ac:dyDescent="0.2">
      <c r="AT170" s="1231"/>
      <c r="AU170" s="1231"/>
      <c r="AV170" s="1231"/>
      <c r="AZ170" s="1239"/>
      <c r="BA170" s="1239"/>
    </row>
    <row r="171" spans="46:53" x14ac:dyDescent="0.2">
      <c r="AT171" s="1231"/>
      <c r="AU171" s="1231"/>
      <c r="AV171" s="1231"/>
      <c r="AZ171" s="1249"/>
      <c r="BA171" s="1249"/>
    </row>
    <row r="172" spans="46:53" x14ac:dyDescent="0.2">
      <c r="AT172" s="1231"/>
      <c r="AU172" s="1231"/>
      <c r="AV172" s="1231"/>
      <c r="AZ172" s="1255"/>
      <c r="BA172" s="1255"/>
    </row>
    <row r="173" spans="46:53" x14ac:dyDescent="0.2">
      <c r="AT173" s="1231"/>
      <c r="AU173" s="1231"/>
      <c r="AV173" s="1231"/>
      <c r="AZ173" s="1255"/>
      <c r="BA173" s="1255"/>
    </row>
    <row r="174" spans="46:53" x14ac:dyDescent="0.2">
      <c r="AT174" s="1239"/>
      <c r="AU174" s="1239"/>
      <c r="AV174" s="1239"/>
      <c r="AZ174" s="1239"/>
      <c r="BA174" s="1239"/>
    </row>
    <row r="175" spans="46:53" x14ac:dyDescent="0.2">
      <c r="AT175" s="1239"/>
      <c r="AU175" s="1239"/>
      <c r="AV175" s="1239"/>
      <c r="AZ175" s="1239"/>
      <c r="BA175" s="1239"/>
    </row>
    <row r="200" spans="46:53" x14ac:dyDescent="0.2">
      <c r="AT200" s="1231"/>
      <c r="AU200" s="1231"/>
      <c r="AV200" s="1231"/>
    </row>
    <row r="201" spans="46:53" x14ac:dyDescent="0.2">
      <c r="AT201" s="1231"/>
      <c r="AU201" s="1231"/>
      <c r="AV201" s="1231"/>
      <c r="AZ201" s="1231"/>
      <c r="BA201" s="1231"/>
    </row>
    <row r="202" spans="46:53" x14ac:dyDescent="0.2">
      <c r="AT202" s="1231"/>
      <c r="AU202" s="1231"/>
      <c r="AV202" s="1231"/>
      <c r="AZ202" s="1231"/>
      <c r="BA202" s="1231"/>
    </row>
    <row r="203" spans="46:53" x14ac:dyDescent="0.2">
      <c r="AT203" s="1231"/>
      <c r="AU203" s="1231"/>
      <c r="AV203" s="1231"/>
      <c r="AZ203" s="1231"/>
      <c r="BA203" s="1231"/>
    </row>
    <row r="204" spans="46:53" x14ac:dyDescent="0.2">
      <c r="AT204" s="1231"/>
      <c r="AU204" s="1231"/>
      <c r="AV204" s="1231"/>
      <c r="AZ204" s="1231"/>
      <c r="BA204" s="1231"/>
    </row>
    <row r="205" spans="46:53" x14ac:dyDescent="0.2">
      <c r="AT205" s="1231"/>
      <c r="AU205" s="1231"/>
      <c r="AV205" s="1231"/>
      <c r="AZ205" s="1231"/>
      <c r="BA205" s="1231"/>
    </row>
    <row r="206" spans="46:53" x14ac:dyDescent="0.2">
      <c r="AT206" s="1231"/>
      <c r="AU206" s="1231"/>
      <c r="AV206" s="1231"/>
      <c r="AZ206" s="1231"/>
      <c r="BA206" s="1231"/>
    </row>
    <row r="207" spans="46:53" x14ac:dyDescent="0.2">
      <c r="AT207" s="1231"/>
      <c r="AU207" s="1231"/>
      <c r="AV207" s="1231"/>
      <c r="AZ207" s="1231"/>
      <c r="BA207" s="1231"/>
    </row>
    <row r="208" spans="46:53" x14ac:dyDescent="0.2">
      <c r="AT208" s="1231"/>
      <c r="AU208" s="1231"/>
      <c r="AV208" s="1231"/>
      <c r="AZ208" s="1231"/>
      <c r="BA208" s="1231"/>
    </row>
    <row r="209" spans="46:53" x14ac:dyDescent="0.2">
      <c r="AT209" s="1231"/>
      <c r="AU209" s="1231"/>
      <c r="AV209" s="1231"/>
      <c r="AZ209" s="1231"/>
      <c r="BA209" s="1231"/>
    </row>
    <row r="210" spans="46:53" x14ac:dyDescent="0.2">
      <c r="AT210" s="1231"/>
      <c r="AU210" s="1231"/>
      <c r="AV210" s="1231"/>
      <c r="AZ210" s="1231"/>
      <c r="BA210" s="1231"/>
    </row>
    <row r="211" spans="46:53" x14ac:dyDescent="0.2">
      <c r="AT211" s="1231"/>
      <c r="AU211" s="1231"/>
      <c r="AV211" s="1231"/>
      <c r="AZ211" s="1231"/>
      <c r="BA211" s="1231"/>
    </row>
    <row r="212" spans="46:53" x14ac:dyDescent="0.2">
      <c r="AT212" s="1231"/>
      <c r="AU212" s="1231"/>
      <c r="AV212" s="1231"/>
      <c r="AZ212" s="1231"/>
      <c r="BA212" s="1231"/>
    </row>
    <row r="213" spans="46:53" x14ac:dyDescent="0.2">
      <c r="AT213" s="1231"/>
      <c r="AU213" s="1231"/>
      <c r="AV213" s="1231"/>
      <c r="AZ213" s="1231"/>
      <c r="BA213" s="1231"/>
    </row>
    <row r="214" spans="46:53" x14ac:dyDescent="0.2">
      <c r="AT214" s="1231"/>
      <c r="AU214" s="1231"/>
      <c r="AV214" s="1231"/>
      <c r="AZ214" s="1231"/>
      <c r="BA214" s="1231"/>
    </row>
    <row r="215" spans="46:53" x14ac:dyDescent="0.2">
      <c r="AT215" s="1231"/>
      <c r="AU215" s="1231"/>
      <c r="AV215" s="1231"/>
      <c r="AZ215" s="1231"/>
      <c r="BA215" s="1231"/>
    </row>
    <row r="216" spans="46:53" x14ac:dyDescent="0.2">
      <c r="AT216" s="1231"/>
      <c r="AU216" s="1231"/>
      <c r="AV216" s="1231"/>
      <c r="AZ216" s="1231"/>
      <c r="BA216" s="1231"/>
    </row>
    <row r="217" spans="46:53" x14ac:dyDescent="0.2">
      <c r="AT217" s="1231"/>
      <c r="AU217" s="1231"/>
      <c r="AV217" s="1231"/>
      <c r="AZ217" s="1231"/>
      <c r="BA217" s="1231"/>
    </row>
    <row r="218" spans="46:53" x14ac:dyDescent="0.2">
      <c r="AT218" s="1231"/>
      <c r="AU218" s="1231"/>
      <c r="AV218" s="1231"/>
      <c r="AZ218" s="1231"/>
      <c r="BA218" s="1231"/>
    </row>
    <row r="219" spans="46:53" x14ac:dyDescent="0.2">
      <c r="AT219" s="1231"/>
      <c r="AU219" s="1231"/>
      <c r="AV219" s="1231"/>
      <c r="AZ219" s="1231"/>
      <c r="BA219" s="1231"/>
    </row>
    <row r="220" spans="46:53" x14ac:dyDescent="0.2">
      <c r="AT220" s="1231"/>
      <c r="AU220" s="1231"/>
      <c r="AV220" s="1231"/>
      <c r="AZ220" s="1231"/>
      <c r="BA220" s="1231"/>
    </row>
    <row r="221" spans="46:53" x14ac:dyDescent="0.2">
      <c r="AT221" s="1231"/>
      <c r="AU221" s="1231"/>
      <c r="AV221" s="1231"/>
      <c r="AZ221" s="1231"/>
      <c r="BA221" s="1231"/>
    </row>
    <row r="222" spans="46:53" x14ac:dyDescent="0.2">
      <c r="AT222" s="1231"/>
      <c r="AU222" s="1231"/>
      <c r="AV222" s="1231"/>
      <c r="AZ222" s="1231"/>
      <c r="BA222" s="1231"/>
    </row>
    <row r="223" spans="46:53" x14ac:dyDescent="0.2">
      <c r="AT223" s="1231"/>
      <c r="AU223" s="1231"/>
      <c r="AV223" s="1231"/>
      <c r="AZ223" s="1231"/>
      <c r="BA223" s="1231"/>
    </row>
    <row r="224" spans="46:53" x14ac:dyDescent="0.2">
      <c r="AT224" s="1231"/>
      <c r="AU224" s="1231"/>
      <c r="AV224" s="1231"/>
      <c r="AZ224" s="1231"/>
      <c r="BA224" s="1231"/>
    </row>
    <row r="225" spans="46:53" x14ac:dyDescent="0.2">
      <c r="AT225" s="1231"/>
      <c r="AU225" s="1231"/>
      <c r="AV225" s="1231"/>
      <c r="AZ225" s="1231"/>
      <c r="BA225" s="1231"/>
    </row>
    <row r="226" spans="46:53" x14ac:dyDescent="0.2">
      <c r="AT226" s="1231"/>
      <c r="AU226" s="1231"/>
      <c r="AV226" s="1231"/>
      <c r="AZ226" s="1231"/>
      <c r="BA226" s="1231"/>
    </row>
    <row r="227" spans="46:53" x14ac:dyDescent="0.2">
      <c r="AT227" s="1231"/>
      <c r="AU227" s="1231"/>
      <c r="AV227" s="1231"/>
      <c r="AZ227" s="1231"/>
      <c r="BA227" s="1231"/>
    </row>
    <row r="228" spans="46:53" x14ac:dyDescent="0.2">
      <c r="AT228" s="1231"/>
      <c r="AU228" s="1231"/>
      <c r="AV228" s="1231"/>
      <c r="AZ228" s="1231"/>
      <c r="BA228" s="1231"/>
    </row>
    <row r="229" spans="46:53" x14ac:dyDescent="0.2">
      <c r="AT229" s="1231"/>
      <c r="AU229" s="1231"/>
      <c r="AV229" s="1231"/>
      <c r="AZ229" s="1231"/>
      <c r="BA229" s="1231"/>
    </row>
    <row r="230" spans="46:53" x14ac:dyDescent="0.2">
      <c r="AT230" s="1231"/>
      <c r="AU230" s="1231"/>
      <c r="AV230" s="1231"/>
      <c r="AZ230" s="1231"/>
      <c r="BA230" s="1231"/>
    </row>
    <row r="231" spans="46:53" x14ac:dyDescent="0.2">
      <c r="AT231" s="1231"/>
      <c r="AU231" s="1231"/>
      <c r="AV231" s="1231"/>
      <c r="AZ231" s="1231"/>
      <c r="BA231" s="1231"/>
    </row>
    <row r="232" spans="46:53" x14ac:dyDescent="0.2">
      <c r="AT232" s="1231"/>
      <c r="AU232" s="1231"/>
      <c r="AV232" s="1231"/>
      <c r="AZ232" s="1231"/>
      <c r="BA232" s="1231"/>
    </row>
    <row r="233" spans="46:53" x14ac:dyDescent="0.2">
      <c r="AT233" s="1231"/>
      <c r="AU233" s="1231"/>
      <c r="AV233" s="1231"/>
      <c r="AZ233" s="1231"/>
      <c r="BA233" s="1231"/>
    </row>
    <row r="234" spans="46:53" x14ac:dyDescent="0.2">
      <c r="AT234" s="1231"/>
      <c r="AU234" s="1231"/>
      <c r="AV234" s="1231"/>
      <c r="AZ234" s="1231"/>
      <c r="BA234" s="1231"/>
    </row>
    <row r="235" spans="46:53" x14ac:dyDescent="0.2">
      <c r="AT235" s="1231"/>
      <c r="AU235" s="1231"/>
      <c r="AV235" s="1231"/>
      <c r="AZ235" s="1231"/>
      <c r="BA235" s="1231"/>
    </row>
    <row r="236" spans="46:53" x14ac:dyDescent="0.2">
      <c r="AT236" s="1231"/>
      <c r="AU236" s="1231"/>
      <c r="AV236" s="1231"/>
      <c r="AZ236" s="1231"/>
      <c r="BA236" s="1231"/>
    </row>
    <row r="237" spans="46:53" x14ac:dyDescent="0.2">
      <c r="AT237" s="1231"/>
      <c r="AU237" s="1231"/>
      <c r="AV237" s="1231"/>
      <c r="AZ237" s="1231"/>
      <c r="BA237" s="1231"/>
    </row>
    <row r="238" spans="46:53" x14ac:dyDescent="0.2">
      <c r="AT238" s="1231"/>
      <c r="AU238" s="1231"/>
      <c r="AV238" s="1231"/>
      <c r="AZ238" s="1231"/>
      <c r="BA238" s="1231"/>
    </row>
    <row r="239" spans="46:53" x14ac:dyDescent="0.2">
      <c r="AT239" s="1231"/>
      <c r="AU239" s="1231"/>
      <c r="AV239" s="1231"/>
      <c r="AZ239" s="1231"/>
      <c r="BA239" s="1231"/>
    </row>
    <row r="240" spans="46:53" x14ac:dyDescent="0.2">
      <c r="AT240" s="1231"/>
      <c r="AU240" s="1231"/>
      <c r="AV240" s="1231"/>
      <c r="AZ240" s="1231"/>
      <c r="BA240" s="1231"/>
    </row>
    <row r="241" spans="46:53" x14ac:dyDescent="0.2">
      <c r="AT241" s="1231"/>
      <c r="AU241" s="1231"/>
      <c r="AV241" s="1231"/>
      <c r="AZ241" s="1231"/>
      <c r="BA241" s="1231"/>
    </row>
    <row r="242" spans="46:53" x14ac:dyDescent="0.2">
      <c r="AT242" s="1231"/>
      <c r="AU242" s="1231"/>
      <c r="AV242" s="1231"/>
      <c r="AZ242" s="1231"/>
      <c r="BA242" s="1231"/>
    </row>
    <row r="243" spans="46:53" x14ac:dyDescent="0.2">
      <c r="AT243" s="1231"/>
      <c r="AU243" s="1231"/>
      <c r="AV243" s="1231"/>
      <c r="AZ243" s="1231"/>
      <c r="BA243" s="1231"/>
    </row>
    <row r="244" spans="46:53" x14ac:dyDescent="0.2">
      <c r="AT244" s="1231"/>
      <c r="AU244" s="1231"/>
      <c r="AV244" s="1231"/>
      <c r="AZ244" s="1231"/>
      <c r="BA244" s="1231"/>
    </row>
    <row r="245" spans="46:53" x14ac:dyDescent="0.2">
      <c r="AT245" s="1231"/>
      <c r="AU245" s="1231"/>
      <c r="AV245" s="1231"/>
      <c r="AZ245" s="1231"/>
      <c r="BA245" s="1231"/>
    </row>
    <row r="246" spans="46:53" x14ac:dyDescent="0.2">
      <c r="AT246" s="1239"/>
      <c r="AU246" s="1239"/>
      <c r="AV246" s="1239"/>
      <c r="AZ246" s="1231"/>
      <c r="BA246" s="1231"/>
    </row>
    <row r="247" spans="46:53" x14ac:dyDescent="0.2">
      <c r="AT247" s="1239"/>
      <c r="AU247" s="1239"/>
      <c r="AV247" s="1239"/>
    </row>
    <row r="248" spans="46:53" x14ac:dyDescent="0.2">
      <c r="AZ248" s="1239"/>
      <c r="BA248" s="1239"/>
    </row>
    <row r="249" spans="46:53" x14ac:dyDescent="0.2">
      <c r="AZ249" s="1239"/>
      <c r="BA249" s="1239"/>
    </row>
    <row r="250" spans="46:53" x14ac:dyDescent="0.2">
      <c r="AZ250" s="1239"/>
      <c r="BA250" s="1239"/>
    </row>
    <row r="251" spans="46:53" x14ac:dyDescent="0.2">
      <c r="AZ251" s="1239"/>
      <c r="BA251" s="1239"/>
    </row>
    <row r="252" spans="46:53" x14ac:dyDescent="0.2">
      <c r="AZ252" s="1239"/>
      <c r="BA252" s="1239"/>
    </row>
    <row r="253" spans="46:53" x14ac:dyDescent="0.2">
      <c r="AZ253" s="1239"/>
      <c r="BA253" s="1239"/>
    </row>
    <row r="254" spans="46:53" x14ac:dyDescent="0.2">
      <c r="AZ254" s="1239"/>
      <c r="BA254" s="1239"/>
    </row>
    <row r="255" spans="46:53" x14ac:dyDescent="0.2">
      <c r="AZ255" s="1239"/>
      <c r="BA255" s="1239"/>
    </row>
    <row r="256" spans="46:53" x14ac:dyDescent="0.2">
      <c r="AZ256" s="1249"/>
      <c r="BA256" s="1249"/>
    </row>
    <row r="257" spans="46:53" x14ac:dyDescent="0.2">
      <c r="AZ257" s="1255"/>
      <c r="BA257" s="1255"/>
    </row>
    <row r="258" spans="46:53" x14ac:dyDescent="0.2">
      <c r="AZ258" s="1255"/>
      <c r="BA258" s="1255"/>
    </row>
    <row r="259" spans="46:53" x14ac:dyDescent="0.2">
      <c r="AZ259" s="1239"/>
      <c r="BA259" s="1239"/>
    </row>
    <row r="260" spans="46:53" x14ac:dyDescent="0.2">
      <c r="AZ260" s="1239"/>
      <c r="BA260" s="1239"/>
    </row>
    <row r="272" spans="46:53" x14ac:dyDescent="0.2">
      <c r="AT272" s="1231"/>
      <c r="AU272" s="1231"/>
      <c r="AV272" s="1231"/>
    </row>
    <row r="273" spans="46:53" x14ac:dyDescent="0.2">
      <c r="AT273" s="1231"/>
      <c r="AU273" s="1231"/>
      <c r="AV273" s="1231"/>
    </row>
    <row r="274" spans="46:53" x14ac:dyDescent="0.2">
      <c r="AT274" s="1231"/>
      <c r="AU274" s="1231"/>
      <c r="AV274" s="1231"/>
    </row>
    <row r="275" spans="46:53" x14ac:dyDescent="0.2">
      <c r="AT275" s="1231"/>
      <c r="AU275" s="1231"/>
      <c r="AV275" s="1231"/>
    </row>
    <row r="276" spans="46:53" x14ac:dyDescent="0.2">
      <c r="AT276" s="1231"/>
      <c r="AU276" s="1231"/>
      <c r="AV276" s="1231"/>
    </row>
    <row r="277" spans="46:53" x14ac:dyDescent="0.2">
      <c r="AT277" s="1231"/>
      <c r="AU277" s="1231"/>
      <c r="AV277" s="1231"/>
    </row>
    <row r="278" spans="46:53" x14ac:dyDescent="0.2">
      <c r="AT278" s="1231"/>
      <c r="AU278" s="1231"/>
      <c r="AV278" s="1231"/>
    </row>
    <row r="279" spans="46:53" x14ac:dyDescent="0.2">
      <c r="AT279" s="1231"/>
      <c r="AU279" s="1231"/>
      <c r="AV279" s="1231"/>
    </row>
    <row r="280" spans="46:53" x14ac:dyDescent="0.2">
      <c r="AT280" s="1231"/>
      <c r="AU280" s="1231"/>
      <c r="AV280" s="1231"/>
    </row>
    <row r="281" spans="46:53" x14ac:dyDescent="0.2">
      <c r="AT281" s="1231"/>
      <c r="AU281" s="1231"/>
      <c r="AV281" s="1231"/>
    </row>
    <row r="282" spans="46:53" x14ac:dyDescent="0.2">
      <c r="AT282" s="1231"/>
      <c r="AU282" s="1231"/>
      <c r="AV282" s="1231"/>
    </row>
    <row r="283" spans="46:53" x14ac:dyDescent="0.2">
      <c r="AT283" s="1231"/>
      <c r="AU283" s="1231"/>
      <c r="AV283" s="1231"/>
    </row>
    <row r="284" spans="46:53" x14ac:dyDescent="0.2">
      <c r="AT284" s="1231"/>
      <c r="AU284" s="1231"/>
      <c r="AV284" s="1231"/>
    </row>
    <row r="285" spans="46:53" x14ac:dyDescent="0.2">
      <c r="AT285" s="1231"/>
      <c r="AU285" s="1231"/>
      <c r="AV285" s="1231"/>
    </row>
    <row r="286" spans="46:53" x14ac:dyDescent="0.2">
      <c r="AT286" s="1231"/>
      <c r="AU286" s="1231"/>
      <c r="AV286" s="1231"/>
      <c r="AZ286" s="1231"/>
      <c r="BA286" s="1231"/>
    </row>
    <row r="287" spans="46:53" x14ac:dyDescent="0.2">
      <c r="AT287" s="1231"/>
      <c r="AU287" s="1231"/>
      <c r="AV287" s="1231"/>
      <c r="AZ287" s="1231"/>
      <c r="BA287" s="1231"/>
    </row>
    <row r="288" spans="46:53" x14ac:dyDescent="0.2">
      <c r="AT288" s="1231"/>
      <c r="AU288" s="1231"/>
      <c r="AV288" s="1231"/>
      <c r="AZ288" s="1231"/>
      <c r="BA288" s="1231"/>
    </row>
    <row r="289" spans="46:53" x14ac:dyDescent="0.2">
      <c r="AT289" s="1231"/>
      <c r="AU289" s="1231"/>
      <c r="AV289" s="1231"/>
      <c r="AZ289" s="1231"/>
      <c r="BA289" s="1231"/>
    </row>
    <row r="290" spans="46:53" x14ac:dyDescent="0.2">
      <c r="AT290" s="1231"/>
      <c r="AU290" s="1231"/>
      <c r="AV290" s="1231"/>
      <c r="AZ290" s="1231"/>
      <c r="BA290" s="1231"/>
    </row>
    <row r="291" spans="46:53" x14ac:dyDescent="0.2">
      <c r="AT291" s="1231"/>
      <c r="AU291" s="1231"/>
      <c r="AV291" s="1231"/>
      <c r="AZ291" s="1231"/>
      <c r="BA291" s="1231"/>
    </row>
    <row r="292" spans="46:53" x14ac:dyDescent="0.2">
      <c r="AT292" s="1231"/>
      <c r="AU292" s="1231"/>
      <c r="AV292" s="1231"/>
      <c r="AZ292" s="1231"/>
      <c r="BA292" s="1231"/>
    </row>
    <row r="293" spans="46:53" x14ac:dyDescent="0.2">
      <c r="AT293" s="1231"/>
      <c r="AU293" s="1231"/>
      <c r="AV293" s="1231"/>
      <c r="AZ293" s="1231"/>
      <c r="BA293" s="1231"/>
    </row>
    <row r="294" spans="46:53" x14ac:dyDescent="0.2">
      <c r="AT294" s="1231"/>
      <c r="AU294" s="1231"/>
      <c r="AV294" s="1231"/>
      <c r="AZ294" s="1231"/>
      <c r="BA294" s="1231"/>
    </row>
    <row r="295" spans="46:53" x14ac:dyDescent="0.2">
      <c r="AT295" s="1231"/>
      <c r="AU295" s="1231"/>
      <c r="AV295" s="1231"/>
      <c r="AZ295" s="1231"/>
      <c r="BA295" s="1231"/>
    </row>
    <row r="296" spans="46:53" x14ac:dyDescent="0.2">
      <c r="AT296" s="1231"/>
      <c r="AU296" s="1231"/>
      <c r="AV296" s="1231"/>
      <c r="AZ296" s="1231"/>
      <c r="BA296" s="1231"/>
    </row>
    <row r="297" spans="46:53" x14ac:dyDescent="0.2">
      <c r="AT297" s="1231"/>
      <c r="AU297" s="1231"/>
      <c r="AV297" s="1231"/>
      <c r="AZ297" s="1231"/>
      <c r="BA297" s="1231"/>
    </row>
    <row r="298" spans="46:53" x14ac:dyDescent="0.2">
      <c r="AT298" s="1231"/>
      <c r="AU298" s="1231"/>
      <c r="AV298" s="1231"/>
      <c r="AZ298" s="1231"/>
      <c r="BA298" s="1231"/>
    </row>
    <row r="299" spans="46:53" x14ac:dyDescent="0.2">
      <c r="AT299" s="1231"/>
      <c r="AU299" s="1231"/>
      <c r="AV299" s="1231"/>
      <c r="AZ299" s="1231"/>
      <c r="BA299" s="1231"/>
    </row>
    <row r="300" spans="46:53" x14ac:dyDescent="0.2">
      <c r="AT300" s="1231"/>
      <c r="AU300" s="1231"/>
      <c r="AV300" s="1231"/>
      <c r="AZ300" s="1231"/>
      <c r="BA300" s="1231"/>
    </row>
    <row r="301" spans="46:53" x14ac:dyDescent="0.2">
      <c r="AT301" s="1231"/>
      <c r="AU301" s="1231"/>
      <c r="AV301" s="1231"/>
      <c r="AZ301" s="1231"/>
      <c r="BA301" s="1231"/>
    </row>
    <row r="302" spans="46:53" x14ac:dyDescent="0.2">
      <c r="AT302" s="1231"/>
      <c r="AU302" s="1231"/>
      <c r="AV302" s="1231"/>
      <c r="AZ302" s="1231"/>
      <c r="BA302" s="1231"/>
    </row>
    <row r="303" spans="46:53" x14ac:dyDescent="0.2">
      <c r="AT303" s="1231"/>
      <c r="AU303" s="1231"/>
      <c r="AV303" s="1231"/>
      <c r="AZ303" s="1231"/>
      <c r="BA303" s="1231"/>
    </row>
    <row r="304" spans="46:53" x14ac:dyDescent="0.2">
      <c r="AT304" s="1231"/>
      <c r="AU304" s="1231"/>
      <c r="AV304" s="1231"/>
      <c r="AZ304" s="1231"/>
      <c r="BA304" s="1231"/>
    </row>
    <row r="305" spans="46:53" x14ac:dyDescent="0.2">
      <c r="AT305" s="1231"/>
      <c r="AU305" s="1231"/>
      <c r="AV305" s="1231"/>
      <c r="AZ305" s="1231"/>
      <c r="BA305" s="1231"/>
    </row>
    <row r="306" spans="46:53" x14ac:dyDescent="0.2">
      <c r="AT306" s="1231"/>
      <c r="AU306" s="1231"/>
      <c r="AV306" s="1231"/>
      <c r="AZ306" s="1231"/>
      <c r="BA306" s="1231"/>
    </row>
    <row r="307" spans="46:53" x14ac:dyDescent="0.2">
      <c r="AT307" s="1231"/>
      <c r="AU307" s="1231"/>
      <c r="AV307" s="1231"/>
      <c r="AZ307" s="1231"/>
      <c r="BA307" s="1231"/>
    </row>
    <row r="308" spans="46:53" x14ac:dyDescent="0.2">
      <c r="AT308" s="1231"/>
      <c r="AU308" s="1231"/>
      <c r="AV308" s="1231"/>
      <c r="AZ308" s="1231"/>
      <c r="BA308" s="1231"/>
    </row>
    <row r="309" spans="46:53" x14ac:dyDescent="0.2">
      <c r="AT309" s="1231"/>
      <c r="AU309" s="1231"/>
      <c r="AV309" s="1231"/>
      <c r="AZ309" s="1231"/>
      <c r="BA309" s="1231"/>
    </row>
    <row r="310" spans="46:53" x14ac:dyDescent="0.2">
      <c r="AT310" s="1231"/>
      <c r="AU310" s="1231"/>
      <c r="AV310" s="1231"/>
      <c r="AZ310" s="1231"/>
      <c r="BA310" s="1231"/>
    </row>
    <row r="311" spans="46:53" x14ac:dyDescent="0.2">
      <c r="AT311" s="1231"/>
      <c r="AU311" s="1231"/>
      <c r="AV311" s="1231"/>
      <c r="AZ311" s="1231"/>
      <c r="BA311" s="1231"/>
    </row>
    <row r="312" spans="46:53" x14ac:dyDescent="0.2">
      <c r="AT312" s="1231"/>
      <c r="AU312" s="1231"/>
      <c r="AV312" s="1231"/>
      <c r="AZ312" s="1231"/>
      <c r="BA312" s="1231"/>
    </row>
    <row r="313" spans="46:53" x14ac:dyDescent="0.2">
      <c r="AT313" s="1231"/>
      <c r="AU313" s="1231"/>
      <c r="AV313" s="1231"/>
      <c r="AZ313" s="1231"/>
      <c r="BA313" s="1231"/>
    </row>
    <row r="314" spans="46:53" x14ac:dyDescent="0.2">
      <c r="AT314" s="1231"/>
      <c r="AU314" s="1231"/>
      <c r="AV314" s="1231"/>
      <c r="AZ314" s="1231"/>
      <c r="BA314" s="1231"/>
    </row>
    <row r="315" spans="46:53" x14ac:dyDescent="0.2">
      <c r="AT315" s="1231"/>
      <c r="AU315" s="1231"/>
      <c r="AV315" s="1231"/>
      <c r="AZ315" s="1231"/>
      <c r="BA315" s="1231"/>
    </row>
    <row r="316" spans="46:53" x14ac:dyDescent="0.2">
      <c r="AT316" s="1231"/>
      <c r="AU316" s="1231"/>
      <c r="AV316" s="1231"/>
      <c r="AZ316" s="1231"/>
      <c r="BA316" s="1231"/>
    </row>
    <row r="317" spans="46:53" x14ac:dyDescent="0.2">
      <c r="AT317" s="1231"/>
      <c r="AU317" s="1231"/>
      <c r="AV317" s="1231"/>
      <c r="AZ317" s="1231"/>
      <c r="BA317" s="1231"/>
    </row>
    <row r="318" spans="46:53" x14ac:dyDescent="0.2">
      <c r="AT318" s="1239"/>
      <c r="AU318" s="1239"/>
      <c r="AV318" s="1239"/>
      <c r="AZ318" s="1231"/>
      <c r="BA318" s="1231"/>
    </row>
    <row r="319" spans="46:53" x14ac:dyDescent="0.2">
      <c r="AT319" s="1239"/>
      <c r="AU319" s="1239"/>
      <c r="AV319" s="1239"/>
      <c r="AZ319" s="1231"/>
      <c r="BA319" s="1231"/>
    </row>
    <row r="320" spans="46:53" x14ac:dyDescent="0.2">
      <c r="AZ320" s="1231"/>
      <c r="BA320" s="1231"/>
    </row>
    <row r="321" spans="46:53" x14ac:dyDescent="0.2">
      <c r="AZ321" s="1231"/>
      <c r="BA321" s="1231"/>
    </row>
    <row r="322" spans="46:53" x14ac:dyDescent="0.2">
      <c r="AZ322" s="1231"/>
      <c r="BA322" s="1231"/>
    </row>
    <row r="323" spans="46:53" x14ac:dyDescent="0.2">
      <c r="AZ323" s="1231"/>
      <c r="BA323" s="1231"/>
    </row>
    <row r="324" spans="46:53" x14ac:dyDescent="0.2">
      <c r="AZ324" s="1231"/>
      <c r="BA324" s="1231"/>
    </row>
    <row r="325" spans="46:53" x14ac:dyDescent="0.2">
      <c r="AZ325" s="1231"/>
      <c r="BA325" s="1231"/>
    </row>
    <row r="326" spans="46:53" x14ac:dyDescent="0.2">
      <c r="AZ326" s="1231"/>
      <c r="BA326" s="1231"/>
    </row>
    <row r="327" spans="46:53" x14ac:dyDescent="0.2">
      <c r="AZ327" s="1231"/>
      <c r="BA327" s="1231"/>
    </row>
    <row r="328" spans="46:53" x14ac:dyDescent="0.2">
      <c r="AZ328" s="1231"/>
      <c r="BA328" s="1231"/>
    </row>
    <row r="329" spans="46:53" x14ac:dyDescent="0.2">
      <c r="AZ329" s="1231"/>
      <c r="BA329" s="1231"/>
    </row>
    <row r="330" spans="46:53" x14ac:dyDescent="0.2">
      <c r="AZ330" s="1231"/>
      <c r="BA330" s="1231"/>
    </row>
    <row r="331" spans="46:53" x14ac:dyDescent="0.2">
      <c r="AZ331" s="1231"/>
      <c r="BA331" s="1231"/>
    </row>
    <row r="333" spans="46:53" x14ac:dyDescent="0.2">
      <c r="AZ333" s="1239"/>
      <c r="BA333" s="1239"/>
    </row>
    <row r="334" spans="46:53" x14ac:dyDescent="0.2">
      <c r="AT334" s="1309"/>
      <c r="AU334" s="1309"/>
      <c r="AZ334" s="1239"/>
      <c r="BA334" s="1239"/>
    </row>
    <row r="335" spans="46:53" x14ac:dyDescent="0.2">
      <c r="AZ335" s="1239"/>
      <c r="BA335" s="1239"/>
    </row>
    <row r="336" spans="46:53" x14ac:dyDescent="0.2">
      <c r="AZ336" s="1239"/>
      <c r="BA336" s="1239"/>
    </row>
    <row r="337" spans="52:53" x14ac:dyDescent="0.2">
      <c r="AZ337" s="1239"/>
      <c r="BA337" s="1239"/>
    </row>
    <row r="338" spans="52:53" x14ac:dyDescent="0.2">
      <c r="AZ338" s="1239"/>
      <c r="BA338" s="1239"/>
    </row>
    <row r="339" spans="52:53" x14ac:dyDescent="0.2">
      <c r="AZ339" s="1239"/>
      <c r="BA339" s="1239"/>
    </row>
    <row r="340" spans="52:53" x14ac:dyDescent="0.2">
      <c r="AZ340" s="1239"/>
      <c r="BA340" s="1239"/>
    </row>
    <row r="341" spans="52:53" x14ac:dyDescent="0.2">
      <c r="AZ341" s="1249"/>
      <c r="BA341" s="1249"/>
    </row>
    <row r="342" spans="52:53" x14ac:dyDescent="0.2">
      <c r="AZ342" s="1255"/>
      <c r="BA342" s="1255"/>
    </row>
    <row r="343" spans="52:53" x14ac:dyDescent="0.2">
      <c r="AZ343" s="1255"/>
      <c r="BA343" s="1255"/>
    </row>
    <row r="344" spans="52:53" x14ac:dyDescent="0.2">
      <c r="AZ344" s="1239"/>
      <c r="BA344" s="1239"/>
    </row>
    <row r="345" spans="52:53" x14ac:dyDescent="0.2">
      <c r="AZ345" s="1239"/>
      <c r="BA345" s="1239"/>
    </row>
    <row r="370" spans="46:53" x14ac:dyDescent="0.2">
      <c r="AT370" s="1309"/>
      <c r="AU370" s="1309"/>
    </row>
    <row r="371" spans="46:53" x14ac:dyDescent="0.2">
      <c r="AZ371" s="1231"/>
      <c r="BA371" s="1231"/>
    </row>
    <row r="372" spans="46:53" x14ac:dyDescent="0.2">
      <c r="AZ372" s="1231"/>
      <c r="BA372" s="1231"/>
    </row>
    <row r="373" spans="46:53" x14ac:dyDescent="0.2">
      <c r="AZ373" s="1231"/>
      <c r="BA373" s="1231"/>
    </row>
    <row r="374" spans="46:53" x14ac:dyDescent="0.2">
      <c r="AZ374" s="1231"/>
      <c r="BA374" s="1231"/>
    </row>
    <row r="375" spans="46:53" x14ac:dyDescent="0.2">
      <c r="AZ375" s="1231"/>
      <c r="BA375" s="1231"/>
    </row>
    <row r="376" spans="46:53" x14ac:dyDescent="0.2">
      <c r="AZ376" s="1231"/>
      <c r="BA376" s="1231"/>
    </row>
    <row r="377" spans="46:53" x14ac:dyDescent="0.2">
      <c r="AZ377" s="1231"/>
      <c r="BA377" s="1231"/>
    </row>
    <row r="378" spans="46:53" x14ac:dyDescent="0.2">
      <c r="AZ378" s="1231"/>
      <c r="BA378" s="1231"/>
    </row>
    <row r="379" spans="46:53" x14ac:dyDescent="0.2">
      <c r="AZ379" s="1231"/>
      <c r="BA379" s="1231"/>
    </row>
    <row r="380" spans="46:53" x14ac:dyDescent="0.2">
      <c r="AZ380" s="1231"/>
      <c r="BA380" s="1231"/>
    </row>
    <row r="381" spans="46:53" x14ac:dyDescent="0.2">
      <c r="AZ381" s="1231"/>
      <c r="BA381" s="1231"/>
    </row>
    <row r="382" spans="46:53" x14ac:dyDescent="0.2">
      <c r="AZ382" s="1231"/>
      <c r="BA382" s="1231"/>
    </row>
    <row r="383" spans="46:53" x14ac:dyDescent="0.2">
      <c r="AZ383" s="1231"/>
      <c r="BA383" s="1231"/>
    </row>
    <row r="384" spans="46:53" x14ac:dyDescent="0.2">
      <c r="AZ384" s="1231"/>
      <c r="BA384" s="1231"/>
    </row>
    <row r="385" spans="52:53" x14ac:dyDescent="0.2">
      <c r="AZ385" s="1231"/>
      <c r="BA385" s="1231"/>
    </row>
    <row r="386" spans="52:53" x14ac:dyDescent="0.2">
      <c r="AZ386" s="1231"/>
      <c r="BA386" s="1231"/>
    </row>
    <row r="387" spans="52:53" x14ac:dyDescent="0.2">
      <c r="AZ387" s="1231"/>
      <c r="BA387" s="1231"/>
    </row>
    <row r="388" spans="52:53" x14ac:dyDescent="0.2">
      <c r="AZ388" s="1231"/>
      <c r="BA388" s="1231"/>
    </row>
    <row r="389" spans="52:53" x14ac:dyDescent="0.2">
      <c r="AZ389" s="1231"/>
      <c r="BA389" s="1231"/>
    </row>
    <row r="390" spans="52:53" x14ac:dyDescent="0.2">
      <c r="AZ390" s="1231"/>
      <c r="BA390" s="1231"/>
    </row>
    <row r="391" spans="52:53" x14ac:dyDescent="0.2">
      <c r="AZ391" s="1231"/>
      <c r="BA391" s="1231"/>
    </row>
    <row r="392" spans="52:53" x14ac:dyDescent="0.2">
      <c r="AZ392" s="1231"/>
      <c r="BA392" s="1231"/>
    </row>
    <row r="393" spans="52:53" x14ac:dyDescent="0.2">
      <c r="AZ393" s="1231"/>
      <c r="BA393" s="1231"/>
    </row>
    <row r="394" spans="52:53" x14ac:dyDescent="0.2">
      <c r="AZ394" s="1231"/>
      <c r="BA394" s="1231"/>
    </row>
    <row r="395" spans="52:53" x14ac:dyDescent="0.2">
      <c r="AZ395" s="1231"/>
      <c r="BA395" s="1231"/>
    </row>
    <row r="396" spans="52:53" x14ac:dyDescent="0.2">
      <c r="AZ396" s="1231"/>
      <c r="BA396" s="1231"/>
    </row>
    <row r="397" spans="52:53" x14ac:dyDescent="0.2">
      <c r="AZ397" s="1231"/>
      <c r="BA397" s="1231"/>
    </row>
    <row r="398" spans="52:53" x14ac:dyDescent="0.2">
      <c r="AZ398" s="1231"/>
      <c r="BA398" s="1231"/>
    </row>
    <row r="399" spans="52:53" x14ac:dyDescent="0.2">
      <c r="AZ399" s="1231"/>
      <c r="BA399" s="1231"/>
    </row>
    <row r="400" spans="52:53" x14ac:dyDescent="0.2">
      <c r="AZ400" s="1231"/>
      <c r="BA400" s="1231"/>
    </row>
    <row r="401" spans="52:53" x14ac:dyDescent="0.2">
      <c r="AZ401" s="1231"/>
      <c r="BA401" s="1231"/>
    </row>
    <row r="402" spans="52:53" x14ac:dyDescent="0.2">
      <c r="AZ402" s="1231"/>
      <c r="BA402" s="1231"/>
    </row>
    <row r="403" spans="52:53" x14ac:dyDescent="0.2">
      <c r="AZ403" s="1231"/>
      <c r="BA403" s="1231"/>
    </row>
    <row r="404" spans="52:53" x14ac:dyDescent="0.2">
      <c r="AZ404" s="1231"/>
      <c r="BA404" s="1231"/>
    </row>
    <row r="405" spans="52:53" x14ac:dyDescent="0.2">
      <c r="AZ405" s="1231"/>
      <c r="BA405" s="1231"/>
    </row>
    <row r="406" spans="52:53" x14ac:dyDescent="0.2">
      <c r="AZ406" s="1231"/>
      <c r="BA406" s="1231"/>
    </row>
    <row r="407" spans="52:53" x14ac:dyDescent="0.2">
      <c r="AZ407" s="1231"/>
      <c r="BA407" s="1231"/>
    </row>
    <row r="408" spans="52:53" x14ac:dyDescent="0.2">
      <c r="AZ408" s="1231"/>
      <c r="BA408" s="1231"/>
    </row>
    <row r="409" spans="52:53" x14ac:dyDescent="0.2">
      <c r="AZ409" s="1231"/>
      <c r="BA409" s="1231"/>
    </row>
    <row r="410" spans="52:53" x14ac:dyDescent="0.2">
      <c r="AZ410" s="1231"/>
      <c r="BA410" s="1231"/>
    </row>
    <row r="411" spans="52:53" x14ac:dyDescent="0.2">
      <c r="AZ411" s="1231"/>
      <c r="BA411" s="1231"/>
    </row>
    <row r="412" spans="52:53" x14ac:dyDescent="0.2">
      <c r="AZ412" s="1231"/>
      <c r="BA412" s="1231"/>
    </row>
    <row r="413" spans="52:53" x14ac:dyDescent="0.2">
      <c r="AZ413" s="1231"/>
      <c r="BA413" s="1231"/>
    </row>
    <row r="414" spans="52:53" x14ac:dyDescent="0.2">
      <c r="AZ414" s="1231"/>
      <c r="BA414" s="1231"/>
    </row>
    <row r="415" spans="52:53" x14ac:dyDescent="0.2">
      <c r="AZ415" s="1231"/>
      <c r="BA415" s="1231"/>
    </row>
    <row r="416" spans="52:53" x14ac:dyDescent="0.2">
      <c r="AZ416" s="1231"/>
      <c r="BA416" s="1231"/>
    </row>
    <row r="418" spans="52:53" x14ac:dyDescent="0.2">
      <c r="AZ418" s="1239"/>
      <c r="BA418" s="1239"/>
    </row>
    <row r="419" spans="52:53" x14ac:dyDescent="0.2">
      <c r="AZ419" s="1239"/>
      <c r="BA419" s="1239"/>
    </row>
    <row r="420" spans="52:53" x14ac:dyDescent="0.2">
      <c r="AZ420" s="1239"/>
      <c r="BA420" s="1239"/>
    </row>
    <row r="421" spans="52:53" x14ac:dyDescent="0.2">
      <c r="AZ421" s="1239"/>
      <c r="BA421" s="1239"/>
    </row>
    <row r="422" spans="52:53" x14ac:dyDescent="0.2">
      <c r="AZ422" s="1239"/>
      <c r="BA422" s="1239"/>
    </row>
    <row r="423" spans="52:53" x14ac:dyDescent="0.2">
      <c r="AZ423" s="1239"/>
      <c r="BA423" s="1239"/>
    </row>
    <row r="424" spans="52:53" x14ac:dyDescent="0.2">
      <c r="AZ424" s="1239"/>
      <c r="BA424" s="1239"/>
    </row>
    <row r="425" spans="52:53" x14ac:dyDescent="0.2">
      <c r="AZ425" s="1239"/>
      <c r="BA425" s="1239"/>
    </row>
    <row r="426" spans="52:53" x14ac:dyDescent="0.2">
      <c r="AZ426" s="1249"/>
      <c r="BA426" s="1249"/>
    </row>
    <row r="427" spans="52:53" x14ac:dyDescent="0.2">
      <c r="AZ427" s="1255"/>
      <c r="BA427" s="1255"/>
    </row>
    <row r="428" spans="52:53" x14ac:dyDescent="0.2">
      <c r="AZ428" s="1255"/>
      <c r="BA428" s="1255"/>
    </row>
    <row r="429" spans="52:53" x14ac:dyDescent="0.2">
      <c r="AZ429" s="1239"/>
      <c r="BA429" s="1239"/>
    </row>
    <row r="430" spans="52:53" x14ac:dyDescent="0.2">
      <c r="AZ430" s="1239"/>
      <c r="BA430" s="1239"/>
    </row>
  </sheetData>
  <sheetProtection formatCells="0" selectLockedCells="1"/>
  <mergeCells count="229">
    <mergeCell ref="K132:N132"/>
    <mergeCell ref="K137:N139"/>
    <mergeCell ref="A148:M148"/>
    <mergeCell ref="B129:D129"/>
    <mergeCell ref="E129:G129"/>
    <mergeCell ref="H129:J129"/>
    <mergeCell ref="K129:Q131"/>
    <mergeCell ref="B130:D130"/>
    <mergeCell ref="E130:G130"/>
    <mergeCell ref="H130:J130"/>
    <mergeCell ref="B131:D131"/>
    <mergeCell ref="E131:G131"/>
    <mergeCell ref="H131:J131"/>
    <mergeCell ref="B125:J125"/>
    <mergeCell ref="K125:Q125"/>
    <mergeCell ref="B126:J126"/>
    <mergeCell ref="K126:Q126"/>
    <mergeCell ref="B127:J127"/>
    <mergeCell ref="K127:Q127"/>
    <mergeCell ref="A119:E119"/>
    <mergeCell ref="A122:J122"/>
    <mergeCell ref="B123:J123"/>
    <mergeCell ref="K123:Q123"/>
    <mergeCell ref="B124:J124"/>
    <mergeCell ref="K124:Q124"/>
    <mergeCell ref="A116:D116"/>
    <mergeCell ref="F116:I116"/>
    <mergeCell ref="J116:M116"/>
    <mergeCell ref="A117:E117"/>
    <mergeCell ref="F117:M117"/>
    <mergeCell ref="A118:E118"/>
    <mergeCell ref="J112:P112"/>
    <mergeCell ref="A113:E113"/>
    <mergeCell ref="F113:I113"/>
    <mergeCell ref="J113:P113"/>
    <mergeCell ref="A114:E114"/>
    <mergeCell ref="J114:P114"/>
    <mergeCell ref="A108:E108"/>
    <mergeCell ref="F108:I108"/>
    <mergeCell ref="J108:M108"/>
    <mergeCell ref="A109:E109"/>
    <mergeCell ref="A110:E110"/>
    <mergeCell ref="F111:I111"/>
    <mergeCell ref="A100:K100"/>
    <mergeCell ref="A102:O102"/>
    <mergeCell ref="A104:E104"/>
    <mergeCell ref="A105:E105"/>
    <mergeCell ref="A107:D107"/>
    <mergeCell ref="F107:M107"/>
    <mergeCell ref="AF94:AK94"/>
    <mergeCell ref="AL94:AO94"/>
    <mergeCell ref="A96:AQ96"/>
    <mergeCell ref="A97:AQ97"/>
    <mergeCell ref="A98:AQ98"/>
    <mergeCell ref="A99:AQ99"/>
    <mergeCell ref="V93:AA93"/>
    <mergeCell ref="AB93:AE93"/>
    <mergeCell ref="AF93:AK93"/>
    <mergeCell ref="AL93:AO93"/>
    <mergeCell ref="B94:G94"/>
    <mergeCell ref="H94:K94"/>
    <mergeCell ref="L94:Q94"/>
    <mergeCell ref="R94:U94"/>
    <mergeCell ref="V94:AA94"/>
    <mergeCell ref="AB94:AE94"/>
    <mergeCell ref="A91:AQ91"/>
    <mergeCell ref="A92:A93"/>
    <mergeCell ref="B92:K92"/>
    <mergeCell ref="L92:U92"/>
    <mergeCell ref="V92:AE92"/>
    <mergeCell ref="AF92:AO92"/>
    <mergeCell ref="B93:G93"/>
    <mergeCell ref="H93:K93"/>
    <mergeCell ref="L93:Q93"/>
    <mergeCell ref="R93:U93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C8:AE9"/>
    <mergeCell ref="AF8:AF9"/>
    <mergeCell ref="AG8:AG9"/>
    <mergeCell ref="AH8:AI9"/>
    <mergeCell ref="AT8:AY9"/>
    <mergeCell ref="B9:D9"/>
    <mergeCell ref="E9:K9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1:AI1"/>
    <mergeCell ref="AT1:AV1"/>
    <mergeCell ref="AX1:AY1"/>
    <mergeCell ref="A2:I2"/>
    <mergeCell ref="J2:X2"/>
    <mergeCell ref="Y2:AC2"/>
    <mergeCell ref="AD2:AI2"/>
  </mergeCells>
  <conditionalFormatting sqref="A8">
    <cfRule type="expression" dxfId="3526" priority="40" stopIfTrue="1">
      <formula>IF(AK9&gt;0,0,1)</formula>
    </cfRule>
  </conditionalFormatting>
  <conditionalFormatting sqref="A10:A11">
    <cfRule type="expression" dxfId="3525" priority="41" stopIfTrue="1">
      <formula>IF(AK9&gt;1,0,1)</formula>
    </cfRule>
  </conditionalFormatting>
  <conditionalFormatting sqref="A12:A13">
    <cfRule type="expression" dxfId="3524" priority="42" stopIfTrue="1">
      <formula>IF(AK9&gt;2,0,1)</formula>
    </cfRule>
  </conditionalFormatting>
  <conditionalFormatting sqref="A14:A15">
    <cfRule type="expression" dxfId="3523" priority="43" stopIfTrue="1">
      <formula>IF(AK9&gt;3,0,1)</formula>
    </cfRule>
  </conditionalFormatting>
  <conditionalFormatting sqref="A16:A17">
    <cfRule type="expression" dxfId="3522" priority="44" stopIfTrue="1">
      <formula>IF(AK9&gt;4,0,1)</formula>
    </cfRule>
  </conditionalFormatting>
  <conditionalFormatting sqref="B8">
    <cfRule type="expression" dxfId="3521" priority="45" stopIfTrue="1">
      <formula>IF(AK9&gt;0,0,1)</formula>
    </cfRule>
  </conditionalFormatting>
  <conditionalFormatting sqref="B9">
    <cfRule type="expression" dxfId="3520" priority="46" stopIfTrue="1">
      <formula>IF(AK9&gt;0,0,1)</formula>
    </cfRule>
  </conditionalFormatting>
  <conditionalFormatting sqref="B10">
    <cfRule type="expression" dxfId="3519" priority="47" stopIfTrue="1">
      <formula>IF(AK9&gt;1,0,1)</formula>
    </cfRule>
  </conditionalFormatting>
  <conditionalFormatting sqref="B11:D11">
    <cfRule type="expression" dxfId="3518" priority="48" stopIfTrue="1">
      <formula>IF(AK9&gt;1,0,1)</formula>
    </cfRule>
  </conditionalFormatting>
  <conditionalFormatting sqref="B12:D12">
    <cfRule type="expression" dxfId="3517" priority="49" stopIfTrue="1">
      <formula>IF(AK9&gt;2,0,1)</formula>
    </cfRule>
  </conditionalFormatting>
  <conditionalFormatting sqref="B13:D13">
    <cfRule type="expression" dxfId="3516" priority="50" stopIfTrue="1">
      <formula>IF(AK9&gt;2,0,1)</formula>
    </cfRule>
  </conditionalFormatting>
  <conditionalFormatting sqref="B14:D14">
    <cfRule type="expression" dxfId="3515" priority="51" stopIfTrue="1">
      <formula>IF(AK9&gt;3,0,1)</formula>
    </cfRule>
  </conditionalFormatting>
  <conditionalFormatting sqref="B15:D15">
    <cfRule type="expression" dxfId="3514" priority="52" stopIfTrue="1">
      <formula>IF(AK9&gt;3,0,1)</formula>
    </cfRule>
  </conditionalFormatting>
  <conditionalFormatting sqref="B16:D16">
    <cfRule type="expression" dxfId="3513" priority="53" stopIfTrue="1">
      <formula>IF(AK9&gt;4,0,1)</formula>
    </cfRule>
  </conditionalFormatting>
  <conditionalFormatting sqref="B17:D17">
    <cfRule type="expression" dxfId="3512" priority="54" stopIfTrue="1">
      <formula>IF(AK9&gt;4,0,1)</formula>
    </cfRule>
  </conditionalFormatting>
  <conditionalFormatting sqref="AC8">
    <cfRule type="expression" dxfId="3511" priority="55" stopIfTrue="1">
      <formula>IF(AK11=1,IF(AK9&gt;0,0,1),1)</formula>
    </cfRule>
  </conditionalFormatting>
  <conditionalFormatting sqref="AC10:AE11">
    <cfRule type="expression" dxfId="3510" priority="56" stopIfTrue="1">
      <formula>IF(AK11=1,IF(AK9&gt;1,0,1),1)</formula>
    </cfRule>
  </conditionalFormatting>
  <conditionalFormatting sqref="AC12:AE13">
    <cfRule type="expression" dxfId="3509" priority="57" stopIfTrue="1">
      <formula>IF(AK11=1,IF(AK9&gt;2,0,1),1)</formula>
    </cfRule>
  </conditionalFormatting>
  <conditionalFormatting sqref="AC14:AE15">
    <cfRule type="expression" dxfId="3508" priority="58" stopIfTrue="1">
      <formula>IF(AK11=1,IF(AK9&gt;3,0,1),1)</formula>
    </cfRule>
  </conditionalFormatting>
  <conditionalFormatting sqref="AC16:AE17">
    <cfRule type="expression" dxfId="3507" priority="59" stopIfTrue="1">
      <formula>IF(AK11=1,IF(AK9&gt;4,0,1),1)</formula>
    </cfRule>
  </conditionalFormatting>
  <conditionalFormatting sqref="AH8">
    <cfRule type="expression" dxfId="3506" priority="60" stopIfTrue="1">
      <formula>IF(AK9&gt;0,0,1)</formula>
    </cfRule>
  </conditionalFormatting>
  <conditionalFormatting sqref="AH10:AI11">
    <cfRule type="expression" dxfId="3505" priority="61" stopIfTrue="1">
      <formula>IF(AK9&gt;1,0,1)</formula>
    </cfRule>
  </conditionalFormatting>
  <conditionalFormatting sqref="AH12:AI13">
    <cfRule type="expression" dxfId="3504" priority="62" stopIfTrue="1">
      <formula>IF(AK9&gt;2,0,1)</formula>
    </cfRule>
  </conditionalFormatting>
  <conditionalFormatting sqref="AH14:AI15">
    <cfRule type="expression" dxfId="3503" priority="63" stopIfTrue="1">
      <formula>IF(AK9&gt;3,0,1)</formula>
    </cfRule>
  </conditionalFormatting>
  <conditionalFormatting sqref="AH16:AI17">
    <cfRule type="expression" dxfId="3502" priority="64" stopIfTrue="1">
      <formula>IF(AK9&gt;4,0,1)</formula>
    </cfRule>
  </conditionalFormatting>
  <conditionalFormatting sqref="B19:D19">
    <cfRule type="expression" dxfId="3501" priority="65" stopIfTrue="1">
      <formula>IF(AK8&gt;0,0,1)</formula>
    </cfRule>
  </conditionalFormatting>
  <conditionalFormatting sqref="E19:G19">
    <cfRule type="expression" dxfId="3500" priority="66" stopIfTrue="1">
      <formula>IF(AK8&gt;1,0,1)</formula>
    </cfRule>
  </conditionalFormatting>
  <conditionalFormatting sqref="H19:J19">
    <cfRule type="expression" dxfId="3499" priority="67" stopIfTrue="1">
      <formula>IF(AK8&gt;2,0,1)</formula>
    </cfRule>
  </conditionalFormatting>
  <conditionalFormatting sqref="K19:M19">
    <cfRule type="expression" dxfId="3498" priority="68" stopIfTrue="1">
      <formula>IF(AK8&gt;3,0,1)</formula>
    </cfRule>
  </conditionalFormatting>
  <conditionalFormatting sqref="N19:P19">
    <cfRule type="expression" dxfId="3497" priority="69" stopIfTrue="1">
      <formula>IF(AK8&gt;4,0,1)</formula>
    </cfRule>
  </conditionalFormatting>
  <conditionalFormatting sqref="Q19:S19">
    <cfRule type="expression" dxfId="3496" priority="70" stopIfTrue="1">
      <formula>IF(AK8&gt;5,0,1)</formula>
    </cfRule>
  </conditionalFormatting>
  <conditionalFormatting sqref="T19:V19">
    <cfRule type="expression" dxfId="3495" priority="71" stopIfTrue="1">
      <formula>IF(AK8&gt;6,0,1)</formula>
    </cfRule>
  </conditionalFormatting>
  <conditionalFormatting sqref="W19:Y19">
    <cfRule type="expression" dxfId="3494" priority="72" stopIfTrue="1">
      <formula>IF(AK8&gt;7,0,1)</formula>
    </cfRule>
  </conditionalFormatting>
  <conditionalFormatting sqref="Z19:AB19">
    <cfRule type="expression" dxfId="3493" priority="73" stopIfTrue="1">
      <formula>IF(AK8&gt;8,0,1)</formula>
    </cfRule>
  </conditionalFormatting>
  <conditionalFormatting sqref="AC19:AE19">
    <cfRule type="expression" dxfId="3492" priority="74" stopIfTrue="1">
      <formula>IF(AK8&gt;9,0,1)</formula>
    </cfRule>
  </conditionalFormatting>
  <conditionalFormatting sqref="B20:D20">
    <cfRule type="expression" dxfId="3491" priority="75" stopIfTrue="1">
      <formula>IF(AK8&gt;0,0,1)</formula>
    </cfRule>
  </conditionalFormatting>
  <conditionalFormatting sqref="E20:G20">
    <cfRule type="expression" dxfId="3490" priority="76" stopIfTrue="1">
      <formula>IF(AK8&gt;1,0,1)</formula>
    </cfRule>
  </conditionalFormatting>
  <conditionalFormatting sqref="H20:J20">
    <cfRule type="expression" dxfId="3489" priority="77" stopIfTrue="1">
      <formula>IF(AK8&gt;2,0,1)</formula>
    </cfRule>
  </conditionalFormatting>
  <conditionalFormatting sqref="K20:M20">
    <cfRule type="expression" dxfId="3488" priority="78" stopIfTrue="1">
      <formula>IF(AK8&gt;3,0,1)</formula>
    </cfRule>
  </conditionalFormatting>
  <conditionalFormatting sqref="N20:P20">
    <cfRule type="expression" dxfId="3487" priority="79" stopIfTrue="1">
      <formula>IF(AK8&gt;4,0,1)</formula>
    </cfRule>
  </conditionalFormatting>
  <conditionalFormatting sqref="Q20:S20">
    <cfRule type="expression" dxfId="3486" priority="80" stopIfTrue="1">
      <formula>IF(AK8&gt;5,0,1)</formula>
    </cfRule>
  </conditionalFormatting>
  <conditionalFormatting sqref="T20:V20">
    <cfRule type="expression" dxfId="3485" priority="81" stopIfTrue="1">
      <formula>IF(AK8&gt;6,0,1)</formula>
    </cfRule>
  </conditionalFormatting>
  <conditionalFormatting sqref="W20:Y20">
    <cfRule type="expression" dxfId="3484" priority="82" stopIfTrue="1">
      <formula>IF(AK8&gt;7,0,1)</formula>
    </cfRule>
  </conditionalFormatting>
  <conditionalFormatting sqref="Z20:AB20">
    <cfRule type="expression" dxfId="3483" priority="83" stopIfTrue="1">
      <formula>IF(AK8&gt;8,0,1)</formula>
    </cfRule>
  </conditionalFormatting>
  <conditionalFormatting sqref="AC20:AE20">
    <cfRule type="expression" dxfId="3482" priority="84" stopIfTrue="1">
      <formula>IF(AK8&gt;9,0,1)</formula>
    </cfRule>
  </conditionalFormatting>
  <conditionalFormatting sqref="E22:G22">
    <cfRule type="expression" dxfId="3481" priority="85" stopIfTrue="1">
      <formula>IF(AK8&gt;1,0,1)</formula>
    </cfRule>
  </conditionalFormatting>
  <conditionalFormatting sqref="H22:J22">
    <cfRule type="expression" dxfId="3480" priority="86" stopIfTrue="1">
      <formula>IF(AK8&gt;2,0,1)</formula>
    </cfRule>
  </conditionalFormatting>
  <conditionalFormatting sqref="K22:M22">
    <cfRule type="expression" dxfId="3479" priority="87" stopIfTrue="1">
      <formula>IF(AK8&gt;3,0,1)</formula>
    </cfRule>
  </conditionalFormatting>
  <conditionalFormatting sqref="N22:P22">
    <cfRule type="expression" dxfId="3478" priority="88" stopIfTrue="1">
      <formula>IF(AK8&gt;4,0,1)</formula>
    </cfRule>
  </conditionalFormatting>
  <conditionalFormatting sqref="Q22:S22">
    <cfRule type="expression" dxfId="3477" priority="89" stopIfTrue="1">
      <formula>IF(AK8&gt;5,0,1)</formula>
    </cfRule>
  </conditionalFormatting>
  <conditionalFormatting sqref="T22:V22">
    <cfRule type="expression" dxfId="3476" priority="90" stopIfTrue="1">
      <formula>IF(AK8&gt;6,0,1)</formula>
    </cfRule>
  </conditionalFormatting>
  <conditionalFormatting sqref="W22:Y22">
    <cfRule type="expression" dxfId="3475" priority="91" stopIfTrue="1">
      <formula>IF(AK8&gt;7,0,1)</formula>
    </cfRule>
  </conditionalFormatting>
  <conditionalFormatting sqref="Z22:AB22">
    <cfRule type="expression" dxfId="3474" priority="92" stopIfTrue="1">
      <formula>IF(AK8&gt;8,0,1)</formula>
    </cfRule>
  </conditionalFormatting>
  <conditionalFormatting sqref="AC22:AE22">
    <cfRule type="expression" dxfId="3473" priority="93" stopIfTrue="1">
      <formula>IF(AK8&gt;9,0,1)</formula>
    </cfRule>
  </conditionalFormatting>
  <conditionalFormatting sqref="E23:G23">
    <cfRule type="expression" dxfId="3472" priority="94" stopIfTrue="1">
      <formula>IF(AK8&gt;1,0,1)</formula>
    </cfRule>
  </conditionalFormatting>
  <conditionalFormatting sqref="H23:J23">
    <cfRule type="expression" dxfId="3471" priority="95" stopIfTrue="1">
      <formula>IF(AK8&gt;2,0,1)</formula>
    </cfRule>
  </conditionalFormatting>
  <conditionalFormatting sqref="K23:M23">
    <cfRule type="expression" dxfId="3470" priority="96" stopIfTrue="1">
      <formula>IF(AK8&gt;3,0,1)</formula>
    </cfRule>
  </conditionalFormatting>
  <conditionalFormatting sqref="N23:P23">
    <cfRule type="expression" dxfId="3469" priority="97" stopIfTrue="1">
      <formula>IF(AK8&gt;4,0,1)</formula>
    </cfRule>
  </conditionalFormatting>
  <conditionalFormatting sqref="Q23:S23">
    <cfRule type="expression" dxfId="3468" priority="98" stopIfTrue="1">
      <formula>IF(AK8&gt;5,0,1)</formula>
    </cfRule>
  </conditionalFormatting>
  <conditionalFormatting sqref="T23:V23">
    <cfRule type="expression" dxfId="3467" priority="99" stopIfTrue="1">
      <formula>IF(AK8&gt;6,0,1)</formula>
    </cfRule>
  </conditionalFormatting>
  <conditionalFormatting sqref="W23:Y23">
    <cfRule type="expression" dxfId="3466" priority="100" stopIfTrue="1">
      <formula>IF(AK8&gt;7,0,1)</formula>
    </cfRule>
  </conditionalFormatting>
  <conditionalFormatting sqref="Z23:AB23">
    <cfRule type="expression" dxfId="3465" priority="101" stopIfTrue="1">
      <formula>IF(AK8&gt;8,0,1)</formula>
    </cfRule>
  </conditionalFormatting>
  <conditionalFormatting sqref="AC23:AE23">
    <cfRule type="expression" dxfId="3464" priority="102" stopIfTrue="1">
      <formula>IF(AK8&gt;9,0,1)</formula>
    </cfRule>
  </conditionalFormatting>
  <conditionalFormatting sqref="W24">
    <cfRule type="expression" dxfId="3463" priority="103" stopIfTrue="1">
      <formula>IF(AK8&gt;7,0,1)</formula>
    </cfRule>
  </conditionalFormatting>
  <conditionalFormatting sqref="X24">
    <cfRule type="expression" dxfId="3462" priority="104" stopIfTrue="1">
      <formula>IF(AK8&gt;7,0,1)</formula>
    </cfRule>
  </conditionalFormatting>
  <conditionalFormatting sqref="Y24">
    <cfRule type="expression" dxfId="3461" priority="105" stopIfTrue="1">
      <formula>IF(AK8&gt;7,0,1)</formula>
    </cfRule>
  </conditionalFormatting>
  <conditionalFormatting sqref="Z24">
    <cfRule type="expression" dxfId="3460" priority="106" stopIfTrue="1">
      <formula>IF(AK8&gt;8,0,1)</formula>
    </cfRule>
  </conditionalFormatting>
  <conditionalFormatting sqref="AA24">
    <cfRule type="expression" dxfId="3459" priority="107" stopIfTrue="1">
      <formula>IF(AK8&gt;8,0,1)</formula>
    </cfRule>
  </conditionalFormatting>
  <conditionalFormatting sqref="AB24">
    <cfRule type="expression" dxfId="3458" priority="108" stopIfTrue="1">
      <formula>IF(AK8&gt;8,0,1)</formula>
    </cfRule>
  </conditionalFormatting>
  <conditionalFormatting sqref="AC24">
    <cfRule type="expression" dxfId="3457" priority="109" stopIfTrue="1">
      <formula>IF(AK8&gt;9,0,1)</formula>
    </cfRule>
  </conditionalFormatting>
  <conditionalFormatting sqref="AD24">
    <cfRule type="expression" dxfId="3456" priority="110" stopIfTrue="1">
      <formula>IF(AK8&gt;9,0,1)</formula>
    </cfRule>
  </conditionalFormatting>
  <conditionalFormatting sqref="AE24">
    <cfRule type="expression" dxfId="3455" priority="111" stopIfTrue="1">
      <formula>IF(AK8&gt;9,0,1)</formula>
    </cfRule>
  </conditionalFormatting>
  <conditionalFormatting sqref="A26">
    <cfRule type="expression" dxfId="3454" priority="112" stopIfTrue="1">
      <formula>IF(AK7&gt;1,0,1)</formula>
    </cfRule>
  </conditionalFormatting>
  <conditionalFormatting sqref="A27">
    <cfRule type="expression" dxfId="3453" priority="113" stopIfTrue="1">
      <formula>IF(AK7&gt;2,0,1)</formula>
    </cfRule>
  </conditionalFormatting>
  <conditionalFormatting sqref="A28">
    <cfRule type="expression" dxfId="3452" priority="114" stopIfTrue="1">
      <formula>IF(AK7&gt;3,0,1)</formula>
    </cfRule>
  </conditionalFormatting>
  <conditionalFormatting sqref="A29">
    <cfRule type="expression" dxfId="3451" priority="115" stopIfTrue="1">
      <formula>IF(AK7&gt;4,0,1)</formula>
    </cfRule>
  </conditionalFormatting>
  <conditionalFormatting sqref="B27:D27">
    <cfRule type="expression" dxfId="3450" priority="116" stopIfTrue="1">
      <formula>IF($AK8&lt;1,1,IF($AK7&lt;3,1,0))</formula>
    </cfRule>
  </conditionalFormatting>
  <conditionalFormatting sqref="B28:D28">
    <cfRule type="expression" dxfId="3449" priority="117" stopIfTrue="1">
      <formula>IF($AK8&lt;1,1,IF($AK7&lt;4,1,0))</formula>
    </cfRule>
  </conditionalFormatting>
  <conditionalFormatting sqref="B29:D29">
    <cfRule type="expression" dxfId="3448" priority="118" stopIfTrue="1">
      <formula>IF($AK8&lt;1,1,IF($AK7&lt;5,1,0))</formula>
    </cfRule>
  </conditionalFormatting>
  <conditionalFormatting sqref="AG23">
    <cfRule type="expression" dxfId="3447" priority="119" stopIfTrue="1">
      <formula>IF($AK8&lt;1,1,0)</formula>
    </cfRule>
  </conditionalFormatting>
  <conditionalFormatting sqref="AH23">
    <cfRule type="expression" dxfId="3446" priority="120" stopIfTrue="1">
      <formula>IF($AK8&lt;2,1,0)</formula>
    </cfRule>
  </conditionalFormatting>
  <conditionalFormatting sqref="AI23">
    <cfRule type="expression" dxfId="3445" priority="121" stopIfTrue="1">
      <formula>IF($AK8&lt;3,1,0)</formula>
    </cfRule>
  </conditionalFormatting>
  <conditionalFormatting sqref="AJ23">
    <cfRule type="expression" dxfId="3444" priority="122" stopIfTrue="1">
      <formula>IF($AK8&lt;4,1,0)</formula>
    </cfRule>
  </conditionalFormatting>
  <conditionalFormatting sqref="AK23">
    <cfRule type="expression" dxfId="3443" priority="123" stopIfTrue="1">
      <formula>IF($AK8&lt;5,1,0)</formula>
    </cfRule>
  </conditionalFormatting>
  <conditionalFormatting sqref="AL23">
    <cfRule type="expression" dxfId="3442" priority="124" stopIfTrue="1">
      <formula>IF($AK8&lt;6,1,0)</formula>
    </cfRule>
  </conditionalFormatting>
  <conditionalFormatting sqref="AM23">
    <cfRule type="expression" dxfId="3441" priority="125" stopIfTrue="1">
      <formula>IF($AK8&lt;7,1,0)</formula>
    </cfRule>
  </conditionalFormatting>
  <conditionalFormatting sqref="AN23">
    <cfRule type="expression" dxfId="3440" priority="126" stopIfTrue="1">
      <formula>IF($AK8&lt;8,1,0)</formula>
    </cfRule>
  </conditionalFormatting>
  <conditionalFormatting sqref="AO23">
    <cfRule type="expression" dxfId="3439" priority="127" stopIfTrue="1">
      <formula>IF($AK8&lt;9,1,0)</formula>
    </cfRule>
  </conditionalFormatting>
  <conditionalFormatting sqref="AP23">
    <cfRule type="expression" dxfId="3438" priority="128" stopIfTrue="1">
      <formula>IF($AK8&lt;10,1,0)</formula>
    </cfRule>
  </conditionalFormatting>
  <conditionalFormatting sqref="AQ24">
    <cfRule type="expression" dxfId="3437" priority="129" stopIfTrue="1">
      <formula>IF($AK9&gt;0,0,1)</formula>
    </cfRule>
  </conditionalFormatting>
  <conditionalFormatting sqref="AQ25">
    <cfRule type="expression" dxfId="3436" priority="130" stopIfTrue="1">
      <formula>IF($AK9&gt;1,0,1)</formula>
    </cfRule>
  </conditionalFormatting>
  <conditionalFormatting sqref="AQ26">
    <cfRule type="expression" dxfId="3435" priority="131" stopIfTrue="1">
      <formula>IF($AK9&gt;2,0,1)</formula>
    </cfRule>
  </conditionalFormatting>
  <conditionalFormatting sqref="AQ27">
    <cfRule type="expression" dxfId="3434" priority="132" stopIfTrue="1">
      <formula>IF($AK9&gt;3,0,1)</formula>
    </cfRule>
  </conditionalFormatting>
  <conditionalFormatting sqref="AQ28">
    <cfRule type="expression" dxfId="3433" priority="133" stopIfTrue="1">
      <formula>IF($AK9&gt;4,0,1)</formula>
    </cfRule>
  </conditionalFormatting>
  <conditionalFormatting sqref="E27:G27">
    <cfRule type="expression" dxfId="3432" priority="134" stopIfTrue="1">
      <formula>IF($AK8&lt;2,1,IF($AK7&lt;3,1,0))</formula>
    </cfRule>
  </conditionalFormatting>
  <conditionalFormatting sqref="E28:G28">
    <cfRule type="expression" dxfId="3431" priority="135" stopIfTrue="1">
      <formula>IF($AK8&lt;2,1,IF($AK7&lt;4,1,0))</formula>
    </cfRule>
  </conditionalFormatting>
  <conditionalFormatting sqref="E29:G29">
    <cfRule type="expression" dxfId="3430" priority="136" stopIfTrue="1">
      <formula>IF($AK8&lt;2,1,IF($AK7&lt;5,1,0))</formula>
    </cfRule>
  </conditionalFormatting>
  <conditionalFormatting sqref="W25:Y25">
    <cfRule type="expression" dxfId="3429" priority="137" stopIfTrue="1">
      <formula>IF($AK8&gt;7,0,1)</formula>
    </cfRule>
  </conditionalFormatting>
  <conditionalFormatting sqref="Z25:AB25">
    <cfRule type="expression" dxfId="3428" priority="138" stopIfTrue="1">
      <formula>IF($AK8&gt;8,0,1)</formula>
    </cfRule>
  </conditionalFormatting>
  <conditionalFormatting sqref="AC25:AE25">
    <cfRule type="expression" dxfId="3427" priority="139" stopIfTrue="1">
      <formula>IF($AK8&gt;9,0,1)</formula>
    </cfRule>
  </conditionalFormatting>
  <conditionalFormatting sqref="W26:Y26">
    <cfRule type="expression" dxfId="3426" priority="140" stopIfTrue="1">
      <formula>IF($AK8&lt;8,1,IF($AK7&lt;2,1,0))</formula>
    </cfRule>
  </conditionalFormatting>
  <conditionalFormatting sqref="Z26:AB26">
    <cfRule type="expression" dxfId="3425" priority="141" stopIfTrue="1">
      <formula>IF($AK8&lt;9,1,IF($AK7&lt;2,1,0))</formula>
    </cfRule>
  </conditionalFormatting>
  <conditionalFormatting sqref="AC26:AE26">
    <cfRule type="expression" dxfId="3424" priority="142" stopIfTrue="1">
      <formula>IF($AK8&lt;10,1,IF($AK7&lt;2,1,0))</formula>
    </cfRule>
  </conditionalFormatting>
  <conditionalFormatting sqref="H27:J27">
    <cfRule type="expression" dxfId="3423" priority="143" stopIfTrue="1">
      <formula>IF($AK8&lt;3,1,IF($AK7&lt;3,1,0))</formula>
    </cfRule>
  </conditionalFormatting>
  <conditionalFormatting sqref="K27:M27">
    <cfRule type="expression" dxfId="3422" priority="144" stopIfTrue="1">
      <formula>IF($AK8&lt;4,1,IF($AK7&lt;3,1,0))</formula>
    </cfRule>
  </conditionalFormatting>
  <conditionalFormatting sqref="N27:P27">
    <cfRule type="expression" dxfId="3421" priority="145" stopIfTrue="1">
      <formula>IF($AK8&lt;5,1,IF($AK7&lt;3,1,0))</formula>
    </cfRule>
  </conditionalFormatting>
  <conditionalFormatting sqref="Q27:S27">
    <cfRule type="expression" dxfId="3420" priority="146" stopIfTrue="1">
      <formula>IF($AK8&lt;6,1,IF($AK7&lt;3,1,0))</formula>
    </cfRule>
  </conditionalFormatting>
  <conditionalFormatting sqref="T27:V27">
    <cfRule type="expression" dxfId="3419" priority="147" stopIfTrue="1">
      <formula>IF($AK8&lt;7,1,IF($AK7&lt;3,1,0))</formula>
    </cfRule>
  </conditionalFormatting>
  <conditionalFormatting sqref="W27:Y27">
    <cfRule type="expression" dxfId="3418" priority="148" stopIfTrue="1">
      <formula>IF($AK8&lt;8,1,IF($AK7&lt;3,1,0))</formula>
    </cfRule>
  </conditionalFormatting>
  <conditionalFormatting sqref="Z27:AB27">
    <cfRule type="expression" dxfId="3417" priority="149" stopIfTrue="1">
      <formula>IF($AK8&lt;9,1,IF($AK7&lt;3,1,0))</formula>
    </cfRule>
  </conditionalFormatting>
  <conditionalFormatting sqref="AC27:AE27">
    <cfRule type="expression" dxfId="3416" priority="150" stopIfTrue="1">
      <formula>IF($AK8&lt;10,1,IF($AK7&lt;3,1,0))</formula>
    </cfRule>
  </conditionalFormatting>
  <conditionalFormatting sqref="H28:J28">
    <cfRule type="expression" dxfId="3415" priority="151" stopIfTrue="1">
      <formula>IF($AK8&lt;3,1,IF($AK7&lt;4,1,0))</formula>
    </cfRule>
  </conditionalFormatting>
  <conditionalFormatting sqref="K28:M28">
    <cfRule type="expression" dxfId="3414" priority="152" stopIfTrue="1">
      <formula>IF($AK8&lt;4,1,IF($AK7&lt;4,1,0))</formula>
    </cfRule>
  </conditionalFormatting>
  <conditionalFormatting sqref="N28:P28">
    <cfRule type="expression" dxfId="3413" priority="153" stopIfTrue="1">
      <formula>IF($AK8&lt;5,1,IF($AK7&lt;4,1,0))</formula>
    </cfRule>
  </conditionalFormatting>
  <conditionalFormatting sqref="Q28:S28">
    <cfRule type="expression" dxfId="3412" priority="154" stopIfTrue="1">
      <formula>IF($AK8&lt;6,1,IF($AK7&lt;4,1,0))</formula>
    </cfRule>
  </conditionalFormatting>
  <conditionalFormatting sqref="T28:V28">
    <cfRule type="expression" dxfId="3411" priority="155" stopIfTrue="1">
      <formula>IF($AK8&lt;7,1,IF($AK7&lt;4,1,0))</formula>
    </cfRule>
  </conditionalFormatting>
  <conditionalFormatting sqref="W28:Y28">
    <cfRule type="expression" dxfId="3410" priority="156" stopIfTrue="1">
      <formula>IF($AK8&lt;8,1,IF($AK7&lt;4,1,0))</formula>
    </cfRule>
  </conditionalFormatting>
  <conditionalFormatting sqref="Z28:AB28">
    <cfRule type="expression" dxfId="3409" priority="157" stopIfTrue="1">
      <formula>IF($AK8&lt;9,1,IF($AK7&lt;4,1,0))</formula>
    </cfRule>
  </conditionalFormatting>
  <conditionalFormatting sqref="AC28:AE28">
    <cfRule type="expression" dxfId="3408" priority="158" stopIfTrue="1">
      <formula>IF($AK8&lt;10,1,IF($AK7&lt;4,1,0))</formula>
    </cfRule>
  </conditionalFormatting>
  <conditionalFormatting sqref="H29:J29">
    <cfRule type="expression" dxfId="3407" priority="159" stopIfTrue="1">
      <formula>IF($AK8&lt;3,1,IF($AK7&lt;5,1,0))</formula>
    </cfRule>
  </conditionalFormatting>
  <conditionalFormatting sqref="K29:M29">
    <cfRule type="expression" dxfId="3406" priority="160" stopIfTrue="1">
      <formula>IF($AK8&lt;4,1,IF($AK7&lt;5,1,0))</formula>
    </cfRule>
  </conditionalFormatting>
  <conditionalFormatting sqref="N29:P29">
    <cfRule type="expression" dxfId="3405" priority="161" stopIfTrue="1">
      <formula>IF($AK8&lt;5,1,IF($AK7&lt;5,1,0))</formula>
    </cfRule>
  </conditionalFormatting>
  <conditionalFormatting sqref="Q29:S29">
    <cfRule type="expression" dxfId="3404" priority="162" stopIfTrue="1">
      <formula>IF($AK8&lt;6,1,IF($AK7&lt;5,1,0))</formula>
    </cfRule>
  </conditionalFormatting>
  <conditionalFormatting sqref="T29:V29">
    <cfRule type="expression" dxfId="3403" priority="163" stopIfTrue="1">
      <formula>IF($AK8&lt;7,1,IF($AK7&lt;5,1,0))</formula>
    </cfRule>
  </conditionalFormatting>
  <conditionalFormatting sqref="W29:Y29">
    <cfRule type="expression" dxfId="3402" priority="164" stopIfTrue="1">
      <formula>IF($AK8&lt;8,1,IF($AK7&lt;5,1,0))</formula>
    </cfRule>
  </conditionalFormatting>
  <conditionalFormatting sqref="Z29:AB29">
    <cfRule type="expression" dxfId="3401" priority="165" stopIfTrue="1">
      <formula>IF($AK8&lt;9,1,IF($AK7&lt;5,1,0))</formula>
    </cfRule>
  </conditionalFormatting>
  <conditionalFormatting sqref="AC29:AE29">
    <cfRule type="expression" dxfId="3400" priority="166" stopIfTrue="1">
      <formula>IF($AK8&lt;10,1,IF($AK7&lt;5,1,0))</formula>
    </cfRule>
  </conditionalFormatting>
  <conditionalFormatting sqref="R8:AB9 AF8:AF9 L8:P9 AG8">
    <cfRule type="expression" dxfId="3399" priority="167" stopIfTrue="1">
      <formula>IF($AK9&gt;0,0,1)</formula>
    </cfRule>
  </conditionalFormatting>
  <conditionalFormatting sqref="R10:AB11 AF10:AF11 L10:P11 AG10">
    <cfRule type="expression" dxfId="3398" priority="168" stopIfTrue="1">
      <formula>IF($AK9&gt;1,0,1)</formula>
    </cfRule>
  </conditionalFormatting>
  <conditionalFormatting sqref="R12:AB13 AF12:AF13 L12:P13 AG12">
    <cfRule type="expression" dxfId="3397" priority="169" stopIfTrue="1">
      <formula>IF($AK9&gt;2,0,1)</formula>
    </cfRule>
  </conditionalFormatting>
  <conditionalFormatting sqref="R14:AB15 AF14:AF15 L14:P15 AG14">
    <cfRule type="expression" dxfId="3396" priority="170" stopIfTrue="1">
      <formula>IF($AK9&gt;3,0,1)</formula>
    </cfRule>
  </conditionalFormatting>
  <conditionalFormatting sqref="R16:AB17 AF16:AF17 L16:P17 AG16">
    <cfRule type="expression" dxfId="3395" priority="171" stopIfTrue="1">
      <formula>IF($AK9&gt;4,0,1)</formula>
    </cfRule>
  </conditionalFormatting>
  <conditionalFormatting sqref="E8">
    <cfRule type="expression" dxfId="3394" priority="172" stopIfTrue="1">
      <formula>IF(AK9&gt;0,0,1)</formula>
    </cfRule>
  </conditionalFormatting>
  <conditionalFormatting sqref="E9">
    <cfRule type="expression" dxfId="3393" priority="173" stopIfTrue="1">
      <formula>IF(AK9&gt;0,0,1)</formula>
    </cfRule>
  </conditionalFormatting>
  <conditionalFormatting sqref="E10">
    <cfRule type="expression" dxfId="3392" priority="174" stopIfTrue="1">
      <formula>IF(AK9&gt;1,0,1)</formula>
    </cfRule>
  </conditionalFormatting>
  <conditionalFormatting sqref="E11">
    <cfRule type="expression" dxfId="3391" priority="175" stopIfTrue="1">
      <formula>IF(AK9&gt;1,0,1)</formula>
    </cfRule>
  </conditionalFormatting>
  <conditionalFormatting sqref="E12">
    <cfRule type="expression" dxfId="3390" priority="176" stopIfTrue="1">
      <formula>IF(AK9&gt;2,0,1)</formula>
    </cfRule>
  </conditionalFormatting>
  <conditionalFormatting sqref="E13">
    <cfRule type="expression" dxfId="3389" priority="177" stopIfTrue="1">
      <formula>IF(AK9&gt;2,0,1)</formula>
    </cfRule>
  </conditionalFormatting>
  <conditionalFormatting sqref="E14">
    <cfRule type="expression" dxfId="3388" priority="178" stopIfTrue="1">
      <formula>IF(AK9&gt;3,0,1)</formula>
    </cfRule>
  </conditionalFormatting>
  <conditionalFormatting sqref="E15">
    <cfRule type="expression" dxfId="3387" priority="179" stopIfTrue="1">
      <formula>IF(AK9&gt;3,0,1)</formula>
    </cfRule>
  </conditionalFormatting>
  <conditionalFormatting sqref="E16">
    <cfRule type="expression" dxfId="3386" priority="180" stopIfTrue="1">
      <formula>IF(AK9&gt;4,0,1)</formula>
    </cfRule>
  </conditionalFormatting>
  <conditionalFormatting sqref="E17">
    <cfRule type="expression" dxfId="3385" priority="181" stopIfTrue="1">
      <formula>IF(AK9&gt;4,0,1)</formula>
    </cfRule>
  </conditionalFormatting>
  <conditionalFormatting sqref="B21:D21">
    <cfRule type="expression" dxfId="3384" priority="182" stopIfTrue="1">
      <formula>IF(AK8&gt;0,0,1)</formula>
    </cfRule>
  </conditionalFormatting>
  <conditionalFormatting sqref="E21:G21">
    <cfRule type="expression" dxfId="3383" priority="183" stopIfTrue="1">
      <formula>IF(AK8&gt;1,0,1)</formula>
    </cfRule>
  </conditionalFormatting>
  <conditionalFormatting sqref="H21:J21">
    <cfRule type="expression" dxfId="3382" priority="184" stopIfTrue="1">
      <formula>IF(AK8&gt;2,0,1)</formula>
    </cfRule>
  </conditionalFormatting>
  <conditionalFormatting sqref="K21:M21">
    <cfRule type="expression" dxfId="3381" priority="185" stopIfTrue="1">
      <formula>IF(AK8&gt;3,0,1)</formula>
    </cfRule>
  </conditionalFormatting>
  <conditionalFormatting sqref="N21:P21">
    <cfRule type="expression" dxfId="3380" priority="186" stopIfTrue="1">
      <formula>IF(AK8&gt;4,0,1)</formula>
    </cfRule>
  </conditionalFormatting>
  <conditionalFormatting sqref="Q21:S21">
    <cfRule type="expression" dxfId="3379" priority="187" stopIfTrue="1">
      <formula>IF(AK8&gt;5,0,1)</formula>
    </cfRule>
  </conditionalFormatting>
  <conditionalFormatting sqref="T21:V21">
    <cfRule type="expression" dxfId="3378" priority="188" stopIfTrue="1">
      <formula>IF(AK8&gt;6,0,1)</formula>
    </cfRule>
  </conditionalFormatting>
  <conditionalFormatting sqref="W21:Y21">
    <cfRule type="expression" dxfId="3377" priority="189" stopIfTrue="1">
      <formula>IF(AK8&gt;7,0,1)</formula>
    </cfRule>
  </conditionalFormatting>
  <conditionalFormatting sqref="Z21:AB21">
    <cfRule type="expression" dxfId="3376" priority="190" stopIfTrue="1">
      <formula>IF(AK8&gt;8,0,1)</formula>
    </cfRule>
  </conditionalFormatting>
  <conditionalFormatting sqref="AC21:AE21">
    <cfRule type="expression" dxfId="3375" priority="191" stopIfTrue="1">
      <formula>IF(AK8&gt;9,0,1)</formula>
    </cfRule>
  </conditionalFormatting>
  <conditionalFormatting sqref="X138:X139 W129:W130 X129:Y129 W132:Y137 Z133:AE136 AA137:AA139 I137:I139 C138:C139 B129:B130 C129:D129 B132:D137 E133:J136 F137:F139 AD137:AD139">
    <cfRule type="expression" dxfId="3374" priority="192" stopIfTrue="1">
      <formula>IF(#REF!&gt;0,0,1)</formula>
    </cfRule>
  </conditionalFormatting>
  <conditionalFormatting sqref="AA129:AB129 AB137 AA132:AB132 Z137 Z129:Z132 F129:G129 G137 F132:G132 E137 E129:E132 T140:AE147">
    <cfRule type="expression" dxfId="3373" priority="193" stopIfTrue="1">
      <formula>IF(#REF!&gt;1,0,1)</formula>
    </cfRule>
  </conditionalFormatting>
  <conditionalFormatting sqref="AC129:AC132 AD129:AE129 AE137 AD132:AE132 AC137 H137 H129:H132 I129:J129 J137 I132:J132">
    <cfRule type="expression" dxfId="3372" priority="194" stopIfTrue="1">
      <formula>IF(#REF!&gt;2,0,1)</formula>
    </cfRule>
  </conditionalFormatting>
  <conditionalFormatting sqref="W138 Y138 B138 D138">
    <cfRule type="expression" dxfId="3371" priority="195" stopIfTrue="1">
      <formula>IF(#REF!&lt;1,1,IF(#REF!&lt;2,1,0))</formula>
    </cfRule>
  </conditionalFormatting>
  <conditionalFormatting sqref="Z138 AB138 E138 G138">
    <cfRule type="expression" dxfId="3370" priority="196" stopIfTrue="1">
      <formula>IF(#REF!&lt;2,1,IF(#REF!&lt;2,1,0))</formula>
    </cfRule>
  </conditionalFormatting>
  <conditionalFormatting sqref="AC138 AE138 H138 J138">
    <cfRule type="expression" dxfId="3369" priority="197" stopIfTrue="1">
      <formula>IF(#REF!&lt;3,1,IF(#REF!&lt;2,1,0))</formula>
    </cfRule>
  </conditionalFormatting>
  <conditionalFormatting sqref="Y139 B139 D139 W139">
    <cfRule type="expression" dxfId="3368" priority="198" stopIfTrue="1">
      <formula>IF(#REF!&lt;1,1,IF(#REF!&lt;3,1,0))</formula>
    </cfRule>
  </conditionalFormatting>
  <conditionalFormatting sqref="AB139 E139 G139 Z139">
    <cfRule type="expression" dxfId="3367" priority="199" stopIfTrue="1">
      <formula>IF(#REF!&lt;2,1,IF(#REF!&lt;3,1,0))</formula>
    </cfRule>
  </conditionalFormatting>
  <conditionalFormatting sqref="AE139 H139 J139 AC139">
    <cfRule type="expression" dxfId="3366" priority="200" stopIfTrue="1">
      <formula>IF(#REF!&lt;3,1,IF(#REF!&lt;3,1,0))</formula>
    </cfRule>
  </conditionalFormatting>
  <conditionalFormatting sqref="AG24:AP28">
    <cfRule type="cellIs" dxfId="3365" priority="201" stopIfTrue="1" operator="notBetween">
      <formula>-9999</formula>
      <formula>9999</formula>
    </cfRule>
  </conditionalFormatting>
  <conditionalFormatting sqref="AC7">
    <cfRule type="expression" dxfId="3364" priority="202" stopIfTrue="1">
      <formula>IF($AK$11=0,1,0)</formula>
    </cfRule>
  </conditionalFormatting>
  <conditionalFormatting sqref="B18">
    <cfRule type="expression" dxfId="3363" priority="203" stopIfTrue="1">
      <formula>IF($AK$9&gt;0,0,1)</formula>
    </cfRule>
  </conditionalFormatting>
  <conditionalFormatting sqref="B22:D23">
    <cfRule type="cellIs" dxfId="3362" priority="204" stopIfTrue="1" operator="equal">
      <formula>99</formula>
    </cfRule>
  </conditionalFormatting>
  <conditionalFormatting sqref="C140 F140">
    <cfRule type="expression" dxfId="3361" priority="205" stopIfTrue="1">
      <formula>IF(#REF!&gt;0,0,1)</formula>
    </cfRule>
  </conditionalFormatting>
  <conditionalFormatting sqref="K129">
    <cfRule type="expression" dxfId="3360" priority="39" stopIfTrue="1">
      <formula>IF(#REF!&gt;2,0,1)</formula>
    </cfRule>
  </conditionalFormatting>
  <conditionalFormatting sqref="K129">
    <cfRule type="expression" dxfId="3359" priority="38" stopIfTrue="1">
      <formula>IF(#REF!&gt;2,0,1)</formula>
    </cfRule>
  </conditionalFormatting>
  <conditionalFormatting sqref="K129">
    <cfRule type="expression" dxfId="3358" priority="37" stopIfTrue="1">
      <formula>IF(#REF!&gt;2,0,1)</formula>
    </cfRule>
  </conditionalFormatting>
  <conditionalFormatting sqref="K129">
    <cfRule type="expression" dxfId="3357" priority="36" stopIfTrue="1">
      <formula>IF(ISNUMBER(K137),0,1)</formula>
    </cfRule>
  </conditionalFormatting>
  <conditionalFormatting sqref="B24">
    <cfRule type="expression" dxfId="3356" priority="1" stopIfTrue="1">
      <formula>IF(AK8&gt;0,0,1)</formula>
    </cfRule>
  </conditionalFormatting>
  <conditionalFormatting sqref="C24">
    <cfRule type="expression" dxfId="3355" priority="2" stopIfTrue="1">
      <formula>IF(AK8&gt;0,0,1)</formula>
    </cfRule>
  </conditionalFormatting>
  <conditionalFormatting sqref="D24">
    <cfRule type="expression" dxfId="3354" priority="3" stopIfTrue="1">
      <formula>IF(AK8&gt;0,0,1)</formula>
    </cfRule>
  </conditionalFormatting>
  <conditionalFormatting sqref="E24">
    <cfRule type="expression" dxfId="3353" priority="4" stopIfTrue="1">
      <formula>IF(AK8&gt;1,0,1)</formula>
    </cfRule>
  </conditionalFormatting>
  <conditionalFormatting sqref="F24">
    <cfRule type="expression" dxfId="3352" priority="5" stopIfTrue="1">
      <formula>IF(AK8&gt;1,0,1)</formula>
    </cfRule>
  </conditionalFormatting>
  <conditionalFormatting sqref="G24">
    <cfRule type="expression" dxfId="3351" priority="6" stopIfTrue="1">
      <formula>IF(AK8&gt;1,0,1)</formula>
    </cfRule>
  </conditionalFormatting>
  <conditionalFormatting sqref="H24">
    <cfRule type="expression" dxfId="3350" priority="7" stopIfTrue="1">
      <formula>IF(AK8&gt;2,0,1)</formula>
    </cfRule>
  </conditionalFormatting>
  <conditionalFormatting sqref="I24">
    <cfRule type="expression" dxfId="3349" priority="8" stopIfTrue="1">
      <formula>IF(AK8&gt;2,0,1)</formula>
    </cfRule>
  </conditionalFormatting>
  <conditionalFormatting sqref="J24">
    <cfRule type="expression" dxfId="3348" priority="9" stopIfTrue="1">
      <formula>IF(AK8&gt;2,0,1)</formula>
    </cfRule>
  </conditionalFormatting>
  <conditionalFormatting sqref="K24">
    <cfRule type="expression" dxfId="3347" priority="10" stopIfTrue="1">
      <formula>IF(AK8&gt;3,0,1)</formula>
    </cfRule>
  </conditionalFormatting>
  <conditionalFormatting sqref="L24">
    <cfRule type="expression" dxfId="3346" priority="11" stopIfTrue="1">
      <formula>IF(AK8&gt;3,0,1)</formula>
    </cfRule>
  </conditionalFormatting>
  <conditionalFormatting sqref="M24">
    <cfRule type="expression" dxfId="3345" priority="12" stopIfTrue="1">
      <formula>IF(AK8&gt;3,0,1)</formula>
    </cfRule>
  </conditionalFormatting>
  <conditionalFormatting sqref="N24">
    <cfRule type="expression" dxfId="3344" priority="13" stopIfTrue="1">
      <formula>IF(AK8&gt;4,0,1)</formula>
    </cfRule>
  </conditionalFormatting>
  <conditionalFormatting sqref="O24">
    <cfRule type="expression" dxfId="3343" priority="14" stopIfTrue="1">
      <formula>IF(AK8&gt;4,0,1)</formula>
    </cfRule>
  </conditionalFormatting>
  <conditionalFormatting sqref="P24">
    <cfRule type="expression" dxfId="3342" priority="15" stopIfTrue="1">
      <formula>IF(AK8&gt;4,0,1)</formula>
    </cfRule>
  </conditionalFormatting>
  <conditionalFormatting sqref="Q24">
    <cfRule type="expression" dxfId="3341" priority="16" stopIfTrue="1">
      <formula>IF(AK8&gt;5,0,1)</formula>
    </cfRule>
  </conditionalFormatting>
  <conditionalFormatting sqref="R24">
    <cfRule type="expression" dxfId="3340" priority="17" stopIfTrue="1">
      <formula>IF(AK8&gt;5,0,1)</formula>
    </cfRule>
  </conditionalFormatting>
  <conditionalFormatting sqref="S24">
    <cfRule type="expression" dxfId="3339" priority="18" stopIfTrue="1">
      <formula>IF(AK8&gt;5,0,1)</formula>
    </cfRule>
  </conditionalFormatting>
  <conditionalFormatting sqref="T24">
    <cfRule type="expression" dxfId="3338" priority="19" stopIfTrue="1">
      <formula>IF(AK8&gt;6,0,1)</formula>
    </cfRule>
  </conditionalFormatting>
  <conditionalFormatting sqref="U24">
    <cfRule type="expression" dxfId="3337" priority="20" stopIfTrue="1">
      <formula>IF(AK8&gt;6,0,1)</formula>
    </cfRule>
  </conditionalFormatting>
  <conditionalFormatting sqref="V24">
    <cfRule type="expression" dxfId="3336" priority="21" stopIfTrue="1">
      <formula>IF(AK8&gt;6,0,1)</formula>
    </cfRule>
  </conditionalFormatting>
  <conditionalFormatting sqref="B25:D25">
    <cfRule type="expression" dxfId="3335" priority="22" stopIfTrue="1">
      <formula>IF($AK8&gt;0,0,1)</formula>
    </cfRule>
  </conditionalFormatting>
  <conditionalFormatting sqref="B26:D26">
    <cfRule type="expression" dxfId="3334" priority="23" stopIfTrue="1">
      <formula>IF($AK8&lt;1,1,IF($AK7&lt;2,1,0))</formula>
    </cfRule>
  </conditionalFormatting>
  <conditionalFormatting sqref="H25:J25">
    <cfRule type="expression" dxfId="3333" priority="24" stopIfTrue="1">
      <formula>IF($AK8&gt;2,0,1)</formula>
    </cfRule>
  </conditionalFormatting>
  <conditionalFormatting sqref="E25:G25">
    <cfRule type="expression" dxfId="3332" priority="25" stopIfTrue="1">
      <formula>IF($AK8&gt;1,0,1)</formula>
    </cfRule>
  </conditionalFormatting>
  <conditionalFormatting sqref="E26:G26">
    <cfRule type="expression" dxfId="3331" priority="26" stopIfTrue="1">
      <formula>IF($AK8&lt;2,1,IF($AK7&lt;2,1,0))</formula>
    </cfRule>
  </conditionalFormatting>
  <conditionalFormatting sqref="K25:M25">
    <cfRule type="expression" dxfId="3330" priority="27" stopIfTrue="1">
      <formula>IF($AK8&gt;3,0,1)</formula>
    </cfRule>
  </conditionalFormatting>
  <conditionalFormatting sqref="N25:P25">
    <cfRule type="expression" dxfId="3329" priority="28" stopIfTrue="1">
      <formula>IF($AK8&gt;4,0,1)</formula>
    </cfRule>
  </conditionalFormatting>
  <conditionalFormatting sqref="Q25:S25">
    <cfRule type="expression" dxfId="3328" priority="29" stopIfTrue="1">
      <formula>IF($AK8&gt;5,0,1)</formula>
    </cfRule>
  </conditionalFormatting>
  <conditionalFormatting sqref="T25:V25">
    <cfRule type="expression" dxfId="3327" priority="30" stopIfTrue="1">
      <formula>IF($AK8&gt;6,0,1)</formula>
    </cfRule>
  </conditionalFormatting>
  <conditionalFormatting sqref="H26:J26">
    <cfRule type="expression" dxfId="3326" priority="31" stopIfTrue="1">
      <formula>IF($AK8&lt;3,1,IF($AK7&lt;2,1,0))</formula>
    </cfRule>
  </conditionalFormatting>
  <conditionalFormatting sqref="K26:M26">
    <cfRule type="expression" dxfId="3325" priority="32" stopIfTrue="1">
      <formula>IF($AK8&lt;4,1,IF($AK7&lt;2,1,0))</formula>
    </cfRule>
  </conditionalFormatting>
  <conditionalFormatting sqref="N26:P26">
    <cfRule type="expression" dxfId="3324" priority="33" stopIfTrue="1">
      <formula>IF($AK8&lt;5,1,IF($AK7&lt;2,1,0))</formula>
    </cfRule>
  </conditionalFormatting>
  <conditionalFormatting sqref="Q26:S26">
    <cfRule type="expression" dxfId="3323" priority="34" stopIfTrue="1">
      <formula>IF($AK8&lt;6,1,IF($AK7&lt;2,1,0))</formula>
    </cfRule>
  </conditionalFormatting>
  <conditionalFormatting sqref="T26:V26">
    <cfRule type="expression" dxfId="3322" priority="35" stopIfTrue="1">
      <formula>IF($AK8&lt;7,1,IF($AK7&lt;2,1,0))</formula>
    </cfRule>
  </conditionalFormatting>
  <pageMargins left="0.25" right="0.25" top="0.25" bottom="0.25" header="0" footer="0"/>
  <pageSetup scale="80" fitToHeight="3" orientation="landscape" r:id="rId1"/>
  <headerFooter alignWithMargins="0"/>
  <rowBreaks count="1" manualBreakCount="1">
    <brk id="95" max="42" man="1"/>
  </rowBreaks>
  <drawing r:id="rId2"/>
  <legacyDrawing r:id="rId3"/>
  <controls>
    <mc:AlternateContent xmlns:mc="http://schemas.openxmlformats.org/markup-compatibility/2006">
      <mc:Choice Requires="x14">
        <control shapeId="38913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38913" r:id="rId4" name="Pool1RecalcFinish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5">
    <tabColor indexed="11"/>
  </sheetPr>
  <dimension ref="A1:BY430"/>
  <sheetViews>
    <sheetView zoomScale="70" zoomScaleNormal="70" workbookViewId="0">
      <selection activeCell="T23" sqref="T23:V23"/>
    </sheetView>
  </sheetViews>
  <sheetFormatPr defaultRowHeight="12.75" x14ac:dyDescent="0.2"/>
  <cols>
    <col min="2" max="2" width="3.7109375" customWidth="1"/>
    <col min="3" max="3" width="2.28515625" customWidth="1"/>
    <col min="4" max="5" width="3.7109375" customWidth="1"/>
    <col min="6" max="6" width="2.28515625" customWidth="1"/>
    <col min="7" max="8" width="3.7109375" customWidth="1"/>
    <col min="9" max="9" width="2.28515625" customWidth="1"/>
    <col min="10" max="11" width="3.7109375" customWidth="1"/>
    <col min="12" max="12" width="2.28515625" customWidth="1"/>
    <col min="13" max="14" width="3.7109375" customWidth="1"/>
    <col min="15" max="15" width="2.28515625" customWidth="1"/>
    <col min="16" max="17" width="3.7109375" customWidth="1"/>
    <col min="18" max="18" width="2.28515625" customWidth="1"/>
    <col min="19" max="20" width="3.7109375" customWidth="1"/>
    <col min="21" max="21" width="2.28515625" customWidth="1"/>
    <col min="22" max="23" width="3.7109375" customWidth="1"/>
    <col min="24" max="24" width="2.28515625" customWidth="1"/>
    <col min="25" max="26" width="3.7109375" customWidth="1"/>
    <col min="27" max="27" width="2.28515625" customWidth="1"/>
    <col min="28" max="29" width="3.7109375" customWidth="1"/>
    <col min="30" max="30" width="2.28515625" customWidth="1"/>
    <col min="31" max="31" width="3.7109375" customWidth="1"/>
    <col min="32" max="32" width="9.7109375" customWidth="1"/>
    <col min="33" max="42" width="3.7109375" customWidth="1"/>
    <col min="43" max="43" width="11" customWidth="1"/>
    <col min="46" max="46" width="10.85546875" customWidth="1"/>
    <col min="47" max="47" width="26.5703125" customWidth="1"/>
    <col min="48" max="48" width="18.140625" customWidth="1"/>
    <col min="49" max="49" width="14.28515625" bestFit="1" customWidth="1"/>
    <col min="50" max="50" width="10.140625" customWidth="1"/>
    <col min="51" max="51" width="10.28515625" customWidth="1"/>
    <col min="52" max="52" width="25" customWidth="1"/>
    <col min="53" max="53" width="6" customWidth="1"/>
  </cols>
  <sheetData>
    <row r="1" spans="1:53" ht="13.5" thickBot="1" x14ac:dyDescent="0.25">
      <c r="A1" s="1036" t="s">
        <v>0</v>
      </c>
      <c r="B1" s="1036"/>
      <c r="C1" s="1036"/>
      <c r="D1" s="1036"/>
      <c r="E1" s="1036"/>
      <c r="F1" s="1036"/>
      <c r="G1" s="1036"/>
      <c r="H1" s="1036"/>
      <c r="I1" s="1036"/>
      <c r="J1" s="1036"/>
      <c r="K1" s="1036"/>
      <c r="L1" s="1036"/>
      <c r="M1" s="1036"/>
      <c r="N1" s="1036"/>
      <c r="O1" s="1036"/>
      <c r="P1" s="1036"/>
      <c r="Q1" s="1036"/>
      <c r="R1" s="1036"/>
      <c r="S1" s="1036"/>
      <c r="T1" s="1036"/>
      <c r="U1" s="1036"/>
      <c r="V1" s="1036"/>
      <c r="W1" s="1036"/>
      <c r="X1" s="1036"/>
      <c r="Y1" s="1036"/>
      <c r="Z1" s="1036"/>
      <c r="AA1" s="1036"/>
      <c r="AB1" s="1036"/>
      <c r="AC1" s="1036"/>
      <c r="AD1" s="1036"/>
      <c r="AE1" s="1036"/>
      <c r="AF1" s="1036"/>
      <c r="AG1" s="1036"/>
      <c r="AH1" s="1036"/>
      <c r="AI1" s="1036"/>
      <c r="AJ1" s="1037"/>
      <c r="AK1" s="1037"/>
      <c r="AL1" s="1037"/>
      <c r="AM1" s="1037"/>
      <c r="AN1" s="1037"/>
      <c r="AO1" s="1037"/>
      <c r="AP1" s="1037"/>
      <c r="AQ1" s="1038" t="s">
        <v>349</v>
      </c>
      <c r="AR1" s="1039"/>
      <c r="AT1" s="1040" t="s">
        <v>1</v>
      </c>
      <c r="AU1" s="1041"/>
      <c r="AV1" s="1042"/>
      <c r="AW1" s="1043"/>
      <c r="AX1" s="1044" t="s">
        <v>2</v>
      </c>
      <c r="AY1" s="1045"/>
      <c r="AZ1" s="1046" t="s">
        <v>3</v>
      </c>
      <c r="BA1" s="355">
        <v>32</v>
      </c>
    </row>
    <row r="2" spans="1:53" ht="18.75" customHeight="1" thickBot="1" x14ac:dyDescent="0.3">
      <c r="A2" s="1047" t="s">
        <v>4</v>
      </c>
      <c r="B2" s="1048"/>
      <c r="C2" s="1048"/>
      <c r="D2" s="1048"/>
      <c r="E2" s="1048"/>
      <c r="F2" s="1048"/>
      <c r="G2" s="1048"/>
      <c r="H2" s="1048"/>
      <c r="I2" s="1049"/>
      <c r="J2" s="1050"/>
      <c r="K2" s="1051"/>
      <c r="L2" s="1051"/>
      <c r="M2" s="1051"/>
      <c r="N2" s="1051"/>
      <c r="O2" s="1051"/>
      <c r="P2" s="1051"/>
      <c r="Q2" s="1051"/>
      <c r="R2" s="1051"/>
      <c r="S2" s="1051"/>
      <c r="T2" s="1051"/>
      <c r="U2" s="1051"/>
      <c r="V2" s="1051"/>
      <c r="W2" s="1051"/>
      <c r="X2" s="1052"/>
      <c r="Y2" s="1053" t="s">
        <v>5</v>
      </c>
      <c r="Z2" s="1054"/>
      <c r="AA2" s="1054"/>
      <c r="AB2" s="1054"/>
      <c r="AC2" s="1055"/>
      <c r="AD2" s="1056"/>
      <c r="AE2" s="1056"/>
      <c r="AF2" s="1056"/>
      <c r="AG2" s="1056"/>
      <c r="AH2" s="1056"/>
      <c r="AI2" s="1057"/>
      <c r="AJ2" s="1058"/>
      <c r="AK2" s="1058"/>
      <c r="AL2" s="1058"/>
      <c r="AM2" s="1058"/>
      <c r="AN2" s="1058"/>
      <c r="AO2" s="1058"/>
      <c r="AP2" s="1058"/>
      <c r="AQ2" s="1058"/>
      <c r="AR2" s="1039"/>
      <c r="AT2" s="1059" t="s">
        <v>6</v>
      </c>
      <c r="AU2" s="1060" t="s">
        <v>7</v>
      </c>
      <c r="AV2" s="1061" t="s">
        <v>8</v>
      </c>
      <c r="AW2" s="1062" t="s">
        <v>9</v>
      </c>
      <c r="AX2" s="1063" t="s">
        <v>10</v>
      </c>
      <c r="AY2" s="1062" t="s">
        <v>11</v>
      </c>
      <c r="AZ2" s="1046" t="s">
        <v>12</v>
      </c>
      <c r="BA2" s="355">
        <v>16</v>
      </c>
    </row>
    <row r="3" spans="1:53" ht="18.75" customHeight="1" thickBot="1" x14ac:dyDescent="0.3">
      <c r="A3" s="1064" t="s">
        <v>13</v>
      </c>
      <c r="B3" s="1065"/>
      <c r="C3" s="1066"/>
      <c r="D3" s="1066"/>
      <c r="E3" s="1066"/>
      <c r="F3" s="1066"/>
      <c r="G3" s="1066"/>
      <c r="H3" s="1066"/>
      <c r="I3" s="1066"/>
      <c r="J3" s="1066"/>
      <c r="K3" s="1066"/>
      <c r="L3" s="1066"/>
      <c r="M3" s="1066"/>
      <c r="N3" s="1066"/>
      <c r="O3" s="1067"/>
      <c r="P3" s="1068" t="s">
        <v>14</v>
      </c>
      <c r="Q3" s="1069"/>
      <c r="R3" s="1069"/>
      <c r="S3" s="1070"/>
      <c r="T3" s="1071"/>
      <c r="U3" s="1071"/>
      <c r="V3" s="1071"/>
      <c r="W3" s="1071"/>
      <c r="X3" s="1072"/>
      <c r="Y3" s="1073" t="s">
        <v>15</v>
      </c>
      <c r="Z3" s="1074"/>
      <c r="AA3" s="1074"/>
      <c r="AB3" s="1074"/>
      <c r="AC3" s="1074"/>
      <c r="AD3" s="1075"/>
      <c r="AE3" s="1076" t="s">
        <v>16</v>
      </c>
      <c r="AF3" s="1077"/>
      <c r="AG3" s="1077" t="s">
        <v>17</v>
      </c>
      <c r="AH3" s="1077"/>
      <c r="AI3" s="1078"/>
      <c r="AJ3" s="1058"/>
      <c r="AK3" s="1058"/>
      <c r="AL3" s="1058"/>
      <c r="AM3" s="1058"/>
      <c r="AN3" s="1058"/>
      <c r="AO3" s="1058"/>
      <c r="AP3" s="1058"/>
      <c r="AQ3" s="1058"/>
      <c r="AR3" s="1039"/>
      <c r="AT3" s="1079">
        <v>1</v>
      </c>
      <c r="AU3" s="167" t="s">
        <v>628</v>
      </c>
      <c r="AV3" s="167" t="s">
        <v>627</v>
      </c>
      <c r="AW3" s="1080">
        <f>VLOOKUP(AV3,'5 Tm Rd 1'!AV$3:AY$14,4,FALSE)</f>
        <v>1367.5366284058239</v>
      </c>
      <c r="AX3" s="1081">
        <f>VLOOKUP(AU3,AT$79:AU$83,2,FALSE)</f>
        <v>1434.2378988305024</v>
      </c>
      <c r="AY3" s="1082">
        <f>IF(ISNA(VLOOKUP(AU3,AT$96:AU$148,2,FALSE)),AX3,VLOOKUP(AU3,AT$96:AU$148,2,FALSE))</f>
        <v>1434.2378988305024</v>
      </c>
    </row>
    <row r="4" spans="1:53" ht="24" customHeight="1" thickBot="1" x14ac:dyDescent="0.25">
      <c r="A4" s="1083" t="s">
        <v>18</v>
      </c>
      <c r="B4" s="1084"/>
      <c r="C4" s="1084"/>
      <c r="D4" s="1085"/>
      <c r="E4" s="1086"/>
      <c r="F4" s="1087"/>
      <c r="G4" s="1087"/>
      <c r="H4" s="1087"/>
      <c r="I4" s="1087"/>
      <c r="J4" s="1087"/>
      <c r="K4" s="1087"/>
      <c r="L4" s="1087"/>
      <c r="M4" s="1088"/>
      <c r="N4" s="1083" t="s">
        <v>19</v>
      </c>
      <c r="O4" s="1084"/>
      <c r="P4" s="1084"/>
      <c r="Q4" s="1085"/>
      <c r="R4" s="1089"/>
      <c r="S4" s="1056"/>
      <c r="T4" s="1056"/>
      <c r="U4" s="1056"/>
      <c r="V4" s="1056"/>
      <c r="W4" s="1056"/>
      <c r="X4" s="1056"/>
      <c r="Y4" s="1056"/>
      <c r="Z4" s="1056"/>
      <c r="AA4" s="1057"/>
      <c r="AB4" s="1083" t="s">
        <v>20</v>
      </c>
      <c r="AC4" s="1084"/>
      <c r="AD4" s="1084"/>
      <c r="AE4" s="1085"/>
      <c r="AF4" s="1089"/>
      <c r="AG4" s="1056"/>
      <c r="AH4" s="1056"/>
      <c r="AI4" s="1057"/>
      <c r="AJ4" s="1058"/>
      <c r="AK4" s="1058"/>
      <c r="AL4" s="1058"/>
      <c r="AM4" s="1058"/>
      <c r="AN4" s="1058"/>
      <c r="AO4" s="1058"/>
      <c r="AP4" s="1058"/>
      <c r="AQ4" s="1058"/>
      <c r="AR4" s="1039"/>
      <c r="AT4" s="1090">
        <v>2</v>
      </c>
      <c r="AU4" s="167" t="s">
        <v>621</v>
      </c>
      <c r="AV4" s="167" t="s">
        <v>620</v>
      </c>
      <c r="AW4" s="1080">
        <f>VLOOKUP(AV4,'5 Tm Rd 1'!AV$3:AY$14,4,FALSE)</f>
        <v>1291.463631335562</v>
      </c>
      <c r="AX4" s="1091">
        <f>VLOOKUP(AU4,AT$79:AU$83,2,FALSE)</f>
        <v>1292.4729575643664</v>
      </c>
      <c r="AY4" s="1092">
        <f>IF(ISNA(VLOOKUP(AU4,AT$96:AU$148,2,FALSE)),AX4,VLOOKUP(AU4,AT$96:AU$148,2,FALSE))</f>
        <v>1292.4729575643664</v>
      </c>
    </row>
    <row r="5" spans="1:53" ht="15.75" thickBot="1" x14ac:dyDescent="0.25">
      <c r="A5" s="1037" t="s">
        <v>21</v>
      </c>
      <c r="B5" s="1093" t="s">
        <v>21</v>
      </c>
      <c r="C5" s="1094"/>
      <c r="D5" s="1094"/>
      <c r="E5" s="1094"/>
      <c r="F5" s="1094"/>
      <c r="G5" s="1094"/>
      <c r="H5" s="1094"/>
      <c r="I5" s="1094"/>
      <c r="J5" s="1094"/>
      <c r="K5" s="1095" t="s">
        <v>21</v>
      </c>
      <c r="L5" s="1095"/>
      <c r="M5" s="1095"/>
      <c r="N5" s="1095"/>
      <c r="O5" s="1095"/>
      <c r="P5" s="1095"/>
      <c r="Q5" s="1095"/>
      <c r="R5" s="1095"/>
      <c r="S5" s="1095"/>
      <c r="T5" s="1095"/>
      <c r="U5" s="1095"/>
      <c r="V5" s="1095"/>
      <c r="W5" s="1095"/>
      <c r="X5" s="1095"/>
      <c r="Y5" s="1095"/>
      <c r="Z5" s="1095"/>
      <c r="AA5" s="1095"/>
      <c r="AB5" s="1095"/>
      <c r="AC5" s="1095"/>
      <c r="AD5" s="1095"/>
      <c r="AE5" s="1095"/>
      <c r="AF5" s="1037"/>
      <c r="AG5" s="1037"/>
      <c r="AH5" s="1037"/>
      <c r="AI5" s="1037"/>
      <c r="AJ5" s="1037"/>
      <c r="AK5" s="1037"/>
      <c r="AL5" s="1037"/>
      <c r="AM5" s="1037"/>
      <c r="AN5" s="1037"/>
      <c r="AO5" s="1037"/>
      <c r="AP5" s="1037"/>
      <c r="AQ5" s="1037"/>
      <c r="AR5" s="1039"/>
      <c r="AT5" s="1090">
        <v>3</v>
      </c>
      <c r="AU5" s="167" t="s">
        <v>619</v>
      </c>
      <c r="AV5" s="167" t="s">
        <v>618</v>
      </c>
      <c r="AW5" s="1080">
        <f>VLOOKUP(AV5,'5 Tm Rd 1'!AV$3:AY$14,4,FALSE)</f>
        <v>1300.5249802000656</v>
      </c>
      <c r="AX5" s="1091">
        <f>VLOOKUP(AU5,AT$79:AU$83,2,FALSE)</f>
        <v>1266.5976262521745</v>
      </c>
      <c r="AY5" s="1092">
        <f>IF(ISNA(VLOOKUP(AU5,AT$96:AU$148,2,FALSE)),AX5,VLOOKUP(AU5,AT$96:AU$148,2,FALSE))</f>
        <v>1266.5976262521745</v>
      </c>
    </row>
    <row r="6" spans="1:53" ht="24" customHeight="1" thickBot="1" x14ac:dyDescent="0.25">
      <c r="A6" s="1096" t="s">
        <v>22</v>
      </c>
      <c r="B6" s="1097" t="s">
        <v>23</v>
      </c>
      <c r="C6" s="1098" t="s">
        <v>24</v>
      </c>
      <c r="D6" s="1099"/>
      <c r="E6" s="1099"/>
      <c r="F6" s="1099"/>
      <c r="G6" s="1099"/>
      <c r="H6" s="1100"/>
      <c r="I6" s="1101">
        <v>1</v>
      </c>
      <c r="J6" s="1102"/>
      <c r="K6" s="1103" t="str">
        <f>"Pool "&amp;B6&amp;" - Round 1 - Court "&amp;I6</f>
        <v>Pool A - Round 1 - Court 1</v>
      </c>
      <c r="L6" s="1104"/>
      <c r="M6" s="1104"/>
      <c r="N6" s="1104"/>
      <c r="O6" s="1104"/>
      <c r="P6" s="1104"/>
      <c r="Q6" s="1104"/>
      <c r="R6" s="1104"/>
      <c r="S6" s="1104"/>
      <c r="T6" s="1104"/>
      <c r="U6" s="1104"/>
      <c r="V6" s="1104"/>
      <c r="W6" s="1104"/>
      <c r="X6" s="1104"/>
      <c r="Y6" s="1104"/>
      <c r="Z6" s="1104"/>
      <c r="AA6" s="1104"/>
      <c r="AB6" s="1104"/>
      <c r="AC6" s="1104"/>
      <c r="AD6" s="1104"/>
      <c r="AE6" s="1104"/>
      <c r="AF6" s="1104"/>
      <c r="AG6" s="1104"/>
      <c r="AH6" s="1104"/>
      <c r="AI6" s="1105"/>
      <c r="AJ6" s="1058"/>
      <c r="AK6" s="1058"/>
      <c r="AL6" s="1058"/>
      <c r="AM6" s="1058"/>
      <c r="AN6" s="1058"/>
      <c r="AO6" s="1058"/>
      <c r="AP6" s="1058"/>
      <c r="AQ6" s="1058"/>
      <c r="AT6" s="1090">
        <v>4</v>
      </c>
      <c r="AU6" s="167" t="s">
        <v>564</v>
      </c>
      <c r="AV6" s="167" t="s">
        <v>563</v>
      </c>
      <c r="AW6" s="1080">
        <f>VLOOKUP(AV6,'5 Tm Rd 1'!AV$3:AY$14,4,FALSE)</f>
        <v>1218.5956854627798</v>
      </c>
      <c r="AX6" s="1091">
        <f>VLOOKUP(AU6,AT$79:AU$83,2,FALSE)</f>
        <v>1184.8124427571879</v>
      </c>
      <c r="AY6" s="1092">
        <f>IF(ISNA(VLOOKUP(AU6,AT$96:AU$148,2,FALSE)),AX6,VLOOKUP(AU6,AT$96:AU$148,2,FALSE))</f>
        <v>1184.8124427571879</v>
      </c>
    </row>
    <row r="7" spans="1:53" ht="27" customHeight="1" thickBot="1" x14ac:dyDescent="0.25">
      <c r="A7" s="1106" t="s">
        <v>25</v>
      </c>
      <c r="B7" s="1107" t="s">
        <v>7</v>
      </c>
      <c r="C7" s="1108"/>
      <c r="D7" s="1108"/>
      <c r="E7" s="1108"/>
      <c r="F7" s="1108"/>
      <c r="G7" s="1108"/>
      <c r="H7" s="1108"/>
      <c r="I7" s="1108"/>
      <c r="J7" s="1108"/>
      <c r="K7" s="1108"/>
      <c r="L7" s="1107" t="str">
        <f>IF($AK10=0,"Games Won","Matches Won")</f>
        <v>Games Won</v>
      </c>
      <c r="M7" s="1108"/>
      <c r="N7" s="1108"/>
      <c r="O7" s="1108"/>
      <c r="P7" s="1108"/>
      <c r="Q7" s="1109"/>
      <c r="R7" s="1107" t="str">
        <f>IF($AK10=0,"Games Lost","Matches Lost")</f>
        <v>Games Lost</v>
      </c>
      <c r="S7" s="1110"/>
      <c r="T7" s="1110"/>
      <c r="U7" s="1110"/>
      <c r="V7" s="1111"/>
      <c r="W7" s="1112" t="s">
        <v>26</v>
      </c>
      <c r="X7" s="1113"/>
      <c r="Y7" s="1114"/>
      <c r="Z7" s="1112" t="s">
        <v>27</v>
      </c>
      <c r="AA7" s="1113"/>
      <c r="AB7" s="1114"/>
      <c r="AC7" s="1115" t="s">
        <v>28</v>
      </c>
      <c r="AD7" s="1116"/>
      <c r="AE7" s="1117"/>
      <c r="AF7" s="1118" t="s">
        <v>29</v>
      </c>
      <c r="AG7" s="1119" t="s">
        <v>6</v>
      </c>
      <c r="AH7" s="1120" t="s">
        <v>30</v>
      </c>
      <c r="AI7" s="1121"/>
      <c r="AJ7" s="1122"/>
      <c r="AK7" s="1123">
        <v>2</v>
      </c>
      <c r="AL7" s="1124" t="s">
        <v>31</v>
      </c>
      <c r="AM7" s="1124"/>
      <c r="AN7" s="1124"/>
      <c r="AO7" s="1124"/>
      <c r="AP7" s="1124"/>
      <c r="AQ7" s="1124"/>
      <c r="AR7" s="1125"/>
      <c r="AT7" s="1411"/>
      <c r="AU7" s="1412"/>
      <c r="AV7" s="1413"/>
      <c r="AW7" s="1414"/>
      <c r="AX7" s="1415"/>
      <c r="AY7" s="1416"/>
    </row>
    <row r="8" spans="1:53" ht="18.75" customHeight="1" x14ac:dyDescent="0.2">
      <c r="A8" s="1129" t="str">
        <f>IF($AK9&gt;0,"1","")</f>
        <v>1</v>
      </c>
      <c r="B8" s="1130" t="s">
        <v>7</v>
      </c>
      <c r="C8" s="1131"/>
      <c r="D8" s="1132"/>
      <c r="E8" s="1133" t="str">
        <f>AU3</f>
        <v>SC Midlands KP Boys</v>
      </c>
      <c r="F8" s="1134"/>
      <c r="G8" s="1134"/>
      <c r="H8" s="1134"/>
      <c r="I8" s="1134"/>
      <c r="J8" s="1134"/>
      <c r="K8" s="1135"/>
      <c r="L8" s="1136">
        <f>IF($AK10=0,AF64,AF46)</f>
        <v>6</v>
      </c>
      <c r="M8" s="1137"/>
      <c r="N8" s="1137"/>
      <c r="O8" s="1137"/>
      <c r="P8" s="1137"/>
      <c r="Q8" s="1109"/>
      <c r="R8" s="1136">
        <f>IF($AK10=0,AG64,AG46)</f>
        <v>0</v>
      </c>
      <c r="S8" s="1137"/>
      <c r="T8" s="1137"/>
      <c r="U8" s="1137"/>
      <c r="V8" s="1137"/>
      <c r="W8" s="1136">
        <f>AQ24</f>
        <v>50</v>
      </c>
      <c r="X8" s="1137"/>
      <c r="Y8" s="1137"/>
      <c r="Z8" s="1138">
        <f>IF(AF58&gt;0,(AQ24/AF58),0)</f>
        <v>0.41666666666666669</v>
      </c>
      <c r="AA8" s="1139"/>
      <c r="AB8" s="1139"/>
      <c r="AC8" s="1140">
        <f>IF(AF72=0,0,(AF64/AF72))</f>
        <v>1</v>
      </c>
      <c r="AD8" s="1141"/>
      <c r="AE8" s="1142"/>
      <c r="AF8" s="1143"/>
      <c r="AG8" s="1143"/>
      <c r="AH8" s="1144"/>
      <c r="AI8" s="1145"/>
      <c r="AJ8" s="1122"/>
      <c r="AK8" s="1123">
        <v>6</v>
      </c>
      <c r="AL8" s="1124" t="s">
        <v>32</v>
      </c>
      <c r="AM8" s="1124"/>
      <c r="AN8" s="1124"/>
      <c r="AO8" s="1124"/>
      <c r="AP8" s="1124"/>
      <c r="AQ8" s="1124"/>
      <c r="AR8" s="1125"/>
      <c r="AT8" s="1146" t="s">
        <v>37</v>
      </c>
      <c r="AU8" s="1147"/>
      <c r="AV8" s="1147"/>
      <c r="AW8" s="1147"/>
      <c r="AX8" s="1147"/>
      <c r="AY8" s="1148"/>
    </row>
    <row r="9" spans="1:53" ht="18.75" customHeight="1" thickBot="1" x14ac:dyDescent="0.25">
      <c r="A9" s="1149"/>
      <c r="B9" s="1150" t="s">
        <v>8</v>
      </c>
      <c r="C9" s="1151"/>
      <c r="D9" s="1152"/>
      <c r="E9" s="1153" t="str">
        <f>AV3</f>
        <v>fj2scmid3pm</v>
      </c>
      <c r="F9" s="1154"/>
      <c r="G9" s="1154"/>
      <c r="H9" s="1154"/>
      <c r="I9" s="1154"/>
      <c r="J9" s="1154"/>
      <c r="K9" s="1154"/>
      <c r="L9" s="1155"/>
      <c r="M9" s="1156"/>
      <c r="N9" s="1156"/>
      <c r="O9" s="1156"/>
      <c r="P9" s="1156"/>
      <c r="Q9" s="1109"/>
      <c r="R9" s="1155"/>
      <c r="S9" s="1156"/>
      <c r="T9" s="1156"/>
      <c r="U9" s="1156"/>
      <c r="V9" s="1156"/>
      <c r="W9" s="1155"/>
      <c r="X9" s="1156"/>
      <c r="Y9" s="1156"/>
      <c r="Z9" s="1157"/>
      <c r="AA9" s="1158"/>
      <c r="AB9" s="1158"/>
      <c r="AC9" s="1159"/>
      <c r="AD9" s="1160"/>
      <c r="AE9" s="1161"/>
      <c r="AF9" s="1162"/>
      <c r="AG9" s="1162"/>
      <c r="AH9" s="1163"/>
      <c r="AI9" s="1164"/>
      <c r="AJ9" s="1122"/>
      <c r="AK9" s="1123">
        <v>4</v>
      </c>
      <c r="AL9" s="1124" t="s">
        <v>33</v>
      </c>
      <c r="AM9" s="1122"/>
      <c r="AN9" s="1122"/>
      <c r="AO9" s="1122"/>
      <c r="AP9" s="1122"/>
      <c r="AQ9" s="1122"/>
      <c r="AR9" s="1039"/>
      <c r="AT9" s="1165"/>
      <c r="AU9" s="1166"/>
      <c r="AV9" s="1166"/>
      <c r="AW9" s="1166"/>
      <c r="AX9" s="1166"/>
      <c r="AY9" s="1167"/>
    </row>
    <row r="10" spans="1:53" ht="18.75" customHeight="1" thickBot="1" x14ac:dyDescent="0.25">
      <c r="A10" s="1129" t="str">
        <f>IF($AK9&gt;1,"2","")</f>
        <v>2</v>
      </c>
      <c r="B10" s="1130" t="s">
        <v>7</v>
      </c>
      <c r="C10" s="1131"/>
      <c r="D10" s="1132"/>
      <c r="E10" s="1133" t="str">
        <f>AU4</f>
        <v>Intense kids power col</v>
      </c>
      <c r="F10" s="1134"/>
      <c r="G10" s="1134"/>
      <c r="H10" s="1134"/>
      <c r="I10" s="1134"/>
      <c r="J10" s="1134"/>
      <c r="K10" s="1135"/>
      <c r="L10" s="1136">
        <f>IF($AK10=0,AF65,AF47)</f>
        <v>3</v>
      </c>
      <c r="M10" s="1137"/>
      <c r="N10" s="1137"/>
      <c r="O10" s="1137"/>
      <c r="P10" s="1137"/>
      <c r="Q10" s="1109"/>
      <c r="R10" s="1136">
        <f>IF($AK10=0,AG65,AG47)</f>
        <v>3</v>
      </c>
      <c r="S10" s="1137"/>
      <c r="T10" s="1137"/>
      <c r="U10" s="1137"/>
      <c r="V10" s="1137"/>
      <c r="W10" s="1136">
        <f>AQ25</f>
        <v>-17</v>
      </c>
      <c r="X10" s="1137"/>
      <c r="Y10" s="1137"/>
      <c r="Z10" s="1138">
        <f>IF(AF59&gt;0,(AQ25/AF59),0)</f>
        <v>-0.14655172413793102</v>
      </c>
      <c r="AA10" s="1139"/>
      <c r="AB10" s="1139"/>
      <c r="AC10" s="1140">
        <f>IF(AF73=0,0,(AF65/AF73))</f>
        <v>0.5</v>
      </c>
      <c r="AD10" s="1141"/>
      <c r="AE10" s="1142"/>
      <c r="AF10" s="1143"/>
      <c r="AG10" s="1143"/>
      <c r="AH10" s="1144"/>
      <c r="AI10" s="1145"/>
      <c r="AJ10" s="1122"/>
      <c r="AK10" s="1123">
        <v>0</v>
      </c>
      <c r="AL10" s="1124" t="s">
        <v>34</v>
      </c>
      <c r="AM10" s="1124"/>
      <c r="AN10" s="1124"/>
      <c r="AO10" s="1124"/>
      <c r="AP10" s="1124"/>
      <c r="AQ10" s="1124"/>
      <c r="AR10" s="1125"/>
    </row>
    <row r="11" spans="1:53" ht="18.75" customHeight="1" thickBot="1" x14ac:dyDescent="0.25">
      <c r="A11" s="1149"/>
      <c r="B11" s="1168" t="s">
        <v>8</v>
      </c>
      <c r="C11" s="1169"/>
      <c r="D11" s="1169"/>
      <c r="E11" s="1153" t="str">
        <f>AV4</f>
        <v>fj2inten3pm</v>
      </c>
      <c r="F11" s="1154"/>
      <c r="G11" s="1154"/>
      <c r="H11" s="1154"/>
      <c r="I11" s="1154"/>
      <c r="J11" s="1154"/>
      <c r="K11" s="1154"/>
      <c r="L11" s="1155"/>
      <c r="M11" s="1156"/>
      <c r="N11" s="1156"/>
      <c r="O11" s="1156"/>
      <c r="P11" s="1156"/>
      <c r="Q11" s="1109"/>
      <c r="R11" s="1155"/>
      <c r="S11" s="1156"/>
      <c r="T11" s="1156"/>
      <c r="U11" s="1156"/>
      <c r="V11" s="1156"/>
      <c r="W11" s="1155"/>
      <c r="X11" s="1156"/>
      <c r="Y11" s="1156"/>
      <c r="Z11" s="1157"/>
      <c r="AA11" s="1158"/>
      <c r="AB11" s="1158"/>
      <c r="AC11" s="1159"/>
      <c r="AD11" s="1160"/>
      <c r="AE11" s="1161"/>
      <c r="AF11" s="1162"/>
      <c r="AG11" s="1162"/>
      <c r="AH11" s="1163"/>
      <c r="AI11" s="1164"/>
      <c r="AJ11" s="1122"/>
      <c r="AK11" s="1123">
        <v>1</v>
      </c>
      <c r="AL11" s="1124" t="s">
        <v>35</v>
      </c>
      <c r="AM11" s="1122"/>
      <c r="AN11" s="1122"/>
      <c r="AO11" s="1122"/>
      <c r="AP11" s="1122"/>
      <c r="AQ11" s="1122"/>
      <c r="AR11" s="1039"/>
      <c r="AS11" s="1170"/>
      <c r="AT11" s="1208"/>
      <c r="AU11" s="167"/>
      <c r="AV11" s="167"/>
    </row>
    <row r="12" spans="1:53" ht="18.75" customHeight="1" thickBot="1" x14ac:dyDescent="0.25">
      <c r="A12" s="1129" t="str">
        <f>IF($AK9&gt;2,"3","")</f>
        <v>3</v>
      </c>
      <c r="B12" s="1171" t="s">
        <v>7</v>
      </c>
      <c r="C12" s="1172"/>
      <c r="D12" s="1172"/>
      <c r="E12" s="1133" t="str">
        <f>AU5</f>
        <v>Intense Kids power Gvl</v>
      </c>
      <c r="F12" s="1134"/>
      <c r="G12" s="1134"/>
      <c r="H12" s="1134"/>
      <c r="I12" s="1134"/>
      <c r="J12" s="1134"/>
      <c r="K12" s="1135"/>
      <c r="L12" s="1136">
        <f>IF($AK10=0,AF66,AF48)</f>
        <v>2</v>
      </c>
      <c r="M12" s="1137"/>
      <c r="N12" s="1137"/>
      <c r="O12" s="1137"/>
      <c r="P12" s="1137"/>
      <c r="Q12" s="1109"/>
      <c r="R12" s="1136">
        <f>IF($AK10=0,AG66,AG48)</f>
        <v>4</v>
      </c>
      <c r="S12" s="1137"/>
      <c r="T12" s="1137"/>
      <c r="U12" s="1137"/>
      <c r="V12" s="1137"/>
      <c r="W12" s="1136">
        <f>AQ26</f>
        <v>-5</v>
      </c>
      <c r="X12" s="1137"/>
      <c r="Y12" s="1137"/>
      <c r="Z12" s="1138">
        <f>IF(AF60&gt;0,(AQ26/AF60),0)</f>
        <v>-4.5454545454545456E-2</v>
      </c>
      <c r="AA12" s="1139"/>
      <c r="AB12" s="1139"/>
      <c r="AC12" s="1140">
        <f>IF(AF74=0,0,(AF66/AF74))</f>
        <v>0.33333333333333331</v>
      </c>
      <c r="AD12" s="1141"/>
      <c r="AE12" s="1142"/>
      <c r="AF12" s="1143"/>
      <c r="AG12" s="1143"/>
      <c r="AH12" s="1144"/>
      <c r="AI12" s="1145"/>
      <c r="AJ12" s="1173"/>
      <c r="AK12" s="1123">
        <v>3</v>
      </c>
      <c r="AL12" s="1174" t="s">
        <v>36</v>
      </c>
      <c r="AM12" s="1124"/>
      <c r="AN12" s="1124"/>
      <c r="AO12" s="1124"/>
      <c r="AP12" s="1124"/>
      <c r="AQ12" s="1124"/>
      <c r="AR12" s="1125"/>
      <c r="AS12" s="1170"/>
      <c r="AT12" s="1208"/>
      <c r="AU12" s="167"/>
      <c r="AV12" s="167"/>
    </row>
    <row r="13" spans="1:53" ht="18.75" customHeight="1" thickBot="1" x14ac:dyDescent="0.25">
      <c r="A13" s="1149"/>
      <c r="B13" s="1168" t="s">
        <v>8</v>
      </c>
      <c r="C13" s="1169"/>
      <c r="D13" s="1169"/>
      <c r="E13" s="1153" t="str">
        <f>AV5</f>
        <v>fj2inten2pm</v>
      </c>
      <c r="F13" s="1154"/>
      <c r="G13" s="1154"/>
      <c r="H13" s="1154"/>
      <c r="I13" s="1154"/>
      <c r="J13" s="1154"/>
      <c r="K13" s="1154"/>
      <c r="L13" s="1155"/>
      <c r="M13" s="1156"/>
      <c r="N13" s="1156"/>
      <c r="O13" s="1156"/>
      <c r="P13" s="1156"/>
      <c r="Q13" s="1109"/>
      <c r="R13" s="1155"/>
      <c r="S13" s="1156"/>
      <c r="T13" s="1156"/>
      <c r="U13" s="1156"/>
      <c r="V13" s="1156"/>
      <c r="W13" s="1155"/>
      <c r="X13" s="1156"/>
      <c r="Y13" s="1156"/>
      <c r="Z13" s="1157"/>
      <c r="AA13" s="1158"/>
      <c r="AB13" s="1158"/>
      <c r="AC13" s="1159"/>
      <c r="AD13" s="1160"/>
      <c r="AE13" s="1161"/>
      <c r="AF13" s="1162"/>
      <c r="AG13" s="1162"/>
      <c r="AH13" s="1163"/>
      <c r="AI13" s="1164"/>
      <c r="AJ13" s="1173"/>
      <c r="AK13" s="1175"/>
      <c r="AL13" s="1176"/>
      <c r="AM13" s="1176"/>
      <c r="AN13" s="1176"/>
      <c r="AO13" s="1176"/>
      <c r="AP13" s="1176"/>
      <c r="AQ13" s="1122"/>
      <c r="AR13" s="1039"/>
      <c r="AS13" s="1170"/>
      <c r="AT13" s="1208"/>
      <c r="AU13" s="167"/>
      <c r="AV13" s="167"/>
    </row>
    <row r="14" spans="1:53" ht="18.75" customHeight="1" thickBot="1" x14ac:dyDescent="0.25">
      <c r="A14" s="1129" t="str">
        <f>IF($AK9&gt;3,"4","")</f>
        <v>4</v>
      </c>
      <c r="B14" s="1171" t="s">
        <v>7</v>
      </c>
      <c r="C14" s="1172"/>
      <c r="D14" s="1172"/>
      <c r="E14" s="1133" t="str">
        <f>AU6</f>
        <v>SC Midlands KP Black</v>
      </c>
      <c r="F14" s="1134"/>
      <c r="G14" s="1134"/>
      <c r="H14" s="1134"/>
      <c r="I14" s="1134"/>
      <c r="J14" s="1134"/>
      <c r="K14" s="1135"/>
      <c r="L14" s="1136">
        <f>IF($AK10=0,AF67,AF49)</f>
        <v>1</v>
      </c>
      <c r="M14" s="1137"/>
      <c r="N14" s="1137"/>
      <c r="O14" s="1137"/>
      <c r="P14" s="1137"/>
      <c r="Q14" s="1109"/>
      <c r="R14" s="1136">
        <f>IF($AK10=0,AG67,AG49)</f>
        <v>5</v>
      </c>
      <c r="S14" s="1137"/>
      <c r="T14" s="1137"/>
      <c r="U14" s="1137"/>
      <c r="V14" s="1137"/>
      <c r="W14" s="1136">
        <f>AQ27</f>
        <v>-28</v>
      </c>
      <c r="X14" s="1137"/>
      <c r="Y14" s="1137"/>
      <c r="Z14" s="1138">
        <f>IF(AF61&gt;0,(AQ27/AF61),0)</f>
        <v>-0.25454545454545452</v>
      </c>
      <c r="AA14" s="1139"/>
      <c r="AB14" s="1139"/>
      <c r="AC14" s="1140">
        <f>IF(AF75=0,0,(AF67/AF75))</f>
        <v>0.16666666666666666</v>
      </c>
      <c r="AD14" s="1141"/>
      <c r="AE14" s="1142"/>
      <c r="AF14" s="1143"/>
      <c r="AG14" s="1143"/>
      <c r="AH14" s="1144"/>
      <c r="AI14" s="1145"/>
      <c r="AJ14" s="1058"/>
      <c r="AK14" s="1176"/>
      <c r="AL14" s="1176"/>
      <c r="AM14" s="1176"/>
      <c r="AN14" s="1176"/>
      <c r="AO14" s="1176"/>
      <c r="AP14" s="1176"/>
      <c r="AQ14" s="1124"/>
      <c r="AR14" s="1125"/>
      <c r="AS14" s="1170"/>
      <c r="AT14" s="1208"/>
      <c r="AU14" s="167"/>
      <c r="AV14" s="167"/>
    </row>
    <row r="15" spans="1:53" ht="18.75" customHeight="1" thickBot="1" x14ac:dyDescent="0.25">
      <c r="A15" s="1149"/>
      <c r="B15" s="1168" t="s">
        <v>8</v>
      </c>
      <c r="C15" s="1169"/>
      <c r="D15" s="1169"/>
      <c r="E15" s="1153" t="str">
        <f>AV6</f>
        <v>fj1scmid1pm</v>
      </c>
      <c r="F15" s="1154"/>
      <c r="G15" s="1154"/>
      <c r="H15" s="1154"/>
      <c r="I15" s="1154"/>
      <c r="J15" s="1154"/>
      <c r="K15" s="1154"/>
      <c r="L15" s="1155"/>
      <c r="M15" s="1156"/>
      <c r="N15" s="1156"/>
      <c r="O15" s="1156"/>
      <c r="P15" s="1156"/>
      <c r="Q15" s="1109"/>
      <c r="R15" s="1155"/>
      <c r="S15" s="1156"/>
      <c r="T15" s="1156"/>
      <c r="U15" s="1156"/>
      <c r="V15" s="1156"/>
      <c r="W15" s="1155"/>
      <c r="X15" s="1156"/>
      <c r="Y15" s="1156"/>
      <c r="Z15" s="1157"/>
      <c r="AA15" s="1158"/>
      <c r="AB15" s="1158"/>
      <c r="AC15" s="1159"/>
      <c r="AD15" s="1160"/>
      <c r="AE15" s="1161"/>
      <c r="AF15" s="1162"/>
      <c r="AG15" s="1162"/>
      <c r="AH15" s="1163"/>
      <c r="AI15" s="1164"/>
      <c r="AJ15" s="1058"/>
      <c r="AK15" s="1176"/>
      <c r="AL15" s="1176"/>
      <c r="AM15" s="1176"/>
      <c r="AN15" s="1176"/>
      <c r="AO15" s="1176"/>
      <c r="AP15" s="1176"/>
      <c r="AQ15" s="1058"/>
      <c r="AR15" s="1039"/>
      <c r="AS15" s="1170"/>
      <c r="AT15" s="1208"/>
      <c r="AU15" s="167"/>
      <c r="AV15" s="167"/>
    </row>
    <row r="16" spans="1:53" ht="18.75" customHeight="1" thickBot="1" x14ac:dyDescent="0.25">
      <c r="A16" s="1129" t="str">
        <f>IF($AK9&gt;4,"5","")</f>
        <v/>
      </c>
      <c r="B16" s="1171" t="s">
        <v>7</v>
      </c>
      <c r="C16" s="1172"/>
      <c r="D16" s="1172"/>
      <c r="E16" s="1417">
        <f>AU7</f>
        <v>0</v>
      </c>
      <c r="F16" s="1418"/>
      <c r="G16" s="1418"/>
      <c r="H16" s="1418"/>
      <c r="I16" s="1418"/>
      <c r="J16" s="1418"/>
      <c r="K16" s="1419"/>
      <c r="L16" s="1136">
        <f>IF($AK10=0,AF68,AF50)</f>
        <v>0</v>
      </c>
      <c r="M16" s="1137"/>
      <c r="N16" s="1137"/>
      <c r="O16" s="1137"/>
      <c r="P16" s="1137"/>
      <c r="Q16" s="1109"/>
      <c r="R16" s="1136">
        <f>IF($AK10=0,AG68,AG50)</f>
        <v>0</v>
      </c>
      <c r="S16" s="1137"/>
      <c r="T16" s="1137"/>
      <c r="U16" s="1137"/>
      <c r="V16" s="1137"/>
      <c r="W16" s="1136">
        <f>AQ28</f>
        <v>0</v>
      </c>
      <c r="X16" s="1137"/>
      <c r="Y16" s="1137"/>
      <c r="Z16" s="1138">
        <f>IF(AF62&gt;0,(AQ28/AF62),0)</f>
        <v>0</v>
      </c>
      <c r="AA16" s="1139"/>
      <c r="AB16" s="1139"/>
      <c r="AC16" s="1140">
        <f>IF(AF76=0,0,(AF68/AF76))</f>
        <v>0</v>
      </c>
      <c r="AD16" s="1141"/>
      <c r="AE16" s="1142"/>
      <c r="AF16" s="1143"/>
      <c r="AG16" s="1143"/>
      <c r="AH16" s="1144"/>
      <c r="AI16" s="1145"/>
      <c r="AJ16" s="1058"/>
      <c r="AK16" s="1176"/>
      <c r="AL16" s="1176"/>
      <c r="AM16" s="1176"/>
      <c r="AN16" s="1176"/>
      <c r="AO16" s="1176"/>
      <c r="AP16" s="1176"/>
      <c r="AQ16" s="1058"/>
      <c r="AR16" s="1039"/>
      <c r="AS16" s="1170"/>
      <c r="AT16" s="1208"/>
      <c r="AU16" s="167"/>
      <c r="AV16" s="167"/>
    </row>
    <row r="17" spans="1:47" ht="18.75" customHeight="1" thickBot="1" x14ac:dyDescent="0.25">
      <c r="A17" s="1149"/>
      <c r="B17" s="1177" t="s">
        <v>8</v>
      </c>
      <c r="C17" s="1178"/>
      <c r="D17" s="1178"/>
      <c r="E17" s="1420">
        <f>AV7</f>
        <v>0</v>
      </c>
      <c r="F17" s="1421"/>
      <c r="G17" s="1421"/>
      <c r="H17" s="1421"/>
      <c r="I17" s="1421"/>
      <c r="J17" s="1421"/>
      <c r="K17" s="1421"/>
      <c r="L17" s="1181"/>
      <c r="M17" s="1182"/>
      <c r="N17" s="1182"/>
      <c r="O17" s="1182"/>
      <c r="P17" s="1182"/>
      <c r="Q17" s="1109"/>
      <c r="R17" s="1181"/>
      <c r="S17" s="1182"/>
      <c r="T17" s="1182"/>
      <c r="U17" s="1182"/>
      <c r="V17" s="1182"/>
      <c r="W17" s="1181"/>
      <c r="X17" s="1182"/>
      <c r="Y17" s="1182"/>
      <c r="Z17" s="1183"/>
      <c r="AA17" s="1184"/>
      <c r="AB17" s="1184"/>
      <c r="AC17" s="1185"/>
      <c r="AD17" s="1186"/>
      <c r="AE17" s="1187"/>
      <c r="AF17" s="1188"/>
      <c r="AG17" s="1188"/>
      <c r="AH17" s="1189"/>
      <c r="AI17" s="1190"/>
      <c r="AJ17" s="1058"/>
      <c r="AK17" s="1176"/>
      <c r="AL17" s="1176"/>
      <c r="AM17" s="1176"/>
      <c r="AN17" s="1176"/>
      <c r="AO17" s="1176"/>
      <c r="AP17" s="1176"/>
      <c r="AQ17" s="1058"/>
      <c r="AR17" s="1039"/>
      <c r="AS17" s="1191"/>
      <c r="AT17" s="1208"/>
      <c r="AU17" s="1208"/>
    </row>
    <row r="18" spans="1:47" ht="21" customHeight="1" thickTop="1" thickBot="1" x14ac:dyDescent="0.25">
      <c r="A18" s="1192"/>
      <c r="B18" s="1193" t="s">
        <v>1211</v>
      </c>
      <c r="C18" s="1194"/>
      <c r="D18" s="1194"/>
      <c r="E18" s="1194"/>
      <c r="F18" s="1194"/>
      <c r="G18" s="1194"/>
      <c r="H18" s="1194"/>
      <c r="I18" s="1194"/>
      <c r="J18" s="1194"/>
      <c r="K18" s="1194"/>
      <c r="L18" s="1194"/>
      <c r="M18" s="1194"/>
      <c r="N18" s="1194"/>
      <c r="O18" s="1194"/>
      <c r="P18" s="1194"/>
      <c r="Q18" s="1194"/>
      <c r="R18" s="1194"/>
      <c r="S18" s="1194"/>
      <c r="T18" s="1194"/>
      <c r="U18" s="1194"/>
      <c r="V18" s="1194"/>
      <c r="W18" s="1194"/>
      <c r="X18" s="1194"/>
      <c r="Y18" s="1194"/>
      <c r="Z18" s="1194"/>
      <c r="AA18" s="1194"/>
      <c r="AB18" s="1194"/>
      <c r="AC18" s="1194"/>
      <c r="AD18" s="1194"/>
      <c r="AE18" s="1194"/>
      <c r="AF18" s="1194"/>
      <c r="AG18" s="1194"/>
      <c r="AH18" s="1194"/>
      <c r="AI18" s="1195"/>
      <c r="AJ18" s="1058"/>
      <c r="AK18" s="1176"/>
      <c r="AL18" s="1176"/>
      <c r="AM18" s="1176"/>
      <c r="AN18" s="1176"/>
      <c r="AO18" s="1176"/>
      <c r="AP18" s="1176"/>
      <c r="AQ18" s="1058"/>
      <c r="AR18" s="1039"/>
      <c r="AS18" s="1191"/>
      <c r="AT18" s="1208"/>
      <c r="AU18" s="1208"/>
    </row>
    <row r="19" spans="1:47" ht="13.5" customHeight="1" thickTop="1" x14ac:dyDescent="0.2">
      <c r="A19" t="s">
        <v>39</v>
      </c>
      <c r="B19" s="1196">
        <v>0.35416666666666669</v>
      </c>
      <c r="C19" s="1197"/>
      <c r="D19" s="1198"/>
      <c r="E19" s="1196">
        <v>0.39583333333333331</v>
      </c>
      <c r="F19" s="1197"/>
      <c r="G19" s="1198"/>
      <c r="H19" s="1196">
        <v>0.4375</v>
      </c>
      <c r="I19" s="1197"/>
      <c r="J19" s="1198"/>
      <c r="K19" s="1196">
        <v>0.5</v>
      </c>
      <c r="L19" s="1197"/>
      <c r="M19" s="1198"/>
      <c r="N19" s="1196">
        <v>4.1666666666666664E-2</v>
      </c>
      <c r="O19" s="1197"/>
      <c r="P19" s="1198"/>
      <c r="Q19" s="1196">
        <v>8.3333333333333329E-2</v>
      </c>
      <c r="R19" s="1197"/>
      <c r="S19" s="1198"/>
      <c r="T19" s="1196">
        <v>4.1666666666666664E-2</v>
      </c>
      <c r="U19" s="1197"/>
      <c r="V19" s="1198"/>
      <c r="W19" s="1196">
        <v>7.2916666666666671E-2</v>
      </c>
      <c r="X19" s="1197"/>
      <c r="Y19" s="1198"/>
      <c r="Z19" s="1196">
        <v>0.10416666666666667</v>
      </c>
      <c r="AA19" s="1197"/>
      <c r="AB19" s="1198"/>
      <c r="AC19" s="1196">
        <v>0.13541666666666666</v>
      </c>
      <c r="AD19" s="1197"/>
      <c r="AE19" s="1198"/>
      <c r="AF19" s="1199" t="s">
        <v>40</v>
      </c>
      <c r="AG19" s="1200"/>
      <c r="AH19" s="1200"/>
      <c r="AI19" s="1200"/>
      <c r="AJ19" s="1201"/>
      <c r="AK19" s="1201"/>
      <c r="AL19" s="1201"/>
      <c r="AM19" s="1201"/>
      <c r="AN19" s="1201"/>
      <c r="AO19" s="1201"/>
      <c r="AP19" s="1201"/>
      <c r="AQ19" s="1202"/>
      <c r="AS19" s="1191"/>
      <c r="AT19" s="1208"/>
      <c r="AU19" s="1208"/>
    </row>
    <row r="20" spans="1:47" x14ac:dyDescent="0.2">
      <c r="A20" s="1203" t="s">
        <v>41</v>
      </c>
      <c r="B20" s="1204"/>
      <c r="C20" s="1205"/>
      <c r="D20" s="1206"/>
      <c r="E20" s="1204"/>
      <c r="F20" s="1205"/>
      <c r="G20" s="1206"/>
      <c r="H20" s="1204"/>
      <c r="I20" s="1205"/>
      <c r="J20" s="1206"/>
      <c r="K20" s="1204"/>
      <c r="L20" s="1205"/>
      <c r="M20" s="1206"/>
      <c r="N20" s="1204"/>
      <c r="O20" s="1205"/>
      <c r="P20" s="1206"/>
      <c r="Q20" s="1204"/>
      <c r="R20" s="1205"/>
      <c r="S20" s="1206"/>
      <c r="T20" s="1204"/>
      <c r="U20" s="1205"/>
      <c r="V20" s="1206"/>
      <c r="W20" s="1204"/>
      <c r="X20" s="1205"/>
      <c r="Y20" s="1206"/>
      <c r="Z20" s="1204"/>
      <c r="AA20" s="1205"/>
      <c r="AB20" s="1206"/>
      <c r="AC20" s="1204"/>
      <c r="AD20" s="1205"/>
      <c r="AE20" s="1206"/>
      <c r="AF20" s="1199"/>
      <c r="AG20" s="1200"/>
      <c r="AH20" s="1200"/>
      <c r="AI20" s="1200"/>
      <c r="AJ20" s="1200"/>
      <c r="AK20" s="1200"/>
      <c r="AL20" s="1200"/>
      <c r="AM20" s="1200"/>
      <c r="AN20" s="1200"/>
      <c r="AO20" s="1200"/>
      <c r="AP20" s="1200"/>
      <c r="AQ20" s="1207"/>
      <c r="AS20" s="1191"/>
      <c r="AT20" s="1208"/>
      <c r="AU20" s="1208"/>
    </row>
    <row r="21" spans="1:47" x14ac:dyDescent="0.2">
      <c r="A21" s="1203" t="s">
        <v>42</v>
      </c>
      <c r="B21" s="1204"/>
      <c r="C21" s="1205"/>
      <c r="D21" s="1206"/>
      <c r="E21" s="1204"/>
      <c r="F21" s="1205"/>
      <c r="G21" s="1206"/>
      <c r="H21" s="1204"/>
      <c r="I21" s="1205"/>
      <c r="J21" s="1206"/>
      <c r="K21" s="1204"/>
      <c r="L21" s="1205"/>
      <c r="M21" s="1206"/>
      <c r="N21" s="1204"/>
      <c r="O21" s="1205"/>
      <c r="P21" s="1206"/>
      <c r="Q21" s="1204"/>
      <c r="R21" s="1205"/>
      <c r="S21" s="1206"/>
      <c r="T21" s="1204"/>
      <c r="U21" s="1205"/>
      <c r="V21" s="1206"/>
      <c r="W21" s="1204"/>
      <c r="X21" s="1205"/>
      <c r="Y21" s="1206"/>
      <c r="Z21" s="1204"/>
      <c r="AA21" s="1205"/>
      <c r="AB21" s="1206"/>
      <c r="AC21" s="1204"/>
      <c r="AD21" s="1205"/>
      <c r="AE21" s="1206"/>
      <c r="AF21" s="1199"/>
      <c r="AG21" s="1200"/>
      <c r="AH21" s="1200"/>
      <c r="AI21" s="1200"/>
      <c r="AJ21" s="1200"/>
      <c r="AK21" s="1200"/>
      <c r="AL21" s="1200"/>
      <c r="AM21" s="1200"/>
      <c r="AN21" s="1200"/>
      <c r="AO21" s="1200"/>
      <c r="AP21" s="1200"/>
      <c r="AQ21" s="1207"/>
    </row>
    <row r="22" spans="1:47" ht="13.5" thickBot="1" x14ac:dyDescent="0.25">
      <c r="A22" s="1058"/>
      <c r="B22" s="1209" t="s">
        <v>43</v>
      </c>
      <c r="C22" s="1210"/>
      <c r="D22" s="1211"/>
      <c r="E22" s="1209" t="str">
        <f>IF(AK8&gt;1,"Match 2","")</f>
        <v>Match 2</v>
      </c>
      <c r="F22" s="1210"/>
      <c r="G22" s="1211"/>
      <c r="H22" s="1209" t="str">
        <f>IF(AK8&gt;2,"Match 3","")</f>
        <v>Match 3</v>
      </c>
      <c r="I22" s="1210"/>
      <c r="J22" s="1211"/>
      <c r="K22" s="1209" t="str">
        <f>IF(AK8&gt;3,"Match 4","")</f>
        <v>Match 4</v>
      </c>
      <c r="L22" s="1210"/>
      <c r="M22" s="1211"/>
      <c r="N22" s="1209" t="str">
        <f>IF(AK8&gt;4,"Match 5","")</f>
        <v>Match 5</v>
      </c>
      <c r="O22" s="1210"/>
      <c r="P22" s="1211"/>
      <c r="Q22" s="1209" t="str">
        <f>IF(AK8&gt;5,"Match 6","")</f>
        <v>Match 6</v>
      </c>
      <c r="R22" s="1210"/>
      <c r="S22" s="1211"/>
      <c r="T22" s="1209" t="str">
        <f>IF(AK8&gt;6,"Match 7","")</f>
        <v/>
      </c>
      <c r="U22" s="1210"/>
      <c r="V22" s="1211"/>
      <c r="W22" s="1209" t="str">
        <f>IF(AK8&gt;7,"Match 8","")</f>
        <v/>
      </c>
      <c r="X22" s="1210"/>
      <c r="Y22" s="1211"/>
      <c r="Z22" s="1209" t="str">
        <f>IF(AK8&gt;8,"Match 9","")</f>
        <v/>
      </c>
      <c r="AA22" s="1210"/>
      <c r="AB22" s="1211"/>
      <c r="AC22" s="1209" t="str">
        <f>IF(AK8&gt;9,"Match 10","")</f>
        <v/>
      </c>
      <c r="AD22" s="1210"/>
      <c r="AE22" s="1211"/>
      <c r="AF22" s="1212"/>
      <c r="AG22" s="1213"/>
      <c r="AH22" s="1213"/>
      <c r="AI22" s="1213"/>
      <c r="AJ22" s="1213"/>
      <c r="AK22" s="1213"/>
      <c r="AL22" s="1213"/>
      <c r="AM22" s="1213"/>
      <c r="AN22" s="1213"/>
      <c r="AO22" s="1213"/>
      <c r="AP22" s="1213"/>
      <c r="AQ22" s="1214"/>
      <c r="AS22" s="1191"/>
      <c r="AT22" s="1208"/>
      <c r="AU22" s="1208"/>
    </row>
    <row r="23" spans="1:47" ht="15.75" x14ac:dyDescent="0.25">
      <c r="A23" s="1058"/>
      <c r="B23" s="1215" t="s">
        <v>46</v>
      </c>
      <c r="C23" s="1216"/>
      <c r="D23" s="1217"/>
      <c r="E23" s="1215" t="s">
        <v>48</v>
      </c>
      <c r="F23" s="1216"/>
      <c r="G23" s="1217"/>
      <c r="H23" s="1215" t="s">
        <v>45</v>
      </c>
      <c r="I23" s="1216"/>
      <c r="J23" s="1217"/>
      <c r="K23" s="1215" t="s">
        <v>44</v>
      </c>
      <c r="L23" s="1216"/>
      <c r="M23" s="1217"/>
      <c r="N23" s="1215" t="s">
        <v>48</v>
      </c>
      <c r="O23" s="1216"/>
      <c r="P23" s="1217"/>
      <c r="Q23" s="1215" t="s">
        <v>45</v>
      </c>
      <c r="R23" s="1216"/>
      <c r="S23" s="1217"/>
      <c r="T23" s="1215" t="s">
        <v>44</v>
      </c>
      <c r="U23" s="1216"/>
      <c r="V23" s="1217"/>
      <c r="W23" s="1215" t="s">
        <v>48</v>
      </c>
      <c r="X23" s="1216"/>
      <c r="Y23" s="1217"/>
      <c r="Z23" s="1215" t="s">
        <v>1180</v>
      </c>
      <c r="AA23" s="1216"/>
      <c r="AB23" s="1217"/>
      <c r="AC23" s="1215" t="s">
        <v>45</v>
      </c>
      <c r="AD23" s="1216"/>
      <c r="AE23" s="1217"/>
      <c r="AF23" s="1218" t="s">
        <v>49</v>
      </c>
      <c r="AG23" s="1219">
        <v>1</v>
      </c>
      <c r="AH23" s="1219">
        <v>2</v>
      </c>
      <c r="AI23" s="1219">
        <v>3</v>
      </c>
      <c r="AJ23" s="1219">
        <v>4</v>
      </c>
      <c r="AK23" s="1219">
        <v>5</v>
      </c>
      <c r="AL23" s="1219">
        <v>6</v>
      </c>
      <c r="AM23" s="1219">
        <v>7</v>
      </c>
      <c r="AN23" s="1219">
        <v>8</v>
      </c>
      <c r="AO23" s="1219">
        <v>9</v>
      </c>
      <c r="AP23" s="1219">
        <v>10</v>
      </c>
      <c r="AQ23" s="1220" t="s">
        <v>50</v>
      </c>
      <c r="AS23" s="1191"/>
      <c r="AT23" s="1208"/>
      <c r="AU23" s="1208"/>
    </row>
    <row r="24" spans="1:47" ht="15.75" x14ac:dyDescent="0.25">
      <c r="A24" s="1058"/>
      <c r="B24" s="1221">
        <v>2</v>
      </c>
      <c r="C24" s="1222" t="s">
        <v>51</v>
      </c>
      <c r="D24" s="1223">
        <v>3</v>
      </c>
      <c r="E24" s="1221">
        <v>1</v>
      </c>
      <c r="F24" s="1222" t="str">
        <f>IF(AK8&gt;1,"v","")</f>
        <v>v</v>
      </c>
      <c r="G24" s="1223">
        <v>4</v>
      </c>
      <c r="H24" s="1221">
        <v>2</v>
      </c>
      <c r="I24" s="1222" t="str">
        <f>IF(AK8&gt;2,"v","")</f>
        <v>v</v>
      </c>
      <c r="J24" s="1223">
        <v>4</v>
      </c>
      <c r="K24" s="1221">
        <v>1</v>
      </c>
      <c r="L24" s="1222" t="str">
        <f>IF(AK8&gt;3,"v","")</f>
        <v>v</v>
      </c>
      <c r="M24" s="1223">
        <v>3</v>
      </c>
      <c r="N24" s="1221">
        <v>3</v>
      </c>
      <c r="O24" s="1222" t="str">
        <f>IF(AK8&gt;4,"v","")</f>
        <v>v</v>
      </c>
      <c r="P24" s="1223">
        <v>4</v>
      </c>
      <c r="Q24" s="1221">
        <v>1</v>
      </c>
      <c r="R24" s="1222" t="str">
        <f>IF(AK8&gt;5,"v","")</f>
        <v>v</v>
      </c>
      <c r="S24" s="1223">
        <v>2</v>
      </c>
      <c r="T24" s="1221"/>
      <c r="U24" s="1222" t="str">
        <f>IF(AK8&gt;6,"v","")</f>
        <v/>
      </c>
      <c r="V24" s="1223"/>
      <c r="W24" s="1221"/>
      <c r="X24" s="1222" t="str">
        <f>IF(AK8&gt;7,"v","")</f>
        <v/>
      </c>
      <c r="Y24" s="1223"/>
      <c r="Z24" s="1221"/>
      <c r="AA24" s="1222" t="str">
        <f>IF(AK8&gt;8,"v","")</f>
        <v/>
      </c>
      <c r="AB24" s="1223"/>
      <c r="AC24" s="1221"/>
      <c r="AD24" s="1222" t="str">
        <f>IF(AK8&gt;9,"v","")</f>
        <v/>
      </c>
      <c r="AE24" s="1223"/>
      <c r="AF24" s="1218" t="str">
        <f>IF(AK9&gt;0,"Team 1","")</f>
        <v>Team 1</v>
      </c>
      <c r="AG24" s="1226" t="str">
        <f>IF(AK9&lt;1,"",IF(AK8&lt;1,"",IF(B24=1,B30-D30,IF(D24=1,D30-B30,""))))</f>
        <v/>
      </c>
      <c r="AH24" s="1226">
        <f>IF(AK9&lt;1,"",IF(AK8&lt;2,"",IF(E24=1,E30-G30,IF(G24=1,G30-E30,""))))</f>
        <v>18</v>
      </c>
      <c r="AI24" s="1226" t="str">
        <f>IF(AK9&lt;1,"",IF(AK8&lt;3,"",IF(H24=1,H30-J30,IF(J24=1,J30-H30,""))))</f>
        <v/>
      </c>
      <c r="AJ24" s="1226">
        <f>IF(AK9&lt;1,"",IF(AK8&lt;4,"",IF(K24=1,K30-M30,IF(M24=1,M30-K30,""))))</f>
        <v>11</v>
      </c>
      <c r="AK24" s="1226" t="str">
        <f>IF(AK9&lt;1,"",IF(AK8&lt;5,"",IF(N24=1,N30-P30,IF(P24=1,P30-N30,""))))</f>
        <v/>
      </c>
      <c r="AL24" s="1226">
        <f>IF(AK9&lt;1,"",IF(AK8&lt;6,"",IF(Q24=1,Q30-S30,IF(S24=1,S30-Q30,""))))</f>
        <v>21</v>
      </c>
      <c r="AM24" s="1226" t="str">
        <f>IF(AK9&lt;1,"",IF(AK8&lt;7,"",IF(T24=1,T30-V30,IF(V24=1,V30-T30,""))))</f>
        <v/>
      </c>
      <c r="AN24" s="1226" t="str">
        <f>IF(AK9&lt;1,"",IF(AK8&lt;8,"",IF(W24=1,W30-Y30,IF(Y24=1,Y30-W30,""))))</f>
        <v/>
      </c>
      <c r="AO24" s="1226" t="str">
        <f>IF(AK9&lt;1,"",IF(AK8&lt;9,"",IF(Z24=1,Z30-AB30,IF(AB24=1,AB30-Z30,""))))</f>
        <v/>
      </c>
      <c r="AP24" s="1226" t="str">
        <f>IF(AK9&lt;1,"",IF(AK8&lt;10,"",IF(AC24=1,AC30-AE30,IF(AE24=1,AE30-AC30,""))))</f>
        <v/>
      </c>
      <c r="AQ24" s="1220">
        <f>SUM(AG24:AP24)</f>
        <v>50</v>
      </c>
      <c r="AS24" s="1191"/>
      <c r="AT24" s="1208"/>
      <c r="AU24" s="1208"/>
    </row>
    <row r="25" spans="1:47" ht="15" x14ac:dyDescent="0.2">
      <c r="A25" t="s">
        <v>52</v>
      </c>
      <c r="B25" s="1227">
        <v>11</v>
      </c>
      <c r="C25" s="1228" t="s">
        <v>53</v>
      </c>
      <c r="D25" s="1229">
        <v>19</v>
      </c>
      <c r="E25" s="1227">
        <v>23</v>
      </c>
      <c r="F25" s="1228" t="str">
        <f>IF(AK8&gt;1,"/","")</f>
        <v>/</v>
      </c>
      <c r="G25" s="1229">
        <v>9</v>
      </c>
      <c r="H25" s="1227">
        <v>17</v>
      </c>
      <c r="I25" s="1228" t="str">
        <f>IF(AK8&gt;2,"/","")</f>
        <v>/</v>
      </c>
      <c r="J25" s="1229">
        <v>15</v>
      </c>
      <c r="K25" s="1227">
        <v>21</v>
      </c>
      <c r="L25" s="1228" t="str">
        <f>IF(AK8&gt;3,"/","")</f>
        <v>/</v>
      </c>
      <c r="M25" s="1229">
        <v>13</v>
      </c>
      <c r="N25" s="1227">
        <v>14</v>
      </c>
      <c r="O25" s="1228" t="str">
        <f>IF(AK8&gt;4,"/","")</f>
        <v>/</v>
      </c>
      <c r="P25" s="1229">
        <v>15</v>
      </c>
      <c r="Q25" s="1227">
        <v>20</v>
      </c>
      <c r="R25" s="1228" t="str">
        <f>IF(AK8&gt;5,"/","")</f>
        <v>/</v>
      </c>
      <c r="S25" s="1229">
        <v>11</v>
      </c>
      <c r="T25" s="1227"/>
      <c r="U25" s="1228" t="str">
        <f>IF(AK8&gt;6,"/","")</f>
        <v/>
      </c>
      <c r="V25" s="1229"/>
      <c r="W25" s="1227"/>
      <c r="X25" s="1228" t="str">
        <f>IF(AK8&gt;7,"/","")</f>
        <v/>
      </c>
      <c r="Y25" s="1229"/>
      <c r="Z25" s="1227"/>
      <c r="AA25" s="1228" t="str">
        <f>IF(AK8&gt;8,"/","")</f>
        <v/>
      </c>
      <c r="AB25" s="1229"/>
      <c r="AC25" s="1227"/>
      <c r="AD25" s="1228" t="str">
        <f>IF(AK8&gt;9,"/","")</f>
        <v/>
      </c>
      <c r="AE25" s="1229"/>
      <c r="AF25" s="1218" t="str">
        <f>IF(AK9&gt;1,"Team 2","")</f>
        <v>Team 2</v>
      </c>
      <c r="AG25" s="1226">
        <f>IF(AK9&lt;2,"",IF(AK8&lt;1,"",IF(B24=2,B30-D30,IF(D24=2,D30-B30,""))))</f>
        <v>-3</v>
      </c>
      <c r="AH25" s="1226" t="str">
        <f>IF(AK9&lt;2,"",IF(AK8&lt;2,"",IF(E24=2,E30-G30,IF(G24=2,G30-E30,""))))</f>
        <v/>
      </c>
      <c r="AI25" s="1226">
        <f>IF(AK9&lt;2,"",IF(AK8&lt;3,"",IF(H24=2,H30-J30,IF(J24=2,J30-H30,""))))</f>
        <v>7</v>
      </c>
      <c r="AJ25" s="1226" t="str">
        <f>IF(AK9&lt;2,"",IF(AK8&lt;4,"",IF(K24=2,K30-M30,IF(M24=2,M30-K30,""))))</f>
        <v/>
      </c>
      <c r="AK25" s="1226" t="str">
        <f>IF(AK9&lt;2,"",IF(AK8&lt;5,"",IF(N24=2,N30-P30,IF(P24=2,P30-N30,""))))</f>
        <v/>
      </c>
      <c r="AL25" s="1226">
        <f>IF(AK9&lt;2,"",IF(AK8&lt;6,"",IF(Q24=2,Q30-S30,IF(S24=2,S30-Q30,""))))</f>
        <v>-21</v>
      </c>
      <c r="AM25" s="1226" t="str">
        <f>IF(AK9&lt;2,"",IF(AK8&lt;7,"",IF(T24=2,T30-V30,IF(V24=2,V30-T30,""))))</f>
        <v/>
      </c>
      <c r="AN25" s="1226" t="str">
        <f>IF(AK9&lt;2,"",IF(AK8&lt;8,"",IF(W24=2,W30-Y30,IF(Y24=2,Y30-W30,""))))</f>
        <v/>
      </c>
      <c r="AO25" s="1226" t="str">
        <f>IF(AK9&lt;2,"",IF(AK8&lt;9,"",IF(Z24=2,Z30-AB30,IF(AB24=2,AB30-Z30,""))))</f>
        <v/>
      </c>
      <c r="AP25" s="1226" t="str">
        <f>IF(AK9&lt;2,"",IF(AK8&lt;10,"",IF(AC24=2,AC30-AE30,IF(AE24=2,AE30-AC30,""))))</f>
        <v/>
      </c>
      <c r="AQ25" s="1220">
        <f>SUM(AG25:AP25)</f>
        <v>-17</v>
      </c>
    </row>
    <row r="26" spans="1:47" ht="15" x14ac:dyDescent="0.2">
      <c r="A26" s="1039" t="str">
        <f>IF(AK7&gt;1,"Game 2","")</f>
        <v>Game 2</v>
      </c>
      <c r="B26" s="1227">
        <v>18</v>
      </c>
      <c r="C26" s="1228" t="s">
        <v>53</v>
      </c>
      <c r="D26" s="1229">
        <v>13</v>
      </c>
      <c r="E26" s="1227">
        <v>16</v>
      </c>
      <c r="F26" s="1228" t="str">
        <f>IF(AK8&gt;1,IF(AK7&gt;1,"/",""),"")</f>
        <v>/</v>
      </c>
      <c r="G26" s="1229">
        <v>12</v>
      </c>
      <c r="H26" s="1227">
        <v>20</v>
      </c>
      <c r="I26" s="1228" t="str">
        <f>IF(AK8&gt;2,IF(AK7&gt;1,"/",""),"")</f>
        <v>/</v>
      </c>
      <c r="J26" s="1229">
        <v>15</v>
      </c>
      <c r="K26" s="1227">
        <v>18</v>
      </c>
      <c r="L26" s="1228" t="str">
        <f>IF(AK8&gt;3,IF(AK7&gt;1,"/",""),"")</f>
        <v>/</v>
      </c>
      <c r="M26" s="1229">
        <v>15</v>
      </c>
      <c r="N26" s="1227">
        <v>19</v>
      </c>
      <c r="O26" s="1228" t="str">
        <f>IF(AK8&gt;4,IF(AK7&gt;1,"/",""),"")</f>
        <v>/</v>
      </c>
      <c r="P26" s="1229">
        <v>15</v>
      </c>
      <c r="Q26" s="1227">
        <v>22</v>
      </c>
      <c r="R26" s="1228" t="str">
        <f>IF(AK8&gt;5,IF(AK7&gt;1,"/",""),"")</f>
        <v>/</v>
      </c>
      <c r="S26" s="1229">
        <v>10</v>
      </c>
      <c r="T26" s="1227"/>
      <c r="U26" s="1228" t="str">
        <f>IF(AK8&gt;6,IF(AK7&gt;1,"/",""),"")</f>
        <v/>
      </c>
      <c r="V26" s="1229"/>
      <c r="W26" s="1227"/>
      <c r="X26" s="1228" t="str">
        <f>IF(AK8&gt;7,IF(AK7&gt;1,"/",""),"")</f>
        <v/>
      </c>
      <c r="Y26" s="1229"/>
      <c r="Z26" s="1227"/>
      <c r="AA26" s="1228" t="str">
        <f>IF(AK8&gt;8,IF(AK7&gt;1,"/",""),"")</f>
        <v/>
      </c>
      <c r="AB26" s="1229"/>
      <c r="AC26" s="1227"/>
      <c r="AD26" s="1228" t="str">
        <f>IF(AK8&gt;9,IF(AK7&gt;1,"/",""),"")</f>
        <v/>
      </c>
      <c r="AE26" s="1229"/>
      <c r="AF26" s="1218" t="str">
        <f>IF(AK9&gt;2,"Team 3","")</f>
        <v>Team 3</v>
      </c>
      <c r="AG26" s="1226">
        <f>IF(AK9&lt;3,"",IF(AK8&lt;1,"",IF(B24=3,B30-D30,IF(D24=3,D30-B30,""))))</f>
        <v>3</v>
      </c>
      <c r="AH26" s="1226" t="str">
        <f>IF(AK9&lt;3,"",IF(AK8&lt;2,"",IF(E24=3,E30-G30,IF(G24=3,G30-E30,""))))</f>
        <v/>
      </c>
      <c r="AI26" s="1226" t="str">
        <f>IF(AK9&lt;3,"",IF(AK8&lt;3,"",IF(H24=3,H30-J30,IF(J24=3,J30-H30,""))))</f>
        <v/>
      </c>
      <c r="AJ26" s="1226">
        <f>IF(AK9&lt;3,"",IF(AK8&lt;4,"",IF(K24=3,K30-M30,IF(M24=3,M30-K30,""))))</f>
        <v>-11</v>
      </c>
      <c r="AK26" s="1226">
        <f>IF(AK9&lt;3,"",IF(AK8&lt;5,"",IF(N24=3,N30-P30,IF(P24=3,P30-N30,""))))</f>
        <v>3</v>
      </c>
      <c r="AL26" s="1226" t="str">
        <f>IF(AK9&lt;3,"",IF(AK8&lt;6,"",IF(Q24=3,Q30-S30,IF(S24=3,S30-Q30,""))))</f>
        <v/>
      </c>
      <c r="AM26" s="1226" t="str">
        <f>IF(AK9&lt;3,"",IF(AK8&lt;7,"",IF(T24=3,T30-V30,IF(V24=3,V30-T30,""))))</f>
        <v/>
      </c>
      <c r="AN26" s="1226" t="str">
        <f>IF(AK9&lt;3,"",IF(AK8&lt;8,"",IF(W24=3,W30-Y30,IF(Y24=3,Y30-W30,""))))</f>
        <v/>
      </c>
      <c r="AO26" s="1226" t="str">
        <f>IF(AK9&lt;3,"",IF(AK8&lt;9,"",IF(Z24=3,Z30-AB30,IF(AB24=3,AB30-Z30,""))))</f>
        <v/>
      </c>
      <c r="AP26" s="1226" t="str">
        <f>IF(AK9&lt;3,"",IF(AK8&lt;9,"",IF(AC24=3,AC30-AE30,IF(AE24=3,AE30-AC30,""))))</f>
        <v/>
      </c>
      <c r="AQ26" s="1220">
        <f>SUM(AG26:AP26)</f>
        <v>-5</v>
      </c>
    </row>
    <row r="27" spans="1:47" ht="15" x14ac:dyDescent="0.2">
      <c r="A27" s="1039" t="str">
        <f>IF(AK7&gt;2,"Game 3","")</f>
        <v/>
      </c>
      <c r="B27" s="1227"/>
      <c r="C27" s="1228" t="s">
        <v>53</v>
      </c>
      <c r="D27" s="1229"/>
      <c r="E27" s="1227"/>
      <c r="F27" s="1228" t="str">
        <f>IF(AK8&gt;1,IF(AK7&gt;2,"/",""),"")</f>
        <v/>
      </c>
      <c r="G27" s="1229"/>
      <c r="H27" s="1227"/>
      <c r="I27" s="1228" t="str">
        <f>IF(AK8&gt;2,IF(AK7&gt;2,"/",""),"")</f>
        <v/>
      </c>
      <c r="J27" s="1229"/>
      <c r="K27" s="1227"/>
      <c r="L27" s="1228" t="str">
        <f>IF(AK8&gt;3,IF(AK7&gt;2,"/",""),"")</f>
        <v/>
      </c>
      <c r="M27" s="1229"/>
      <c r="N27" s="1227"/>
      <c r="O27" s="1228" t="str">
        <f>IF(AK8&gt;4,IF(AK7&gt;2,"/",""),"")</f>
        <v/>
      </c>
      <c r="P27" s="1229"/>
      <c r="Q27" s="1227"/>
      <c r="R27" s="1228" t="str">
        <f>IF(AK8&gt;5,IF(AK7&gt;2,"/",""),"")</f>
        <v/>
      </c>
      <c r="S27" s="1229"/>
      <c r="T27" s="1227"/>
      <c r="U27" s="1228" t="str">
        <f>IF(AK8&gt;6,IF(AK7&gt;2,"/",""),"")</f>
        <v/>
      </c>
      <c r="V27" s="1229"/>
      <c r="W27" s="1227"/>
      <c r="X27" s="1228" t="str">
        <f>IF(AK8&gt;7,IF(AK7&gt;2,"/",""),"")</f>
        <v/>
      </c>
      <c r="Y27" s="1229"/>
      <c r="Z27" s="1227"/>
      <c r="AA27" s="1228" t="str">
        <f>IF(AK8&gt;8,IF(AK7&gt;2,"/",""),"")</f>
        <v/>
      </c>
      <c r="AB27" s="1229"/>
      <c r="AC27" s="1227"/>
      <c r="AD27" s="1228" t="str">
        <f>IF(AK8&gt;9,IF(AK7&gt;2,"/",""),"")</f>
        <v/>
      </c>
      <c r="AE27" s="1229"/>
      <c r="AF27" s="1218" t="str">
        <f>IF(AK9&gt;3,"Team 4","")</f>
        <v>Team 4</v>
      </c>
      <c r="AG27" s="1226" t="str">
        <f>IF(AK9&lt;4,"",IF(AK8&lt;1,"",IF(B24=4,B30-D30,IF(D24=4,D30-B30,""))))</f>
        <v/>
      </c>
      <c r="AH27" s="1226">
        <f>IF(AK9&lt;4,"",IF(AK8&lt;2,"",IF(E24=4,E30-G30,IF(G24=4,G30-E30,""))))</f>
        <v>-18</v>
      </c>
      <c r="AI27" s="1226">
        <f>IF(AK9&lt;4,"",IF(AK8&lt;3,"",IF(H24=4,H30-J30,IF(J24=4,J30-H30,""))))</f>
        <v>-7</v>
      </c>
      <c r="AJ27" s="1226" t="str">
        <f>IF(AK9&lt;4,"",IF(AK8&lt;4,"",IF(K24=4,K30-M30,IF(M24=4,M30-K30,""))))</f>
        <v/>
      </c>
      <c r="AK27" s="1226">
        <f>IF(AK9&lt;4,"",IF(AK8&lt;5,"",IF(N24=4,N30-P30,IF(P24=4,P30-N30,""))))</f>
        <v>-3</v>
      </c>
      <c r="AL27" s="1226" t="str">
        <f>IF(AK9&lt;4,"",IF(AK8&lt;6,"",IF(Q24=4,Q30-S30,IF(S24=4,S30-Q30,""))))</f>
        <v/>
      </c>
      <c r="AM27" s="1226" t="str">
        <f>IF(AK9&lt;4,"",IF(AK8&lt;7,"",IF(T24=4,T30-V30,IF(V24=4,V30-T30,""))))</f>
        <v/>
      </c>
      <c r="AN27" s="1226" t="str">
        <f>IF(AK9&lt;4,"",IF(AK8&lt;8,"",IF(W24=4,W30-Y30,IF(Y24=4,Y30-W30,""))))</f>
        <v/>
      </c>
      <c r="AO27" s="1226" t="str">
        <f>IF(AK9&lt;4,"",IF(AK8&lt;9,"",IF(Z24=4,Z30-AB30,IF(AB24=4,AB30-Z30,""))))</f>
        <v/>
      </c>
      <c r="AP27" s="1226" t="str">
        <f>IF(AK9&lt;4,"",IF(AK8&lt;10,"",IF(AC24=4,AC30-AE30,IF(AE24=4,AE30-AC30,""))))</f>
        <v/>
      </c>
      <c r="AQ27" s="1220">
        <f>SUM(AG27:AP27)</f>
        <v>-28</v>
      </c>
    </row>
    <row r="28" spans="1:47" ht="15" x14ac:dyDescent="0.2">
      <c r="A28" s="1039" t="str">
        <f>IF(AK7&gt;3,"Game 4","")</f>
        <v/>
      </c>
      <c r="B28" s="1227"/>
      <c r="C28" s="1228" t="s">
        <v>53</v>
      </c>
      <c r="D28" s="1229"/>
      <c r="E28" s="1227"/>
      <c r="F28" s="1228" t="str">
        <f>IF(AK8&gt;1,IF(AK7&gt;3,"/",""),"")</f>
        <v/>
      </c>
      <c r="G28" s="1229"/>
      <c r="H28" s="1227"/>
      <c r="I28" s="1228" t="str">
        <f>IF(AK8&gt;2,IF(AK7&gt;3,"/",""),"")</f>
        <v/>
      </c>
      <c r="J28" s="1229"/>
      <c r="K28" s="1227"/>
      <c r="L28" s="1228" t="str">
        <f>IF(AK8&gt;3,IF(AK7&gt;3,"/",""),"")</f>
        <v/>
      </c>
      <c r="M28" s="1229"/>
      <c r="N28" s="1227"/>
      <c r="O28" s="1228" t="str">
        <f>IF(AK8&gt;4,IF(AK7&gt;3,"/",""),"")</f>
        <v/>
      </c>
      <c r="P28" s="1229"/>
      <c r="Q28" s="1227"/>
      <c r="R28" s="1228" t="str">
        <f>IF(AK8&gt;5,IF(AK7&gt;3,"/",""),"")</f>
        <v/>
      </c>
      <c r="S28" s="1229"/>
      <c r="T28" s="1227"/>
      <c r="U28" s="1228" t="str">
        <f>IF(AK8&gt;6,IF(AK7&gt;3,"/",""),"")</f>
        <v/>
      </c>
      <c r="V28" s="1229"/>
      <c r="W28" s="1227"/>
      <c r="X28" s="1228" t="str">
        <f>IF(AK8&gt;7,IF(AK7&gt;3,"/",""),"")</f>
        <v/>
      </c>
      <c r="Y28" s="1229"/>
      <c r="Z28" s="1227"/>
      <c r="AA28" s="1228" t="str">
        <f>IF(AK8&gt;8,IF(AK7&gt;3,"/",""),"")</f>
        <v/>
      </c>
      <c r="AB28" s="1229"/>
      <c r="AC28" s="1227"/>
      <c r="AD28" s="1228" t="str">
        <f>IF(AK8&gt;9,IF(AK7&gt;3,"/",""),"")</f>
        <v/>
      </c>
      <c r="AE28" s="1229"/>
      <c r="AF28" s="1218" t="str">
        <f>IF(AK9&gt;4,"Team 5","")</f>
        <v/>
      </c>
      <c r="AG28" s="1230" t="str">
        <f>IF(AK9&lt;5,"",IF(AK8&lt;1,"",IF(B24=5,B30-D30,IF(D24=5,D30-B30,""))))</f>
        <v/>
      </c>
      <c r="AH28" s="1226" t="str">
        <f>IF(AK9&lt;5,"",IF(AK8&lt;2,"",IF(E24=5,E30-G30,IF(G24=5,G30-E30,""))))</f>
        <v/>
      </c>
      <c r="AI28" s="1226" t="str">
        <f>IF(AK9&lt;5,"",IF(AK8&lt;3,"",IF(H24=5,H30-J30,IF(J24=5,J30-H30,""))))</f>
        <v/>
      </c>
      <c r="AJ28" s="1226" t="str">
        <f>IF(AK9&lt;5,"",IF(AK8&lt;4,"",IF(K24=5,K30-M30,IF(M24=5,M30-K30,""))))</f>
        <v/>
      </c>
      <c r="AK28" s="1226" t="str">
        <f>IF(AK9&lt;5,"",IF(AK8&lt;5,"",IF(N24=5,N30-P30,IF(P24=5,P30-N30,""))))</f>
        <v/>
      </c>
      <c r="AL28" s="1226" t="str">
        <f>IF(AK9&lt;5,"",IF(AK8&lt;6,"",IF(Q24=5,Q30-S30,IF(S24=5,S30-Q30,""))))</f>
        <v/>
      </c>
      <c r="AM28" s="1226" t="str">
        <f>IF(AK9&lt;5,"",IF(AK8&lt;7,"",IF(T24=5,T30-V30,IF(V24=5,V30-T30,""))))</f>
        <v/>
      </c>
      <c r="AN28" s="1226" t="str">
        <f>IF(AK9&lt;5,"",IF(AK8&lt;8,"",IF(W24=5,W30-Y30,IF(Y24=5,Y30-W30,""))))</f>
        <v/>
      </c>
      <c r="AO28" s="1226" t="str">
        <f>IF(AK9&lt;5,"",IF(AK8&lt;9,"",IF(Z24=5,Z30-AB30,IF(AB24=5,AB30-Z30,""))))</f>
        <v/>
      </c>
      <c r="AP28" s="1226" t="str">
        <f>IF(AK9&lt;5,"",IF(AK8&lt;10,"",IF(AC24=5,AC30-AE30,IF(AE24=5,AE30-AC30,""))))</f>
        <v/>
      </c>
      <c r="AQ28" s="1220">
        <f>SUM(AG28:AP28)</f>
        <v>0</v>
      </c>
    </row>
    <row r="29" spans="1:47" ht="15" x14ac:dyDescent="0.2">
      <c r="A29" s="1039" t="str">
        <f>IF(AK7&gt;4,"Game 5","")</f>
        <v/>
      </c>
      <c r="B29" s="1227"/>
      <c r="C29" s="1228" t="s">
        <v>53</v>
      </c>
      <c r="D29" s="1229"/>
      <c r="E29" s="1227"/>
      <c r="F29" s="1228" t="str">
        <f>IF(AK8&gt;1,IF(AK7&gt;4,"/",""),"")</f>
        <v/>
      </c>
      <c r="G29" s="1229"/>
      <c r="H29" s="1227"/>
      <c r="I29" s="1228" t="str">
        <f>IF(AK8&gt;2,IF(AK7&gt;4,"/",""),"")</f>
        <v/>
      </c>
      <c r="J29" s="1229"/>
      <c r="K29" s="1227"/>
      <c r="L29" s="1228" t="str">
        <f>IF(AK8&gt;3,IF(AK7&gt;4,"/",""),"")</f>
        <v/>
      </c>
      <c r="M29" s="1229"/>
      <c r="N29" s="1227"/>
      <c r="O29" s="1228" t="str">
        <f>IF(AK8&gt;4,IF(AK7&gt;4,"/",""),"")</f>
        <v/>
      </c>
      <c r="P29" s="1229"/>
      <c r="Q29" s="1227"/>
      <c r="R29" s="1228" t="str">
        <f>IF(AK8&gt;5,IF(AK7&gt;4,"/",""),"")</f>
        <v/>
      </c>
      <c r="S29" s="1229"/>
      <c r="T29" s="1227"/>
      <c r="U29" s="1228" t="str">
        <f>IF(AK8&gt;6,IF(AK7&gt;4,"/",""),"")</f>
        <v/>
      </c>
      <c r="V29" s="1229"/>
      <c r="W29" s="1227"/>
      <c r="X29" s="1228" t="str">
        <f>IF(AK8&gt;7,IF(AK7&gt;4,"/",""),"")</f>
        <v/>
      </c>
      <c r="Y29" s="1229"/>
      <c r="Z29" s="1227"/>
      <c r="AA29" s="1228" t="str">
        <f>IF(AK8&gt;8,IF(AK7&gt;4,"/",""),"")</f>
        <v/>
      </c>
      <c r="AB29" s="1229"/>
      <c r="AC29" s="1227"/>
      <c r="AD29" s="1228" t="str">
        <f>IF(AK8&gt;9,IF(AK7&gt;4,"/",""),"")</f>
        <v/>
      </c>
      <c r="AE29" s="1229"/>
      <c r="AF29" s="1058"/>
      <c r="AG29" s="1058"/>
      <c r="AH29" s="1058"/>
      <c r="AI29" s="1058"/>
      <c r="AJ29" s="1058"/>
      <c r="AK29" s="1058"/>
      <c r="AL29" s="1058"/>
      <c r="AM29" s="1058"/>
      <c r="AN29" s="1058"/>
      <c r="AO29" s="1058"/>
      <c r="AP29" s="1058"/>
      <c r="AQ29" s="1058"/>
    </row>
    <row r="30" spans="1:47" hidden="1" x14ac:dyDescent="0.2">
      <c r="A30" s="1028"/>
      <c r="B30" s="1028">
        <f>IF($AK7=5,SUM(B25:B29),IF($AK7=4,SUM(B25:B28),IF($AK7=3,SUM(B25:B27),IF($AK7=2,SUM(B25:B26),B25))))</f>
        <v>29</v>
      </c>
      <c r="C30" s="1028"/>
      <c r="D30" s="1028">
        <f>IF($AK7=5,SUM(D25:D29),IF($AK7=4,SUM(D25:D28),IF($AK7=3,SUM(D25:D27),IF($AK7=2,SUM(D25:D26),D25))))</f>
        <v>32</v>
      </c>
      <c r="E30" s="1028">
        <f>IF($AK7=5,SUM(E25:E29),IF($AK7=4,SUM(E25:E28),IF($AK7=3,SUM(E25:E27),IF($AK7=2,SUM(E25:E26),E25))))</f>
        <v>39</v>
      </c>
      <c r="F30" s="1028"/>
      <c r="G30" s="1028">
        <f>IF($AK7=5,SUM(G25:G29),IF($AK7=4,SUM(G25:G28),IF($AK7=3,SUM(G25:G27),IF($AK7=2,SUM(G25:G26),G25))))</f>
        <v>21</v>
      </c>
      <c r="H30" s="1028">
        <f>IF($AK7=5,SUM(H25:H29),IF($AK7=4,SUM(H25:H28),IF($AK7=3,SUM(H25:H27),IF($AK7=2,SUM(H25:H26),H25))))</f>
        <v>37</v>
      </c>
      <c r="I30" s="1028"/>
      <c r="J30" s="1028">
        <f>IF($AK7=5,SUM(J25:J29),IF($AK7=4,SUM(J25:J28),IF($AK7=3,SUM(J25:J27),IF($AK7=2,SUM(J25:J26),J25))))</f>
        <v>30</v>
      </c>
      <c r="K30" s="1028">
        <f>IF($AK7=5,SUM(K25:K29),IF($AK7=4,SUM(K25:K28),IF($AK7=3,SUM(K25:K27),IF($AK7=2,SUM(K25:K26),K25))))</f>
        <v>39</v>
      </c>
      <c r="L30" s="1028"/>
      <c r="M30" s="1028">
        <f>IF($AK7=5,SUM(M25:M29),IF($AK7=4,SUM(M25:M28),IF($AK7=3,SUM(M25:M27),IF($AK7=2,SUM(M25:M26),M25))))</f>
        <v>28</v>
      </c>
      <c r="N30" s="1028">
        <f>IF($AK7=5,SUM(N25:N29),IF($AK7=4,SUM(N25:N28),IF($AK7=3,SUM(N25:N27),IF($AK7=2,SUM(N25:N26),N25))))</f>
        <v>33</v>
      </c>
      <c r="O30" s="1028"/>
      <c r="P30" s="1028">
        <f>IF($AK7=5,SUM(P25:P29),IF($AK7=4,SUM(P25:P28),IF($AK7=3,SUM(P25:P27),IF($AK7=2,SUM(P25:P26),P25))))</f>
        <v>30</v>
      </c>
      <c r="Q30" s="1028">
        <f>IF($AK7=5,SUM(Q25:Q29),IF($AK7=4,SUM(Q25:Q28),IF($AK7=3,SUM(Q25:Q27),IF($AK7=2,SUM(Q25:Q26),Q25))))</f>
        <v>42</v>
      </c>
      <c r="R30" s="1028"/>
      <c r="S30" s="1028">
        <f>IF($AK7=5,SUM(S25:S29),IF($AK7=4,SUM(S25:S28),IF($AK7=3,SUM(S25:S27),IF($AK7=2,SUM(S25:S26),S25))))</f>
        <v>21</v>
      </c>
      <c r="T30" s="1028">
        <f>IF($AK7=5,SUM(T25:T29),IF($AK7=4,SUM(T25:T28),IF($AK7=3,SUM(T25:T27),IF($AK7=2,SUM(T25:T26),T25))))</f>
        <v>0</v>
      </c>
      <c r="U30" s="1028"/>
      <c r="V30" s="1028">
        <f>IF($AK7=5,SUM(V25:V29),IF($AK7=4,SUM(V25:V28),IF($AK7=3,SUM(V25:V27),IF($AK7=2,SUM(V25:V26),V25))))</f>
        <v>0</v>
      </c>
      <c r="W30" s="1028">
        <f>IF($AK7=5,SUM(W25:W29),IF($AK7=4,SUM(W25:W28),IF($AK7=3,SUM(W25:W27),IF($AK7=2,SUM(W25:W26),W25))))</f>
        <v>0</v>
      </c>
      <c r="X30" s="1028"/>
      <c r="Y30" s="1028">
        <f>IF($AK7=5,SUM(Y25:Y29),IF($AK7=4,SUM(Y25:Y28),IF($AK7=3,SUM(Y25:Y27),IF($AK7=2,SUM(Y25:Y26),Y25))))</f>
        <v>0</v>
      </c>
      <c r="Z30" s="1028">
        <f>IF($AK7=5,SUM(Z25:Z29),IF($AK7=4,SUM(Z25:Z28),IF($AK7=3,SUM(Z25:Z27),IF($AK7=2,SUM(Z25:Z26),Z25))))</f>
        <v>0</v>
      </c>
      <c r="AA30" s="1028"/>
      <c r="AB30" s="1028">
        <f>IF($AK7=5,SUM(AB25:AB29),IF($AK7=4,SUM(AB25:AB28),IF($AK7=3,SUM(AB25:AB27),IF($AK7=2,SUM(AB25:AB26),AB25))))</f>
        <v>0</v>
      </c>
      <c r="AC30" s="1028">
        <f>IF($AK7=5,SUM(AC25:AC29),IF($AK7=4,SUM(AC25:AC28),IF($AK7=3,SUM(AC25:AC27),IF($AK7=2,SUM(AC25:AC26),AC25))))</f>
        <v>0</v>
      </c>
      <c r="AD30" s="1028"/>
      <c r="AE30" s="1028">
        <f>IF($AK7=5,SUM(AE25:AE29),IF($AK7=4,SUM(AE25:AE28),IF($AK7=3,SUM(AE25:AE27),IF($AK7=2,SUM(AE25:AE26),AE25))))</f>
        <v>0</v>
      </c>
      <c r="AF30" s="1058"/>
      <c r="AG30" s="1058"/>
      <c r="AH30" s="1058"/>
      <c r="AI30" s="1058"/>
      <c r="AJ30" s="1058"/>
      <c r="AK30" s="1058"/>
      <c r="AL30" s="1058"/>
      <c r="AM30" s="1058"/>
      <c r="AN30" s="1058"/>
      <c r="AO30" s="1058"/>
      <c r="AP30" s="1058"/>
      <c r="AQ30" s="1058"/>
    </row>
    <row r="31" spans="1:47" s="1231" customFormat="1" ht="12.75" hidden="1" customHeight="1" x14ac:dyDescent="0.2">
      <c r="A31" s="1231" t="s">
        <v>54</v>
      </c>
      <c r="B31" s="1232">
        <f>IF(AND(B25&gt;D25,$AK8&gt;0,ISNUMBER(B25),ISNUMBER(D25)),1,0)</f>
        <v>0</v>
      </c>
      <c r="C31" s="1232"/>
      <c r="D31" s="1233">
        <f>IF(AND(D25&gt;B25,$AK8&gt;0,ISNUMBER(B25),ISNUMBER(D25)),1,0)</f>
        <v>1</v>
      </c>
      <c r="E31" s="1232">
        <f>IF(AND(E25&gt;G25,$AK8&gt;1,ISNUMBER(E25),ISNUMBER(G25)),1,0)</f>
        <v>1</v>
      </c>
      <c r="F31" s="1232"/>
      <c r="G31" s="1233">
        <f>IF(AND(G25&gt;E25,$AK8&gt;1,ISNUMBER(E25),ISNUMBER(G25)),1,0)</f>
        <v>0</v>
      </c>
      <c r="H31" s="1232">
        <f>IF(AND(H25&gt;J25,$AK8&gt;2,ISNUMBER(H25),ISNUMBER(J25)),1,0)</f>
        <v>1</v>
      </c>
      <c r="I31" s="1232"/>
      <c r="J31" s="1233">
        <f>IF(AND(J25&gt;H25,$AK8&gt;2,ISNUMBER(H25),ISNUMBER(J25)),1,0)</f>
        <v>0</v>
      </c>
      <c r="K31" s="1232">
        <f>IF(AND(K25&gt;M25,$AK8&gt;3,ISNUMBER(K25),ISNUMBER(M25)),1,0)</f>
        <v>1</v>
      </c>
      <c r="L31" s="1232"/>
      <c r="M31" s="1233">
        <f>IF(AND(M25&gt;K25,$AK8&gt;3,ISNUMBER(K25),ISNUMBER(M25)),1,0)</f>
        <v>0</v>
      </c>
      <c r="N31" s="1232">
        <f>IF(AND(N25&gt;P25,$AK8&gt;4,ISNUMBER(N25),ISNUMBER(P25)),1,0)</f>
        <v>0</v>
      </c>
      <c r="O31" s="1232"/>
      <c r="P31" s="1233">
        <f>IF(AND(P25&gt;N25,$AK8&gt;4,ISNUMBER(N25),ISNUMBER(P25)),1,0)</f>
        <v>1</v>
      </c>
      <c r="Q31" s="1232">
        <f>IF(AND(Q25&gt;S25,$AK8&gt;5,ISNUMBER(Q25),ISNUMBER(S25)),1,0)</f>
        <v>1</v>
      </c>
      <c r="R31" s="1232"/>
      <c r="S31" s="1233">
        <f>IF(AND(S25&gt;Q25,$AK8&gt;5,ISNUMBER(Q25),ISNUMBER(S25)),1,0)</f>
        <v>0</v>
      </c>
      <c r="T31" s="1232">
        <f>IF(AND(T25&gt;V25,$AK8&gt;6,ISNUMBER(T25),ISNUMBER(V25)),1,0)</f>
        <v>0</v>
      </c>
      <c r="U31" s="1232"/>
      <c r="V31" s="1233">
        <f>IF(AND(V25&gt;T25,$AK8&gt;6,ISNUMBER(T25),ISNUMBER(V25)),1,0)</f>
        <v>0</v>
      </c>
      <c r="W31" s="1232">
        <f>IF(AND(W25&gt;Y25,$AK8&gt;7,ISNUMBER(W25),ISNUMBER(Y25)),1,0)</f>
        <v>0</v>
      </c>
      <c r="X31" s="1232"/>
      <c r="Y31" s="1233">
        <f>IF(AND(Y25&gt;W25,$AK8&gt;7,ISNUMBER(W25),ISNUMBER(Y25)),1,0)</f>
        <v>0</v>
      </c>
      <c r="Z31" s="1232">
        <f>IF(AND(Z25&gt;AB25,$AK8&gt;8,ISNUMBER(Z25),ISNUMBER(AB25)),1,0)</f>
        <v>0</v>
      </c>
      <c r="AA31" s="1232"/>
      <c r="AB31" s="1233">
        <f>IF(AND(AB25&gt;Z25,$AK8&gt;8,ISNUMBER(Z25),ISNUMBER(AB25)),1,0)</f>
        <v>0</v>
      </c>
      <c r="AC31" s="1232">
        <f>IF(AND(AC25&gt;AE25,$AK8&gt;9,ISNUMBER(AC25),ISNUMBER(AE25)),1,0)</f>
        <v>0</v>
      </c>
      <c r="AD31" s="1232"/>
      <c r="AE31" s="1233">
        <f>IF(AND(AE25&gt;AC25,$AK8&gt;9,ISNUMBER(AC25),ISNUMBER(AE25)),1,0)</f>
        <v>0</v>
      </c>
    </row>
    <row r="32" spans="1:47" s="1231" customFormat="1" ht="12.75" hidden="1" customHeight="1" x14ac:dyDescent="0.2">
      <c r="A32" s="1231" t="s">
        <v>55</v>
      </c>
      <c r="B32" s="1232">
        <f>IF(AND(B26&gt;D26,$AK8&gt;0,$AK7&gt;1,ISNUMBER(B26),ISNUMBER(D26)),1,0)</f>
        <v>1</v>
      </c>
      <c r="C32" s="1232"/>
      <c r="D32" s="1233">
        <f>IF(AND(D26&gt;B26,$AK8&gt;0,$AK7&gt;1,ISNUMBER(B26),ISNUMBER(D26)),1,0)</f>
        <v>0</v>
      </c>
      <c r="E32" s="1232">
        <f>IF(AND(E26&gt;G26,$AK8&gt;1,$AK7&gt;1,ISNUMBER(E26),ISNUMBER(G26)),1,0)</f>
        <v>1</v>
      </c>
      <c r="F32" s="1232"/>
      <c r="G32" s="1233">
        <f>IF(AND(G26&gt;E26,$AK8&gt;1,$AK7&gt;1,ISNUMBER(E26),ISNUMBER(G26)),1,0)</f>
        <v>0</v>
      </c>
      <c r="H32" s="1232">
        <f>IF(AND(H26&gt;J26,$AK8&gt;2,$AK7&gt;1,ISNUMBER(H26),ISNUMBER(J26)),1,0)</f>
        <v>1</v>
      </c>
      <c r="I32" s="1232"/>
      <c r="J32" s="1233">
        <f>IF(AND(J26&gt;H26,$AK8&gt;2,$AK7&gt;1,ISNUMBER(H26),ISNUMBER(J26)),1,0)</f>
        <v>0</v>
      </c>
      <c r="K32" s="1232">
        <f>IF(AND(K26&gt;M26,$AK8&gt;3,$AK7&gt;1,ISNUMBER(K26),ISNUMBER(M26)),1,0)</f>
        <v>1</v>
      </c>
      <c r="L32" s="1232"/>
      <c r="M32" s="1233">
        <f>IF(AND(M26&gt;K26,$AK8&gt;3,$AK7&gt;1,ISNUMBER(K26),ISNUMBER(M26)),1,0)</f>
        <v>0</v>
      </c>
      <c r="N32" s="1232">
        <f>IF(AND(N26&gt;P26,$AK8&gt;4,$AK7&gt;1,ISNUMBER(N26),ISNUMBER(P26)),1,0)</f>
        <v>1</v>
      </c>
      <c r="O32" s="1232"/>
      <c r="P32" s="1233">
        <f>IF(AND(P26&gt;N26,$AK8&gt;4,$AK7&gt;1,ISNUMBER(N26),ISNUMBER(P26)),1,0)</f>
        <v>0</v>
      </c>
      <c r="Q32" s="1232">
        <f>IF(AND(Q26&gt;S26,$AK8&gt;5,$AK7&gt;1,ISNUMBER(Q26),ISNUMBER(S26)),1,0)</f>
        <v>1</v>
      </c>
      <c r="R32" s="1232"/>
      <c r="S32" s="1233">
        <f>IF(AND(S26&gt;Q26,$AK8&gt;5,$AK7&gt;1,ISNUMBER(Q26),ISNUMBER(S26)),1,0)</f>
        <v>0</v>
      </c>
      <c r="T32" s="1232">
        <f>IF(AND(T26&gt;V26,$AK8&gt;6,$AK7&gt;1,ISNUMBER(T26),ISNUMBER(V26)),1,0)</f>
        <v>0</v>
      </c>
      <c r="U32" s="1232"/>
      <c r="V32" s="1233">
        <f>IF(AND(V26&gt;T26,$AK8&gt;6,$AK7&gt;1,ISNUMBER(T26),ISNUMBER(V26)),1,0)</f>
        <v>0</v>
      </c>
      <c r="W32" s="1232">
        <f>IF(AND(W26&gt;Y26,$AK8&gt;7,$AK7&gt;1,ISNUMBER(W26),ISNUMBER(Y26)),1,0)</f>
        <v>0</v>
      </c>
      <c r="X32" s="1232"/>
      <c r="Y32" s="1233">
        <f>IF(AND(Y26&gt;W26,$AK8&gt;7,$AK7&gt;1,ISNUMBER(W26),ISNUMBER(Y26)),1,0)</f>
        <v>0</v>
      </c>
      <c r="Z32" s="1232">
        <f>IF(AND(Z26&gt;AB26,$AK8&gt;8,$AK7&gt;1,ISNUMBER(Z26),ISNUMBER(AB26)),1,0)</f>
        <v>0</v>
      </c>
      <c r="AA32" s="1232"/>
      <c r="AB32" s="1233">
        <f>IF(AND(AB26&gt;Z26,$AK8&gt;8,$AK7&gt;1,ISNUMBER(Z26),ISNUMBER(AB26)),1,0)</f>
        <v>0</v>
      </c>
      <c r="AC32" s="1232">
        <f>IF(AND(AC26&gt;AE26,$AK8&gt;9,$AK7&gt;1,ISNUMBER(AC26),ISNUMBER(AE26)),1,0)</f>
        <v>0</v>
      </c>
      <c r="AD32" s="1232"/>
      <c r="AE32" s="1233">
        <f>IF(AND(AE26&gt;AC26,$AK8&gt;9,$AK7&gt;1,ISNUMBER(AC26),ISNUMBER(AE26)),1,0)</f>
        <v>0</v>
      </c>
    </row>
    <row r="33" spans="1:33" s="1231" customFormat="1" ht="12.75" hidden="1" customHeight="1" x14ac:dyDescent="0.2">
      <c r="A33" s="1231" t="s">
        <v>56</v>
      </c>
      <c r="B33" s="1232">
        <f>IF(AND(B27&gt;D27,$AK8&gt;0,$AK7&gt;2,ISNUMBER(B27),ISNUMBER(D27)),1,0)</f>
        <v>0</v>
      </c>
      <c r="C33" s="1232"/>
      <c r="D33" s="1233">
        <f>IF(AND(D27&gt;B27,$AK8&gt;0,$AK7&gt;2,ISNUMBER(B27),ISNUMBER(D27)),1,0)</f>
        <v>0</v>
      </c>
      <c r="E33" s="1232">
        <f>IF(AND(E27&gt;G27,$AK8&gt;1,$AK7&gt;2,ISNUMBER(E27),ISNUMBER(G27)),1,0)</f>
        <v>0</v>
      </c>
      <c r="F33" s="1232"/>
      <c r="G33" s="1233">
        <f>IF(AND(G27&gt;E27,$AK8&gt;1,$AK7&gt;2,ISNUMBER(E27),ISNUMBER(G27)),1,0)</f>
        <v>0</v>
      </c>
      <c r="H33" s="1232">
        <f>IF(AND(H27&gt;J27,$AK8&gt;2,$AK7&gt;2,ISNUMBER(H27),ISNUMBER(J27)),1,0)</f>
        <v>0</v>
      </c>
      <c r="I33" s="1232"/>
      <c r="J33" s="1233">
        <f>IF(AND(J27&gt;H27,$AK8&gt;2,$AK7&gt;2,ISNUMBER(H27),ISNUMBER(J27)),1,0)</f>
        <v>0</v>
      </c>
      <c r="K33" s="1232">
        <f>IF(AND(K27&gt;M27,$AK8&gt;3,$AK7&gt;2,ISNUMBER(K27),ISNUMBER(M27)),1,0)</f>
        <v>0</v>
      </c>
      <c r="L33" s="1232"/>
      <c r="M33" s="1233">
        <f>IF(AND(M27&gt;K27,$AK8&gt;3,$AK7&gt;2,ISNUMBER(K27),ISNUMBER(M27)),1,0)</f>
        <v>0</v>
      </c>
      <c r="N33" s="1232">
        <f>IF(AND(N27&gt;P27,$AK8&gt;4,$AK7&gt;2,ISNUMBER(N27),ISNUMBER(P27)),1,0)</f>
        <v>0</v>
      </c>
      <c r="O33" s="1232"/>
      <c r="P33" s="1233">
        <f>IF(AND(P27&gt;N27,$AK8&gt;4,$AK7&gt;2,ISNUMBER(N27),ISNUMBER(P27)),1,0)</f>
        <v>0</v>
      </c>
      <c r="Q33" s="1232">
        <f>IF(AND(Q27&gt;S27,$AK8&gt;5,$AK7&gt;2,ISNUMBER(Q27),ISNUMBER(S27)),1,0)</f>
        <v>0</v>
      </c>
      <c r="R33" s="1232"/>
      <c r="S33" s="1233">
        <f>IF(AND(S27&gt;Q27,$AK8&gt;5,$AK7&gt;2,ISNUMBER(Q27),ISNUMBER(S27)),1,0)</f>
        <v>0</v>
      </c>
      <c r="T33" s="1232">
        <f>IF(AND(T27&gt;V27,$AK8&gt;6,$AK7&gt;2,ISNUMBER(T27),ISNUMBER(V27)),1,0)</f>
        <v>0</v>
      </c>
      <c r="U33" s="1232"/>
      <c r="V33" s="1233">
        <f>IF(AND(V27&gt;T27,$AK8&gt;6,$AK7&gt;2,ISNUMBER(T27),ISNUMBER(V27)),1,0)</f>
        <v>0</v>
      </c>
      <c r="W33" s="1232">
        <f>IF(AND(W27&gt;Y27,$AK8&gt;7,$AK7&gt;2,ISNUMBER(W27),ISNUMBER(Y27)),1,0)</f>
        <v>0</v>
      </c>
      <c r="X33" s="1232"/>
      <c r="Y33" s="1233">
        <f>IF(AND(Y27&gt;W27,$AK8&gt;7,$AK7&gt;2,ISNUMBER(W27),ISNUMBER(Y27)),1,0)</f>
        <v>0</v>
      </c>
      <c r="Z33" s="1232">
        <f>IF(AND(Z27&gt;AB27,$AK8&gt;8,$AK7&gt;2,ISNUMBER(Z27),ISNUMBER(AB27)),1,0)</f>
        <v>0</v>
      </c>
      <c r="AA33" s="1232"/>
      <c r="AB33" s="1233">
        <f>IF(AND(AB27&gt;Z27,$AK8&gt;8,$AK7&gt;2,ISNUMBER(Z27),ISNUMBER(AB27)),1,0)</f>
        <v>0</v>
      </c>
      <c r="AC33" s="1232">
        <f>IF(AND(AC27&gt;AE27,$AK8&gt;9,$AK7&gt;2,ISNUMBER(AC27),ISNUMBER(AE27)),1,0)</f>
        <v>0</v>
      </c>
      <c r="AD33" s="1232"/>
      <c r="AE33" s="1233">
        <f>IF(AND(AE27&gt;AC27,$AK8&gt;9,$AK7&gt;2,ISNUMBER(AC27),ISNUMBER(AE27)),1,0)</f>
        <v>0</v>
      </c>
    </row>
    <row r="34" spans="1:33" s="1231" customFormat="1" ht="12.75" hidden="1" customHeight="1" x14ac:dyDescent="0.2">
      <c r="A34" s="1231" t="s">
        <v>57</v>
      </c>
      <c r="B34" s="1232">
        <f>IF(AND(B28&gt;D28,$AK8&gt;0,$AK7&gt;3,ISNUMBER(B28),ISNUMBER(D28)),1,0)</f>
        <v>0</v>
      </c>
      <c r="C34" s="1232"/>
      <c r="D34" s="1233">
        <f>IF(AND(D28&gt;B28,$AK8&gt;0,$AK7&gt;3,ISNUMBER(B28),ISNUMBER(D28)),1,0)</f>
        <v>0</v>
      </c>
      <c r="E34" s="1232">
        <f>IF(AND(E28&gt;G28,$AK8&gt;1,$AK7&gt;3,ISNUMBER(E28),ISNUMBER(G28)),1,0)</f>
        <v>0</v>
      </c>
      <c r="F34" s="1232"/>
      <c r="G34" s="1233">
        <f>IF(AND(G28&gt;E28,$AK8&gt;1,$AK7&gt;3,ISNUMBER(E28),ISNUMBER(G28)),1,0)</f>
        <v>0</v>
      </c>
      <c r="H34" s="1232">
        <f>IF(AND(H28&gt;J28,$AK8&gt;2,$AK7&gt;3,ISNUMBER(H28),ISNUMBER(J28)),1,0)</f>
        <v>0</v>
      </c>
      <c r="I34" s="1232"/>
      <c r="J34" s="1233">
        <f>IF(AND(J28&gt;H28,$AK8&gt;2,$AK7&gt;3,ISNUMBER(H28),ISNUMBER(J28)),1,0)</f>
        <v>0</v>
      </c>
      <c r="K34" s="1232">
        <f>IF(AND(K28&gt;M28,$AK8&gt;3,$AK7&gt;3,ISNUMBER(K28),ISNUMBER(M28)),1,0)</f>
        <v>0</v>
      </c>
      <c r="L34" s="1232"/>
      <c r="M34" s="1233">
        <f>IF(AND(M28&gt;K28,$AK8&gt;3,$AK7&gt;3,ISNUMBER(K28),ISNUMBER(M28)),1,0)</f>
        <v>0</v>
      </c>
      <c r="N34" s="1232">
        <f>IF(AND(N28&gt;P28,$AK8&gt;4,$AK7&gt;3,ISNUMBER(N28),ISNUMBER(P28)),1,0)</f>
        <v>0</v>
      </c>
      <c r="O34" s="1232"/>
      <c r="P34" s="1233">
        <f>IF(AND(P28&gt;N28,$AK8&gt;4,$AK7&gt;3,ISNUMBER(N28),ISNUMBER(P28)),1,0)</f>
        <v>0</v>
      </c>
      <c r="Q34" s="1232">
        <f>IF(AND(Q28&gt;S28,$AK8&gt;5,$AK7&gt;3,ISNUMBER(Q28),ISNUMBER(S28)),1,0)</f>
        <v>0</v>
      </c>
      <c r="R34" s="1232"/>
      <c r="S34" s="1233">
        <f>IF(AND(S28&gt;Q28,$AK8&gt;5,$AK7&gt;3,ISNUMBER(Q28),ISNUMBER(S28)),1,0)</f>
        <v>0</v>
      </c>
      <c r="T34" s="1232">
        <f>IF(AND(T28&gt;V28,$AK8&gt;6,$AK7&gt;3,ISNUMBER(T28),ISNUMBER(V28)),1,0)</f>
        <v>0</v>
      </c>
      <c r="U34" s="1232"/>
      <c r="V34" s="1233">
        <f>IF(AND(V28&gt;T28,$AK8&gt;6,$AK7&gt;3,ISNUMBER(T28),ISNUMBER(V28)),1,0)</f>
        <v>0</v>
      </c>
      <c r="W34" s="1232">
        <f>IF(AND(W28&gt;Y28,$AK8&gt;7,$AK7&gt;3,ISNUMBER(W28),ISNUMBER(Y28)),1,0)</f>
        <v>0</v>
      </c>
      <c r="X34" s="1232"/>
      <c r="Y34" s="1233">
        <f>IF(AND(Y28&gt;W28,$AK8&gt;7,$AK7&gt;3,ISNUMBER(W28),ISNUMBER(Y28)),1,0)</f>
        <v>0</v>
      </c>
      <c r="Z34" s="1232">
        <f>IF(AND(Z28&gt;AB28,$AK8&gt;8,$AK7&gt;3,ISNUMBER(Z28),ISNUMBER(AB28)),1,0)</f>
        <v>0</v>
      </c>
      <c r="AA34" s="1232"/>
      <c r="AB34" s="1233">
        <f>IF(AND(AB28&gt;Z28,$AK8&gt;8,$AK7&gt;3,ISNUMBER(Z28),ISNUMBER(AB28)),1,0)</f>
        <v>0</v>
      </c>
      <c r="AC34" s="1232">
        <f>IF(AND(AC28&gt;AE28,$AK8&gt;9,$AK7&gt;3,ISNUMBER(AC28),ISNUMBER(AE28)),1,0)</f>
        <v>0</v>
      </c>
      <c r="AD34" s="1232"/>
      <c r="AE34" s="1233">
        <f>IF(AND(AE28&gt;AC28,$AK8&gt;9,$AK7&gt;3,ISNUMBER(AC28),ISNUMBER(AE28)),1,0)</f>
        <v>0</v>
      </c>
    </row>
    <row r="35" spans="1:33" s="1231" customFormat="1" ht="12.75" hidden="1" customHeight="1" x14ac:dyDescent="0.2">
      <c r="A35" s="1231" t="s">
        <v>58</v>
      </c>
      <c r="B35" s="1232">
        <f>IF(AND(B29&gt;D29,$AK8&gt;0,$AK7&gt;4,ISNUMBER(B29),ISNUMBER(D29)),1,0)</f>
        <v>0</v>
      </c>
      <c r="C35" s="1232"/>
      <c r="D35" s="1233">
        <f>IF(AND(D29&gt;B29,$AK8&gt;0,$AK7&gt;4,ISNUMBER(B29),ISNUMBER(D29)),1,0)</f>
        <v>0</v>
      </c>
      <c r="E35" s="1232">
        <f>IF(AND(E29&gt;G29,$AK8&gt;1,$AK7&gt;4,ISNUMBER(E29),ISNUMBER(G29)),1,0)</f>
        <v>0</v>
      </c>
      <c r="F35" s="1232"/>
      <c r="G35" s="1233">
        <f>IF(AND(G29&gt;E29,$AK8&gt;1,$AK7&gt;4,ISNUMBER(E29),ISNUMBER(G29)),1,0)</f>
        <v>0</v>
      </c>
      <c r="H35" s="1232">
        <f>IF(AND(H29&gt;J29,$AK8&gt;2,$AK7&gt;4,ISNUMBER(H29),ISNUMBER(J29)),1,0)</f>
        <v>0</v>
      </c>
      <c r="I35" s="1232"/>
      <c r="J35" s="1233">
        <f>IF(AND(J29&gt;H29,$AK8&gt;2,$AK7&gt;4,ISNUMBER(H29),ISNUMBER(J29)),1,0)</f>
        <v>0</v>
      </c>
      <c r="K35" s="1232">
        <f>IF(AND(K29&gt;M29,$AK8&gt;3,$AK7&gt;4,ISNUMBER(K29),ISNUMBER(M29)),1,0)</f>
        <v>0</v>
      </c>
      <c r="L35" s="1232"/>
      <c r="M35" s="1233">
        <f>IF(AND(M29&gt;K29,$AK8&gt;3,$AK7&gt;4,ISNUMBER(K29),ISNUMBER(M29)),1,0)</f>
        <v>0</v>
      </c>
      <c r="N35" s="1232">
        <f>IF(AND(N29&gt;P29,$AK8&gt;4,$AK7&gt;4,ISNUMBER(N29),ISNUMBER(P29)),1,0)</f>
        <v>0</v>
      </c>
      <c r="O35" s="1232"/>
      <c r="P35" s="1233">
        <f>IF(AND(P29&gt;N29,$AK8&gt;4,$AK7&gt;4,ISNUMBER(N29),ISNUMBER(P29)),1,0)</f>
        <v>0</v>
      </c>
      <c r="Q35" s="1232">
        <f>IF(AND(Q29&gt;S29,$AK8&gt;5,$AK7&gt;4,ISNUMBER(Q29),ISNUMBER(S29)),1,0)</f>
        <v>0</v>
      </c>
      <c r="R35" s="1232"/>
      <c r="S35" s="1233">
        <f>IF(AND(S29&gt;Q29,$AK8&gt;5,$AK7&gt;4,ISNUMBER(Q29),ISNUMBER(S29)),1,0)</f>
        <v>0</v>
      </c>
      <c r="T35" s="1232">
        <f>IF(AND(T29&gt;V29,$AK8&gt;6,$AK7&gt;4,ISNUMBER(T29),ISNUMBER(V29)),1,0)</f>
        <v>0</v>
      </c>
      <c r="U35" s="1232"/>
      <c r="V35" s="1233">
        <f>IF(AND(V29&gt;T29,$AK8&gt;6,$AK7&gt;4,ISNUMBER(T29),ISNUMBER(V29)),1,0)</f>
        <v>0</v>
      </c>
      <c r="W35" s="1232">
        <f>IF(AND(W29&gt;Y29,$AK8&gt;7,$AK7&gt;4,ISNUMBER(W29),ISNUMBER(Y29)),1,0)</f>
        <v>0</v>
      </c>
      <c r="X35" s="1232"/>
      <c r="Y35" s="1233">
        <f>IF(AND(Y29&gt;W29,$AK8&gt;7,$AK7&gt;4,ISNUMBER(W29),ISNUMBER(Y29)),1,0)</f>
        <v>0</v>
      </c>
      <c r="Z35" s="1232">
        <f>IF(AND(Z29&gt;AB29,$AK8&gt;8,$AK7&gt;4,ISNUMBER(Z29),ISNUMBER(AB29)),1,0)</f>
        <v>0</v>
      </c>
      <c r="AA35" s="1232"/>
      <c r="AB35" s="1233">
        <f>IF(AND(AB29&gt;Z29,$AK8&gt;8,$AK7&gt;4,ISNUMBER(Z29),ISNUMBER(AB29)),1,0)</f>
        <v>0</v>
      </c>
      <c r="AC35" s="1232">
        <f>IF(AND(AC29&gt;AE29,$AK8&gt;9,$AK7&gt;4,ISNUMBER(AC29),ISNUMBER(AE29)),1,0)</f>
        <v>0</v>
      </c>
      <c r="AD35" s="1232"/>
      <c r="AE35" s="1233">
        <f>IF(AND(AE29&gt;AC29,$AK8&gt;9,$AK7&gt;4,ISNUMBER(AC29),ISNUMBER(AE29)),1,0)</f>
        <v>0</v>
      </c>
    </row>
    <row r="36" spans="1:33" s="1231" customFormat="1" ht="38.25" hidden="1" customHeight="1" x14ac:dyDescent="0.2">
      <c r="A36" s="1234" t="s">
        <v>59</v>
      </c>
      <c r="B36" s="1231">
        <f>SUM(B31:B35)</f>
        <v>1</v>
      </c>
      <c r="D36" s="1235">
        <f>SUM(D31:D35)</f>
        <v>1</v>
      </c>
      <c r="E36" s="1231">
        <f>SUM(E31:E35)</f>
        <v>2</v>
      </c>
      <c r="G36" s="1235">
        <f>SUM(G31:G35)</f>
        <v>0</v>
      </c>
      <c r="H36" s="1231">
        <f>SUM(H31:H35)</f>
        <v>2</v>
      </c>
      <c r="J36" s="1235">
        <f>SUM(J31:J35)</f>
        <v>0</v>
      </c>
      <c r="K36" s="1231">
        <f>SUM(K31:K35)</f>
        <v>2</v>
      </c>
      <c r="M36" s="1235">
        <f>SUM(M31:M35)</f>
        <v>0</v>
      </c>
      <c r="N36" s="1231">
        <f>SUM(N31:N35)</f>
        <v>1</v>
      </c>
      <c r="P36" s="1235">
        <f>SUM(P31:P35)</f>
        <v>1</v>
      </c>
      <c r="Q36" s="1231">
        <f>SUM(Q31:Q35)</f>
        <v>2</v>
      </c>
      <c r="S36" s="1235">
        <f>SUM(S31:S35)</f>
        <v>0</v>
      </c>
      <c r="T36" s="1231">
        <f>SUM(T31:T35)</f>
        <v>0</v>
      </c>
      <c r="V36" s="1235">
        <f>SUM(V31:V35)</f>
        <v>0</v>
      </c>
      <c r="W36" s="1231">
        <f>SUM(W31:W35)</f>
        <v>0</v>
      </c>
      <c r="Y36" s="1235">
        <f>SUM(Y31:Y35)</f>
        <v>0</v>
      </c>
      <c r="Z36" s="1231">
        <f>SUM(Z31:Z35)</f>
        <v>0</v>
      </c>
      <c r="AB36" s="1235">
        <f>SUM(AB31:AB35)</f>
        <v>0</v>
      </c>
      <c r="AC36" s="1231">
        <f>SUM(AC31:AC35)</f>
        <v>0</v>
      </c>
      <c r="AE36" s="1235">
        <f>SUM(AE31:AE35)</f>
        <v>0</v>
      </c>
    </row>
    <row r="37" spans="1:33" s="1231" customFormat="1" ht="25.5" hidden="1" customHeight="1" x14ac:dyDescent="0.2">
      <c r="A37" s="1234" t="s">
        <v>60</v>
      </c>
      <c r="B37" s="1231">
        <f>IF(B36&gt;D36,IF(C71=AK7,1,IF(C71=AK7-1,1,0)),0)</f>
        <v>0</v>
      </c>
      <c r="C37" s="1231">
        <f>B37+D37</f>
        <v>0</v>
      </c>
      <c r="D37" s="1235">
        <f>IF(D36&gt;B36,IF(C71=AK7,1,IF(C71=AK7-1,1,0)),0)</f>
        <v>0</v>
      </c>
      <c r="E37" s="1231">
        <f>IF(E36&gt;G36,IF(F71=AK7,1,IF(F71=AK7-1,1,0)),0)</f>
        <v>1</v>
      </c>
      <c r="F37" s="1231">
        <f>E37+G37</f>
        <v>1</v>
      </c>
      <c r="G37" s="1235">
        <f>IF(G36&gt;E36,IF(F71=AK7,1,IF(F71=AK7-1,1,0)),0)</f>
        <v>0</v>
      </c>
      <c r="H37" s="1231">
        <f>IF(H36&gt;J36,IF(I71=AK7,1,IF(I71=AK7-1,1,0)),0)</f>
        <v>1</v>
      </c>
      <c r="I37" s="1231">
        <f>H37+J37</f>
        <v>1</v>
      </c>
      <c r="J37" s="1235">
        <f>IF(J36&gt;H36,IF(I71=AK7,1,IF(I71=AK7-1,1,0)),0)</f>
        <v>0</v>
      </c>
      <c r="K37" s="1231">
        <f>IF(K36&gt;M36,IF(L71=AK7,1,IF(L71=AK7-1,1,0)),0)</f>
        <v>1</v>
      </c>
      <c r="L37" s="1231">
        <f>K37+M37</f>
        <v>1</v>
      </c>
      <c r="M37" s="1235">
        <f>IF(M36&gt;K36,IF(L71=AK7,1,IF(L71=AK7-1,1,0)),0)</f>
        <v>0</v>
      </c>
      <c r="N37" s="1231">
        <f>IF(N36&gt;P36,IF(O71=AK7,1,IF(O71=AK7-1,1,0)),0)</f>
        <v>0</v>
      </c>
      <c r="O37" s="1231">
        <f>N37+P37</f>
        <v>0</v>
      </c>
      <c r="P37" s="1235">
        <f>IF(P36&gt;N36,IF(O71=AK7,1,IF(O71=AK7-1,1,0)),0)</f>
        <v>0</v>
      </c>
      <c r="Q37" s="1231">
        <f>IF(Q36&gt;S36,IF(R71=AK7,1,IF(R71=AK7-1,1,0)),0)</f>
        <v>1</v>
      </c>
      <c r="R37" s="1231">
        <f>Q37+S37</f>
        <v>1</v>
      </c>
      <c r="S37" s="1235">
        <f>IF(S36&gt;Q36,IF(R71=AK7,1,IF(R71=AK7-1,1,0)),0)</f>
        <v>0</v>
      </c>
      <c r="T37" s="1231">
        <f>IF(T36&gt;V36,IF(U71=AK7,1,IF(U71=AK7-1,1,0)),0)</f>
        <v>0</v>
      </c>
      <c r="U37" s="1231">
        <f>T37+V37</f>
        <v>0</v>
      </c>
      <c r="V37" s="1235">
        <f>IF(V36&gt;T36,IF(U71=AK7,1,IF(U71=AK7-1,1,0)),0)</f>
        <v>0</v>
      </c>
      <c r="W37" s="1231">
        <f>IF(W36&gt;Y36,IF(X71=AK7,1,IF(X71=AK7-1,1,0)),0)</f>
        <v>0</v>
      </c>
      <c r="X37" s="1231">
        <f>W37+Y37</f>
        <v>0</v>
      </c>
      <c r="Y37" s="1235">
        <f>IF(Y36&gt;W36,IF(X71=AK7,1,IF(X71=AK7-1,1,0)),0)</f>
        <v>0</v>
      </c>
      <c r="Z37" s="1231">
        <f>IF(Z36&gt;AB36,IF(AA71=AK7,1,IF(AA71=AK7-1,1,0)),0)</f>
        <v>0</v>
      </c>
      <c r="AA37" s="1231">
        <f>Z37+AB37</f>
        <v>0</v>
      </c>
      <c r="AB37" s="1235">
        <f>IF(AB36&gt;Z36,IF(AA71=AK7,1,IF(AA71=AK7-1,1,0)),0)</f>
        <v>0</v>
      </c>
      <c r="AC37" s="1231">
        <f>IF(AC36&gt;AE36,IF(AD71=AK7,1,IF(AD71=AK7-1,1,0)),0)</f>
        <v>0</v>
      </c>
      <c r="AD37" s="1231">
        <f>AC37+AE37</f>
        <v>0</v>
      </c>
      <c r="AE37" s="1235">
        <f>IF(AE36&gt;AC36,IF(AD71=AK7,1,IF(AD71=AK7-1,1,0)),0)</f>
        <v>0</v>
      </c>
    </row>
    <row r="38" spans="1:33" s="1231" customFormat="1" ht="25.5" hidden="1" customHeight="1" x14ac:dyDescent="0.2">
      <c r="A38" s="1234"/>
      <c r="D38" s="1235"/>
      <c r="G38" s="1235"/>
      <c r="J38" s="1235"/>
      <c r="M38" s="1235"/>
      <c r="P38" s="1235"/>
      <c r="S38" s="1235"/>
      <c r="V38" s="1235"/>
      <c r="Y38" s="1235"/>
      <c r="AB38" s="1235"/>
      <c r="AE38" s="1235"/>
    </row>
    <row r="39" spans="1:33" s="1231" customFormat="1" ht="12.75" hidden="1" customHeight="1" x14ac:dyDescent="0.2">
      <c r="A39" s="1231" t="s">
        <v>61</v>
      </c>
      <c r="B39" s="1231">
        <f>IF(B31=1,B25,0)</f>
        <v>0</v>
      </c>
      <c r="D39" s="1235">
        <f t="shared" ref="D39:E43" si="0">IF(D31=1,D25,0)</f>
        <v>19</v>
      </c>
      <c r="E39" s="1231">
        <f t="shared" si="0"/>
        <v>23</v>
      </c>
      <c r="G39" s="1235">
        <f t="shared" ref="G39:H43" si="1">IF(G31=1,G25,0)</f>
        <v>0</v>
      </c>
      <c r="H39" s="1231">
        <f t="shared" si="1"/>
        <v>17</v>
      </c>
      <c r="J39" s="1235">
        <f t="shared" ref="J39:K43" si="2">IF(J31=1,J25,0)</f>
        <v>0</v>
      </c>
      <c r="K39" s="1231">
        <f t="shared" si="2"/>
        <v>21</v>
      </c>
      <c r="M39" s="1235">
        <f t="shared" ref="M39:N43" si="3">IF(M31=1,M25,0)</f>
        <v>0</v>
      </c>
      <c r="N39" s="1231">
        <f t="shared" si="3"/>
        <v>0</v>
      </c>
      <c r="P39" s="1235">
        <f t="shared" ref="P39:Q43" si="4">IF(P31=1,P25,0)</f>
        <v>15</v>
      </c>
      <c r="Q39" s="1231">
        <f t="shared" si="4"/>
        <v>20</v>
      </c>
      <c r="S39" s="1235">
        <f t="shared" ref="S39:T43" si="5">IF(S31=1,S25,0)</f>
        <v>0</v>
      </c>
      <c r="T39" s="1231">
        <f t="shared" si="5"/>
        <v>0</v>
      </c>
      <c r="V39" s="1235">
        <f t="shared" ref="V39:W43" si="6">IF(V31=1,V25,0)</f>
        <v>0</v>
      </c>
      <c r="W39" s="1231">
        <f t="shared" si="6"/>
        <v>0</v>
      </c>
      <c r="Y39" s="1235">
        <f t="shared" ref="Y39:Z43" si="7">IF(Y31=1,Y25,0)</f>
        <v>0</v>
      </c>
      <c r="Z39" s="1231">
        <f t="shared" si="7"/>
        <v>0</v>
      </c>
      <c r="AB39" s="1235">
        <f t="shared" ref="AB39:AC43" si="8">IF(AB31=1,AB25,0)</f>
        <v>0</v>
      </c>
      <c r="AC39" s="1231">
        <f t="shared" si="8"/>
        <v>0</v>
      </c>
      <c r="AE39" s="1235">
        <f>IF(AE31=1,AE25,0)</f>
        <v>0</v>
      </c>
    </row>
    <row r="40" spans="1:33" s="1231" customFormat="1" ht="12.75" hidden="1" customHeight="1" x14ac:dyDescent="0.2">
      <c r="A40" s="1231" t="s">
        <v>62</v>
      </c>
      <c r="B40" s="1231">
        <f>IF(B32=1,B26,0)</f>
        <v>18</v>
      </c>
      <c r="D40" s="1235">
        <f t="shared" si="0"/>
        <v>0</v>
      </c>
      <c r="E40" s="1231">
        <f t="shared" si="0"/>
        <v>16</v>
      </c>
      <c r="G40" s="1235">
        <f t="shared" si="1"/>
        <v>0</v>
      </c>
      <c r="H40" s="1231">
        <f t="shared" si="1"/>
        <v>20</v>
      </c>
      <c r="J40" s="1235">
        <f t="shared" si="2"/>
        <v>0</v>
      </c>
      <c r="K40" s="1231">
        <f t="shared" si="2"/>
        <v>18</v>
      </c>
      <c r="M40" s="1235">
        <f t="shared" si="3"/>
        <v>0</v>
      </c>
      <c r="N40" s="1231">
        <f t="shared" si="3"/>
        <v>19</v>
      </c>
      <c r="P40" s="1235">
        <f t="shared" si="4"/>
        <v>0</v>
      </c>
      <c r="Q40" s="1231">
        <f t="shared" si="4"/>
        <v>22</v>
      </c>
      <c r="S40" s="1235">
        <f t="shared" si="5"/>
        <v>0</v>
      </c>
      <c r="T40" s="1231">
        <f t="shared" si="5"/>
        <v>0</v>
      </c>
      <c r="V40" s="1235">
        <f t="shared" si="6"/>
        <v>0</v>
      </c>
      <c r="W40" s="1231">
        <f t="shared" si="6"/>
        <v>0</v>
      </c>
      <c r="Y40" s="1235">
        <f t="shared" si="7"/>
        <v>0</v>
      </c>
      <c r="Z40" s="1231">
        <f t="shared" si="7"/>
        <v>0</v>
      </c>
      <c r="AB40" s="1235">
        <f t="shared" si="8"/>
        <v>0</v>
      </c>
      <c r="AC40" s="1231">
        <f t="shared" si="8"/>
        <v>0</v>
      </c>
      <c r="AE40" s="1235">
        <f>IF(AE32=1,AE26,0)</f>
        <v>0</v>
      </c>
    </row>
    <row r="41" spans="1:33" s="1231" customFormat="1" ht="12.75" hidden="1" customHeight="1" x14ac:dyDescent="0.2">
      <c r="A41" s="1231" t="s">
        <v>63</v>
      </c>
      <c r="B41" s="1231">
        <f>IF(B33=1,B27,0)</f>
        <v>0</v>
      </c>
      <c r="D41" s="1235">
        <f t="shared" si="0"/>
        <v>0</v>
      </c>
      <c r="E41" s="1231">
        <f t="shared" si="0"/>
        <v>0</v>
      </c>
      <c r="G41" s="1235">
        <f t="shared" si="1"/>
        <v>0</v>
      </c>
      <c r="H41" s="1231">
        <f t="shared" si="1"/>
        <v>0</v>
      </c>
      <c r="J41" s="1235">
        <f t="shared" si="2"/>
        <v>0</v>
      </c>
      <c r="K41" s="1231">
        <f t="shared" si="2"/>
        <v>0</v>
      </c>
      <c r="M41" s="1235">
        <f t="shared" si="3"/>
        <v>0</v>
      </c>
      <c r="N41" s="1231">
        <f t="shared" si="3"/>
        <v>0</v>
      </c>
      <c r="P41" s="1235">
        <f t="shared" si="4"/>
        <v>0</v>
      </c>
      <c r="Q41" s="1231">
        <f t="shared" si="4"/>
        <v>0</v>
      </c>
      <c r="S41" s="1235">
        <f t="shared" si="5"/>
        <v>0</v>
      </c>
      <c r="T41" s="1231">
        <f t="shared" si="5"/>
        <v>0</v>
      </c>
      <c r="V41" s="1235">
        <f t="shared" si="6"/>
        <v>0</v>
      </c>
      <c r="W41" s="1231">
        <f t="shared" si="6"/>
        <v>0</v>
      </c>
      <c r="Y41" s="1235">
        <f t="shared" si="7"/>
        <v>0</v>
      </c>
      <c r="Z41" s="1231">
        <f t="shared" si="7"/>
        <v>0</v>
      </c>
      <c r="AB41" s="1235">
        <f t="shared" si="8"/>
        <v>0</v>
      </c>
      <c r="AC41" s="1231">
        <f t="shared" si="8"/>
        <v>0</v>
      </c>
      <c r="AE41" s="1235">
        <f>IF(AE33=1,AE27,0)</f>
        <v>0</v>
      </c>
    </row>
    <row r="42" spans="1:33" s="1231" customFormat="1" ht="12.75" hidden="1" customHeight="1" x14ac:dyDescent="0.2">
      <c r="A42" s="1231" t="s">
        <v>64</v>
      </c>
      <c r="B42" s="1231">
        <f>IF(B34=1,B28,0)</f>
        <v>0</v>
      </c>
      <c r="D42" s="1235">
        <f t="shared" si="0"/>
        <v>0</v>
      </c>
      <c r="E42" s="1231">
        <f t="shared" si="0"/>
        <v>0</v>
      </c>
      <c r="G42" s="1235">
        <f t="shared" si="1"/>
        <v>0</v>
      </c>
      <c r="H42" s="1231">
        <f t="shared" si="1"/>
        <v>0</v>
      </c>
      <c r="J42" s="1235">
        <f t="shared" si="2"/>
        <v>0</v>
      </c>
      <c r="K42" s="1231">
        <f t="shared" si="2"/>
        <v>0</v>
      </c>
      <c r="M42" s="1235">
        <f t="shared" si="3"/>
        <v>0</v>
      </c>
      <c r="N42" s="1231">
        <f t="shared" si="3"/>
        <v>0</v>
      </c>
      <c r="P42" s="1235">
        <f t="shared" si="4"/>
        <v>0</v>
      </c>
      <c r="Q42" s="1231">
        <f t="shared" si="4"/>
        <v>0</v>
      </c>
      <c r="S42" s="1235">
        <f t="shared" si="5"/>
        <v>0</v>
      </c>
      <c r="T42" s="1231">
        <f t="shared" si="5"/>
        <v>0</v>
      </c>
      <c r="V42" s="1235">
        <f t="shared" si="6"/>
        <v>0</v>
      </c>
      <c r="W42" s="1231">
        <f t="shared" si="6"/>
        <v>0</v>
      </c>
      <c r="Y42" s="1235">
        <f t="shared" si="7"/>
        <v>0</v>
      </c>
      <c r="Z42" s="1231">
        <f t="shared" si="7"/>
        <v>0</v>
      </c>
      <c r="AB42" s="1235">
        <f t="shared" si="8"/>
        <v>0</v>
      </c>
      <c r="AC42" s="1231">
        <f t="shared" si="8"/>
        <v>0</v>
      </c>
      <c r="AE42" s="1235">
        <f>IF(AE34=1,AE28,0)</f>
        <v>0</v>
      </c>
    </row>
    <row r="43" spans="1:33" s="1231" customFormat="1" ht="12.75" hidden="1" customHeight="1" x14ac:dyDescent="0.2">
      <c r="A43" s="1231" t="s">
        <v>65</v>
      </c>
      <c r="B43" s="1231">
        <f>IF(B35=1,B29,0)</f>
        <v>0</v>
      </c>
      <c r="D43" s="1235">
        <f t="shared" si="0"/>
        <v>0</v>
      </c>
      <c r="E43" s="1231">
        <f t="shared" si="0"/>
        <v>0</v>
      </c>
      <c r="G43" s="1235">
        <f t="shared" si="1"/>
        <v>0</v>
      </c>
      <c r="H43" s="1231">
        <f t="shared" si="1"/>
        <v>0</v>
      </c>
      <c r="J43" s="1235">
        <f t="shared" si="2"/>
        <v>0</v>
      </c>
      <c r="K43" s="1231">
        <f t="shared" si="2"/>
        <v>0</v>
      </c>
      <c r="M43" s="1235">
        <f t="shared" si="3"/>
        <v>0</v>
      </c>
      <c r="N43" s="1231">
        <f t="shared" si="3"/>
        <v>0</v>
      </c>
      <c r="P43" s="1235">
        <f t="shared" si="4"/>
        <v>0</v>
      </c>
      <c r="Q43" s="1231">
        <f t="shared" si="4"/>
        <v>0</v>
      </c>
      <c r="S43" s="1235">
        <f t="shared" si="5"/>
        <v>0</v>
      </c>
      <c r="T43" s="1231">
        <f t="shared" si="5"/>
        <v>0</v>
      </c>
      <c r="V43" s="1235">
        <f t="shared" si="6"/>
        <v>0</v>
      </c>
      <c r="W43" s="1231">
        <f t="shared" si="6"/>
        <v>0</v>
      </c>
      <c r="Y43" s="1235">
        <f t="shared" si="7"/>
        <v>0</v>
      </c>
      <c r="Z43" s="1231">
        <f t="shared" si="7"/>
        <v>0</v>
      </c>
      <c r="AB43" s="1235">
        <f t="shared" si="8"/>
        <v>0</v>
      </c>
      <c r="AC43" s="1231">
        <f t="shared" si="8"/>
        <v>0</v>
      </c>
      <c r="AE43" s="1235">
        <f>IF(AE35=1,AE29,0)</f>
        <v>0</v>
      </c>
    </row>
    <row r="44" spans="1:33" s="1231" customFormat="1" ht="38.25" hidden="1" customHeight="1" x14ac:dyDescent="0.2">
      <c r="A44" s="1234" t="s">
        <v>66</v>
      </c>
      <c r="B44" s="1231">
        <f>SUM(B39:D43)</f>
        <v>37</v>
      </c>
      <c r="D44" s="1235"/>
      <c r="E44" s="1231">
        <f>SUM(E39:G43)</f>
        <v>39</v>
      </c>
      <c r="G44" s="1235"/>
      <c r="H44" s="1231">
        <f>SUM(H39:J43)</f>
        <v>37</v>
      </c>
      <c r="J44" s="1235"/>
      <c r="K44" s="1231">
        <f>SUM(K39:M43)</f>
        <v>39</v>
      </c>
      <c r="M44" s="1235"/>
      <c r="N44" s="1231">
        <f>SUM(N39:P43)</f>
        <v>34</v>
      </c>
      <c r="P44" s="1235"/>
      <c r="Q44" s="1231">
        <f>SUM(Q39:S43)</f>
        <v>42</v>
      </c>
      <c r="S44" s="1235"/>
      <c r="T44" s="1231">
        <f>SUM(T39:V43)</f>
        <v>0</v>
      </c>
      <c r="V44" s="1235"/>
      <c r="W44" s="1231">
        <f>SUM(W39:Y43)</f>
        <v>0</v>
      </c>
      <c r="Y44" s="1235"/>
      <c r="Z44" s="1231">
        <f>SUM(Z39:AB43)</f>
        <v>0</v>
      </c>
      <c r="AB44" s="1235"/>
      <c r="AC44" s="1231">
        <f>SUM(AC39:AE43)</f>
        <v>0</v>
      </c>
      <c r="AE44" s="1235"/>
    </row>
    <row r="45" spans="1:33" s="1231" customFormat="1" ht="38.25" hidden="1" customHeight="1" x14ac:dyDescent="0.2">
      <c r="A45" s="1231" t="s">
        <v>67</v>
      </c>
      <c r="D45" s="1235"/>
      <c r="G45" s="1235"/>
      <c r="J45" s="1235"/>
      <c r="M45" s="1235"/>
      <c r="P45" s="1235"/>
      <c r="S45" s="1235"/>
      <c r="V45" s="1235"/>
      <c r="Y45" s="1235"/>
      <c r="AB45" s="1235"/>
      <c r="AE45" s="1235"/>
      <c r="AF45" s="1234" t="s">
        <v>68</v>
      </c>
      <c r="AG45" s="1231" t="s">
        <v>69</v>
      </c>
    </row>
    <row r="46" spans="1:33" s="1231" customFormat="1" ht="12.75" hidden="1" customHeight="1" x14ac:dyDescent="0.2">
      <c r="A46" s="1231" t="s">
        <v>70</v>
      </c>
      <c r="B46" s="1231">
        <f>IF(B24=1,IF(B37=1,1,0),0)</f>
        <v>0</v>
      </c>
      <c r="D46" s="1235">
        <f>IF(D24=1,IF(D37=1,1,0),0)</f>
        <v>0</v>
      </c>
      <c r="E46" s="1231">
        <f>IF(E24=1,IF(E37=1,1,0),0)</f>
        <v>1</v>
      </c>
      <c r="G46" s="1235">
        <f>IF(G24=1,IF(G37=1,1,0),0)</f>
        <v>0</v>
      </c>
      <c r="H46" s="1231">
        <f>IF(H24=1,IF(H37=1,1,0),0)</f>
        <v>0</v>
      </c>
      <c r="J46" s="1235">
        <f>IF(J24=1,IF(J37=1,1,0),0)</f>
        <v>0</v>
      </c>
      <c r="K46" s="1231">
        <f>IF(K24=1,IF(K37=1,1,0),0)</f>
        <v>1</v>
      </c>
      <c r="M46" s="1235">
        <f>IF(M24=1,IF(M37=1,1,0),0)</f>
        <v>0</v>
      </c>
      <c r="N46" s="1231">
        <f>IF(N24=1,IF(N37=1,1,0),0)</f>
        <v>0</v>
      </c>
      <c r="P46" s="1235">
        <f>IF(P24=1,IF(P37=1,1,0),0)</f>
        <v>0</v>
      </c>
      <c r="Q46" s="1231">
        <f>IF(Q24=1,IF(Q37=1,1,0),0)</f>
        <v>1</v>
      </c>
      <c r="S46" s="1235">
        <f>IF(S24=1,IF(S37=1,1,0),0)</f>
        <v>0</v>
      </c>
      <c r="T46" s="1231">
        <f>IF(T24=1,IF(T37=1,1,0),0)</f>
        <v>0</v>
      </c>
      <c r="V46" s="1235">
        <f>IF(V24=1,IF(V37=1,1,0),0)</f>
        <v>0</v>
      </c>
      <c r="W46" s="1231">
        <f>IF(W24=1,IF(W37=1,1,0),0)</f>
        <v>0</v>
      </c>
      <c r="Y46" s="1235">
        <f>IF(Y24=1,IF(Y37=1,1,0),0)</f>
        <v>0</v>
      </c>
      <c r="Z46" s="1231">
        <f>IF(Z24=1,IF(Z37=1,1,0),0)</f>
        <v>0</v>
      </c>
      <c r="AB46" s="1235">
        <f>IF(AB24=1,IF(AB37=1,1,0),0)</f>
        <v>0</v>
      </c>
      <c r="AC46" s="1231">
        <f>IF(AC24=1,IF(AC37=1,1,0),0)</f>
        <v>0</v>
      </c>
      <c r="AE46" s="1235">
        <f>IF(AE24=1,IF(AE37=1,1,0),0)</f>
        <v>0</v>
      </c>
      <c r="AF46" s="1231">
        <f>SUM(B46:AE46)</f>
        <v>3</v>
      </c>
      <c r="AG46" s="1231">
        <f>AF52-AF46</f>
        <v>0</v>
      </c>
    </row>
    <row r="47" spans="1:33" s="1231" customFormat="1" ht="12.75" hidden="1" customHeight="1" x14ac:dyDescent="0.2">
      <c r="A47" s="1231" t="s">
        <v>71</v>
      </c>
      <c r="B47" s="1231">
        <f>IF(B24=2,IF(B37=1,1,0),0)</f>
        <v>0</v>
      </c>
      <c r="D47" s="1235">
        <f>IF(D24=2,IF(D37=1,1,0),0)</f>
        <v>0</v>
      </c>
      <c r="E47" s="1231">
        <f>IF(E24=2,IF(E37=1,1,0),0)</f>
        <v>0</v>
      </c>
      <c r="G47" s="1235">
        <f>IF(G24=2,IF(G37=1,1,0),0)</f>
        <v>0</v>
      </c>
      <c r="H47" s="1231">
        <f>IF(H24=2,IF(H37=1,1,0),0)</f>
        <v>1</v>
      </c>
      <c r="J47" s="1235">
        <f>IF(J24=2,IF(J37=1,1,0),0)</f>
        <v>0</v>
      </c>
      <c r="K47" s="1231">
        <f>IF(K24=2,IF(K37=1,1,0),0)</f>
        <v>0</v>
      </c>
      <c r="M47" s="1235">
        <f>IF(M24=2,IF(M37=1,1,0),0)</f>
        <v>0</v>
      </c>
      <c r="N47" s="1231">
        <f>IF(N24=2,IF(N37=1,1,0),0)</f>
        <v>0</v>
      </c>
      <c r="P47" s="1235">
        <f>IF(P24=2,IF(P37=1,1,0),0)</f>
        <v>0</v>
      </c>
      <c r="Q47" s="1231">
        <f>IF(Q24=2,IF(Q37=1,1,0),0)</f>
        <v>0</v>
      </c>
      <c r="S47" s="1235">
        <f>IF(S24=2,IF(S37=1,1,0),0)</f>
        <v>0</v>
      </c>
      <c r="T47" s="1231">
        <f>IF(T24=2,IF(T37=1,1,0),0)</f>
        <v>0</v>
      </c>
      <c r="V47" s="1235">
        <f>IF(V24=2,IF(V37=1,1,0),0)</f>
        <v>0</v>
      </c>
      <c r="W47" s="1231">
        <f>IF(W24=2,IF(W37=1,1,0),0)</f>
        <v>0</v>
      </c>
      <c r="Y47" s="1235">
        <f>IF(Y24=2,IF(Y37=1,1,0),0)</f>
        <v>0</v>
      </c>
      <c r="Z47" s="1231">
        <f>IF(Z24=2,IF(Z37=1,1,0),0)</f>
        <v>0</v>
      </c>
      <c r="AB47" s="1235">
        <f>IF(AB24=2,IF(AB37=1,1,0),0)</f>
        <v>0</v>
      </c>
      <c r="AC47" s="1231">
        <f>IF(AC24=2,IF(AC37=1,1,0),0)</f>
        <v>0</v>
      </c>
      <c r="AE47" s="1235">
        <f>IF(AE24=2,IF(AE37=1,1,0),0)</f>
        <v>0</v>
      </c>
      <c r="AF47" s="1231">
        <f>SUM(B47:AE47)</f>
        <v>1</v>
      </c>
      <c r="AG47" s="1231">
        <f>AF53-AF47</f>
        <v>1</v>
      </c>
    </row>
    <row r="48" spans="1:33" s="1231" customFormat="1" ht="12.75" hidden="1" customHeight="1" x14ac:dyDescent="0.2">
      <c r="A48" s="1231" t="s">
        <v>72</v>
      </c>
      <c r="B48" s="1231">
        <f>IF(B24=3,IF(B37=1,1,0),0)</f>
        <v>0</v>
      </c>
      <c r="D48" s="1235">
        <f>IF(D24=3,IF(D37=1,1,0),0)</f>
        <v>0</v>
      </c>
      <c r="E48" s="1231">
        <f>IF(E24=3,IF(E37=1,1,0),0)</f>
        <v>0</v>
      </c>
      <c r="G48" s="1235">
        <f>IF(G24=3,IF(G37=1,1,0),0)</f>
        <v>0</v>
      </c>
      <c r="H48" s="1231">
        <f>IF(H24=3,IF(H37=1,1,0),0)</f>
        <v>0</v>
      </c>
      <c r="J48" s="1235">
        <f>IF(J24=3,IF(J37=1,1,0),0)</f>
        <v>0</v>
      </c>
      <c r="K48" s="1231">
        <f>IF(K24=3,IF(K37=1,1,0),0)</f>
        <v>0</v>
      </c>
      <c r="M48" s="1235">
        <f>IF(M24=3,IF(M37=1,1,0),0)</f>
        <v>0</v>
      </c>
      <c r="N48" s="1231">
        <f>IF(N24=3,IF(N37=1,1,0),0)</f>
        <v>0</v>
      </c>
      <c r="P48" s="1235">
        <f>IF(P24=3,IF(P37=1,1,0),0)</f>
        <v>0</v>
      </c>
      <c r="Q48" s="1231">
        <f>IF(Q24=3,IF(Q37=1,1,0),0)</f>
        <v>0</v>
      </c>
      <c r="S48" s="1235">
        <f>IF(S24=3,IF(S37=1,1,0),0)</f>
        <v>0</v>
      </c>
      <c r="T48" s="1231">
        <f>IF(T24=3,IF(T37=1,1,0),0)</f>
        <v>0</v>
      </c>
      <c r="V48" s="1235">
        <f>IF(V24=3,IF(V37=1,1,0),0)</f>
        <v>0</v>
      </c>
      <c r="W48" s="1231">
        <f>IF(W24=3,IF(W37=1,1,0),0)</f>
        <v>0</v>
      </c>
      <c r="Y48" s="1235">
        <f>IF(Y24=3,IF(Y37=1,1,0),0)</f>
        <v>0</v>
      </c>
      <c r="Z48" s="1231">
        <f>IF(Z24=3,IF(Z37=1,1,0),0)</f>
        <v>0</v>
      </c>
      <c r="AB48" s="1235">
        <f>IF(AB24=3,IF(AB37=1,1,0),0)</f>
        <v>0</v>
      </c>
      <c r="AC48" s="1231">
        <f>IF(AC24=3,IF(AC37=1,1,0),0)</f>
        <v>0</v>
      </c>
      <c r="AE48" s="1235">
        <f>IF(AE24=3,IF(AE37=1,1,0),0)</f>
        <v>0</v>
      </c>
      <c r="AF48" s="1231">
        <f>SUM(B48:AE48)</f>
        <v>0</v>
      </c>
      <c r="AG48" s="1231">
        <f>AF54-AF48</f>
        <v>1</v>
      </c>
    </row>
    <row r="49" spans="1:37" s="1231" customFormat="1" ht="12.75" hidden="1" customHeight="1" x14ac:dyDescent="0.2">
      <c r="A49" s="1231" t="s">
        <v>73</v>
      </c>
      <c r="B49" s="1231">
        <f>IF(B24=4,IF(B37=1,1,0),0)</f>
        <v>0</v>
      </c>
      <c r="D49" s="1235">
        <f>IF(D24=4,IF(D37=1,1,0),0)</f>
        <v>0</v>
      </c>
      <c r="E49" s="1231">
        <f>IF(E24=4,IF(E37=1,1,0),0)</f>
        <v>0</v>
      </c>
      <c r="G49" s="1235">
        <f>IF(G24=4,IF(G37=1,1,0),0)</f>
        <v>0</v>
      </c>
      <c r="H49" s="1231">
        <f>IF(H24=4,IF(H37=1,1,0),0)</f>
        <v>0</v>
      </c>
      <c r="J49" s="1235">
        <f>IF(J24=4,IF(J37=1,1,0),0)</f>
        <v>0</v>
      </c>
      <c r="K49" s="1231">
        <f>IF(K24=4,IF(K37=1,1,0),0)</f>
        <v>0</v>
      </c>
      <c r="M49" s="1235">
        <f>IF(M24=4,IF(M37=1,1,0),0)</f>
        <v>0</v>
      </c>
      <c r="N49" s="1231">
        <f>IF(N24=4,IF(N37=1,1,0),0)</f>
        <v>0</v>
      </c>
      <c r="P49" s="1235">
        <f>IF(P24=4,IF(P37=1,1,0),0)</f>
        <v>0</v>
      </c>
      <c r="Q49" s="1231">
        <f>IF(Q24=4,IF(Q37=1,1,0),0)</f>
        <v>0</v>
      </c>
      <c r="S49" s="1235">
        <f>IF(S24=4,IF(S37=1,1,0),0)</f>
        <v>0</v>
      </c>
      <c r="T49" s="1231">
        <f>IF(T24=4,IF(T37=1,1,0),0)</f>
        <v>0</v>
      </c>
      <c r="V49" s="1235">
        <f>IF(V24=4,IF(V37=1,1,0),0)</f>
        <v>0</v>
      </c>
      <c r="W49" s="1231">
        <f>IF(W24=4,IF(W37=1,1,0),0)</f>
        <v>0</v>
      </c>
      <c r="Y49" s="1235">
        <f>IF(Y24=4,IF(Y37=1,1,0),0)</f>
        <v>0</v>
      </c>
      <c r="Z49" s="1231">
        <f>IF(Z24=4,IF(Z37=1,1,0),0)</f>
        <v>0</v>
      </c>
      <c r="AB49" s="1235">
        <f>IF(AB24=4,IF(AB37=1,1,0),0)</f>
        <v>0</v>
      </c>
      <c r="AC49" s="1231">
        <f>IF(AC24=4,IF(AC37=1,1,0),0)</f>
        <v>0</v>
      </c>
      <c r="AE49" s="1235">
        <f>IF(AE24=4,IF(AE37=1,1,0),0)</f>
        <v>0</v>
      </c>
      <c r="AF49" s="1231">
        <f>SUM(B49:AE49)</f>
        <v>0</v>
      </c>
      <c r="AG49" s="1231">
        <f>AF55-AF49</f>
        <v>2</v>
      </c>
    </row>
    <row r="50" spans="1:37" s="1231" customFormat="1" ht="12.75" hidden="1" customHeight="1" x14ac:dyDescent="0.2">
      <c r="A50" s="1231" t="s">
        <v>74</v>
      </c>
      <c r="B50" s="1231">
        <f>IF(B24=5,IF(B37=1,1,0),0)</f>
        <v>0</v>
      </c>
      <c r="D50" s="1235">
        <f>IF(D24=5,IF(D37=1,1,0),0)</f>
        <v>0</v>
      </c>
      <c r="E50" s="1231">
        <f>IF(E24=5,IF(E37=1,1,0),0)</f>
        <v>0</v>
      </c>
      <c r="G50" s="1235">
        <f>IF(G24=5,IF(G37=1,1,0),0)</f>
        <v>0</v>
      </c>
      <c r="H50" s="1231">
        <f>IF(H24=5,IF(H37=1,1,0),0)</f>
        <v>0</v>
      </c>
      <c r="J50" s="1235">
        <f>IF(J24=5,IF(J37=1,1,0),0)</f>
        <v>0</v>
      </c>
      <c r="K50" s="1231">
        <f>IF(K24=5,IF(K37=1,1,0),0)</f>
        <v>0</v>
      </c>
      <c r="M50" s="1235">
        <f>IF(M24=5,IF(M37=1,1,0),0)</f>
        <v>0</v>
      </c>
      <c r="N50" s="1231">
        <f>IF(N24=5,IF(N37=1,1,0),0)</f>
        <v>0</v>
      </c>
      <c r="P50" s="1235">
        <f>IF(P24=5,IF(P37=1,1,0),0)</f>
        <v>0</v>
      </c>
      <c r="Q50" s="1231">
        <f>IF(Q24=5,IF(Q37=1,1,0),0)</f>
        <v>0</v>
      </c>
      <c r="S50" s="1235">
        <f>IF(S24=5,IF(S37=1,1,0),0)</f>
        <v>0</v>
      </c>
      <c r="T50" s="1231">
        <f>IF(T24=5,IF(T37=1,1,0),0)</f>
        <v>0</v>
      </c>
      <c r="V50" s="1235">
        <f>IF(V24=5,IF(V37=1,1,0),0)</f>
        <v>0</v>
      </c>
      <c r="W50" s="1231">
        <f>IF(W24=5,IF(W37=1,1,0),0)</f>
        <v>0</v>
      </c>
      <c r="Y50" s="1235">
        <f>IF(Y24=5,IF(Y37=1,1,0),0)</f>
        <v>0</v>
      </c>
      <c r="Z50" s="1231">
        <f>IF(Z24=5,IF(Z37=1,1,0),0)</f>
        <v>0</v>
      </c>
      <c r="AB50" s="1235">
        <f>IF(AB24=5,IF(AB37=1,1,0),0)</f>
        <v>0</v>
      </c>
      <c r="AC50" s="1231">
        <f>IF(AC24=5,IF(AC37=1,1,0),0)</f>
        <v>0</v>
      </c>
      <c r="AE50" s="1235">
        <f>IF(AE24=5,IF(AE37=1,1,0),0)</f>
        <v>0</v>
      </c>
      <c r="AF50" s="1231">
        <f>SUM(B50:AE50)</f>
        <v>0</v>
      </c>
      <c r="AG50" s="1231">
        <f>AF56-AF50</f>
        <v>0</v>
      </c>
    </row>
    <row r="51" spans="1:37" s="1231" customFormat="1" ht="38.25" hidden="1" customHeight="1" x14ac:dyDescent="0.2">
      <c r="A51" s="1234"/>
      <c r="D51" s="1235"/>
      <c r="G51" s="1235"/>
      <c r="J51" s="1235"/>
      <c r="M51" s="1235"/>
      <c r="P51" s="1235"/>
      <c r="S51" s="1235"/>
      <c r="V51" s="1235"/>
      <c r="Y51" s="1235"/>
      <c r="AB51" s="1235"/>
      <c r="AE51" s="1235"/>
      <c r="AF51" s="1234" t="s">
        <v>75</v>
      </c>
    </row>
    <row r="52" spans="1:37" s="1231" customFormat="1" ht="12.75" hidden="1" customHeight="1" x14ac:dyDescent="0.2">
      <c r="A52" s="1231" t="s">
        <v>76</v>
      </c>
      <c r="B52" s="1231">
        <f>IF(B24=1,IF(C37=1,1,0),0)</f>
        <v>0</v>
      </c>
      <c r="D52" s="1235">
        <f>IF(D24=1,IF(C37=1,1,0),0)</f>
        <v>0</v>
      </c>
      <c r="E52" s="1231">
        <f>IF(E24=1,IF(F37=1,1,0),0)</f>
        <v>1</v>
      </c>
      <c r="G52" s="1235">
        <f>IF(G24=1,IF(F37=1,1,0),0)</f>
        <v>0</v>
      </c>
      <c r="H52" s="1231">
        <f>IF(H24=1,IF(I37=1,1,0),0)</f>
        <v>0</v>
      </c>
      <c r="J52" s="1235">
        <f>IF(J24=1,IF(I37=1,1,0),0)</f>
        <v>0</v>
      </c>
      <c r="K52" s="1231">
        <f>IF(K24=1,IF(L37=1,1,0),0)</f>
        <v>1</v>
      </c>
      <c r="M52" s="1235">
        <f>IF(M24=1,IF(L37=1,1,0),0)</f>
        <v>0</v>
      </c>
      <c r="N52" s="1231">
        <f>IF(N24=1,IF(O37=1,1,0),0)</f>
        <v>0</v>
      </c>
      <c r="P52" s="1235">
        <f>IF(P24=1,IF(O37=1,1,0),0)</f>
        <v>0</v>
      </c>
      <c r="Q52" s="1231">
        <f>IF(Q24=1,IF(R37=1,1,0),0)</f>
        <v>1</v>
      </c>
      <c r="S52" s="1235">
        <f>IF(S24=1,IF(R37=1,1,0),0)</f>
        <v>0</v>
      </c>
      <c r="T52" s="1231">
        <f>IF(T24=1,IF(U37=1,1,0),0)</f>
        <v>0</v>
      </c>
      <c r="V52" s="1235">
        <f>IF(V24=1,IF(U37=1,1,0),0)</f>
        <v>0</v>
      </c>
      <c r="W52" s="1231">
        <f>IF(W24=1,IF(X37=1,1,0),0)</f>
        <v>0</v>
      </c>
      <c r="Y52" s="1235">
        <f>IF(Y24=1,IF(X37=1,1,0),0)</f>
        <v>0</v>
      </c>
      <c r="Z52" s="1231">
        <f>IF(Z24=1,IF(AA37=1,1,0),0)</f>
        <v>0</v>
      </c>
      <c r="AB52" s="1235">
        <f>IF(AB24=1,IF(AA37=1,1,0),0)</f>
        <v>0</v>
      </c>
      <c r="AC52" s="1231">
        <f>IF(AC24=1,IF(AD37=1,1,0),0)</f>
        <v>0</v>
      </c>
      <c r="AE52" s="1235">
        <f>IF(AE24=1,IF(AD37=1,1,0),0)</f>
        <v>0</v>
      </c>
      <c r="AF52" s="1231">
        <f>SUM(B52:AE52)</f>
        <v>3</v>
      </c>
    </row>
    <row r="53" spans="1:37" s="1231" customFormat="1" ht="12.75" hidden="1" customHeight="1" x14ac:dyDescent="0.2">
      <c r="A53" s="1231" t="s">
        <v>77</v>
      </c>
      <c r="B53" s="1231">
        <f>IF(B24=2,IF(C37=1,1,0),0)</f>
        <v>0</v>
      </c>
      <c r="D53" s="1235">
        <f>IF(D24=2,IF(C37=1,1,0),0)</f>
        <v>0</v>
      </c>
      <c r="E53" s="1231">
        <f>IF(E24=2,IF(F37=1,1,0),0)</f>
        <v>0</v>
      </c>
      <c r="G53" s="1235">
        <f>IF(G24=2,IF(F37=1,1,0),0)</f>
        <v>0</v>
      </c>
      <c r="H53" s="1231">
        <f>IF(H24=2,IF(I37=1,1,0),0)</f>
        <v>1</v>
      </c>
      <c r="J53" s="1235">
        <f>IF(J24=2,IF(I37=1,1,0),0)</f>
        <v>0</v>
      </c>
      <c r="K53" s="1231">
        <f>IF(K24=2,IF(L37=1,1,0),0)</f>
        <v>0</v>
      </c>
      <c r="M53" s="1235">
        <f>IF(M24=2,IF(L37=1,1,0),0)</f>
        <v>0</v>
      </c>
      <c r="N53" s="1231">
        <f>IF(N24=2,IF(O37=1,1,0),0)</f>
        <v>0</v>
      </c>
      <c r="P53" s="1235">
        <f>IF(P24=2,IF(O37=1,1,0),0)</f>
        <v>0</v>
      </c>
      <c r="Q53" s="1231">
        <f>IF(Q24=2,IF(R37=1,1,0),0)</f>
        <v>0</v>
      </c>
      <c r="S53" s="1235">
        <f>IF(S24=2,IF(R37=1,1,0),0)</f>
        <v>1</v>
      </c>
      <c r="T53" s="1231">
        <f>IF(T24=2,IF(U37=1,1,0),0)</f>
        <v>0</v>
      </c>
      <c r="V53" s="1235">
        <f>IF(V24=2,IF(U37=1,1,0),0)</f>
        <v>0</v>
      </c>
      <c r="W53" s="1231">
        <f>IF(W24=2,IF(X37=1,1,0),0)</f>
        <v>0</v>
      </c>
      <c r="Y53" s="1235">
        <f>IF(Y24=2,IF(X37=1,1,0),0)</f>
        <v>0</v>
      </c>
      <c r="Z53" s="1231">
        <f>IF(Z24=2,IF(AA37=1,1,0),0)</f>
        <v>0</v>
      </c>
      <c r="AB53" s="1235">
        <f>IF(AB24=2,IF(AA37=1,1,0),0)</f>
        <v>0</v>
      </c>
      <c r="AC53" s="1231">
        <f>IF(AC24=2,IF(AD37=1,1,0),0)</f>
        <v>0</v>
      </c>
      <c r="AE53" s="1235">
        <f>IF(AE24=2,IF(AD37=1,1,0),0)</f>
        <v>0</v>
      </c>
      <c r="AF53" s="1231">
        <f>SUM(B53:AE53)</f>
        <v>2</v>
      </c>
    </row>
    <row r="54" spans="1:37" s="1231" customFormat="1" ht="12.75" hidden="1" customHeight="1" x14ac:dyDescent="0.2">
      <c r="A54" s="1231" t="s">
        <v>78</v>
      </c>
      <c r="B54" s="1231">
        <f>IF(B24=3,IF(C37=1,1,0),0)</f>
        <v>0</v>
      </c>
      <c r="D54" s="1235">
        <f>IF(D24=3,IF(C37=1,1,0),0)</f>
        <v>0</v>
      </c>
      <c r="E54" s="1231">
        <f>IF(E24=3,IF(F37=1,1,0),0)</f>
        <v>0</v>
      </c>
      <c r="G54" s="1235">
        <f>IF(G24=3,IF(F37=1,1,0),0)</f>
        <v>0</v>
      </c>
      <c r="H54" s="1231">
        <f>IF(H24=3,IF(I37=1,1,0),0)</f>
        <v>0</v>
      </c>
      <c r="J54" s="1235">
        <f>IF(J24=3,IF(I37=1,1,0),0)</f>
        <v>0</v>
      </c>
      <c r="K54" s="1231">
        <f>IF(K24=3,IF(L37=1,1,0),0)</f>
        <v>0</v>
      </c>
      <c r="M54" s="1235">
        <f>IF(M24=3,IF(L37=1,1,0),0)</f>
        <v>1</v>
      </c>
      <c r="N54" s="1231">
        <f>IF(N24=3,IF(O37=1,1,0),0)</f>
        <v>0</v>
      </c>
      <c r="P54" s="1235">
        <f>IF(P24=3,IF(O37=1,1,0),0)</f>
        <v>0</v>
      </c>
      <c r="Q54" s="1231">
        <f>IF(Q24=3,IF(R37=1,1,0),0)</f>
        <v>0</v>
      </c>
      <c r="S54" s="1235">
        <f>IF(S24=3,IF(R37=1,1,0),0)</f>
        <v>0</v>
      </c>
      <c r="T54" s="1231">
        <f>IF(T24=3,IF(U37=1,1,0),0)</f>
        <v>0</v>
      </c>
      <c r="V54" s="1235">
        <f>IF(V24=3,IF(U37=1,1,0),0)</f>
        <v>0</v>
      </c>
      <c r="W54" s="1231">
        <f>IF(W24=3,IF(X37=1,1,0),0)</f>
        <v>0</v>
      </c>
      <c r="Y54" s="1235">
        <f>IF(Y24=3,IF(X37=1,1,0),0)</f>
        <v>0</v>
      </c>
      <c r="Z54" s="1231">
        <f>IF(Z24=3,IF(AA37=1,1,0),0)</f>
        <v>0</v>
      </c>
      <c r="AB54" s="1235">
        <f>IF(AB24=3,IF(AA37=1,1,0),0)</f>
        <v>0</v>
      </c>
      <c r="AC54" s="1231">
        <f>IF(AC24=3,IF(AD37=1,1,0),0)</f>
        <v>0</v>
      </c>
      <c r="AE54" s="1235">
        <f>IF(AE24=3,IF(AD37=1,1,0),0)</f>
        <v>0</v>
      </c>
      <c r="AF54" s="1231">
        <f>SUM(B54:AE54)</f>
        <v>1</v>
      </c>
    </row>
    <row r="55" spans="1:37" s="1231" customFormat="1" ht="12.75" hidden="1" customHeight="1" x14ac:dyDescent="0.2">
      <c r="A55" s="1231" t="s">
        <v>79</v>
      </c>
      <c r="B55" s="1231">
        <f>IF(B24=4,IF(C37=1,1,0),0)</f>
        <v>0</v>
      </c>
      <c r="D55" s="1235">
        <f>IF(D24=4,IF(C37=1,1,0),0)</f>
        <v>0</v>
      </c>
      <c r="E55" s="1231">
        <f>IF(E24=4,IF(F37=1,1,0),0)</f>
        <v>0</v>
      </c>
      <c r="G55" s="1235">
        <f>IF(G24=4,IF(F37=1,1,0),0)</f>
        <v>1</v>
      </c>
      <c r="H55" s="1231">
        <f>IF(H24=4,IF(I37=1,1,0),0)</f>
        <v>0</v>
      </c>
      <c r="J55" s="1235">
        <f>IF(J24=4,IF(I37=1,1,0),0)</f>
        <v>1</v>
      </c>
      <c r="K55" s="1231">
        <f>IF(K24=4,IF(L37=1,1,0),0)</f>
        <v>0</v>
      </c>
      <c r="M55" s="1235">
        <f>IF(M24=4,IF(L37=1,1,0),0)</f>
        <v>0</v>
      </c>
      <c r="N55" s="1231">
        <f>IF(N24=4,IF(O37=1,1,0),0)</f>
        <v>0</v>
      </c>
      <c r="P55" s="1235">
        <f>IF(P24=4,IF(O37=1,1,0),0)</f>
        <v>0</v>
      </c>
      <c r="Q55" s="1231">
        <f>IF(Q24=4,IF(R37=1,1,0),0)</f>
        <v>0</v>
      </c>
      <c r="S55" s="1235">
        <f>IF(S24=4,IF(R37=1,1,0),0)</f>
        <v>0</v>
      </c>
      <c r="T55" s="1231">
        <f>IF(T24=4,IF(U37=1,1,0),0)</f>
        <v>0</v>
      </c>
      <c r="V55" s="1235">
        <f>IF(V24=4,IF(U37=1,1,0),0)</f>
        <v>0</v>
      </c>
      <c r="W55" s="1231">
        <f>IF(W24=4,IF(X37=1,1,0),0)</f>
        <v>0</v>
      </c>
      <c r="Y55" s="1235">
        <f>IF(Y24=4,IF(X37=1,1,0),0)</f>
        <v>0</v>
      </c>
      <c r="Z55" s="1231">
        <f>IF(Z24=4,IF(AA37=1,1,0),0)</f>
        <v>0</v>
      </c>
      <c r="AB55" s="1235">
        <f>IF(AB24=4,IF(AA37=1,1,0),0)</f>
        <v>0</v>
      </c>
      <c r="AC55" s="1231">
        <f>IF(AC24=4,IF(AD37=1,1,0),0)</f>
        <v>0</v>
      </c>
      <c r="AE55" s="1235">
        <f>IF(AE24=4,IF(AD37=1,1,0),0)</f>
        <v>0</v>
      </c>
      <c r="AF55" s="1231">
        <f>SUM(B55:AE55)</f>
        <v>2</v>
      </c>
    </row>
    <row r="56" spans="1:37" s="1231" customFormat="1" ht="12.75" hidden="1" customHeight="1" x14ac:dyDescent="0.2">
      <c r="A56" s="1231" t="s">
        <v>80</v>
      </c>
      <c r="B56" s="1231">
        <f>IF(B24=5,IF(C37=1,1,0),0)</f>
        <v>0</v>
      </c>
      <c r="D56" s="1235">
        <f>IF(D24=5,IF(C37=1,1,0),0)</f>
        <v>0</v>
      </c>
      <c r="E56" s="1231">
        <f>IF(E24=5,IF(F37=1,1,0),0)</f>
        <v>0</v>
      </c>
      <c r="G56" s="1235">
        <f>IF(G24=5,IF(F37=1,1,0),0)</f>
        <v>0</v>
      </c>
      <c r="H56" s="1231">
        <f>IF(H24=5,IF(I37=1,1,0),0)</f>
        <v>0</v>
      </c>
      <c r="J56" s="1235">
        <f>IF(J24=5,IF(I37=1,1,0),0)</f>
        <v>0</v>
      </c>
      <c r="K56" s="1231">
        <f>IF(K24=5,IF(L37=1,1,0),0)</f>
        <v>0</v>
      </c>
      <c r="M56" s="1235">
        <f>IF(M24=5,IF(L37=1,1,0),0)</f>
        <v>0</v>
      </c>
      <c r="N56" s="1231">
        <f>IF(N24=5,IF(O37=1,1,0),0)</f>
        <v>0</v>
      </c>
      <c r="P56" s="1235">
        <f>IF(P24=5,IF(O37=1,1,0),0)</f>
        <v>0</v>
      </c>
      <c r="Q56" s="1231">
        <f>IF(Q24=5,IF(R37=1,1,0),0)</f>
        <v>0</v>
      </c>
      <c r="S56" s="1235">
        <f>IF(S24=5,IF(R37=1,1,0),0)</f>
        <v>0</v>
      </c>
      <c r="T56" s="1231">
        <f>IF(T24=5,IF(U37=1,1,0),0)</f>
        <v>0</v>
      </c>
      <c r="V56" s="1235">
        <f>IF(V24=5,IF(U37=1,1,0),0)</f>
        <v>0</v>
      </c>
      <c r="W56" s="1231">
        <f>IF(W24=5,IF(X37=1,1,0),0)</f>
        <v>0</v>
      </c>
      <c r="Y56" s="1235">
        <f>IF(Y24=5,IF(X37=1,1,0),0)</f>
        <v>0</v>
      </c>
      <c r="Z56" s="1231">
        <f>IF(Z24=5,IF(AA37=1,1,0),0)</f>
        <v>0</v>
      </c>
      <c r="AB56" s="1235">
        <f>IF(AB24=5,IF(AA37=1,1,0),0)</f>
        <v>0</v>
      </c>
      <c r="AC56" s="1231">
        <f>IF(AC24=5,IF(AD37=1,1,0),0)</f>
        <v>0</v>
      </c>
      <c r="AE56" s="1235">
        <f>IF(AE24=5,IF(AD37=1,1,0),0)</f>
        <v>0</v>
      </c>
      <c r="AF56" s="1231">
        <f>SUM(B56:AE56)</f>
        <v>0</v>
      </c>
    </row>
    <row r="57" spans="1:37" s="1231" customFormat="1" ht="38.25" hidden="1" customHeight="1" x14ac:dyDescent="0.2">
      <c r="A57" s="1234"/>
      <c r="D57" s="1235"/>
      <c r="G57" s="1235"/>
      <c r="J57" s="1235"/>
      <c r="M57" s="1235"/>
      <c r="P57" s="1235"/>
      <c r="S57" s="1235"/>
      <c r="V57" s="1235"/>
      <c r="Y57" s="1235"/>
      <c r="AB57" s="1235"/>
      <c r="AE57" s="1235"/>
      <c r="AF57" s="1234" t="s">
        <v>81</v>
      </c>
      <c r="AG57" s="1236"/>
      <c r="AH57" s="1236"/>
      <c r="AI57" s="1236"/>
      <c r="AJ57" s="1236"/>
      <c r="AK57" s="1236"/>
    </row>
    <row r="58" spans="1:37" s="1231" customFormat="1" ht="12.75" hidden="1" customHeight="1" x14ac:dyDescent="0.2">
      <c r="A58" s="1231" t="s">
        <v>76</v>
      </c>
      <c r="B58" s="1231">
        <f>IF(B24=1,B44,0)</f>
        <v>0</v>
      </c>
      <c r="D58" s="1235">
        <f>IF(D24=1,B44,0)</f>
        <v>0</v>
      </c>
      <c r="E58" s="1231">
        <f>IF(E24=1,E44,0)</f>
        <v>39</v>
      </c>
      <c r="G58" s="1235">
        <f>IF(G24=1,E44,0)</f>
        <v>0</v>
      </c>
      <c r="H58" s="1231">
        <f>IF(H24=1,H44,0)</f>
        <v>0</v>
      </c>
      <c r="J58" s="1235">
        <f>IF(J24=1,H44,0)</f>
        <v>0</v>
      </c>
      <c r="K58" s="1231">
        <f>IF(K24=1,K44,0)</f>
        <v>39</v>
      </c>
      <c r="M58" s="1235">
        <f>IF(M24=1,K44,0)</f>
        <v>0</v>
      </c>
      <c r="N58" s="1231">
        <f>IF(N24=1,N44,0)</f>
        <v>0</v>
      </c>
      <c r="P58" s="1235">
        <f>IF(P24=1,N44,0)</f>
        <v>0</v>
      </c>
      <c r="Q58" s="1231">
        <f>IF(Q24=1,Q44,0)</f>
        <v>42</v>
      </c>
      <c r="S58" s="1235">
        <f>IF(S24=1,Q44,0)</f>
        <v>0</v>
      </c>
      <c r="T58" s="1231">
        <f>IF(T24=1,T44,0)</f>
        <v>0</v>
      </c>
      <c r="V58" s="1235">
        <f>IF(V24=1,T44,0)</f>
        <v>0</v>
      </c>
      <c r="W58" s="1231">
        <f>IF(W24=1,W44,0)</f>
        <v>0</v>
      </c>
      <c r="Y58" s="1235">
        <f>IF(Y24=1,W44,0)</f>
        <v>0</v>
      </c>
      <c r="Z58" s="1231">
        <f>IF(Z24=1,Z44,0)</f>
        <v>0</v>
      </c>
      <c r="AB58" s="1235">
        <f>IF(AB24=1,Z44,0)</f>
        <v>0</v>
      </c>
      <c r="AC58" s="1231">
        <f>IF(AC24=1,AC44,0)</f>
        <v>0</v>
      </c>
      <c r="AE58" s="1235">
        <f>IF(AE24=1,AC44,0)</f>
        <v>0</v>
      </c>
      <c r="AF58" s="1231">
        <f>SUM(B58:AE58)</f>
        <v>120</v>
      </c>
    </row>
    <row r="59" spans="1:37" s="1231" customFormat="1" ht="12.75" hidden="1" customHeight="1" x14ac:dyDescent="0.2">
      <c r="A59" s="1231" t="s">
        <v>77</v>
      </c>
      <c r="B59" s="1231">
        <f>IF(B24=2,B44,0)</f>
        <v>37</v>
      </c>
      <c r="D59" s="1235">
        <f>IF(D24=2,B44,0)</f>
        <v>0</v>
      </c>
      <c r="E59" s="1231">
        <f>IF(E24=2,E44,0)</f>
        <v>0</v>
      </c>
      <c r="G59" s="1235">
        <f>IF(G24=2,E44,0)</f>
        <v>0</v>
      </c>
      <c r="H59" s="1231">
        <f>IF(H24=2,H44,0)</f>
        <v>37</v>
      </c>
      <c r="J59" s="1235">
        <f>IF(J24=2,H44,0)</f>
        <v>0</v>
      </c>
      <c r="K59" s="1231">
        <f>IF(K24=2,K44,0)</f>
        <v>0</v>
      </c>
      <c r="M59" s="1235">
        <f>IF(M24=2,K44,0)</f>
        <v>0</v>
      </c>
      <c r="N59" s="1231">
        <f>IF(N24=2,N44,0)</f>
        <v>0</v>
      </c>
      <c r="P59" s="1235">
        <f>IF(P24=2,N44,0)</f>
        <v>0</v>
      </c>
      <c r="Q59" s="1231">
        <f>IF(Q24=2,Q44,0)</f>
        <v>0</v>
      </c>
      <c r="S59" s="1235">
        <f>IF(S24=2,Q44,0)</f>
        <v>42</v>
      </c>
      <c r="T59" s="1231">
        <f>IF(T24=2,T44,0)</f>
        <v>0</v>
      </c>
      <c r="V59" s="1235">
        <f>IF(V24=2,T44,0)</f>
        <v>0</v>
      </c>
      <c r="W59" s="1231">
        <f>IF(W24=2,W44,0)</f>
        <v>0</v>
      </c>
      <c r="Y59" s="1235">
        <f>IF(Y24=2,W44,0)</f>
        <v>0</v>
      </c>
      <c r="Z59" s="1231">
        <f>IF(Z24=2,Z44,0)</f>
        <v>0</v>
      </c>
      <c r="AB59" s="1235">
        <f>IF(AB24=2,Z44,0)</f>
        <v>0</v>
      </c>
      <c r="AC59" s="1231">
        <f>IF(AC24=2,AC44,0)</f>
        <v>0</v>
      </c>
      <c r="AE59" s="1235">
        <f>IF(AE24=2,AC44,0)</f>
        <v>0</v>
      </c>
      <c r="AF59" s="1231">
        <f>SUM(B59:AE59)</f>
        <v>116</v>
      </c>
    </row>
    <row r="60" spans="1:37" s="1231" customFormat="1" ht="12.75" hidden="1" customHeight="1" x14ac:dyDescent="0.2">
      <c r="A60" s="1231" t="s">
        <v>78</v>
      </c>
      <c r="B60" s="1231">
        <f>IF(B24=3,B44,0)</f>
        <v>0</v>
      </c>
      <c r="D60" s="1235">
        <f>IF(D24=3,B44,0)</f>
        <v>37</v>
      </c>
      <c r="E60" s="1231">
        <f>IF(E24=3,E44,0)</f>
        <v>0</v>
      </c>
      <c r="G60" s="1235">
        <f>IF(G24=3,E44,0)</f>
        <v>0</v>
      </c>
      <c r="H60" s="1231">
        <f>IF(H24=3,H44,0)</f>
        <v>0</v>
      </c>
      <c r="J60" s="1235">
        <f>IF(J24=3,H44,0)</f>
        <v>0</v>
      </c>
      <c r="K60" s="1231">
        <f>IF(K24=3,K44,0)</f>
        <v>0</v>
      </c>
      <c r="M60" s="1235">
        <f>IF(M24=3,K44,0)</f>
        <v>39</v>
      </c>
      <c r="N60" s="1231">
        <f>IF(N24=3,N44,0)</f>
        <v>34</v>
      </c>
      <c r="P60" s="1235">
        <f>IF(P24=3,N44,0)</f>
        <v>0</v>
      </c>
      <c r="Q60" s="1231">
        <f>IF(Q24=3,Q44,0)</f>
        <v>0</v>
      </c>
      <c r="S60" s="1235">
        <f>IF(S24=3,Q44,0)</f>
        <v>0</v>
      </c>
      <c r="T60" s="1231">
        <f>IF(T24=3,T44,0)</f>
        <v>0</v>
      </c>
      <c r="V60" s="1235">
        <f>IF(V24=3,T44,0)</f>
        <v>0</v>
      </c>
      <c r="W60" s="1231">
        <f>IF(W24=3,W44,0)</f>
        <v>0</v>
      </c>
      <c r="Y60" s="1235">
        <f>IF(Y24=3,W44,0)</f>
        <v>0</v>
      </c>
      <c r="Z60" s="1231">
        <f>IF(Z24=3,Z44,0)</f>
        <v>0</v>
      </c>
      <c r="AB60" s="1235">
        <f>IF(AB24=3,Z44,0)</f>
        <v>0</v>
      </c>
      <c r="AC60" s="1231">
        <f>IF(AC24=3,AC44,0)</f>
        <v>0</v>
      </c>
      <c r="AE60" s="1235">
        <f>IF(AE24=3,AC44,0)</f>
        <v>0</v>
      </c>
      <c r="AF60" s="1231">
        <f>SUM(B60:AE60)</f>
        <v>110</v>
      </c>
    </row>
    <row r="61" spans="1:37" s="1231" customFormat="1" ht="12.75" hidden="1" customHeight="1" x14ac:dyDescent="0.2">
      <c r="A61" s="1231" t="s">
        <v>79</v>
      </c>
      <c r="B61" s="1231">
        <f>IF(B24=4,B44,0)</f>
        <v>0</v>
      </c>
      <c r="D61" s="1235">
        <f>IF(D24=4,B44,0)</f>
        <v>0</v>
      </c>
      <c r="E61" s="1231">
        <f>IF(E24=4,E44,0)</f>
        <v>0</v>
      </c>
      <c r="G61" s="1235">
        <f>IF(G24=4,E44,0)</f>
        <v>39</v>
      </c>
      <c r="H61" s="1231">
        <f>IF(H24=4,H44,0)</f>
        <v>0</v>
      </c>
      <c r="J61" s="1235">
        <f>IF(J24=4,H44,0)</f>
        <v>37</v>
      </c>
      <c r="K61" s="1231">
        <f>IF(K24=4,K44,0)</f>
        <v>0</v>
      </c>
      <c r="M61" s="1235">
        <f>IF(M24=4,K44,0)</f>
        <v>0</v>
      </c>
      <c r="N61" s="1231">
        <f>IF(N24=4,N44,0)</f>
        <v>0</v>
      </c>
      <c r="P61" s="1235">
        <f>IF(P24=4,N44,0)</f>
        <v>34</v>
      </c>
      <c r="Q61" s="1231">
        <f>IF(Q24=4,Q44,0)</f>
        <v>0</v>
      </c>
      <c r="S61" s="1235">
        <f>IF(S24=4,Q44,0)</f>
        <v>0</v>
      </c>
      <c r="T61" s="1231">
        <f>IF(T24=4,T44,0)</f>
        <v>0</v>
      </c>
      <c r="V61" s="1235">
        <f>IF(V24=4,T44,0)</f>
        <v>0</v>
      </c>
      <c r="W61" s="1231">
        <f>IF(W24=4,W44,0)</f>
        <v>0</v>
      </c>
      <c r="Y61" s="1235">
        <f>IF(Y24=4,W44,0)</f>
        <v>0</v>
      </c>
      <c r="Z61" s="1231">
        <f>IF(Z24=4,Z44,0)</f>
        <v>0</v>
      </c>
      <c r="AB61" s="1235">
        <f>IF(AB24=4,Z44,0)</f>
        <v>0</v>
      </c>
      <c r="AC61" s="1231">
        <f>IF(AC24=4,AC44,0)</f>
        <v>0</v>
      </c>
      <c r="AE61" s="1235">
        <f>IF(AE24=4,AC44,0)</f>
        <v>0</v>
      </c>
      <c r="AF61" s="1231">
        <f>SUM(B61:AE61)</f>
        <v>110</v>
      </c>
    </row>
    <row r="62" spans="1:37" s="1231" customFormat="1" ht="12.75" hidden="1" customHeight="1" x14ac:dyDescent="0.2">
      <c r="A62" s="1231" t="s">
        <v>80</v>
      </c>
      <c r="B62" s="1231">
        <f>IF(B24=5,B44,0)</f>
        <v>0</v>
      </c>
      <c r="D62" s="1235">
        <f>IF(D24=5,B44,0)</f>
        <v>0</v>
      </c>
      <c r="E62" s="1231">
        <f>IF(E24=5,E44,0)</f>
        <v>0</v>
      </c>
      <c r="G62" s="1235">
        <f>IF(G24=5,E44,0)</f>
        <v>0</v>
      </c>
      <c r="H62" s="1231">
        <f>IF(H24=5,H44,0)</f>
        <v>0</v>
      </c>
      <c r="J62" s="1235">
        <f>IF(J24=5,H44,0)</f>
        <v>0</v>
      </c>
      <c r="K62" s="1231">
        <f>IF(K24=5,K44,0)</f>
        <v>0</v>
      </c>
      <c r="M62" s="1235">
        <f>IF(M24=5,K44,0)</f>
        <v>0</v>
      </c>
      <c r="N62" s="1231">
        <f>IF(N24=5,N44,0)</f>
        <v>0</v>
      </c>
      <c r="P62" s="1235">
        <f>IF(P24=5,N44,0)</f>
        <v>0</v>
      </c>
      <c r="Q62" s="1231">
        <f>IF(Q24=5,Q44,0)</f>
        <v>0</v>
      </c>
      <c r="S62" s="1235">
        <f>IF(S24=5,Q44,0)</f>
        <v>0</v>
      </c>
      <c r="T62" s="1231">
        <f>IF(T24=5,T44,0)</f>
        <v>0</v>
      </c>
      <c r="V62" s="1235">
        <f>IF(V24=5,T44,0)</f>
        <v>0</v>
      </c>
      <c r="W62" s="1231">
        <f>IF(W24=5,W44,0)</f>
        <v>0</v>
      </c>
      <c r="Y62" s="1235">
        <f>IF(Y24=5,W44,0)</f>
        <v>0</v>
      </c>
      <c r="Z62" s="1231">
        <f>IF(Z24=5,Z44,0)</f>
        <v>0</v>
      </c>
      <c r="AB62" s="1235">
        <f>IF(AB24=5,Z44,0)</f>
        <v>0</v>
      </c>
      <c r="AC62" s="1231">
        <f>IF(AC24=5,AC44,0)</f>
        <v>0</v>
      </c>
      <c r="AE62" s="1235">
        <f>IF(AE24=5,AC44,0)</f>
        <v>0</v>
      </c>
      <c r="AF62" s="1231">
        <f>SUM(B62:AE62)</f>
        <v>0</v>
      </c>
    </row>
    <row r="63" spans="1:37" s="1231" customFormat="1" ht="38.25" hidden="1" customHeight="1" x14ac:dyDescent="0.2">
      <c r="A63" s="1231" t="s">
        <v>82</v>
      </c>
      <c r="D63" s="1235"/>
      <c r="G63" s="1235"/>
      <c r="J63" s="1235"/>
      <c r="M63" s="1235"/>
      <c r="P63" s="1235"/>
      <c r="S63" s="1235"/>
      <c r="V63" s="1235"/>
      <c r="Y63" s="1235"/>
      <c r="AB63" s="1235"/>
      <c r="AE63" s="1235"/>
      <c r="AF63" s="1234" t="s">
        <v>83</v>
      </c>
      <c r="AG63" s="1231" t="s">
        <v>84</v>
      </c>
    </row>
    <row r="64" spans="1:37" s="1231" customFormat="1" ht="12.75" hidden="1" customHeight="1" x14ac:dyDescent="0.2">
      <c r="A64" s="1231" t="s">
        <v>70</v>
      </c>
      <c r="B64" s="1231">
        <f>IF(B24=1,SUMIF(B31:B35,"&gt;0"),0)</f>
        <v>0</v>
      </c>
      <c r="D64" s="1235">
        <f>IF(D24=1,SUMIF(D31:D35,"&gt;0"),0)</f>
        <v>0</v>
      </c>
      <c r="E64" s="1231">
        <f>IF(E24=1,SUMIF(E31:E35,"&gt;0"),0)</f>
        <v>2</v>
      </c>
      <c r="G64" s="1235">
        <f>IF(G24=1,SUMIF(G31:G35,"&gt;0"),0)</f>
        <v>0</v>
      </c>
      <c r="H64" s="1231">
        <f>IF(H24=1,SUMIF(H31:H35,"&gt;0"),0)</f>
        <v>0</v>
      </c>
      <c r="J64" s="1235">
        <f>IF(J24=1,SUMIF(J31:J35,"&gt;0"),0)</f>
        <v>0</v>
      </c>
      <c r="K64" s="1231">
        <f>IF(K24=1,SUMIF(K31:K35,"&gt;0"),0)</f>
        <v>2</v>
      </c>
      <c r="M64" s="1235">
        <f>IF(M24=1,SUMIF(M31:M35,"&gt;0"),0)</f>
        <v>0</v>
      </c>
      <c r="N64" s="1231">
        <f>IF(N24=1,SUMIF(N31:N35,"&gt;0"),0)</f>
        <v>0</v>
      </c>
      <c r="P64" s="1235">
        <f>IF(P24=1,SUMIF(P31:P35,"&gt;0"),0)</f>
        <v>0</v>
      </c>
      <c r="Q64" s="1231">
        <f>IF(Q24=1,SUMIF(Q31:Q35,"&gt;0"),0)</f>
        <v>2</v>
      </c>
      <c r="S64" s="1235">
        <f>IF(S24=1,SUMIF(S31:S35,"&gt;0"),0)</f>
        <v>0</v>
      </c>
      <c r="T64" s="1231">
        <f>IF(T24=1,SUMIF(T31:T35,"&gt;0"),0)</f>
        <v>0</v>
      </c>
      <c r="V64" s="1235">
        <f>IF(V24=1,SUMIF(V31:V35,"&gt;0"),0)</f>
        <v>0</v>
      </c>
      <c r="W64" s="1231">
        <f>IF(W24=1,SUMIF(W31:W35,"&gt;0"),0)</f>
        <v>0</v>
      </c>
      <c r="Y64" s="1235">
        <f>IF(Y24=1,SUMIF(Y31:Y35,"&gt;0"),0)</f>
        <v>0</v>
      </c>
      <c r="Z64" s="1231">
        <f>IF(Z24=1,SUMIF(Z31:Z35,"&gt;0"),0)</f>
        <v>0</v>
      </c>
      <c r="AB64" s="1235">
        <f>IF(AB24=1,SUMIF(AB31:AB35,"&gt;0"),0)</f>
        <v>0</v>
      </c>
      <c r="AC64" s="1231">
        <f>IF(AC24=1,SUMIF(AC31:AC35,"&gt;0"),0)</f>
        <v>0</v>
      </c>
      <c r="AE64" s="1235">
        <f>IF(AE24=1,SUMIF(AE31:AE35,"&gt;0"),0)</f>
        <v>0</v>
      </c>
      <c r="AF64" s="1231">
        <f>SUM(B64:AE64)</f>
        <v>6</v>
      </c>
      <c r="AG64" s="1231">
        <f>AF72-AF64</f>
        <v>0</v>
      </c>
    </row>
    <row r="65" spans="1:54" s="1231" customFormat="1" ht="12.75" hidden="1" customHeight="1" x14ac:dyDescent="0.2">
      <c r="A65" s="1231" t="s">
        <v>71</v>
      </c>
      <c r="B65" s="1231">
        <f>IF(B24=2,SUMIF(B31:B35,"&gt;0"),0)</f>
        <v>1</v>
      </c>
      <c r="D65" s="1235">
        <f>IF(D24=2,SUMIF(D31:D35,"&gt;0"),0)</f>
        <v>0</v>
      </c>
      <c r="E65" s="1231">
        <f>IF(E24=2,SUMIF(E31:E35,"&gt;0"),0)</f>
        <v>0</v>
      </c>
      <c r="G65" s="1235">
        <f>IF(G24=2,SUMIF(G31:G35,"&gt;0"),0)</f>
        <v>0</v>
      </c>
      <c r="H65" s="1231">
        <f>IF(H24=2,SUMIF(H31:H35,"&gt;0"),0)</f>
        <v>2</v>
      </c>
      <c r="J65" s="1235">
        <f>IF(J24=2,SUMIF(J31:J35,"&gt;0"),0)</f>
        <v>0</v>
      </c>
      <c r="K65" s="1231">
        <f>IF(K24=2,SUMIF(K31:K35,"&gt;0"),0)</f>
        <v>0</v>
      </c>
      <c r="M65" s="1235">
        <f>IF(M24=2,SUMIF(M31:M35,"&gt;0"),0)</f>
        <v>0</v>
      </c>
      <c r="N65" s="1231">
        <f>IF(N24=2,SUMIF(N31:N35,"&gt;0"),0)</f>
        <v>0</v>
      </c>
      <c r="P65" s="1235">
        <f>IF(P24=2,SUMIF(P31:P35,"&gt;0"),0)</f>
        <v>0</v>
      </c>
      <c r="Q65" s="1231">
        <f>IF(Q24=2,SUMIF(Q31:Q35,"&gt;0"),0)</f>
        <v>0</v>
      </c>
      <c r="S65" s="1235">
        <f>IF(S24=2,SUMIF(S31:S35,"&gt;0"),0)</f>
        <v>0</v>
      </c>
      <c r="T65" s="1231">
        <f>IF(T24=2,SUMIF(T31:T35,"&gt;0"),0)</f>
        <v>0</v>
      </c>
      <c r="V65" s="1235">
        <f>IF(V24=2,SUMIF(V31:V35,"&gt;0"),0)</f>
        <v>0</v>
      </c>
      <c r="W65" s="1231">
        <f>IF(W24=2,SUMIF(W31:W35,"&gt;0"),0)</f>
        <v>0</v>
      </c>
      <c r="Y65" s="1235">
        <f>IF(Y24=2,SUMIF(Y31:Y35,"&gt;0"),0)</f>
        <v>0</v>
      </c>
      <c r="Z65" s="1231">
        <f>IF(Z24=2,SUMIF(Z31:Z35,"&gt;0"),0)</f>
        <v>0</v>
      </c>
      <c r="AB65" s="1235">
        <f>IF(AB24=2,SUMIF(AB31:AB35,"&gt;0"),0)</f>
        <v>0</v>
      </c>
      <c r="AC65" s="1231">
        <f>IF(AC24=2,SUMIF(AC31:AC35,"&gt;0"),0)</f>
        <v>0</v>
      </c>
      <c r="AE65" s="1235">
        <f>IF(AE24=2,SUMIF(AE31:AE35,"&gt;0"),0)</f>
        <v>0</v>
      </c>
      <c r="AF65" s="1231">
        <f>SUM(B65:AE65)</f>
        <v>3</v>
      </c>
      <c r="AG65" s="1231">
        <f>AF73-AF65</f>
        <v>3</v>
      </c>
    </row>
    <row r="66" spans="1:54" s="1231" customFormat="1" ht="12.75" hidden="1" customHeight="1" x14ac:dyDescent="0.2">
      <c r="A66" s="1231" t="s">
        <v>72</v>
      </c>
      <c r="B66" s="1231">
        <f>IF(B24=3,SUMIF(B31:B35,"&gt;0"),0)</f>
        <v>0</v>
      </c>
      <c r="D66" s="1235">
        <f>IF(D24=3,SUMIF(D31:D35,"&gt;0"),0)</f>
        <v>1</v>
      </c>
      <c r="E66" s="1231">
        <f>IF(E24=3,SUMIF(E31:E35,"&gt;0"),0)</f>
        <v>0</v>
      </c>
      <c r="G66" s="1235">
        <f>IF(G24=3,SUMIF(G31:G35,"&gt;0"),0)</f>
        <v>0</v>
      </c>
      <c r="H66" s="1231">
        <f>IF(H24=3,SUMIF(H31:H35,"&gt;0"),0)</f>
        <v>0</v>
      </c>
      <c r="J66" s="1235">
        <f>IF(J24=3,SUMIF(J31:J35,"&gt;0"),0)</f>
        <v>0</v>
      </c>
      <c r="K66" s="1231">
        <f>IF(K24=3,SUMIF(K31:K35,"&gt;0"),0)</f>
        <v>0</v>
      </c>
      <c r="M66" s="1235">
        <f>IF(M24=3,SUMIF(M31:M35,"&gt;0"),0)</f>
        <v>0</v>
      </c>
      <c r="N66" s="1231">
        <f>IF(N24=3,SUMIF(N31:N35,"&gt;0"),0)</f>
        <v>1</v>
      </c>
      <c r="P66" s="1235">
        <f>IF(P24=3,SUMIF(P31:P35,"&gt;0"),0)</f>
        <v>0</v>
      </c>
      <c r="Q66" s="1231">
        <f>IF(Q24=3,SUMIF(Q31:Q35,"&gt;0"),0)</f>
        <v>0</v>
      </c>
      <c r="S66" s="1235">
        <f>IF(S24=3,SUMIF(S31:S35,"&gt;0"),0)</f>
        <v>0</v>
      </c>
      <c r="T66" s="1231">
        <f>IF(T24=3,SUMIF(T31:T35,"&gt;0"),0)</f>
        <v>0</v>
      </c>
      <c r="V66" s="1235">
        <f>IF(V24=3,SUMIF(V31:V35,"&gt;0"),0)</f>
        <v>0</v>
      </c>
      <c r="W66" s="1231">
        <f>IF(W24=3,SUMIF(W31:W35,"&gt;0"),0)</f>
        <v>0</v>
      </c>
      <c r="Y66" s="1235">
        <f>IF(Y24=3,SUMIF(Y31:Y35,"&gt;0"),0)</f>
        <v>0</v>
      </c>
      <c r="Z66" s="1231">
        <f>IF(Z24=3,SUMIF(Z31:Z35,"&gt;0"),0)</f>
        <v>0</v>
      </c>
      <c r="AB66" s="1235">
        <f>IF(AB24=3,SUMIF(AB31:AB35,"&gt;0"),0)</f>
        <v>0</v>
      </c>
      <c r="AC66" s="1231">
        <f>IF(AC24=3,SUMIF(AC31:AC35,"&gt;0"),0)</f>
        <v>0</v>
      </c>
      <c r="AE66" s="1235">
        <f>IF(AE24=3,SUMIF(AE31:AE35,"&gt;0"),0)</f>
        <v>0</v>
      </c>
      <c r="AF66" s="1231">
        <f>SUM(B66:AE66)</f>
        <v>2</v>
      </c>
      <c r="AG66" s="1231">
        <f>AF74-AF66</f>
        <v>4</v>
      </c>
    </row>
    <row r="67" spans="1:54" s="1231" customFormat="1" ht="12.75" hidden="1" customHeight="1" x14ac:dyDescent="0.2">
      <c r="A67" s="1231" t="s">
        <v>73</v>
      </c>
      <c r="B67" s="1231">
        <f>IF(B24=4,SUMIF(B31:B35,"&gt;0"),0)</f>
        <v>0</v>
      </c>
      <c r="D67" s="1235">
        <f>IF(D24=4,SUMIF(D31:D35,"&gt;0"),0)</f>
        <v>0</v>
      </c>
      <c r="E67" s="1231">
        <f>IF(E24=4,SUMIF(E31:E35,"&gt;0"),0)</f>
        <v>0</v>
      </c>
      <c r="G67" s="1235">
        <f>IF(G24=4,SUMIF(G31:G35,"&gt;0"),0)</f>
        <v>0</v>
      </c>
      <c r="H67" s="1231">
        <f>IF(H24=4,SUMIF(H31:H35,"&gt;0"),0)</f>
        <v>0</v>
      </c>
      <c r="J67" s="1235">
        <f>IF(J24=4,SUMIF(J31:J35,"&gt;0"),0)</f>
        <v>0</v>
      </c>
      <c r="K67" s="1231">
        <f>IF(K24=4,SUMIF(K31:K35,"&gt;0"),0)</f>
        <v>0</v>
      </c>
      <c r="M67" s="1235">
        <f>IF(M24=4,SUMIF(M31:M35,"&gt;0"),0)</f>
        <v>0</v>
      </c>
      <c r="N67" s="1231">
        <f>IF(N24=4,SUMIF(N31:N35,"&gt;0"),0)</f>
        <v>0</v>
      </c>
      <c r="P67" s="1235">
        <f>IF(P24=4,SUMIF(P31:P35,"&gt;0"),0)</f>
        <v>1</v>
      </c>
      <c r="Q67" s="1231">
        <f>IF(Q24=4,SUMIF(Q31:Q35,"&gt;0"),0)</f>
        <v>0</v>
      </c>
      <c r="S67" s="1235">
        <f>IF(S24=4,SUMIF(S31:S35,"&gt;0"),0)</f>
        <v>0</v>
      </c>
      <c r="T67" s="1231">
        <f>IF(T24=4,SUMIF(T31:T35,"&gt;0"),0)</f>
        <v>0</v>
      </c>
      <c r="V67" s="1235">
        <f>IF(V24=4,SUMIF(V31:V35,"&gt;0"),0)</f>
        <v>0</v>
      </c>
      <c r="W67" s="1231">
        <f>IF(W24=4,SUMIF(W31:W35,"&gt;0"),0)</f>
        <v>0</v>
      </c>
      <c r="Y67" s="1235">
        <f>IF(Y24=4,SUMIF(Y31:Y35,"&gt;0"),0)</f>
        <v>0</v>
      </c>
      <c r="Z67" s="1231">
        <f>IF(Z24=4,SUMIF(Z31:Z35,"&gt;0"),0)</f>
        <v>0</v>
      </c>
      <c r="AB67" s="1235">
        <f>IF(AB24=4,SUMIF(AB31:AB35,"&gt;0"),0)</f>
        <v>0</v>
      </c>
      <c r="AC67" s="1231">
        <f>IF(AC24=4,SUMIF(AC31:AC35,"&gt;0"),0)</f>
        <v>0</v>
      </c>
      <c r="AE67" s="1235">
        <f>IF(AE24=4,SUMIF(AE31:AE35,"&gt;0"),0)</f>
        <v>0</v>
      </c>
      <c r="AF67" s="1231">
        <f>SUM(B67:AE67)</f>
        <v>1</v>
      </c>
      <c r="AG67" s="1231">
        <f>AF75-AF67</f>
        <v>5</v>
      </c>
    </row>
    <row r="68" spans="1:54" s="1231" customFormat="1" ht="12.75" hidden="1" customHeight="1" x14ac:dyDescent="0.2">
      <c r="A68" s="1231" t="s">
        <v>74</v>
      </c>
      <c r="B68" s="1231">
        <f>IF(B24=5,SUMIF(B31:B35,"&gt;0"),0)</f>
        <v>0</v>
      </c>
      <c r="D68" s="1235">
        <f>IF(D24=5,SUMIF(D31:D35,"&gt;0"),0)</f>
        <v>0</v>
      </c>
      <c r="E68" s="1231">
        <f>IF(E24=5,SUMIF(E31:E35,"&gt;0"),0)</f>
        <v>0</v>
      </c>
      <c r="G68" s="1235">
        <f>IF(G24=5,SUMIF(G31:G35,"&gt;0"),0)</f>
        <v>0</v>
      </c>
      <c r="H68" s="1231">
        <f>IF(H24=5,SUMIF(H31:H35,"&gt;0"),0)</f>
        <v>0</v>
      </c>
      <c r="J68" s="1235">
        <f>IF(J24=5,SUMIF(J31:J35,"&gt;0"),0)</f>
        <v>0</v>
      </c>
      <c r="K68" s="1231">
        <f>IF(K24=5,SUMIF(K31:K35,"&gt;0"),0)</f>
        <v>0</v>
      </c>
      <c r="M68" s="1235">
        <f>IF(M24=5,SUMIF(M31:M35,"&gt;0"),0)</f>
        <v>0</v>
      </c>
      <c r="N68" s="1231">
        <f>IF(N24=5,SUMIF(N31:N35,"&gt;0"),0)</f>
        <v>0</v>
      </c>
      <c r="P68" s="1235">
        <f>IF(P24=5,SUMIF(P31:P35,"&gt;0"),0)</f>
        <v>0</v>
      </c>
      <c r="Q68" s="1231">
        <f>IF(Q24=5,SUMIF(Q31:Q35,"&gt;0"),0)</f>
        <v>0</v>
      </c>
      <c r="S68" s="1235">
        <f>IF(S24=5,SUMIF(S31:S35,"&gt;0"),0)</f>
        <v>0</v>
      </c>
      <c r="T68" s="1231">
        <f>IF(T24=5,SUMIF(T31:T35,"&gt;0"),0)</f>
        <v>0</v>
      </c>
      <c r="V68" s="1235">
        <f>IF(V24=5,SUMIF(V31:V35,"&gt;0"),0)</f>
        <v>0</v>
      </c>
      <c r="W68" s="1231">
        <f>IF(W24=5,SUMIF(W31:W35,"&gt;0"),0)</f>
        <v>0</v>
      </c>
      <c r="Y68" s="1235">
        <f>IF(Y24=5,SUMIF(Y31:Y35,"&gt;0"),0)</f>
        <v>0</v>
      </c>
      <c r="Z68" s="1231">
        <f>IF(Z24=5,SUMIF(Z31:Z35,"&gt;0"),0)</f>
        <v>0</v>
      </c>
      <c r="AB68" s="1235">
        <f>IF(AB24=5,SUMIF(AB31:AB35,"&gt;0"),0)</f>
        <v>0</v>
      </c>
      <c r="AC68" s="1231">
        <f>IF(AC24=5,SUMIF(AC31:AC35,"&gt;0"),0)</f>
        <v>0</v>
      </c>
      <c r="AE68" s="1235">
        <f>IF(AE24=5,SUMIF(AE31:AE35,"&gt;0"),0)</f>
        <v>0</v>
      </c>
      <c r="AF68" s="1231">
        <f>SUM(B68:AE68)</f>
        <v>0</v>
      </c>
      <c r="AG68" s="1231">
        <f>AF76-AF68</f>
        <v>0</v>
      </c>
    </row>
    <row r="69" spans="1:54" s="1231" customFormat="1" ht="12.75" hidden="1" customHeight="1" x14ac:dyDescent="0.2">
      <c r="D69" s="1235"/>
      <c r="G69" s="1235"/>
      <c r="J69" s="1235"/>
      <c r="M69" s="1235"/>
      <c r="P69" s="1235"/>
      <c r="S69" s="1235"/>
      <c r="V69" s="1235"/>
      <c r="Y69" s="1235"/>
      <c r="AB69" s="1235"/>
      <c r="AE69" s="1235"/>
    </row>
    <row r="70" spans="1:54" s="1231" customFormat="1" ht="12.75" hidden="1" customHeight="1" x14ac:dyDescent="0.2">
      <c r="D70" s="1235"/>
      <c r="G70" s="1235"/>
      <c r="J70" s="1235"/>
      <c r="M70" s="1235"/>
      <c r="P70" s="1235"/>
      <c r="S70" s="1235"/>
      <c r="V70" s="1235"/>
      <c r="Y70" s="1235"/>
      <c r="AB70" s="1235"/>
      <c r="AE70" s="1235"/>
    </row>
    <row r="71" spans="1:54" s="1231" customFormat="1" ht="51" hidden="1" customHeight="1" x14ac:dyDescent="0.2">
      <c r="A71" s="1234" t="s">
        <v>85</v>
      </c>
      <c r="C71" s="1231">
        <f>SUMIF(B64:D68,"&gt;0")</f>
        <v>2</v>
      </c>
      <c r="D71" s="1235"/>
      <c r="F71" s="1231">
        <f>SUMIF(E64:G68,"&gt;0")</f>
        <v>2</v>
      </c>
      <c r="G71" s="1235"/>
      <c r="I71" s="1231">
        <f>SUMIF(H64:J68,"&gt;0")</f>
        <v>2</v>
      </c>
      <c r="J71" s="1235"/>
      <c r="L71" s="1231">
        <f>SUMIF(K64:M68,"&gt;0")</f>
        <v>2</v>
      </c>
      <c r="M71" s="1235"/>
      <c r="O71" s="1231">
        <f>SUMIF(N64:P68,"&gt;0")</f>
        <v>2</v>
      </c>
      <c r="P71" s="1235"/>
      <c r="R71" s="1231">
        <f>SUMIF(Q64:S68,"&gt;0")</f>
        <v>2</v>
      </c>
      <c r="S71" s="1235"/>
      <c r="U71" s="1231">
        <f>SUMIF(T64:V68,"&gt;0")</f>
        <v>0</v>
      </c>
      <c r="V71" s="1235"/>
      <c r="X71" s="1231">
        <f>SUMIF(W64:Y68,"&gt;0")</f>
        <v>0</v>
      </c>
      <c r="Y71" s="1235"/>
      <c r="AA71" s="1231">
        <f>SUMIF(Z64:AB68,"&gt;0")</f>
        <v>0</v>
      </c>
      <c r="AB71" s="1235"/>
      <c r="AD71" s="1231">
        <f>SUMIF(AC64:AE68,"&gt;0")</f>
        <v>0</v>
      </c>
      <c r="AE71" s="1235"/>
      <c r="AF71" s="1234" t="s">
        <v>86</v>
      </c>
    </row>
    <row r="72" spans="1:54" s="1231" customFormat="1" ht="12.75" hidden="1" customHeight="1" x14ac:dyDescent="0.2">
      <c r="A72" s="1231" t="s">
        <v>76</v>
      </c>
      <c r="B72" s="1231">
        <f>IF(B24=1,C71,0)</f>
        <v>0</v>
      </c>
      <c r="D72" s="1235">
        <f>IF(D24=1,C71,0)</f>
        <v>0</v>
      </c>
      <c r="E72" s="1231">
        <f>IF(E24=1,F71,0)</f>
        <v>2</v>
      </c>
      <c r="G72" s="1235">
        <f>IF(G24=1,F71,0)</f>
        <v>0</v>
      </c>
      <c r="H72" s="1231">
        <f>IF(H24=1,I71,0)</f>
        <v>0</v>
      </c>
      <c r="J72" s="1235">
        <f>IF(J24=1,I71,0)</f>
        <v>0</v>
      </c>
      <c r="K72" s="1231">
        <f>IF(K24=1,L71,0)</f>
        <v>2</v>
      </c>
      <c r="M72" s="1235">
        <f>IF(M24=1,L71,0)</f>
        <v>0</v>
      </c>
      <c r="N72" s="1231">
        <f>IF(N24=1,O71,0)</f>
        <v>0</v>
      </c>
      <c r="P72" s="1235">
        <f>IF(P24=1,O71,0)</f>
        <v>0</v>
      </c>
      <c r="Q72" s="1231">
        <f>IF(Q24=1,R71,0)</f>
        <v>2</v>
      </c>
      <c r="S72" s="1235">
        <f>IF(S24=1,R71,0)</f>
        <v>0</v>
      </c>
      <c r="T72" s="1231">
        <f>IF(T24=1,U71,0)</f>
        <v>0</v>
      </c>
      <c r="V72" s="1235">
        <f>IF(V24=1,U71,0)</f>
        <v>0</v>
      </c>
      <c r="W72" s="1231">
        <f>IF(W24=1,X71,0)</f>
        <v>0</v>
      </c>
      <c r="Y72" s="1235">
        <f>IF(Y24=1,X71,0)</f>
        <v>0</v>
      </c>
      <c r="Z72" s="1231">
        <f>IF(Z24=1,AA71,0)</f>
        <v>0</v>
      </c>
      <c r="AB72" s="1235">
        <f>IF(AB24=1,AA71,0)</f>
        <v>0</v>
      </c>
      <c r="AC72" s="1231">
        <f>IF(AC24=1,AD71,0)</f>
        <v>0</v>
      </c>
      <c r="AE72" s="1235">
        <f>IF(AE24=1,AD71,0)</f>
        <v>0</v>
      </c>
      <c r="AF72" s="1231">
        <f>SUM(B72:AE72)</f>
        <v>6</v>
      </c>
    </row>
    <row r="73" spans="1:54" s="1231" customFormat="1" ht="12.75" hidden="1" customHeight="1" x14ac:dyDescent="0.2">
      <c r="A73" s="1231" t="s">
        <v>77</v>
      </c>
      <c r="B73" s="1231">
        <f>IF(B24=2,C71,0)</f>
        <v>2</v>
      </c>
      <c r="D73" s="1235">
        <f>IF(D24=2,C71,0)</f>
        <v>0</v>
      </c>
      <c r="E73" s="1231">
        <f>IF(E24=2,F71,0)</f>
        <v>0</v>
      </c>
      <c r="G73" s="1235">
        <f>IF(G24=2,F71,0)</f>
        <v>0</v>
      </c>
      <c r="H73" s="1231">
        <f>IF(H24=2,I71,0)</f>
        <v>2</v>
      </c>
      <c r="J73" s="1235">
        <f>IF(J24=2,I71,0)</f>
        <v>0</v>
      </c>
      <c r="K73" s="1231">
        <f>IF(K24=2,L71,0)</f>
        <v>0</v>
      </c>
      <c r="M73" s="1235">
        <f>IF(M24=2,L71,0)</f>
        <v>0</v>
      </c>
      <c r="N73" s="1231">
        <f>IF(N24=2,O71,0)</f>
        <v>0</v>
      </c>
      <c r="P73" s="1235">
        <f>IF(P24=2,O71,0)</f>
        <v>0</v>
      </c>
      <c r="Q73" s="1231">
        <f>IF(Q24=2,R71,0)</f>
        <v>0</v>
      </c>
      <c r="S73" s="1235">
        <f>IF(S24=2,R71,0)</f>
        <v>2</v>
      </c>
      <c r="T73" s="1231">
        <f>IF(T24=2,U71,0)</f>
        <v>0</v>
      </c>
      <c r="V73" s="1235">
        <f>IF(V24=2,U71,0)</f>
        <v>0</v>
      </c>
      <c r="W73" s="1231">
        <f>IF(W24=2,X71,0)</f>
        <v>0</v>
      </c>
      <c r="Y73" s="1235">
        <f>IF(Y24=2,X71,0)</f>
        <v>0</v>
      </c>
      <c r="Z73" s="1231">
        <f>IF(Z24=2,AA71,0)</f>
        <v>0</v>
      </c>
      <c r="AB73" s="1235">
        <f>IF(AB24=2,AA71,0)</f>
        <v>0</v>
      </c>
      <c r="AC73" s="1231">
        <f>IF(AC24=2,AD71,0)</f>
        <v>0</v>
      </c>
      <c r="AE73" s="1235">
        <f>IF(AE24=2,AD71,0)</f>
        <v>0</v>
      </c>
      <c r="AF73" s="1231">
        <f>SUM(B73:AE73)</f>
        <v>6</v>
      </c>
    </row>
    <row r="74" spans="1:54" s="1231" customFormat="1" ht="12.75" hidden="1" customHeight="1" x14ac:dyDescent="0.2">
      <c r="A74" s="1231" t="s">
        <v>78</v>
      </c>
      <c r="B74" s="1231">
        <f>IF(B24=3,C71,0)</f>
        <v>0</v>
      </c>
      <c r="D74" s="1235">
        <f>IF(D24=3,C71,0)</f>
        <v>2</v>
      </c>
      <c r="E74" s="1231">
        <f>IF(E24=3,F71,0)</f>
        <v>0</v>
      </c>
      <c r="G74" s="1235">
        <f>IF(G24=3,F71,0)</f>
        <v>0</v>
      </c>
      <c r="H74" s="1231">
        <f>IF(H24=3,I71,0)</f>
        <v>0</v>
      </c>
      <c r="J74" s="1235">
        <f>IF(J24=3,I71,0)</f>
        <v>0</v>
      </c>
      <c r="K74" s="1231">
        <f>IF(K24=3,L71,0)</f>
        <v>0</v>
      </c>
      <c r="M74" s="1235">
        <f>IF(M24=3,L71,0)</f>
        <v>2</v>
      </c>
      <c r="N74" s="1231">
        <f>IF(N24=3,O71,0)</f>
        <v>2</v>
      </c>
      <c r="P74" s="1235">
        <f>IF(P24=3,O71,0)</f>
        <v>0</v>
      </c>
      <c r="Q74" s="1231">
        <f>IF(Q24=3,R71,0)</f>
        <v>0</v>
      </c>
      <c r="S74" s="1235">
        <f>IF(S24=3,R71,0)</f>
        <v>0</v>
      </c>
      <c r="T74" s="1231">
        <f>IF(T24=3,U71,0)</f>
        <v>0</v>
      </c>
      <c r="V74" s="1235">
        <f>IF(V24=3,U71,0)</f>
        <v>0</v>
      </c>
      <c r="W74" s="1231">
        <f>IF(W24=3,X71,0)</f>
        <v>0</v>
      </c>
      <c r="Y74" s="1235">
        <f>IF(Y24=3,X71,0)</f>
        <v>0</v>
      </c>
      <c r="Z74" s="1231">
        <f>IF(Z24=3,AA71,0)</f>
        <v>0</v>
      </c>
      <c r="AB74" s="1235">
        <f>IF(AB24=3,AA71,0)</f>
        <v>0</v>
      </c>
      <c r="AC74" s="1231">
        <f>IF(AC24=3,AD71,0)</f>
        <v>0</v>
      </c>
      <c r="AE74" s="1235">
        <f>IF(AE24=3,AD71,0)</f>
        <v>0</v>
      </c>
      <c r="AF74" s="1231">
        <f>SUM(B74:AE74)</f>
        <v>6</v>
      </c>
    </row>
    <row r="75" spans="1:54" s="1231" customFormat="1" ht="12.75" hidden="1" customHeight="1" x14ac:dyDescent="0.2">
      <c r="A75" s="1231" t="s">
        <v>79</v>
      </c>
      <c r="B75" s="1231">
        <f>IF(B24=4,C71,0)</f>
        <v>0</v>
      </c>
      <c r="D75" s="1235">
        <f>IF(D24=4,C71,0)</f>
        <v>0</v>
      </c>
      <c r="E75" s="1231">
        <f>IF(E24=4,F71,0)</f>
        <v>0</v>
      </c>
      <c r="G75" s="1235">
        <f>IF(G24=4,F71,0)</f>
        <v>2</v>
      </c>
      <c r="H75" s="1231">
        <f>IF(H24=4,I71,0)</f>
        <v>0</v>
      </c>
      <c r="J75" s="1235">
        <f>IF(J24=4,I71,0)</f>
        <v>2</v>
      </c>
      <c r="K75" s="1231">
        <f>IF(K24=4,L71,0)</f>
        <v>0</v>
      </c>
      <c r="M75" s="1235">
        <f>IF(M24=4,L71,0)</f>
        <v>0</v>
      </c>
      <c r="N75" s="1231">
        <f>IF(N24=4,O71,0)</f>
        <v>0</v>
      </c>
      <c r="P75" s="1235">
        <f>IF(P24=4,O71,0)</f>
        <v>2</v>
      </c>
      <c r="Q75" s="1231">
        <f>IF(Q24=4,R71,0)</f>
        <v>0</v>
      </c>
      <c r="S75" s="1235">
        <f>IF(S24=4,R71,0)</f>
        <v>0</v>
      </c>
      <c r="T75" s="1231">
        <f>IF(T24=4,U71,0)</f>
        <v>0</v>
      </c>
      <c r="V75" s="1235">
        <f>IF(V24=4,U71,0)</f>
        <v>0</v>
      </c>
      <c r="W75" s="1231">
        <f>IF(W24=4,X71,0)</f>
        <v>0</v>
      </c>
      <c r="Y75" s="1235">
        <f>IF(Y24=4,X71,0)</f>
        <v>0</v>
      </c>
      <c r="Z75" s="1231">
        <f>IF(Z24=4,AA71,0)</f>
        <v>0</v>
      </c>
      <c r="AB75" s="1235">
        <f>IF(AB24=4,AA71,0)</f>
        <v>0</v>
      </c>
      <c r="AC75" s="1231">
        <f>IF(AC24=4,AD71,0)</f>
        <v>0</v>
      </c>
      <c r="AE75" s="1235">
        <f>IF(AE24=4,AD71,0)</f>
        <v>0</v>
      </c>
      <c r="AF75" s="1231">
        <f>SUM(B75:AE75)</f>
        <v>6</v>
      </c>
    </row>
    <row r="76" spans="1:54" s="1231" customFormat="1" ht="12.75" hidden="1" customHeight="1" x14ac:dyDescent="0.2">
      <c r="A76" s="1231" t="s">
        <v>80</v>
      </c>
      <c r="B76" s="1231">
        <f>IF(B24=5,C71,0)</f>
        <v>0</v>
      </c>
      <c r="D76" s="1235">
        <f>IF(D24=5,C71,0)</f>
        <v>0</v>
      </c>
      <c r="E76" s="1231">
        <f>IF(E24=5,F71,0)</f>
        <v>0</v>
      </c>
      <c r="G76" s="1235">
        <f>IF(G24=5,F71,0)</f>
        <v>0</v>
      </c>
      <c r="H76" s="1231">
        <f>IF(H24=5,I71,0)</f>
        <v>0</v>
      </c>
      <c r="J76" s="1235">
        <f>IF(J24=5,I71,0)</f>
        <v>0</v>
      </c>
      <c r="K76" s="1231">
        <f>IF(K24=5,L71,0)</f>
        <v>0</v>
      </c>
      <c r="M76" s="1235">
        <f>IF(M24=5,L71,0)</f>
        <v>0</v>
      </c>
      <c r="N76" s="1231">
        <f>IF(N24=5,O71,0)</f>
        <v>0</v>
      </c>
      <c r="P76" s="1235">
        <f>IF(P24=5,O71,0)</f>
        <v>0</v>
      </c>
      <c r="Q76" s="1231">
        <f>IF(Q24=5,R71,0)</f>
        <v>0</v>
      </c>
      <c r="S76" s="1235">
        <f>IF(S24=5,R71,0)</f>
        <v>0</v>
      </c>
      <c r="T76" s="1231">
        <f>IF(T24=5,U71,0)</f>
        <v>0</v>
      </c>
      <c r="V76" s="1235">
        <f>IF(V24=5,U71,0)</f>
        <v>0</v>
      </c>
      <c r="W76" s="1231">
        <f>IF(W24=5,X71,0)</f>
        <v>0</v>
      </c>
      <c r="Y76" s="1235">
        <f>IF(Y24=5,X71,0)</f>
        <v>0</v>
      </c>
      <c r="Z76" s="1231">
        <f>IF(Z24=5,AA71,0)</f>
        <v>0</v>
      </c>
      <c r="AB76" s="1235">
        <f>IF(AB24=5,AA71,0)</f>
        <v>0</v>
      </c>
      <c r="AC76" s="1231">
        <f>IF(AC24=5,AD71,0)</f>
        <v>0</v>
      </c>
      <c r="AE76" s="1235">
        <f>IF(AE24=5,AD71,0)</f>
        <v>0</v>
      </c>
      <c r="AF76" s="1231">
        <f>SUM(B76:AE76)</f>
        <v>0</v>
      </c>
    </row>
    <row r="77" spans="1:54" hidden="1" x14ac:dyDescent="0.2">
      <c r="A77" s="1237"/>
      <c r="B77" s="1237"/>
      <c r="C77" s="1237"/>
      <c r="D77" s="1237"/>
      <c r="E77" s="1237"/>
      <c r="F77" s="1237"/>
      <c r="G77" s="1237"/>
      <c r="H77" s="1237"/>
      <c r="I77" s="1237"/>
      <c r="J77" s="1237"/>
      <c r="K77" s="1237"/>
      <c r="L77" s="1237"/>
      <c r="M77" s="1237"/>
      <c r="N77" s="1237"/>
      <c r="O77" s="1237"/>
      <c r="P77" s="1237"/>
      <c r="Q77" s="1237"/>
      <c r="R77" s="1237"/>
      <c r="S77" s="1237"/>
      <c r="T77" s="1237"/>
      <c r="U77" s="1237"/>
      <c r="V77" s="1237"/>
      <c r="W77" s="1237"/>
      <c r="X77" s="1237"/>
      <c r="Y77" s="1237"/>
      <c r="Z77" s="1237"/>
      <c r="AA77" s="1237"/>
      <c r="AB77" s="1237"/>
      <c r="AC77" s="1237"/>
      <c r="AD77" s="1237"/>
      <c r="AE77" s="1237"/>
      <c r="AF77" s="1237"/>
      <c r="AG77" s="1237"/>
      <c r="AH77" s="1237"/>
      <c r="AI77" s="1237"/>
      <c r="AJ77" s="1237"/>
      <c r="AK77" s="1237"/>
      <c r="AL77" s="1237"/>
      <c r="AM77" s="1237"/>
      <c r="AN77" s="1238"/>
      <c r="AO77" s="1238"/>
      <c r="AP77" s="1238"/>
      <c r="AQ77" s="1238"/>
      <c r="AR77" s="1239"/>
      <c r="AS77" s="1239"/>
      <c r="AT77" s="1239"/>
      <c r="AU77" s="1239"/>
      <c r="AV77" s="1239"/>
      <c r="AW77" s="1240"/>
      <c r="BB77" s="1240"/>
    </row>
    <row r="78" spans="1:54" s="1239" customFormat="1" hidden="1" x14ac:dyDescent="0.2">
      <c r="A78" s="1241"/>
      <c r="B78" s="1241"/>
      <c r="C78" s="1241" t="s">
        <v>87</v>
      </c>
      <c r="D78" s="1241">
        <v>1</v>
      </c>
      <c r="E78" s="1241"/>
      <c r="F78" s="1241"/>
      <c r="G78" s="1241">
        <v>2</v>
      </c>
      <c r="H78" s="1241"/>
      <c r="I78" s="1241"/>
      <c r="J78" s="1241">
        <v>3</v>
      </c>
      <c r="K78" s="1241"/>
      <c r="L78" s="1241"/>
      <c r="M78" s="1241">
        <v>4</v>
      </c>
      <c r="N78" s="1241"/>
      <c r="O78" s="1241"/>
      <c r="P78" s="1241">
        <v>5</v>
      </c>
      <c r="Q78" s="1241"/>
      <c r="R78" s="1241"/>
      <c r="S78" s="1241">
        <v>6</v>
      </c>
      <c r="T78" s="1241"/>
      <c r="U78" s="1241"/>
      <c r="V78" s="1241">
        <v>7</v>
      </c>
      <c r="W78" s="1241"/>
      <c r="X78" s="1241"/>
      <c r="Y78" s="1241">
        <v>8</v>
      </c>
      <c r="Z78" s="1241"/>
      <c r="AA78" s="1241"/>
      <c r="AB78" s="1241">
        <v>9</v>
      </c>
      <c r="AC78" s="1241"/>
      <c r="AD78" s="1241"/>
      <c r="AE78" s="1241">
        <v>10</v>
      </c>
      <c r="AF78"/>
      <c r="AG78" s="1241"/>
      <c r="AI78" s="1242"/>
      <c r="AJ78"/>
      <c r="AK78"/>
      <c r="AL78"/>
      <c r="AM78"/>
      <c r="AN78"/>
      <c r="AO78"/>
      <c r="AT78" s="1242" t="s">
        <v>88</v>
      </c>
      <c r="AW78" s="1243"/>
      <c r="BB78" s="1243"/>
    </row>
    <row r="79" spans="1:54" s="1239" customFormat="1" hidden="1" x14ac:dyDescent="0.2">
      <c r="A79" s="1244">
        <v>1</v>
      </c>
      <c r="B79" s="1244" t="str">
        <f>E8</f>
        <v>SC Midlands KP Boys</v>
      </c>
      <c r="C79" s="1244">
        <f>VLOOKUP(B79,AU$3:AY$7,3,FALSE)</f>
        <v>1367.5366284058239</v>
      </c>
      <c r="D79" s="1244">
        <f>IF(B72,B87,IF(D72,D87,C79))</f>
        <v>1367.5366284058239</v>
      </c>
      <c r="E79" s="1244"/>
      <c r="F79" s="1244"/>
      <c r="G79" s="1244">
        <f>IF(E72,E87,IF(G72,G87,D79))</f>
        <v>1386.6014921449844</v>
      </c>
      <c r="H79" s="1244"/>
      <c r="I79" s="1244"/>
      <c r="J79" s="1244">
        <f>IF(H72,H87,IF(J72,J87,G79))</f>
        <v>1386.6014921449844</v>
      </c>
      <c r="K79" s="1244"/>
      <c r="L79" s="1244"/>
      <c r="M79" s="1244">
        <f>IF(K72,K87,IF(M72,M87,J79))</f>
        <v>1410.7595923817273</v>
      </c>
      <c r="N79" s="1244"/>
      <c r="O79" s="1244"/>
      <c r="P79" s="1244">
        <f>IF(N72,N87,IF(P72,P87,M79))</f>
        <v>1410.7595923817273</v>
      </c>
      <c r="Q79" s="1244"/>
      <c r="R79" s="1244"/>
      <c r="S79" s="1244">
        <f>IF(Q72,Q87,IF(S72,S87,P79))</f>
        <v>1434.2378988305024</v>
      </c>
      <c r="T79" s="1244"/>
      <c r="U79" s="1244"/>
      <c r="V79" s="1244">
        <f>IF(T72,T87,IF(V72,V87,S79))</f>
        <v>1434.2378988305024</v>
      </c>
      <c r="W79" s="1244"/>
      <c r="X79" s="1244"/>
      <c r="Y79" s="1244">
        <f>IF(W72,W87,IF(Y72,Y87,V79))</f>
        <v>1434.2378988305024</v>
      </c>
      <c r="Z79" s="1244"/>
      <c r="AA79" s="1244"/>
      <c r="AB79" s="1244">
        <f>IF(Z72,Z87,IF(AB72,AB87,Y79))</f>
        <v>1434.2378988305024</v>
      </c>
      <c r="AC79" s="1244"/>
      <c r="AD79" s="1244"/>
      <c r="AE79" s="1244">
        <f>IF(AC72,AC87,IF(AE72,AE87,AB79))</f>
        <v>1434.2378988305024</v>
      </c>
      <c r="AF79"/>
      <c r="AG79"/>
      <c r="AJ79"/>
      <c r="AK79"/>
      <c r="AL79"/>
      <c r="AM79"/>
      <c r="AN79"/>
      <c r="AO79"/>
      <c r="AT79" s="1239" t="str">
        <f>B79</f>
        <v>SC Midlands KP Boys</v>
      </c>
      <c r="AU79" s="1239">
        <f>AE79</f>
        <v>1434.2378988305024</v>
      </c>
      <c r="AW79" s="1243"/>
      <c r="BB79" s="1243"/>
    </row>
    <row r="80" spans="1:54" s="1239" customFormat="1" hidden="1" x14ac:dyDescent="0.2">
      <c r="A80" s="1244">
        <v>2</v>
      </c>
      <c r="B80" s="1244" t="str">
        <f>E10</f>
        <v>Intense kids power col</v>
      </c>
      <c r="C80" s="1244">
        <f>VLOOKUP(B80,AU$3:AY$7,3,FALSE)</f>
        <v>1291.463631335562</v>
      </c>
      <c r="D80" s="1244">
        <f>IF(B73,B87,IF(D73,D87,C80))</f>
        <v>1292.2980232321891</v>
      </c>
      <c r="E80" s="1244"/>
      <c r="F80" s="1244"/>
      <c r="G80" s="1244">
        <f>IF(E73,E87,IF(G73,G87,D80))</f>
        <v>1292.2980232321891</v>
      </c>
      <c r="H80" s="1244"/>
      <c r="I80" s="1244"/>
      <c r="J80" s="1244">
        <f>IF(H73,H87,IF(J73,J87,G80))</f>
        <v>1315.9512640131416</v>
      </c>
      <c r="K80" s="1244"/>
      <c r="L80" s="1244"/>
      <c r="M80" s="1244">
        <f>IF(K73,K87,IF(M73,M87,J80))</f>
        <v>1315.9512640131416</v>
      </c>
      <c r="N80" s="1244"/>
      <c r="O80" s="1244"/>
      <c r="P80" s="1244">
        <f>IF(N73,N87,IF(P73,P87,M80))</f>
        <v>1315.9512640131416</v>
      </c>
      <c r="Q80" s="1244"/>
      <c r="R80" s="1244"/>
      <c r="S80" s="1244">
        <f>IF(Q73,Q87,IF(S73,S87,P80))</f>
        <v>1292.4729575643664</v>
      </c>
      <c r="T80" s="1244"/>
      <c r="U80" s="1244"/>
      <c r="V80" s="1244">
        <f>IF(T73,T87,IF(V73,V87,S80))</f>
        <v>1292.4729575643664</v>
      </c>
      <c r="W80" s="1244"/>
      <c r="X80" s="1244"/>
      <c r="Y80" s="1244">
        <f>IF(W73,W87,IF(Y73,Y87,V80))</f>
        <v>1292.4729575643664</v>
      </c>
      <c r="Z80" s="1244"/>
      <c r="AA80" s="1244"/>
      <c r="AB80" s="1244">
        <f>IF(Z73,Z87,IF(AB73,AB87,Y80))</f>
        <v>1292.4729575643664</v>
      </c>
      <c r="AC80" s="1244"/>
      <c r="AD80" s="1244"/>
      <c r="AE80" s="1244">
        <f>IF(AC73,AC87,IF(AE73,AE87,AB80))</f>
        <v>1292.4729575643664</v>
      </c>
      <c r="AF80"/>
      <c r="AG80"/>
      <c r="AJ80"/>
      <c r="AL80"/>
      <c r="AM80"/>
      <c r="AN80"/>
      <c r="AO80"/>
      <c r="AT80" s="1239" t="str">
        <f>B80</f>
        <v>Intense kids power col</v>
      </c>
      <c r="AU80" s="1239">
        <f>AE80</f>
        <v>1292.4729575643664</v>
      </c>
      <c r="AW80" s="1243"/>
      <c r="BB80" s="1243"/>
    </row>
    <row r="81" spans="1:54" s="1239" customFormat="1" hidden="1" x14ac:dyDescent="0.2">
      <c r="A81" s="1244">
        <v>3</v>
      </c>
      <c r="B81" s="1244" t="str">
        <f>E12</f>
        <v>Intense Kids power Gvl</v>
      </c>
      <c r="C81" s="1244">
        <f>VLOOKUP(B81,AU$3:AY$7,3,FALSE)</f>
        <v>1300.5249802000656</v>
      </c>
      <c r="D81" s="1244">
        <f>IF(B74,B87,IF(D74,D87,C81))</f>
        <v>1299.6905883034385</v>
      </c>
      <c r="E81" s="1244"/>
      <c r="F81" s="1244"/>
      <c r="G81" s="1244">
        <f>IF(E74,E87,IF(G74,G87,D81))</f>
        <v>1299.6905883034385</v>
      </c>
      <c r="H81" s="1244"/>
      <c r="I81" s="1244"/>
      <c r="J81" s="1244">
        <f>IF(H74,H87,IF(J74,J87,G81))</f>
        <v>1299.6905883034385</v>
      </c>
      <c r="K81" s="1244"/>
      <c r="L81" s="1244"/>
      <c r="M81" s="1244">
        <f>IF(K74,K87,IF(M74,M87,J81))</f>
        <v>1275.5324880666956</v>
      </c>
      <c r="N81" s="1244"/>
      <c r="O81" s="1244"/>
      <c r="P81" s="1244">
        <f>IF(N74,N87,IF(P74,P87,M81))</f>
        <v>1266.5976262521745</v>
      </c>
      <c r="Q81" s="1244"/>
      <c r="R81" s="1244"/>
      <c r="S81" s="1244">
        <f>IF(Q74,Q87,IF(S74,S87,P81))</f>
        <v>1266.5976262521745</v>
      </c>
      <c r="T81" s="1244"/>
      <c r="U81" s="1244"/>
      <c r="V81" s="1244">
        <f>IF(T74,T87,IF(V74,V87,S81))</f>
        <v>1266.5976262521745</v>
      </c>
      <c r="W81" s="1244"/>
      <c r="X81" s="1244"/>
      <c r="Y81" s="1244">
        <f>IF(W74,W87,IF(Y74,Y87,V81))</f>
        <v>1266.5976262521745</v>
      </c>
      <c r="Z81" s="1244"/>
      <c r="AA81" s="1244"/>
      <c r="AB81" s="1244">
        <f>IF(Z74,Z87,IF(AB74,AB87,Y81))</f>
        <v>1266.5976262521745</v>
      </c>
      <c r="AC81" s="1244"/>
      <c r="AD81" s="1244"/>
      <c r="AE81" s="1244">
        <f>IF(AC74,AC87,IF(AE74,AE87,AB81))</f>
        <v>1266.5976262521745</v>
      </c>
      <c r="AF81"/>
      <c r="AG81"/>
      <c r="AJ81"/>
      <c r="AL81"/>
      <c r="AM81"/>
      <c r="AN81"/>
      <c r="AO81"/>
      <c r="AT81" s="1239" t="str">
        <f>B81</f>
        <v>Intense Kids power Gvl</v>
      </c>
      <c r="AU81" s="1239">
        <f>AE81</f>
        <v>1266.5976262521745</v>
      </c>
      <c r="AW81" s="1243"/>
      <c r="BB81" s="1243"/>
    </row>
    <row r="82" spans="1:54" s="1239" customFormat="1" hidden="1" x14ac:dyDescent="0.2">
      <c r="A82" s="1244">
        <v>4</v>
      </c>
      <c r="B82" s="1244" t="str">
        <f>E14</f>
        <v>SC Midlands KP Black</v>
      </c>
      <c r="C82" s="1244">
        <f>VLOOKUP(B82,AU$3:AY$7,3,FALSE)</f>
        <v>1218.5956854627798</v>
      </c>
      <c r="D82" s="1244">
        <f>IF(B75,B87,IF(D75,D87,C82))</f>
        <v>1218.5956854627798</v>
      </c>
      <c r="E82" s="1244"/>
      <c r="F82" s="1244"/>
      <c r="G82" s="1244">
        <f>IF(E75,E87,IF(G75,G87,D82))</f>
        <v>1199.5308217236193</v>
      </c>
      <c r="H82" s="1244"/>
      <c r="I82" s="1244"/>
      <c r="J82" s="1244">
        <f>IF(H75,H87,IF(J75,J87,G82))</f>
        <v>1175.8775809426668</v>
      </c>
      <c r="K82" s="1244"/>
      <c r="L82" s="1244"/>
      <c r="M82" s="1244">
        <f>IF(K75,K87,IF(M75,M87,J82))</f>
        <v>1175.8775809426668</v>
      </c>
      <c r="N82" s="1244"/>
      <c r="O82" s="1244"/>
      <c r="P82" s="1244">
        <f>IF(N75,N87,IF(P75,P87,M82))</f>
        <v>1184.8124427571879</v>
      </c>
      <c r="Q82" s="1244"/>
      <c r="R82" s="1244"/>
      <c r="S82" s="1244">
        <f>IF(Q75,Q87,IF(S75,S87,P82))</f>
        <v>1184.8124427571879</v>
      </c>
      <c r="T82" s="1244"/>
      <c r="U82" s="1244"/>
      <c r="V82" s="1244">
        <f>IF(T75,T87,IF(V75,V87,S82))</f>
        <v>1184.8124427571879</v>
      </c>
      <c r="W82" s="1244"/>
      <c r="X82" s="1244"/>
      <c r="Y82" s="1244">
        <f>IF(W75,W87,IF(Y75,Y87,V82))</f>
        <v>1184.8124427571879</v>
      </c>
      <c r="Z82" s="1244"/>
      <c r="AA82" s="1244"/>
      <c r="AB82" s="1244">
        <f>IF(Z75,Z87,IF(AB75,AB87,Y82))</f>
        <v>1184.8124427571879</v>
      </c>
      <c r="AC82" s="1244"/>
      <c r="AD82" s="1244"/>
      <c r="AE82" s="1244">
        <f>IF(AC75,AC87,IF(AE75,AE87,AB82))</f>
        <v>1184.8124427571879</v>
      </c>
      <c r="AF82"/>
      <c r="AG82"/>
      <c r="AJ82"/>
      <c r="AL82"/>
      <c r="AM82"/>
      <c r="AN82"/>
      <c r="AO82"/>
      <c r="AT82" s="1239" t="str">
        <f>B82</f>
        <v>SC Midlands KP Black</v>
      </c>
      <c r="AU82" s="1239">
        <f>AE82</f>
        <v>1184.8124427571879</v>
      </c>
      <c r="AW82" s="1243"/>
      <c r="BB82" s="1243"/>
    </row>
    <row r="83" spans="1:54" s="1239" customFormat="1" hidden="1" x14ac:dyDescent="0.2">
      <c r="A83" s="1244">
        <v>5</v>
      </c>
      <c r="B83" s="1244">
        <f>E16</f>
        <v>0</v>
      </c>
      <c r="C83" s="1244" t="e">
        <f>VLOOKUP(B83,AU$3:AY$7,3,FALSE)</f>
        <v>#N/A</v>
      </c>
      <c r="D83" s="1244" t="e">
        <f>IF(B76,B87,IF(D76,D87,C83))</f>
        <v>#N/A</v>
      </c>
      <c r="E83" s="1244"/>
      <c r="F83" s="1244"/>
      <c r="G83" s="1244" t="e">
        <f>IF(E76,E87,IF(G76,G87,D83))</f>
        <v>#N/A</v>
      </c>
      <c r="H83" s="1244"/>
      <c r="I83" s="1244"/>
      <c r="J83" s="1244" t="e">
        <f>IF(H76,H87,IF(J76,J87,G83))</f>
        <v>#N/A</v>
      </c>
      <c r="K83" s="1244"/>
      <c r="L83" s="1244"/>
      <c r="M83" s="1244" t="e">
        <f>IF(K76,K87,IF(M76,M87,J83))</f>
        <v>#N/A</v>
      </c>
      <c r="N83" s="1244"/>
      <c r="O83" s="1244"/>
      <c r="P83" s="1244" t="e">
        <f>IF(N76,N87,IF(P76,P87,M83))</f>
        <v>#N/A</v>
      </c>
      <c r="Q83" s="1244"/>
      <c r="R83" s="1244"/>
      <c r="S83" s="1244" t="e">
        <f>IF(Q76,Q87,IF(S76,S87,P83))</f>
        <v>#N/A</v>
      </c>
      <c r="T83" s="1244"/>
      <c r="U83" s="1244"/>
      <c r="V83" s="1244" t="e">
        <f>IF(T76,T87,IF(V76,V87,S83))</f>
        <v>#N/A</v>
      </c>
      <c r="W83" s="1244"/>
      <c r="X83" s="1244"/>
      <c r="Y83" s="1244" t="e">
        <f>IF(W76,W87,IF(Y76,Y87,V83))</f>
        <v>#N/A</v>
      </c>
      <c r="Z83" s="1244"/>
      <c r="AA83" s="1244"/>
      <c r="AB83" s="1244" t="e">
        <f>IF(Z76,Z87,IF(AB76,AB87,Y83))</f>
        <v>#N/A</v>
      </c>
      <c r="AC83" s="1244"/>
      <c r="AD83" s="1244"/>
      <c r="AE83" s="1244" t="e">
        <f>IF(AC76,AC87,IF(AE76,AE87,AB83))</f>
        <v>#N/A</v>
      </c>
      <c r="AF83"/>
      <c r="AG83"/>
      <c r="AJ83"/>
      <c r="AL83"/>
      <c r="AM83"/>
      <c r="AN83"/>
      <c r="AO83"/>
      <c r="AT83" s="1239">
        <f>B83</f>
        <v>0</v>
      </c>
      <c r="AU83" s="1239" t="e">
        <f>AE83</f>
        <v>#N/A</v>
      </c>
      <c r="AW83" s="1243"/>
      <c r="BB83" s="1243"/>
    </row>
    <row r="84" spans="1:54" s="1239" customFormat="1" hidden="1" x14ac:dyDescent="0.2">
      <c r="A84" s="1244"/>
      <c r="B84" s="1244"/>
      <c r="C84" s="1244"/>
      <c r="D84" s="1244"/>
      <c r="E84" s="1244"/>
      <c r="F84" s="1244"/>
      <c r="G84" s="1244"/>
      <c r="H84" s="1244"/>
      <c r="I84" s="1244"/>
      <c r="J84" s="1244"/>
      <c r="K84" s="1244"/>
      <c r="L84" s="1244"/>
      <c r="M84" s="1244"/>
      <c r="N84" s="1244"/>
      <c r="O84" s="1244"/>
      <c r="P84" s="1244"/>
      <c r="Q84" s="1244"/>
      <c r="R84" s="1244"/>
      <c r="S84" s="1244"/>
      <c r="T84" s="1244"/>
      <c r="U84" s="1244"/>
      <c r="V84" s="1244"/>
      <c r="W84" s="1244"/>
      <c r="X84" s="1244"/>
      <c r="Y84" s="1244"/>
      <c r="Z84" s="1244"/>
      <c r="AA84" s="1244"/>
      <c r="AB84" s="1244"/>
      <c r="AC84" s="1244"/>
      <c r="AD84" s="1244"/>
      <c r="AE84" s="1244"/>
      <c r="AF84"/>
      <c r="AG84"/>
      <c r="AJ84"/>
      <c r="AL84"/>
      <c r="AM84"/>
      <c r="AN84"/>
      <c r="AO84"/>
      <c r="AW84" s="1243"/>
      <c r="BB84" s="1243"/>
    </row>
    <row r="85" spans="1:54" s="1239" customFormat="1" hidden="1" x14ac:dyDescent="0.2">
      <c r="A85" s="1244" t="s">
        <v>89</v>
      </c>
      <c r="B85" s="1244">
        <f>VLOOKUP(B24,$A79:$AE83,3,FALSE)</f>
        <v>1291.463631335562</v>
      </c>
      <c r="C85" s="1244">
        <v>1</v>
      </c>
      <c r="D85" s="1244">
        <f>VLOOKUP(D24,$A79:$AE83,3,FALSE)</f>
        <v>1300.5249802000656</v>
      </c>
      <c r="E85" s="1244">
        <f>VLOOKUP(E24,$A79:$AE83,4,FALSE)</f>
        <v>1367.5366284058239</v>
      </c>
      <c r="F85" s="1244">
        <v>2</v>
      </c>
      <c r="G85" s="1244">
        <f>VLOOKUP(G24,$A79:$AE83,4,FALSE)</f>
        <v>1218.5956854627798</v>
      </c>
      <c r="H85" s="1244">
        <f>VLOOKUP(H24,$A79:$AE83,7,FALSE)</f>
        <v>1292.2980232321891</v>
      </c>
      <c r="I85" s="1244">
        <v>3</v>
      </c>
      <c r="J85" s="1244">
        <f>VLOOKUP(J24,$A79:$AE83,7,FALSE)</f>
        <v>1199.5308217236193</v>
      </c>
      <c r="K85" s="1244">
        <f>VLOOKUP(K24,$A79:$AE83,10,FALSE)</f>
        <v>1386.6014921449844</v>
      </c>
      <c r="L85" s="1244">
        <v>4</v>
      </c>
      <c r="M85" s="1244">
        <f>VLOOKUP(M24,$A79:$AE83,10,FALSE)</f>
        <v>1299.6905883034385</v>
      </c>
      <c r="N85" s="1244">
        <f>VLOOKUP(N24,$A79:$AE83,13,FALSE)</f>
        <v>1275.5324880666956</v>
      </c>
      <c r="O85" s="1244">
        <v>5</v>
      </c>
      <c r="P85" s="1244">
        <f>VLOOKUP(P24,$A79:$AE83,13,FALSE)</f>
        <v>1175.8775809426668</v>
      </c>
      <c r="Q85" s="1244">
        <f>VLOOKUP(Q24,$A79:$AE83,16,FALSE)</f>
        <v>1410.7595923817273</v>
      </c>
      <c r="R85" s="1244">
        <v>6</v>
      </c>
      <c r="S85" s="1244">
        <f>VLOOKUP(S24,$A79:$AE83,16,FALSE)</f>
        <v>1315.9512640131416</v>
      </c>
      <c r="T85" s="1244" t="e">
        <f>VLOOKUP(T24,$A79:$AE83,19,FALSE)</f>
        <v>#N/A</v>
      </c>
      <c r="U85" s="1244">
        <v>7</v>
      </c>
      <c r="V85" s="1244" t="e">
        <f>VLOOKUP(V24,$A79:$AE83,19,FALSE)</f>
        <v>#N/A</v>
      </c>
      <c r="W85" s="1244" t="e">
        <f>VLOOKUP(W24,$A79:$AE83,22,FALSE)</f>
        <v>#N/A</v>
      </c>
      <c r="X85" s="1244">
        <v>8</v>
      </c>
      <c r="Y85" s="1244" t="e">
        <f>VLOOKUP(Y24,$A79:$AE83,22,FALSE)</f>
        <v>#N/A</v>
      </c>
      <c r="Z85" s="1244" t="e">
        <f>VLOOKUP(Z24,$A79:$AE83,25,FALSE)</f>
        <v>#N/A</v>
      </c>
      <c r="AA85" s="1244">
        <v>9</v>
      </c>
      <c r="AB85" s="1244" t="e">
        <f>VLOOKUP(AB24,$A79:$AE83,25,FALSE)</f>
        <v>#N/A</v>
      </c>
      <c r="AC85" s="1244" t="e">
        <f>VLOOKUP(AC24,$A79:$AE83,28,FALSE)</f>
        <v>#N/A</v>
      </c>
      <c r="AD85" s="1244">
        <v>10</v>
      </c>
      <c r="AE85" s="1244" t="e">
        <f>VLOOKUP(AE24,$A79:$AE83,28,FALSE)</f>
        <v>#N/A</v>
      </c>
      <c r="AF85"/>
      <c r="AG85" s="1237"/>
      <c r="AH85" s="1237"/>
      <c r="AI85" s="1237"/>
      <c r="AJ85" s="1237"/>
      <c r="AK85" s="1237"/>
      <c r="AL85" s="1237"/>
      <c r="AM85" s="1237"/>
      <c r="AN85" s="1238"/>
      <c r="AO85" s="1238"/>
      <c r="AP85" s="1238"/>
      <c r="AQ85" s="1238"/>
      <c r="AW85" s="1243"/>
      <c r="BB85" s="1243"/>
    </row>
    <row r="86" spans="1:54" s="1249" customFormat="1" hidden="1" x14ac:dyDescent="0.2">
      <c r="A86" s="1245" t="s">
        <v>90</v>
      </c>
      <c r="B86" s="1245">
        <f>1/(1+(10^-((B85-D85)/400)))*(B36+D36)</f>
        <v>0.97392525323040657</v>
      </c>
      <c r="C86" s="1245"/>
      <c r="D86" s="1245">
        <f>1/(1+(10^-((D85-B85)/400)))*(B36+D36)</f>
        <v>1.0260747467695934</v>
      </c>
      <c r="E86" s="1245">
        <f>1/(1+(10^-((E85-G85)/400)))*(E36+G36)</f>
        <v>1.404223008151237</v>
      </c>
      <c r="F86" s="1245"/>
      <c r="G86" s="1245">
        <f>1/(1+(10^-((G85-E85)/400)))*(E36+G36)</f>
        <v>0.5957769918487632</v>
      </c>
      <c r="H86" s="1245">
        <f>1/(1+(10^-((H85-J85)/400)))*(H36+J36)</f>
        <v>1.2608362255952352</v>
      </c>
      <c r="I86" s="1245"/>
      <c r="J86" s="1245">
        <f>1/(1+(10^-((J85-H85)/400)))*(H36+J36)</f>
        <v>0.73916377440476477</v>
      </c>
      <c r="K86" s="1245">
        <f>1/(1+(10^-((K85-M85)/400)))*(K36+M36)</f>
        <v>1.2450593676017838</v>
      </c>
      <c r="L86" s="1245"/>
      <c r="M86" s="1245">
        <f>1/(1+(10^-((M85-K85)/400)))*(K36+M36)</f>
        <v>0.75494063239821618</v>
      </c>
      <c r="N86" s="1245">
        <f>1/(1+(10^-((N85-P85)/400)))*(N36+P36)</f>
        <v>1.2792144317037835</v>
      </c>
      <c r="O86" s="1245"/>
      <c r="P86" s="1245">
        <f>1/(1+(10^-((P85-N85)/400)))*(N36+P36)</f>
        <v>0.72078556829621643</v>
      </c>
      <c r="Q86" s="1245">
        <f>1/(1+(10^-((Q85-S85)/400)))*(Q36+S36)</f>
        <v>1.2663029234757768</v>
      </c>
      <c r="R86" s="1245"/>
      <c r="S86" s="1245">
        <f>1/(1+(10^-((S85-Q85)/400)))*(Q36+S36)</f>
        <v>0.73369707652422322</v>
      </c>
      <c r="T86" s="1245" t="e">
        <f>1/(1+(10^-((T85-V85)/400)))*(T36+V36)</f>
        <v>#N/A</v>
      </c>
      <c r="U86" s="1245"/>
      <c r="V86" s="1245" t="e">
        <f>1/(1+(10^-((V85-T85)/400)))*(T36+V36)</f>
        <v>#N/A</v>
      </c>
      <c r="W86" s="1245" t="e">
        <f>1/(1+(10^-((W85-Y85)/400)))*(W36+Y36)</f>
        <v>#N/A</v>
      </c>
      <c r="X86" s="1245"/>
      <c r="Y86" s="1245" t="e">
        <f>1/(1+(10^-((Y85-W85)/400)))*(W36+Y36)</f>
        <v>#N/A</v>
      </c>
      <c r="Z86" s="1245" t="e">
        <f>1/(1+(10^-((Z85-AB85)/400)))*(Z36+AB36)</f>
        <v>#N/A</v>
      </c>
      <c r="AA86" s="1245"/>
      <c r="AB86" s="1245" t="e">
        <f>1/(1+(10^-((AB85-Z85)/400)))*(Z36+AB36)</f>
        <v>#N/A</v>
      </c>
      <c r="AC86" s="1245" t="e">
        <f>1/(1+(10^-((AC85-AE85)/400)))*(AC36+AE36)</f>
        <v>#N/A</v>
      </c>
      <c r="AD86" s="1245"/>
      <c r="AE86" s="1245" t="e">
        <f>1/(1+(10^-((AE85-AC85)/400)))*(AC36+AE36)</f>
        <v>#N/A</v>
      </c>
      <c r="AF86" s="1246"/>
      <c r="AG86" s="1247"/>
      <c r="AH86" s="1247"/>
      <c r="AI86" s="1247"/>
      <c r="AJ86" s="1247"/>
      <c r="AK86" s="1247"/>
      <c r="AL86" s="1247"/>
      <c r="AM86" s="1247"/>
      <c r="AN86" s="1248"/>
      <c r="AO86" s="1248"/>
      <c r="AP86" s="1248"/>
      <c r="AQ86" s="1248"/>
      <c r="AW86" s="1250"/>
      <c r="BB86" s="1250"/>
    </row>
    <row r="87" spans="1:54" s="1255" customFormat="1" hidden="1" x14ac:dyDescent="0.2">
      <c r="A87" s="1251" t="s">
        <v>91</v>
      </c>
      <c r="B87" s="1251">
        <f>B85+(B36-B86)*$BA$1</f>
        <v>1292.2980232321891</v>
      </c>
      <c r="C87" s="1251"/>
      <c r="D87" s="1251">
        <f>D85+(D36-D86)*$BA$1</f>
        <v>1299.6905883034385</v>
      </c>
      <c r="E87" s="1251">
        <f>E85+(E36-E86)*$BA$1</f>
        <v>1386.6014921449844</v>
      </c>
      <c r="F87" s="1251"/>
      <c r="G87" s="1251">
        <f>G85+(G36-G86)*$BA$1</f>
        <v>1199.5308217236193</v>
      </c>
      <c r="H87" s="1251">
        <f>H85+(H36-H86)*$BA$1</f>
        <v>1315.9512640131416</v>
      </c>
      <c r="I87" s="1251"/>
      <c r="J87" s="1251">
        <f>J85+(J36-J86)*$BA$1</f>
        <v>1175.8775809426668</v>
      </c>
      <c r="K87" s="1251">
        <f>K85+(K36-K86)*$BA$1</f>
        <v>1410.7595923817273</v>
      </c>
      <c r="L87" s="1251"/>
      <c r="M87" s="1251">
        <f>M85+(M36-M86)*$BA$1</f>
        <v>1275.5324880666956</v>
      </c>
      <c r="N87" s="1251">
        <f>N85+(N36-N86)*$BA$1</f>
        <v>1266.5976262521745</v>
      </c>
      <c r="O87" s="1251"/>
      <c r="P87" s="1251">
        <f>P85+(P36-P86)*$BA$1</f>
        <v>1184.8124427571879</v>
      </c>
      <c r="Q87" s="1251">
        <f>Q85+(Q36-Q86)*$BA$1</f>
        <v>1434.2378988305024</v>
      </c>
      <c r="R87" s="1251"/>
      <c r="S87" s="1251">
        <f>S85+(S36-S86)*$BA$1</f>
        <v>1292.4729575643664</v>
      </c>
      <c r="T87" s="1251" t="e">
        <f>T85+(T36-T86)*$BA$1</f>
        <v>#N/A</v>
      </c>
      <c r="U87" s="1251"/>
      <c r="V87" s="1251" t="e">
        <f>V85+(V36-V86)*$BA$1</f>
        <v>#N/A</v>
      </c>
      <c r="W87" s="1251" t="e">
        <f>W85+(W36-W86)*$BA$1</f>
        <v>#N/A</v>
      </c>
      <c r="X87" s="1251"/>
      <c r="Y87" s="1251" t="e">
        <f>Y85+(Y36-Y86)*$BA$1</f>
        <v>#N/A</v>
      </c>
      <c r="Z87" s="1251" t="e">
        <f>Z85+(Z36-Z86)*$BA$1</f>
        <v>#N/A</v>
      </c>
      <c r="AA87" s="1251"/>
      <c r="AB87" s="1251" t="e">
        <f>AB85+(AB36-AB86)*$BA$1</f>
        <v>#N/A</v>
      </c>
      <c r="AC87" s="1251" t="e">
        <f>AC85+(AC36-AC86)*$BA$1</f>
        <v>#N/A</v>
      </c>
      <c r="AD87" s="1251"/>
      <c r="AE87" s="1251" t="e">
        <f>AE85+(AE36-AE86)*$BA$1</f>
        <v>#N/A</v>
      </c>
      <c r="AF87" s="1252"/>
      <c r="AG87" s="1253"/>
      <c r="AH87" s="1253"/>
      <c r="AI87" s="1253"/>
      <c r="AJ87" s="1253"/>
      <c r="AK87" s="1253"/>
      <c r="AL87" s="1253"/>
      <c r="AM87" s="1253"/>
      <c r="AN87" s="1254"/>
      <c r="AO87" s="1254"/>
      <c r="AP87" s="1254"/>
      <c r="AQ87" s="1254"/>
      <c r="AW87" s="1256"/>
      <c r="BB87" s="1256"/>
    </row>
    <row r="88" spans="1:54" s="1255" customFormat="1" hidden="1" x14ac:dyDescent="0.2">
      <c r="A88" s="1251"/>
      <c r="B88" s="1251"/>
      <c r="C88" s="1251"/>
      <c r="D88" s="1251"/>
      <c r="E88" s="1251"/>
      <c r="F88" s="1251"/>
      <c r="G88" s="1251"/>
      <c r="H88" s="1251"/>
      <c r="I88" s="1251"/>
      <c r="J88" s="1251"/>
      <c r="K88" s="1251"/>
      <c r="L88" s="1251"/>
      <c r="M88" s="1251"/>
      <c r="N88" s="1251"/>
      <c r="O88" s="1251"/>
      <c r="P88" s="1251"/>
      <c r="Q88" s="1251"/>
      <c r="R88" s="1251"/>
      <c r="S88" s="1251"/>
      <c r="T88" s="1251"/>
      <c r="U88" s="1251"/>
      <c r="V88" s="1251"/>
      <c r="W88" s="1251"/>
      <c r="X88" s="1251"/>
      <c r="Y88" s="1251"/>
      <c r="Z88" s="1251"/>
      <c r="AA88" s="1251"/>
      <c r="AB88" s="1251"/>
      <c r="AC88" s="1251"/>
      <c r="AD88" s="1251"/>
      <c r="AE88" s="1251"/>
      <c r="AF88" s="1252"/>
      <c r="AG88" s="1253"/>
      <c r="AH88" s="1253"/>
      <c r="AI88" s="1253"/>
      <c r="AJ88" s="1253"/>
      <c r="AK88" s="1253"/>
      <c r="AL88" s="1253"/>
      <c r="AM88" s="1253"/>
      <c r="AN88" s="1254"/>
      <c r="AO88" s="1254"/>
      <c r="AP88" s="1254"/>
      <c r="AQ88" s="1254"/>
      <c r="AW88" s="1256"/>
      <c r="BB88" s="1256"/>
    </row>
    <row r="89" spans="1:54" s="1239" customFormat="1" x14ac:dyDescent="0.2">
      <c r="A89" s="1257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1257"/>
      <c r="C89" s="1257"/>
      <c r="D89" s="1257"/>
      <c r="E89" s="1257"/>
      <c r="F89" s="1257"/>
      <c r="G89" s="1257"/>
      <c r="H89" s="1257"/>
      <c r="I89" s="1257"/>
      <c r="J89" s="1257"/>
      <c r="K89" s="1257"/>
      <c r="L89" s="1257"/>
      <c r="M89" s="1257"/>
      <c r="N89" s="1257"/>
      <c r="O89" s="1257"/>
      <c r="P89" s="1257"/>
      <c r="Q89" s="1257"/>
      <c r="R89" s="1257"/>
      <c r="S89" s="1257"/>
      <c r="T89" s="1257"/>
      <c r="U89" s="1257"/>
      <c r="V89" s="1257"/>
      <c r="W89" s="1257"/>
      <c r="X89" s="1257"/>
      <c r="Y89" s="1257"/>
      <c r="Z89" s="1257"/>
      <c r="AA89" s="1257"/>
      <c r="AB89" s="1257"/>
      <c r="AC89" s="1257"/>
      <c r="AD89" s="1257"/>
      <c r="AE89" s="1257"/>
      <c r="AF89" s="1257"/>
      <c r="AG89" s="1257"/>
      <c r="AH89" s="1257"/>
      <c r="AI89" s="1257"/>
      <c r="AJ89" s="1257"/>
      <c r="AK89" s="1257"/>
      <c r="AL89" s="1257"/>
      <c r="AM89" s="1258"/>
      <c r="AN89" s="1258"/>
      <c r="AO89" s="1258"/>
      <c r="AP89" s="1258"/>
    </row>
    <row r="90" spans="1:54" s="1239" customFormat="1" x14ac:dyDescent="0.2">
      <c r="A90" s="1259"/>
      <c r="B90" s="1259"/>
      <c r="C90" s="1259"/>
      <c r="D90" s="1259"/>
      <c r="E90" s="1259"/>
      <c r="F90" s="1259"/>
      <c r="G90" s="1259"/>
      <c r="H90" s="1259"/>
      <c r="I90" s="1259"/>
      <c r="J90" s="1259"/>
      <c r="K90" s="1259"/>
      <c r="L90" s="1259"/>
      <c r="M90" s="1259"/>
      <c r="N90" s="1259"/>
      <c r="O90" s="1259"/>
      <c r="P90" s="1259"/>
      <c r="Q90" s="1259"/>
      <c r="R90" s="1259"/>
      <c r="S90" s="1259"/>
      <c r="T90" s="1259"/>
      <c r="U90" s="1259"/>
      <c r="V90" s="1259"/>
      <c r="W90" s="1259"/>
      <c r="X90" s="1259"/>
      <c r="Y90" s="1259"/>
      <c r="Z90" s="1259"/>
      <c r="AA90" s="1259"/>
      <c r="AB90" s="1259"/>
      <c r="AC90" s="1259"/>
      <c r="AD90" s="1259"/>
      <c r="AE90" s="1259"/>
      <c r="AF90" s="1259"/>
      <c r="AG90" s="1259"/>
      <c r="AH90" s="1259"/>
      <c r="AI90" s="1259"/>
      <c r="AJ90" s="1259"/>
      <c r="AK90" s="1259"/>
      <c r="AL90" s="1259"/>
      <c r="AM90" s="1259"/>
      <c r="AN90" s="1259"/>
      <c r="AO90" s="1259"/>
      <c r="AP90" s="1259"/>
      <c r="AQ90" s="1259"/>
    </row>
    <row r="91" spans="1:54" ht="21" thickBot="1" x14ac:dyDescent="0.35">
      <c r="A91" s="1260" t="s">
        <v>93</v>
      </c>
      <c r="B91" s="1260"/>
      <c r="C91" s="1260"/>
      <c r="D91" s="1260"/>
      <c r="E91" s="1260"/>
      <c r="F91" s="1260"/>
      <c r="G91" s="1260"/>
      <c r="H91" s="1260"/>
      <c r="I91" s="1260"/>
      <c r="J91" s="1260"/>
      <c r="K91" s="1260"/>
      <c r="L91" s="1260"/>
      <c r="M91" s="1260"/>
      <c r="N91" s="1260"/>
      <c r="O91" s="1260"/>
      <c r="P91" s="1260"/>
      <c r="Q91" s="1260"/>
      <c r="R91" s="1260"/>
      <c r="S91" s="1260"/>
      <c r="T91" s="1260"/>
      <c r="U91" s="1260"/>
      <c r="V91" s="1260"/>
      <c r="W91" s="1260"/>
      <c r="X91" s="1260"/>
      <c r="Y91" s="1260"/>
      <c r="Z91" s="1260"/>
      <c r="AA91" s="1260"/>
      <c r="AB91" s="1260"/>
      <c r="AC91" s="1260"/>
      <c r="AD91" s="1260"/>
      <c r="AE91" s="1260"/>
      <c r="AF91" s="1260"/>
      <c r="AG91" s="1260"/>
      <c r="AH91" s="1260"/>
      <c r="AI91" s="1260"/>
      <c r="AJ91" s="1260"/>
      <c r="AK91" s="1260"/>
      <c r="AL91" s="1260"/>
      <c r="AM91" s="1260"/>
      <c r="AN91" s="1260"/>
      <c r="AO91" s="1260"/>
      <c r="AP91" s="1260"/>
      <c r="AQ91" s="1260"/>
    </row>
    <row r="92" spans="1:54" ht="13.5" thickBot="1" x14ac:dyDescent="0.25">
      <c r="A92" s="1261" t="s">
        <v>94</v>
      </c>
      <c r="B92" s="1262" t="s">
        <v>95</v>
      </c>
      <c r="C92" s="1263"/>
      <c r="D92" s="1263"/>
      <c r="E92" s="1263"/>
      <c r="F92" s="1263"/>
      <c r="G92" s="1263"/>
      <c r="H92" s="1263"/>
      <c r="I92" s="1263"/>
      <c r="J92" s="1263"/>
      <c r="K92" s="1264"/>
      <c r="L92" s="1262" t="s">
        <v>96</v>
      </c>
      <c r="M92" s="1263"/>
      <c r="N92" s="1263"/>
      <c r="O92" s="1263"/>
      <c r="P92" s="1263"/>
      <c r="Q92" s="1263"/>
      <c r="R92" s="1263"/>
      <c r="S92" s="1263"/>
      <c r="T92" s="1263"/>
      <c r="U92" s="1264"/>
      <c r="V92" s="1262" t="s">
        <v>97</v>
      </c>
      <c r="W92" s="1263"/>
      <c r="X92" s="1263"/>
      <c r="Y92" s="1263"/>
      <c r="Z92" s="1263"/>
      <c r="AA92" s="1263"/>
      <c r="AB92" s="1263"/>
      <c r="AC92" s="1263"/>
      <c r="AD92" s="1263"/>
      <c r="AE92" s="1264"/>
      <c r="AF92" s="1262" t="s">
        <v>98</v>
      </c>
      <c r="AG92" s="1263"/>
      <c r="AH92" s="1263"/>
      <c r="AI92" s="1263"/>
      <c r="AJ92" s="1263"/>
      <c r="AK92" s="1263"/>
      <c r="AL92" s="1263"/>
      <c r="AM92" s="1263"/>
      <c r="AN92" s="1263"/>
      <c r="AO92" s="1264"/>
    </row>
    <row r="93" spans="1:54" ht="13.5" thickBot="1" x14ac:dyDescent="0.25">
      <c r="A93" s="1265"/>
      <c r="B93" s="1266" t="s">
        <v>7</v>
      </c>
      <c r="C93" s="1267"/>
      <c r="D93" s="1267"/>
      <c r="E93" s="1267"/>
      <c r="F93" s="1267"/>
      <c r="G93" s="1268"/>
      <c r="H93" s="1266" t="s">
        <v>99</v>
      </c>
      <c r="I93" s="1267"/>
      <c r="J93" s="1267"/>
      <c r="K93" s="1268"/>
      <c r="L93" s="1266" t="s">
        <v>7</v>
      </c>
      <c r="M93" s="1267"/>
      <c r="N93" s="1267"/>
      <c r="O93" s="1267"/>
      <c r="P93" s="1267"/>
      <c r="Q93" s="1268"/>
      <c r="R93" s="1266" t="s">
        <v>99</v>
      </c>
      <c r="S93" s="1267"/>
      <c r="T93" s="1267"/>
      <c r="U93" s="1268"/>
      <c r="V93" s="1266" t="s">
        <v>7</v>
      </c>
      <c r="W93" s="1267"/>
      <c r="X93" s="1267"/>
      <c r="Y93" s="1267"/>
      <c r="Z93" s="1267"/>
      <c r="AA93" s="1268"/>
      <c r="AB93" s="1266" t="s">
        <v>99</v>
      </c>
      <c r="AC93" s="1267"/>
      <c r="AD93" s="1267"/>
      <c r="AE93" s="1268"/>
      <c r="AF93" s="1266" t="s">
        <v>7</v>
      </c>
      <c r="AG93" s="1267"/>
      <c r="AH93" s="1267"/>
      <c r="AI93" s="1267"/>
      <c r="AJ93" s="1267"/>
      <c r="AK93" s="1268"/>
      <c r="AL93" s="1266" t="s">
        <v>99</v>
      </c>
      <c r="AM93" s="1267"/>
      <c r="AN93" s="1267"/>
      <c r="AO93" s="1268"/>
    </row>
    <row r="94" spans="1:54" ht="13.5" thickBot="1" x14ac:dyDescent="0.25">
      <c r="A94" s="1269" t="s">
        <v>100</v>
      </c>
      <c r="B94" s="1270" t="str">
        <f>IF($AF$8=1,$E$8,IF($AF$10=1,$E$10,IF($AF$12=1,$E$12,IF($AF$14=1,$E$14,IF($AF$16=1,$E$16,"1st Place "&amp;$A94)))))</f>
        <v>1st Place Court 1</v>
      </c>
      <c r="C94" s="1271"/>
      <c r="D94" s="1271"/>
      <c r="E94" s="1271"/>
      <c r="F94" s="1271"/>
      <c r="G94" s="1271"/>
      <c r="H94" s="1272" t="str">
        <f>IF($AF$8=1,$E$9,IF($AF$10=1,$E$11,IF($AF$12=1,$E$13,IF($AF$14=1,$E$15,IF($AF$16=1,$E$17,"1st Place "&amp;$A94)))))</f>
        <v>1st Place Court 1</v>
      </c>
      <c r="I94" s="1272"/>
      <c r="J94" s="1272"/>
      <c r="K94" s="1273"/>
      <c r="L94" s="1270" t="str">
        <f>IF($AF$8=2,$E$8,IF($AF$10=2,$E$10,IF($AF$12=2,$E$12,IF($AF$14=2,$E$14,IF($AF$16=2,$E$16,"2nd Place "&amp;$A94)))))</f>
        <v>2nd Place Court 1</v>
      </c>
      <c r="M94" s="1271"/>
      <c r="N94" s="1271"/>
      <c r="O94" s="1271"/>
      <c r="P94" s="1271"/>
      <c r="Q94" s="1271"/>
      <c r="R94" s="1272" t="str">
        <f>IF($AF$8=2,$E$9,IF($AF$10=2,$E$11,IF($AF$12=2,$E$13,IF($AF$14=2,$E$15,IF($AF$16=2,$E$17,"2nd Place "&amp;$A94)))))</f>
        <v>2nd Place Court 1</v>
      </c>
      <c r="S94" s="1272"/>
      <c r="T94" s="1272"/>
      <c r="U94" s="1273"/>
      <c r="V94" s="1270" t="str">
        <f>IF($AF$8=3,$E$8,IF($AF$10=3,$E$10,IF($AF$12=3,$E$12,IF($AF$14=3,$E$14,IF($AF$16=3,$E$16,"3rd Place "&amp;$A94)))))</f>
        <v>3rd Place Court 1</v>
      </c>
      <c r="W94" s="1271"/>
      <c r="X94" s="1271"/>
      <c r="Y94" s="1271"/>
      <c r="Z94" s="1271"/>
      <c r="AA94" s="1271"/>
      <c r="AB94" s="1272" t="str">
        <f>IF($AF$8=3,$E$9,IF($AF$10=3,$E$11,IF($AF$12=3,$E$13,IF($AF$14=3,$E$15,IF($AF$16=3,$E$17,"3rd Place "&amp;$A94)))))</f>
        <v>3rd Place Court 1</v>
      </c>
      <c r="AC94" s="1272"/>
      <c r="AD94" s="1272"/>
      <c r="AE94" s="1273"/>
      <c r="AF94" s="1270" t="str">
        <f>IF($AF$8=4,$E$8,IF($AF$10=4,$E$10,IF($AF$12=4,$E$12,IF($AF$14=4,$E$14,IF($AF$16=4,$E$16,"4th Place "&amp;$A94)))))</f>
        <v>4th Place Court 1</v>
      </c>
      <c r="AG94" s="1271"/>
      <c r="AH94" s="1271"/>
      <c r="AI94" s="1271"/>
      <c r="AJ94" s="1271"/>
      <c r="AK94" s="1271"/>
      <c r="AL94" s="1272" t="str">
        <f>IF($AF$8=4,$E$9,IF($AF$10=4,$E$11,IF($AF$12=4,$E$13,IF($AF$14=4,$E$15,IF($AF$16=4,$E$17,"4th Place "&amp;$A94)))))</f>
        <v>4th Place Court 1</v>
      </c>
      <c r="AM94" s="1272"/>
      <c r="AN94" s="1272"/>
      <c r="AO94" s="1273"/>
    </row>
    <row r="95" spans="1:54" s="1039" customFormat="1" x14ac:dyDescent="0.2">
      <c r="A95" s="1274"/>
      <c r="B95" s="1275"/>
      <c r="C95" s="1275"/>
      <c r="D95" s="1275"/>
      <c r="E95" s="1275"/>
      <c r="F95" s="1275"/>
      <c r="G95" s="1275"/>
      <c r="H95" s="1275"/>
      <c r="I95" s="1275"/>
      <c r="J95" s="1275"/>
      <c r="K95" s="1275"/>
      <c r="L95" s="1275"/>
      <c r="M95" s="1275"/>
      <c r="N95" s="1275"/>
      <c r="O95" s="1275"/>
      <c r="P95" s="1275"/>
      <c r="Q95" s="1275"/>
      <c r="R95" s="1275"/>
      <c r="S95" s="1275"/>
      <c r="T95" s="1275"/>
      <c r="U95" s="1275"/>
      <c r="V95" s="1275"/>
      <c r="W95" s="1275"/>
      <c r="X95" s="1275"/>
      <c r="Y95" s="1275"/>
      <c r="Z95" s="1275"/>
      <c r="AA95" s="1275"/>
      <c r="AB95" s="1275"/>
      <c r="AC95" s="1275"/>
      <c r="AD95" s="1275"/>
      <c r="AE95" s="1275"/>
      <c r="AF95" s="1275"/>
      <c r="AG95" s="1275"/>
      <c r="AH95" s="1275"/>
      <c r="AI95" s="1275"/>
      <c r="AJ95" s="1275"/>
      <c r="AK95" s="1275"/>
      <c r="AL95" s="1275"/>
      <c r="AM95" s="1275"/>
      <c r="AN95" s="1275"/>
      <c r="AO95" s="1275"/>
      <c r="AZ95"/>
      <c r="BA95"/>
    </row>
    <row r="96" spans="1:54" ht="15.75" x14ac:dyDescent="0.25">
      <c r="A96" s="1276" t="s">
        <v>102</v>
      </c>
      <c r="B96" s="1276"/>
      <c r="C96" s="1276"/>
      <c r="D96" s="1276"/>
      <c r="E96" s="1276"/>
      <c r="F96" s="1276"/>
      <c r="G96" s="1276"/>
      <c r="H96" s="1276"/>
      <c r="I96" s="1276"/>
      <c r="J96" s="1276"/>
      <c r="K96" s="1276"/>
      <c r="L96" s="1276"/>
      <c r="M96" s="1276"/>
      <c r="N96" s="1276"/>
      <c r="O96" s="1276"/>
      <c r="P96" s="1276"/>
      <c r="Q96" s="1276"/>
      <c r="R96" s="1276"/>
      <c r="S96" s="1276"/>
      <c r="T96" s="1276"/>
      <c r="U96" s="1276"/>
      <c r="V96" s="1276"/>
      <c r="W96" s="1276"/>
      <c r="X96" s="1276"/>
      <c r="Y96" s="1276"/>
      <c r="Z96" s="1276"/>
      <c r="AA96" s="1276"/>
      <c r="AB96" s="1276"/>
      <c r="AC96" s="1276"/>
      <c r="AD96" s="1276"/>
      <c r="AE96" s="1276"/>
      <c r="AF96" s="1276"/>
      <c r="AG96" s="1276"/>
      <c r="AH96" s="1276"/>
      <c r="AI96" s="1276"/>
      <c r="AJ96" s="1276"/>
      <c r="AK96" s="1276"/>
      <c r="AL96" s="1276"/>
      <c r="AM96" s="1276"/>
      <c r="AN96" s="1276"/>
      <c r="AO96" s="1276"/>
      <c r="AP96" s="1276"/>
      <c r="AQ96" s="1276"/>
      <c r="AT96" s="1277"/>
      <c r="AU96" s="1277"/>
      <c r="AV96" s="1277"/>
    </row>
    <row r="97" spans="1:50" ht="36" customHeight="1" x14ac:dyDescent="0.25">
      <c r="A97" s="1278" t="s">
        <v>1212</v>
      </c>
      <c r="B97" s="1422"/>
      <c r="C97" s="1422"/>
      <c r="D97" s="1422"/>
      <c r="E97" s="1422"/>
      <c r="F97" s="1422"/>
      <c r="G97" s="1422"/>
      <c r="H97" s="1422"/>
      <c r="I97" s="1422"/>
      <c r="J97" s="1422"/>
      <c r="K97" s="1422"/>
      <c r="L97" s="1422"/>
      <c r="M97" s="1422"/>
      <c r="N97" s="1422"/>
      <c r="O97" s="1422"/>
      <c r="P97" s="1422"/>
      <c r="Q97" s="1422"/>
      <c r="R97" s="1422"/>
      <c r="S97" s="1422"/>
      <c r="T97" s="1422"/>
      <c r="U97" s="1422"/>
      <c r="V97" s="1422"/>
      <c r="W97" s="1422"/>
      <c r="X97" s="1422"/>
      <c r="Y97" s="1422"/>
      <c r="Z97" s="1422"/>
      <c r="AA97" s="1422"/>
      <c r="AB97" s="1422"/>
      <c r="AC97" s="1422"/>
      <c r="AD97" s="1422"/>
      <c r="AE97" s="1422"/>
      <c r="AF97" s="1422"/>
      <c r="AG97" s="1422"/>
      <c r="AH97" s="1422"/>
      <c r="AI97" s="1422"/>
      <c r="AJ97" s="1422"/>
      <c r="AK97" s="1422"/>
      <c r="AL97" s="1422"/>
      <c r="AM97" s="1422"/>
      <c r="AN97" s="1422"/>
      <c r="AO97" s="1422"/>
      <c r="AP97" s="1422"/>
      <c r="AQ97" s="1422"/>
      <c r="AR97" s="1422"/>
    </row>
    <row r="98" spans="1:50" x14ac:dyDescent="0.2">
      <c r="A98" s="1280"/>
      <c r="B98" s="1280"/>
      <c r="C98" s="1280"/>
      <c r="D98" s="1280"/>
      <c r="E98" s="1280"/>
      <c r="F98" s="1280"/>
      <c r="G98" s="1280"/>
      <c r="H98" s="1280"/>
      <c r="I98" s="1280"/>
      <c r="J98" s="1280"/>
      <c r="K98" s="1280"/>
      <c r="L98" s="1280"/>
      <c r="M98" s="1280"/>
      <c r="N98" s="1280"/>
      <c r="O98" s="1280"/>
      <c r="P98" s="1280"/>
      <c r="Q98" s="1280"/>
      <c r="R98" s="1280"/>
      <c r="S98" s="1280"/>
      <c r="T98" s="1280"/>
      <c r="U98" s="1280"/>
      <c r="V98" s="1280"/>
      <c r="W98" s="1280"/>
      <c r="X98" s="1280"/>
      <c r="Y98" s="1280"/>
      <c r="Z98" s="1280"/>
      <c r="AA98" s="1280"/>
      <c r="AB98" s="1280"/>
      <c r="AC98" s="1280"/>
      <c r="AD98" s="1280"/>
      <c r="AE98" s="1280"/>
      <c r="AF98" s="1280"/>
      <c r="AG98" s="1280"/>
      <c r="AH98" s="1280"/>
      <c r="AI98" s="1280"/>
      <c r="AJ98" s="1280"/>
      <c r="AK98" s="1280"/>
      <c r="AL98" s="1280"/>
      <c r="AM98" s="1280"/>
      <c r="AN98" s="1280"/>
      <c r="AO98" s="1280"/>
      <c r="AP98" s="1280"/>
      <c r="AQ98" s="1280"/>
    </row>
    <row r="99" spans="1:50" x14ac:dyDescent="0.2">
      <c r="A99" s="1280"/>
      <c r="B99" s="1280"/>
      <c r="C99" s="1280"/>
      <c r="D99" s="1280"/>
      <c r="E99" s="1280"/>
      <c r="F99" s="1280"/>
      <c r="G99" s="1280"/>
      <c r="H99" s="1280"/>
      <c r="I99" s="1280"/>
      <c r="J99" s="1280"/>
      <c r="K99" s="1280"/>
      <c r="L99" s="1280"/>
      <c r="M99" s="1280"/>
      <c r="N99" s="1280"/>
      <c r="O99" s="1280"/>
      <c r="P99" s="1280"/>
      <c r="Q99" s="1280"/>
      <c r="R99" s="1280"/>
      <c r="S99" s="1280"/>
      <c r="T99" s="1280"/>
      <c r="U99" s="1280"/>
      <c r="V99" s="1280"/>
      <c r="W99" s="1280"/>
      <c r="X99" s="1280"/>
      <c r="Y99" s="1280"/>
      <c r="Z99" s="1280"/>
      <c r="AA99" s="1280"/>
      <c r="AB99" s="1280"/>
      <c r="AC99" s="1280"/>
      <c r="AD99" s="1280"/>
      <c r="AE99" s="1280"/>
      <c r="AF99" s="1280"/>
      <c r="AG99" s="1280"/>
      <c r="AH99" s="1280"/>
      <c r="AI99" s="1280"/>
      <c r="AJ99" s="1280"/>
      <c r="AK99" s="1280"/>
      <c r="AL99" s="1280"/>
      <c r="AM99" s="1280"/>
      <c r="AN99" s="1280"/>
      <c r="AO99" s="1280"/>
      <c r="AP99" s="1280"/>
      <c r="AQ99" s="1280"/>
    </row>
    <row r="100" spans="1:50" x14ac:dyDescent="0.2">
      <c r="A100" s="1281" t="s">
        <v>104</v>
      </c>
      <c r="B100" s="1281"/>
      <c r="C100" s="1281"/>
      <c r="D100" s="1281"/>
      <c r="E100" s="1281"/>
      <c r="F100" s="1281"/>
      <c r="G100" s="1281"/>
      <c r="H100" s="1281"/>
      <c r="I100" s="1281"/>
      <c r="J100" s="1281"/>
      <c r="K100" s="1281"/>
      <c r="L100" s="1282"/>
    </row>
    <row r="101" spans="1:50" x14ac:dyDescent="0.2">
      <c r="C101" s="1039"/>
      <c r="D101" s="1039"/>
      <c r="E101" s="1039"/>
      <c r="L101" s="1282"/>
    </row>
    <row r="102" spans="1:50" x14ac:dyDescent="0.2">
      <c r="A102" s="1258" t="s">
        <v>105</v>
      </c>
      <c r="B102" s="1258"/>
      <c r="C102" s="1258"/>
      <c r="D102" s="1258"/>
      <c r="E102" s="1258"/>
      <c r="F102" s="1258"/>
      <c r="G102" s="1258"/>
      <c r="H102" s="1258"/>
      <c r="I102" s="1258"/>
      <c r="J102" s="1258"/>
      <c r="K102" s="1258"/>
      <c r="L102" s="1258"/>
      <c r="M102" s="1258"/>
      <c r="N102" s="1258"/>
      <c r="O102" s="1258"/>
      <c r="P102" s="1240"/>
      <c r="R102" s="1285"/>
      <c r="S102" s="1285"/>
      <c r="T102" s="1285"/>
      <c r="U102" s="1285"/>
      <c r="V102" s="1285"/>
      <c r="W102" s="1285"/>
      <c r="X102" s="1285"/>
      <c r="Y102" s="1285"/>
      <c r="Z102" s="1285"/>
      <c r="AA102" s="1285"/>
      <c r="AB102" s="1285"/>
      <c r="AC102" s="1285"/>
      <c r="AD102" s="1285"/>
      <c r="AE102" s="1285"/>
      <c r="AF102" s="1285"/>
      <c r="AG102" s="1283"/>
      <c r="AH102" s="1283"/>
      <c r="AI102" s="1283"/>
      <c r="AJ102" s="1283"/>
      <c r="AK102" s="1283"/>
      <c r="AL102" s="1283"/>
      <c r="AM102" s="1283"/>
    </row>
    <row r="103" spans="1:50" x14ac:dyDescent="0.2">
      <c r="R103" s="1283"/>
      <c r="S103" s="1283"/>
      <c r="T103" s="1283"/>
      <c r="U103" s="1283"/>
      <c r="V103" s="1283"/>
      <c r="W103" s="1283"/>
      <c r="X103" s="1283"/>
      <c r="Y103" s="1283"/>
      <c r="Z103" s="1283"/>
      <c r="AA103" s="1283"/>
      <c r="AB103" s="1283"/>
      <c r="AC103" s="1283"/>
      <c r="AD103" s="1283"/>
      <c r="AE103" s="1283"/>
      <c r="AF103" s="1283"/>
      <c r="AG103" s="1283"/>
      <c r="AH103" s="1283"/>
      <c r="AI103" s="1283"/>
      <c r="AJ103" s="1283"/>
      <c r="AK103" s="1283"/>
      <c r="AL103" s="1283"/>
      <c r="AM103" s="1283"/>
    </row>
    <row r="104" spans="1:50" ht="13.5" thickBot="1" x14ac:dyDescent="0.25">
      <c r="A104" s="1286" t="str">
        <f>IF(B132=1,B124,IF(B132=2,B125,IF(B132=3,B126,IF(B132=4,B127,IF(OR(B132="B",B132="b"),"BYE","invalid")))))</f>
        <v>1st Place Court 1</v>
      </c>
      <c r="B104" s="1286"/>
      <c r="C104" s="1286"/>
      <c r="D104" s="1286"/>
      <c r="E104" s="1286"/>
      <c r="F104" s="1287"/>
      <c r="G104" s="1287"/>
      <c r="H104" s="1287"/>
      <c r="I104" s="1287"/>
      <c r="J104" s="1287"/>
      <c r="K104" s="1287"/>
      <c r="L104" s="1287"/>
      <c r="M104" s="1287"/>
      <c r="N104" s="1287"/>
      <c r="R104" s="1283"/>
      <c r="S104" s="1289"/>
      <c r="T104" s="1289"/>
      <c r="U104" s="1284"/>
      <c r="V104" s="1284"/>
      <c r="W104" s="1284"/>
      <c r="X104" s="1284"/>
      <c r="Y104" s="1284"/>
      <c r="Z104" s="1284"/>
      <c r="AA104" s="1284"/>
      <c r="AB104" s="1283"/>
      <c r="AC104" s="1283"/>
      <c r="AD104" s="1283"/>
      <c r="AE104" s="1283"/>
      <c r="AF104" s="1283"/>
      <c r="AG104" s="1283"/>
      <c r="AH104" s="1283"/>
      <c r="AI104" s="1283"/>
      <c r="AJ104" s="1283"/>
      <c r="AK104" s="1283"/>
      <c r="AL104" s="1283"/>
      <c r="AM104" s="1283"/>
    </row>
    <row r="105" spans="1:50" x14ac:dyDescent="0.2">
      <c r="A105" s="1290" t="s">
        <v>1213</v>
      </c>
      <c r="B105" s="1290"/>
      <c r="C105" s="1290"/>
      <c r="D105" s="1290"/>
      <c r="E105" s="1290"/>
      <c r="F105" s="1291"/>
      <c r="G105" s="1287"/>
      <c r="H105" s="1287"/>
      <c r="I105" s="1287"/>
      <c r="J105" s="1287"/>
      <c r="K105" s="1287"/>
      <c r="L105" s="1287"/>
      <c r="M105" s="1287"/>
      <c r="N105" s="1287"/>
      <c r="R105" s="1283"/>
      <c r="S105" s="1293"/>
      <c r="T105" s="1293"/>
      <c r="U105" s="1294"/>
      <c r="V105" s="1294"/>
      <c r="W105" s="1294"/>
      <c r="X105" s="1294"/>
      <c r="Y105" s="1294"/>
      <c r="Z105" s="1294"/>
      <c r="AA105" s="1294"/>
      <c r="AB105" s="1283"/>
      <c r="AC105" s="1283"/>
      <c r="AD105" s="1283"/>
      <c r="AE105" s="1283"/>
      <c r="AF105" s="1283"/>
      <c r="AG105" s="1283"/>
      <c r="AH105" s="1283"/>
      <c r="AI105" s="1283"/>
      <c r="AJ105" s="1283"/>
      <c r="AK105" s="1283"/>
      <c r="AL105" s="1283"/>
      <c r="AM105" s="1283"/>
    </row>
    <row r="106" spans="1:50" x14ac:dyDescent="0.2">
      <c r="A106" s="1287"/>
      <c r="B106" s="1287"/>
      <c r="C106" s="1287"/>
      <c r="D106" s="1287"/>
      <c r="E106" s="1287"/>
      <c r="F106" s="1291"/>
      <c r="G106" s="1287"/>
      <c r="H106" s="1287"/>
      <c r="I106" s="1287"/>
      <c r="J106" s="1287"/>
      <c r="K106" s="1287"/>
      <c r="L106" s="1287"/>
      <c r="M106" s="1287"/>
      <c r="N106" s="1287"/>
      <c r="R106" s="1283"/>
      <c r="S106" s="1283"/>
      <c r="T106" s="1283"/>
      <c r="U106" s="1283"/>
      <c r="V106" s="1283"/>
      <c r="W106" s="1283"/>
      <c r="X106" s="1283"/>
      <c r="Y106" s="1283"/>
      <c r="Z106" s="1283"/>
      <c r="AA106" s="1283"/>
      <c r="AB106" s="1283"/>
      <c r="AC106" s="1283"/>
      <c r="AD106" s="1283"/>
      <c r="AE106" s="1283"/>
      <c r="AF106" s="1283"/>
      <c r="AG106" s="1283"/>
      <c r="AH106" s="1283"/>
      <c r="AI106" s="1283"/>
      <c r="AJ106" s="1283"/>
      <c r="AK106" s="1283"/>
      <c r="AL106" s="1283"/>
      <c r="AM106" s="1283"/>
    </row>
    <row r="107" spans="1:50" ht="13.5" thickBot="1" x14ac:dyDescent="0.25">
      <c r="A107" s="1423" t="str">
        <f>B126&amp;" ref"</f>
        <v>3rd Place Court 1 ref</v>
      </c>
      <c r="B107" s="1423"/>
      <c r="C107" s="1423"/>
      <c r="D107" s="1423"/>
      <c r="E107" s="1296"/>
      <c r="F107" s="1297" t="str">
        <f>IF(H132=1,B124,IF(H132=2,B125,IF(H132=3,B126,IF(H132=4,B127,"Winner Match 1"))))</f>
        <v>Winner Match 1</v>
      </c>
      <c r="G107" s="1298"/>
      <c r="H107" s="1298"/>
      <c r="I107" s="1298"/>
      <c r="J107" s="1298"/>
      <c r="K107" s="1298"/>
      <c r="L107" s="1298"/>
      <c r="M107" s="1298"/>
      <c r="N107" s="1287"/>
      <c r="P107" s="1299"/>
      <c r="Q107" s="1299"/>
      <c r="R107" s="1285"/>
      <c r="S107" s="1285"/>
      <c r="T107" s="1285"/>
      <c r="U107" s="1285"/>
      <c r="V107" s="1285"/>
      <c r="W107" s="1285"/>
      <c r="X107" s="1285"/>
      <c r="Y107" s="1285"/>
      <c r="Z107" s="1285"/>
      <c r="AA107" s="1283"/>
      <c r="AB107" s="1284"/>
      <c r="AC107" s="1284"/>
      <c r="AD107" s="1284"/>
      <c r="AE107" s="1284"/>
      <c r="AF107" s="1284"/>
      <c r="AG107" s="1284"/>
      <c r="AH107" s="1284"/>
      <c r="AI107" s="1283"/>
      <c r="AJ107" s="1283"/>
      <c r="AK107" s="1283"/>
      <c r="AL107" s="1283"/>
      <c r="AM107" s="1283"/>
    </row>
    <row r="108" spans="1:50" x14ac:dyDescent="0.2">
      <c r="A108" s="1300" t="s">
        <v>109</v>
      </c>
      <c r="B108" s="1300"/>
      <c r="C108" s="1300"/>
      <c r="D108" s="1300"/>
      <c r="E108" s="1300"/>
      <c r="F108" s="1424"/>
      <c r="G108" s="1425"/>
      <c r="H108" s="1425"/>
      <c r="I108" s="1426"/>
      <c r="J108" s="1427"/>
      <c r="K108" s="1428"/>
      <c r="L108" s="1428"/>
      <c r="M108" s="1428"/>
      <c r="N108" s="1287"/>
      <c r="O108" s="1287"/>
      <c r="P108" s="1296"/>
      <c r="Q108" s="355"/>
      <c r="R108" s="1317"/>
      <c r="S108" s="1317"/>
      <c r="T108" s="1307"/>
      <c r="U108" s="1307"/>
      <c r="V108" s="1307"/>
      <c r="W108" s="1307"/>
      <c r="X108" s="1307"/>
      <c r="Y108" s="1307"/>
      <c r="Z108" s="1307"/>
      <c r="AA108" s="1283"/>
      <c r="AB108" s="1285"/>
      <c r="AC108" s="1285"/>
      <c r="AD108" s="1285"/>
      <c r="AE108" s="1285"/>
      <c r="AF108" s="1285"/>
      <c r="AG108" s="1285"/>
      <c r="AH108" s="1285"/>
      <c r="AI108" s="1283"/>
      <c r="AJ108" s="1283"/>
      <c r="AK108" s="1283"/>
      <c r="AL108" s="1283"/>
      <c r="AM108" s="1283"/>
    </row>
    <row r="109" spans="1:50" ht="13.5" thickBot="1" x14ac:dyDescent="0.25">
      <c r="A109" s="1286" t="str">
        <f>IF(D132=1,B124,IF(D132=2,B125,IF(D132=3,B126,IF(D132=4,B127,IF(OR(D132="B",D132="b"),"BYE","invalid")))))</f>
        <v>4th Place Court 1</v>
      </c>
      <c r="B109" s="1286"/>
      <c r="C109" s="1286"/>
      <c r="D109" s="1286"/>
      <c r="E109" s="1308"/>
      <c r="F109" s="1291"/>
      <c r="G109" s="1287"/>
      <c r="H109" s="1287"/>
      <c r="I109" s="1287"/>
      <c r="J109" s="1291"/>
      <c r="K109" s="1287"/>
      <c r="L109" s="1287"/>
      <c r="M109" s="1287"/>
      <c r="N109" s="1287"/>
      <c r="O109" s="1287"/>
      <c r="P109" s="1287"/>
      <c r="R109" s="1283"/>
      <c r="S109" s="1283"/>
      <c r="T109" s="1283"/>
      <c r="U109" s="1284"/>
      <c r="V109" s="1284"/>
      <c r="W109" s="1284"/>
      <c r="X109" s="1284"/>
      <c r="Y109" s="1284"/>
      <c r="Z109" s="1284"/>
      <c r="AA109" s="1284"/>
      <c r="AB109" s="1283"/>
      <c r="AC109" s="1283"/>
      <c r="AD109" s="1283"/>
      <c r="AE109" s="1283"/>
      <c r="AF109" s="1283"/>
      <c r="AG109" s="1283"/>
      <c r="AH109" s="1283"/>
      <c r="AI109" s="1283"/>
      <c r="AJ109" s="1283"/>
      <c r="AK109" s="1283"/>
      <c r="AL109" s="1283"/>
      <c r="AM109" s="1283"/>
    </row>
    <row r="110" spans="1:50" x14ac:dyDescent="0.2">
      <c r="A110" s="1290" t="s">
        <v>1214</v>
      </c>
      <c r="B110" s="1290"/>
      <c r="C110" s="1290"/>
      <c r="D110" s="1290"/>
      <c r="E110" s="1290"/>
      <c r="F110" s="1287"/>
      <c r="G110" s="1287"/>
      <c r="H110" s="1287"/>
      <c r="I110" s="1287"/>
      <c r="J110" s="1291"/>
      <c r="K110" s="1287"/>
      <c r="L110" s="1287"/>
      <c r="M110" s="1287"/>
      <c r="N110" s="1287"/>
      <c r="O110" s="1287"/>
      <c r="P110" s="1287"/>
      <c r="R110" s="1283"/>
      <c r="S110" s="1283"/>
      <c r="T110" s="1283"/>
      <c r="U110" s="1294"/>
      <c r="V110" s="1294"/>
      <c r="W110" s="1294"/>
      <c r="X110" s="1294"/>
      <c r="Y110" s="1294"/>
      <c r="Z110" s="1294"/>
      <c r="AA110" s="1294"/>
      <c r="AB110" s="1283"/>
      <c r="AC110" s="1283"/>
      <c r="AD110" s="1283"/>
      <c r="AE110" s="1283"/>
      <c r="AF110" s="1283"/>
      <c r="AG110" s="1283"/>
      <c r="AH110" s="1283"/>
      <c r="AI110" s="1283"/>
      <c r="AJ110" s="1283"/>
      <c r="AK110" s="1283"/>
      <c r="AL110" s="1283"/>
      <c r="AM110" s="1283"/>
      <c r="AQ110" s="1309"/>
      <c r="AR110" s="1309"/>
      <c r="AV110" s="1309"/>
      <c r="AW110" s="1309"/>
      <c r="AX110" s="1309"/>
    </row>
    <row r="111" spans="1:50" x14ac:dyDescent="0.2">
      <c r="A111" s="1287"/>
      <c r="B111" s="1287"/>
      <c r="C111" s="1287"/>
      <c r="D111" s="1287"/>
      <c r="E111" s="1287"/>
      <c r="F111" s="1310" t="s">
        <v>113</v>
      </c>
      <c r="G111" s="1310"/>
      <c r="H111" s="1310"/>
      <c r="I111" s="1311"/>
      <c r="J111" s="1291"/>
      <c r="K111" s="1287"/>
      <c r="L111" s="1287"/>
      <c r="M111" s="1287"/>
      <c r="N111" s="1287"/>
      <c r="O111" s="1287"/>
      <c r="P111" s="1287"/>
      <c r="R111" s="1283"/>
      <c r="S111" s="1283"/>
      <c r="T111" s="1283"/>
      <c r="U111" s="1283"/>
      <c r="V111" s="1283"/>
      <c r="W111" s="1285"/>
      <c r="X111" s="1285"/>
      <c r="Y111" s="1285"/>
      <c r="Z111" s="1283"/>
      <c r="AA111" s="1285"/>
      <c r="AB111" s="1285"/>
      <c r="AC111" s="1285"/>
      <c r="AD111" s="1285"/>
      <c r="AE111" s="1285"/>
      <c r="AF111" s="1283"/>
      <c r="AG111" s="1283"/>
      <c r="AH111" s="1283"/>
      <c r="AI111" s="1283"/>
      <c r="AJ111" s="1283"/>
      <c r="AK111" s="1283"/>
      <c r="AL111" s="1283"/>
      <c r="AM111" s="1283"/>
    </row>
    <row r="112" spans="1:50" ht="13.5" thickBot="1" x14ac:dyDescent="0.25">
      <c r="A112" s="1287"/>
      <c r="B112" s="1287"/>
      <c r="C112" s="1287"/>
      <c r="D112" s="1287"/>
      <c r="E112" s="1287"/>
      <c r="F112" s="1287"/>
      <c r="G112" s="1287"/>
      <c r="H112" s="1287"/>
      <c r="I112" s="1287"/>
      <c r="J112" s="1312" t="str">
        <f>IF(K137=1,B124,IF(K137=2,B125,IF(K137=3,B126,IF(K137=4,B127,"Division Winner"))))</f>
        <v>Division Winner</v>
      </c>
      <c r="K112" s="1313"/>
      <c r="L112" s="1313"/>
      <c r="M112" s="1313"/>
      <c r="N112" s="1313"/>
      <c r="O112" s="1313"/>
      <c r="P112" s="1313"/>
      <c r="Q112" s="1288"/>
      <c r="R112" s="1283"/>
      <c r="S112" s="1283"/>
      <c r="T112" s="1283"/>
      <c r="U112" s="1283"/>
      <c r="V112" s="1283"/>
      <c r="W112" s="1283"/>
      <c r="X112" s="1283"/>
      <c r="Y112" s="1283"/>
      <c r="Z112" s="1283"/>
      <c r="AA112" s="1284"/>
      <c r="AB112" s="1284"/>
      <c r="AC112" s="1284"/>
      <c r="AD112" s="1284"/>
      <c r="AE112" s="1284"/>
      <c r="AF112" s="1314"/>
      <c r="AG112" s="1314"/>
      <c r="AH112" s="1314"/>
      <c r="AI112" s="1314"/>
      <c r="AJ112" s="1314"/>
      <c r="AK112" s="1284"/>
      <c r="AL112" s="1283"/>
      <c r="AM112" s="1283"/>
    </row>
    <row r="113" spans="1:53" ht="13.5" thickBot="1" x14ac:dyDescent="0.25">
      <c r="A113" s="1286" t="str">
        <f>IF(E132=1,B124,IF(E132=2,B125,IF(E132=3,B126,IF(E132=4,B127,IF(OR(E132="B",E132="b"),"BYE","invalid")))))</f>
        <v>2nd Place Court 1</v>
      </c>
      <c r="B113" s="1286"/>
      <c r="C113" s="1286"/>
      <c r="D113" s="1286"/>
      <c r="E113" s="1286"/>
      <c r="F113" s="1300" t="s">
        <v>114</v>
      </c>
      <c r="G113" s="1300"/>
      <c r="H113" s="1300"/>
      <c r="I113" s="1300"/>
      <c r="J113" s="1315" t="s">
        <v>115</v>
      </c>
      <c r="K113" s="1310"/>
      <c r="L113" s="1310"/>
      <c r="M113" s="1310"/>
      <c r="N113" s="1310"/>
      <c r="O113" s="1310"/>
      <c r="P113" s="1310"/>
      <c r="R113" s="1284"/>
      <c r="S113" s="1284"/>
      <c r="T113" s="1284"/>
      <c r="U113" s="1284"/>
      <c r="V113" s="1284"/>
      <c r="W113" s="1284"/>
      <c r="X113" s="1284"/>
      <c r="Y113" s="1284"/>
      <c r="Z113" s="1284"/>
      <c r="AA113" s="1284"/>
      <c r="AB113" s="1317"/>
      <c r="AC113" s="1317"/>
      <c r="AD113" s="1317"/>
      <c r="AE113" s="1317"/>
      <c r="AF113" s="1285"/>
      <c r="AG113" s="1285"/>
      <c r="AH113" s="1285"/>
      <c r="AI113" s="1285"/>
      <c r="AJ113" s="1285"/>
      <c r="AK113" s="1283"/>
      <c r="AL113" s="1283"/>
      <c r="AM113" s="1283"/>
    </row>
    <row r="114" spans="1:53" x14ac:dyDescent="0.2">
      <c r="A114" s="1290" t="s">
        <v>1215</v>
      </c>
      <c r="B114" s="1290"/>
      <c r="C114" s="1290"/>
      <c r="D114" s="1290"/>
      <c r="E114" s="1290"/>
      <c r="F114" s="1291"/>
      <c r="G114" s="1287"/>
      <c r="H114" s="1287"/>
      <c r="I114" s="1287"/>
      <c r="J114" s="1315"/>
      <c r="K114" s="1310"/>
      <c r="L114" s="1310"/>
      <c r="M114" s="1310"/>
      <c r="N114" s="1310"/>
      <c r="O114" s="1310"/>
      <c r="P114" s="1310"/>
      <c r="Q114" s="1287"/>
      <c r="R114" s="1294"/>
      <c r="S114" s="1294"/>
      <c r="T114" s="1294"/>
      <c r="U114" s="1294"/>
      <c r="V114" s="1294"/>
      <c r="W114" s="1294"/>
      <c r="X114" s="1294"/>
      <c r="Y114" s="1294"/>
      <c r="Z114" s="1294"/>
      <c r="AA114" s="1294"/>
      <c r="AB114" s="1283"/>
      <c r="AC114" s="1283"/>
      <c r="AD114" s="1283"/>
      <c r="AE114" s="1283"/>
      <c r="AF114" s="1283"/>
      <c r="AG114" s="1283"/>
      <c r="AH114" s="1283"/>
      <c r="AI114" s="1283"/>
      <c r="AJ114" s="1283"/>
      <c r="AK114" s="1283"/>
      <c r="AL114" s="1283"/>
      <c r="AM114" s="1283"/>
    </row>
    <row r="115" spans="1:53" x14ac:dyDescent="0.2">
      <c r="A115" s="1287"/>
      <c r="B115" s="1287"/>
      <c r="C115" s="1287"/>
      <c r="D115" s="1287"/>
      <c r="E115" s="1287"/>
      <c r="F115" s="1291"/>
      <c r="G115" s="1287"/>
      <c r="H115" s="1287"/>
      <c r="I115" s="1287"/>
      <c r="J115" s="1291"/>
      <c r="K115" s="1287"/>
      <c r="L115" s="1287"/>
      <c r="M115" s="1287"/>
      <c r="N115" s="1287"/>
      <c r="P115" s="1287"/>
      <c r="Q115" s="1287"/>
      <c r="R115" s="1283"/>
      <c r="S115" s="1283"/>
      <c r="T115" s="1283"/>
      <c r="U115" s="1283"/>
      <c r="V115" s="1283"/>
      <c r="W115" s="1283"/>
      <c r="X115" s="1283"/>
      <c r="Y115" s="1283"/>
      <c r="Z115" s="1283"/>
      <c r="AA115" s="1283"/>
      <c r="AB115" s="1283"/>
      <c r="AC115" s="1283"/>
      <c r="AD115" s="1283"/>
      <c r="AE115" s="1283"/>
      <c r="AF115" s="1283"/>
      <c r="AG115" s="1283"/>
      <c r="AH115" s="1283"/>
      <c r="AI115" s="1283"/>
      <c r="AJ115" s="1283"/>
      <c r="AK115" s="1283"/>
      <c r="AL115" s="1283"/>
      <c r="AM115" s="1283"/>
    </row>
    <row r="116" spans="1:53" ht="13.5" thickBot="1" x14ac:dyDescent="0.25">
      <c r="A116" s="1310" t="s">
        <v>120</v>
      </c>
      <c r="B116" s="1310"/>
      <c r="C116" s="1310"/>
      <c r="D116" s="1310"/>
      <c r="E116" s="1296"/>
      <c r="F116" s="1318"/>
      <c r="G116" s="1319"/>
      <c r="H116" s="1319"/>
      <c r="I116" s="1320"/>
      <c r="J116" s="1304"/>
      <c r="K116" s="1305"/>
      <c r="L116" s="1305"/>
      <c r="M116" s="1305"/>
      <c r="N116" s="1287"/>
      <c r="Q116" s="1299"/>
      <c r="R116" s="1285"/>
      <c r="S116" s="1285"/>
      <c r="T116" s="1285"/>
      <c r="U116" s="1285"/>
      <c r="V116" s="1285"/>
      <c r="W116" s="1285"/>
      <c r="X116" s="1285"/>
      <c r="Y116" s="1285"/>
      <c r="Z116" s="1285"/>
      <c r="AA116" s="1283"/>
      <c r="AB116" s="1285"/>
      <c r="AC116" s="1285"/>
      <c r="AD116" s="1285"/>
      <c r="AE116" s="1285"/>
      <c r="AF116" s="1285"/>
      <c r="AG116" s="1285"/>
      <c r="AH116" s="1285"/>
      <c r="AI116" s="1283"/>
      <c r="AJ116" s="1283"/>
      <c r="AK116" s="1283"/>
      <c r="AL116" s="1283"/>
      <c r="AM116" s="1283"/>
      <c r="AZ116" s="1231"/>
      <c r="BA116" s="1231"/>
    </row>
    <row r="117" spans="1:53" x14ac:dyDescent="0.2">
      <c r="A117" s="1300" t="s">
        <v>109</v>
      </c>
      <c r="B117" s="1300"/>
      <c r="C117" s="1300"/>
      <c r="D117" s="1300"/>
      <c r="E117" s="1321"/>
      <c r="F117" s="1297" t="str">
        <f>IF(J132=1,B124,IF(J132=2,B125,IF(J132=3,B126,IF(J132=4,B127,"Winner Match 2"))))</f>
        <v>Winner Match 2</v>
      </c>
      <c r="G117" s="1298"/>
      <c r="H117" s="1298"/>
      <c r="I117" s="1298"/>
      <c r="J117" s="1298"/>
      <c r="K117" s="1298"/>
      <c r="L117" s="1298"/>
      <c r="M117" s="1298"/>
      <c r="N117" s="1287"/>
      <c r="P117" s="1296"/>
      <c r="Q117" s="1296"/>
      <c r="R117" s="1283"/>
      <c r="S117" s="1317"/>
      <c r="T117" s="1317"/>
      <c r="U117" s="1317"/>
      <c r="V117" s="1317"/>
      <c r="W117" s="1317"/>
      <c r="X117" s="1317"/>
      <c r="Y117" s="1317"/>
      <c r="Z117" s="1317"/>
      <c r="AA117" s="1283"/>
      <c r="AB117" s="1284"/>
      <c r="AC117" s="1284"/>
      <c r="AD117" s="1284"/>
      <c r="AE117" s="1284"/>
      <c r="AF117" s="1284"/>
      <c r="AG117" s="1284"/>
      <c r="AH117" s="1284"/>
      <c r="AI117" s="1283"/>
      <c r="AJ117" s="1283"/>
      <c r="AK117" s="1283"/>
      <c r="AL117" s="1283"/>
      <c r="AM117" s="1283"/>
      <c r="AZ117" s="1231"/>
      <c r="BA117" s="1231"/>
    </row>
    <row r="118" spans="1:53" ht="13.5" thickBot="1" x14ac:dyDescent="0.25">
      <c r="A118" s="1286" t="str">
        <f>IF(G132=1,B124,IF(G132=2,B125,IF(G132=3,B126,IF(G132=4,B127,IF(OR(G132="B",G132="b"),"BYE","invalid")))))</f>
        <v>3rd Place Court 1</v>
      </c>
      <c r="B118" s="1286"/>
      <c r="C118" s="1286"/>
      <c r="D118" s="1286"/>
      <c r="E118" s="1308"/>
      <c r="F118" s="1291"/>
      <c r="G118" s="1287"/>
      <c r="H118" s="1287"/>
      <c r="I118" s="1287"/>
      <c r="J118" s="1287"/>
      <c r="K118" s="1287"/>
      <c r="L118" s="1287"/>
      <c r="M118" s="1287"/>
      <c r="N118" s="1287"/>
      <c r="P118" s="1287"/>
      <c r="Q118" s="1287"/>
      <c r="R118" s="1283"/>
      <c r="S118" s="1284"/>
      <c r="T118" s="1284"/>
      <c r="U118" s="1284"/>
      <c r="V118" s="1284"/>
      <c r="W118" s="1284"/>
      <c r="X118" s="1284"/>
      <c r="Y118" s="1284"/>
      <c r="Z118" s="1284"/>
      <c r="AA118" s="1284"/>
      <c r="AB118" s="1283"/>
      <c r="AC118" s="1283"/>
      <c r="AD118" s="1283"/>
      <c r="AE118" s="1283"/>
      <c r="AF118" s="1283"/>
      <c r="AG118" s="1283"/>
      <c r="AH118" s="1283"/>
      <c r="AI118" s="1283"/>
      <c r="AJ118" s="1283"/>
      <c r="AK118" s="1283"/>
      <c r="AL118" s="1283"/>
      <c r="AM118" s="1283"/>
      <c r="AZ118" s="1231"/>
      <c r="BA118" s="1231"/>
    </row>
    <row r="119" spans="1:53" x14ac:dyDescent="0.2">
      <c r="A119" s="1290" t="s">
        <v>1216</v>
      </c>
      <c r="B119" s="1290"/>
      <c r="C119" s="1290"/>
      <c r="D119" s="1290"/>
      <c r="E119" s="1290"/>
      <c r="R119" s="1283"/>
      <c r="S119" s="1294"/>
      <c r="T119" s="1294"/>
      <c r="U119" s="1294"/>
      <c r="V119" s="1294"/>
      <c r="W119" s="1294"/>
      <c r="X119" s="1294"/>
      <c r="Y119" s="1294"/>
      <c r="Z119" s="1294"/>
      <c r="AA119" s="1294"/>
      <c r="AB119" s="1283"/>
      <c r="AC119" s="1283"/>
      <c r="AD119" s="1283"/>
      <c r="AE119" s="1283"/>
      <c r="AF119" s="1283"/>
      <c r="AG119" s="1283"/>
      <c r="AH119" s="1283"/>
      <c r="AI119" s="1283"/>
      <c r="AJ119" s="1283"/>
      <c r="AK119" s="1283"/>
      <c r="AL119" s="1283"/>
      <c r="AM119" s="1283"/>
      <c r="AZ119" s="1231"/>
      <c r="BA119" s="1231"/>
    </row>
    <row r="120" spans="1:53" x14ac:dyDescent="0.2">
      <c r="R120" s="1283"/>
      <c r="S120" s="1283"/>
      <c r="T120" s="1283"/>
      <c r="U120" s="1283"/>
      <c r="V120" s="1283"/>
      <c r="W120" s="1283"/>
      <c r="X120" s="1283"/>
      <c r="Y120" s="1283"/>
      <c r="Z120" s="1283"/>
      <c r="AA120" s="1283"/>
      <c r="AB120" s="1283"/>
      <c r="AC120" s="1283"/>
      <c r="AD120" s="1283"/>
      <c r="AE120" s="1283"/>
      <c r="AF120" s="1283"/>
      <c r="AG120" s="1283"/>
      <c r="AH120" s="1283"/>
      <c r="AI120" s="1283"/>
      <c r="AJ120" s="1283"/>
      <c r="AK120" s="1283"/>
      <c r="AL120" s="1283"/>
      <c r="AM120" s="1283"/>
      <c r="AS120" s="1231"/>
      <c r="AT120" s="1231"/>
      <c r="AU120" s="1231"/>
      <c r="AZ120" s="1231"/>
      <c r="BA120" s="1231"/>
    </row>
    <row r="121" spans="1:53" x14ac:dyDescent="0.2">
      <c r="R121" s="1283"/>
      <c r="S121" s="1283"/>
      <c r="T121" s="1283"/>
      <c r="U121" s="1283"/>
      <c r="V121" s="1283"/>
      <c r="W121" s="1283"/>
      <c r="X121" s="1283"/>
      <c r="Y121" s="1283"/>
      <c r="Z121" s="1283"/>
      <c r="AA121" s="1283"/>
      <c r="AB121" s="1283"/>
      <c r="AC121" s="1283"/>
      <c r="AD121" s="1283"/>
      <c r="AE121" s="1283"/>
      <c r="AF121" s="1283"/>
      <c r="AG121" s="1283"/>
      <c r="AH121" s="1283"/>
      <c r="AI121" s="1283"/>
      <c r="AJ121" s="1283"/>
      <c r="AK121" s="1283"/>
      <c r="AL121" s="1283"/>
      <c r="AM121" s="1283"/>
      <c r="AS121" s="1231"/>
      <c r="AT121" s="1231"/>
      <c r="AU121" s="1231"/>
      <c r="AZ121" s="1231"/>
      <c r="BA121" s="1231"/>
    </row>
    <row r="122" spans="1:53" ht="16.5" thickBot="1" x14ac:dyDescent="0.3">
      <c r="A122" s="1322" t="s">
        <v>1217</v>
      </c>
      <c r="B122" s="1322"/>
      <c r="C122" s="1322"/>
      <c r="D122" s="1322"/>
      <c r="E122" s="1322"/>
      <c r="F122" s="1322"/>
      <c r="G122" s="1322"/>
      <c r="H122" s="1322"/>
      <c r="I122" s="1322"/>
      <c r="J122" s="1322"/>
      <c r="Q122" s="1323"/>
      <c r="R122" s="1429"/>
      <c r="S122" s="1429"/>
      <c r="T122" s="1324"/>
      <c r="U122" s="1324"/>
      <c r="V122" s="1324"/>
      <c r="W122" s="1324"/>
      <c r="X122" s="1324"/>
      <c r="Y122" s="1324"/>
      <c r="Z122" s="1324"/>
      <c r="AA122" s="1324"/>
      <c r="AB122" s="1324"/>
      <c r="AC122" s="1324"/>
      <c r="AD122" s="1324"/>
      <c r="AE122" s="1324"/>
      <c r="AF122" s="1283"/>
      <c r="AG122" s="1283"/>
      <c r="AH122" s="1283"/>
      <c r="AI122" s="1283"/>
      <c r="AJ122" s="1283"/>
      <c r="AK122" s="1283"/>
      <c r="AL122" s="1283"/>
      <c r="AM122" s="1283"/>
      <c r="AS122" s="1231"/>
      <c r="AT122" s="1231"/>
      <c r="AU122" s="1231"/>
      <c r="AZ122" s="1231"/>
      <c r="BA122" s="1231"/>
    </row>
    <row r="123" spans="1:53" ht="13.5" thickBot="1" x14ac:dyDescent="0.25">
      <c r="A123" s="1325" t="s">
        <v>125</v>
      </c>
      <c r="B123" s="1326" t="s">
        <v>126</v>
      </c>
      <c r="C123" s="1327"/>
      <c r="D123" s="1327"/>
      <c r="E123" s="1327"/>
      <c r="F123" s="1327"/>
      <c r="G123" s="1327"/>
      <c r="H123" s="1327"/>
      <c r="I123" s="1327"/>
      <c r="J123" s="1328"/>
      <c r="K123" s="1329" t="s">
        <v>127</v>
      </c>
      <c r="L123" s="1330"/>
      <c r="M123" s="1330"/>
      <c r="N123" s="1330"/>
      <c r="O123" s="1330"/>
      <c r="P123" s="1330"/>
      <c r="Q123" s="1331"/>
      <c r="R123" s="1283"/>
      <c r="S123" s="1283"/>
      <c r="T123" s="1284"/>
      <c r="U123" s="1284"/>
      <c r="V123" s="1284"/>
      <c r="W123" s="1284"/>
      <c r="X123" s="1283"/>
      <c r="Y123" s="1283"/>
      <c r="Z123" s="1283"/>
      <c r="AA123" s="1283"/>
      <c r="AB123" s="1283"/>
      <c r="AC123" s="1283"/>
      <c r="AD123" s="1283"/>
      <c r="AE123" s="1283"/>
      <c r="AF123" s="1283"/>
      <c r="AG123" s="1283"/>
      <c r="AH123" s="1283"/>
      <c r="AI123" s="1283"/>
      <c r="AJ123" s="1283"/>
      <c r="AK123" s="1283"/>
      <c r="AL123" s="1283"/>
      <c r="AM123" s="1283"/>
      <c r="AS123" s="1231"/>
      <c r="AT123" s="1231"/>
      <c r="AU123" s="1231"/>
      <c r="AZ123" s="1231"/>
      <c r="BA123" s="1231"/>
    </row>
    <row r="124" spans="1:53" ht="13.5" thickBot="1" x14ac:dyDescent="0.25">
      <c r="A124" s="1325">
        <v>1</v>
      </c>
      <c r="B124" s="1332" t="str">
        <f>B94</f>
        <v>1st Place Court 1</v>
      </c>
      <c r="C124" s="1333"/>
      <c r="D124" s="1333"/>
      <c r="E124" s="1333"/>
      <c r="F124" s="1333"/>
      <c r="G124" s="1333"/>
      <c r="H124" s="1333"/>
      <c r="I124" s="1333"/>
      <c r="J124" s="1334"/>
      <c r="K124" s="1335" t="str">
        <f>H94</f>
        <v>1st Place Court 1</v>
      </c>
      <c r="L124" s="1336"/>
      <c r="M124" s="1336"/>
      <c r="N124" s="1336"/>
      <c r="O124" s="1336"/>
      <c r="P124" s="1336"/>
      <c r="Q124" s="1337"/>
      <c r="R124" s="1283"/>
      <c r="S124" s="1283"/>
      <c r="T124" s="1284"/>
      <c r="U124" s="1284"/>
      <c r="V124" s="1284"/>
      <c r="W124" s="1285"/>
      <c r="X124" s="1285"/>
      <c r="Y124" s="1285"/>
      <c r="Z124" s="1285"/>
      <c r="AA124" s="1285"/>
      <c r="AB124" s="1285"/>
      <c r="AC124" s="1285"/>
      <c r="AD124" s="1285"/>
      <c r="AE124" s="1285"/>
      <c r="AF124" s="1283"/>
      <c r="AG124" s="1283"/>
      <c r="AH124" s="1283"/>
      <c r="AI124" s="1283"/>
      <c r="AJ124" s="1283"/>
      <c r="AK124" s="1283"/>
      <c r="AL124" s="1283"/>
      <c r="AM124" s="1283"/>
      <c r="AS124" s="1231"/>
      <c r="AT124" s="1231"/>
      <c r="AU124" s="1231"/>
      <c r="AZ124" s="1231"/>
      <c r="BA124" s="1231"/>
    </row>
    <row r="125" spans="1:53" ht="13.5" thickBot="1" x14ac:dyDescent="0.25">
      <c r="A125" s="1325">
        <v>2</v>
      </c>
      <c r="B125" s="1332" t="str">
        <f>L94</f>
        <v>2nd Place Court 1</v>
      </c>
      <c r="C125" s="1333"/>
      <c r="D125" s="1333"/>
      <c r="E125" s="1333"/>
      <c r="F125" s="1333"/>
      <c r="G125" s="1333"/>
      <c r="H125" s="1333"/>
      <c r="I125" s="1333"/>
      <c r="J125" s="1334"/>
      <c r="K125" s="1335" t="str">
        <f>R94</f>
        <v>2nd Place Court 1</v>
      </c>
      <c r="L125" s="1336"/>
      <c r="M125" s="1336"/>
      <c r="N125" s="1336"/>
      <c r="O125" s="1336"/>
      <c r="P125" s="1336"/>
      <c r="Q125" s="1337"/>
      <c r="R125" s="1283"/>
      <c r="S125" s="1283"/>
      <c r="T125" s="1284"/>
      <c r="U125" s="1284"/>
      <c r="V125" s="1284"/>
      <c r="W125" s="1285"/>
      <c r="X125" s="1285"/>
      <c r="Y125" s="1285"/>
      <c r="Z125" s="1285"/>
      <c r="AA125" s="1285"/>
      <c r="AB125" s="1285"/>
      <c r="AC125" s="1285"/>
      <c r="AD125" s="1285"/>
      <c r="AE125" s="1285"/>
      <c r="AF125" s="1283"/>
      <c r="AG125" s="1283"/>
      <c r="AH125" s="1283"/>
      <c r="AI125" s="1283"/>
      <c r="AJ125" s="1283"/>
      <c r="AK125" s="1283"/>
      <c r="AL125" s="1283"/>
      <c r="AM125" s="1283"/>
      <c r="AS125" s="1231"/>
      <c r="AT125" s="1231"/>
      <c r="AU125" s="1231"/>
      <c r="AZ125" s="1231"/>
      <c r="BA125" s="1231"/>
    </row>
    <row r="126" spans="1:53" ht="13.5" thickBot="1" x14ac:dyDescent="0.25">
      <c r="A126" s="1325">
        <v>3</v>
      </c>
      <c r="B126" s="1332" t="str">
        <f>V94</f>
        <v>3rd Place Court 1</v>
      </c>
      <c r="C126" s="1333"/>
      <c r="D126" s="1333"/>
      <c r="E126" s="1333"/>
      <c r="F126" s="1333"/>
      <c r="G126" s="1333"/>
      <c r="H126" s="1333"/>
      <c r="I126" s="1333"/>
      <c r="J126" s="1334"/>
      <c r="K126" s="1335" t="str">
        <f>AB94</f>
        <v>3rd Place Court 1</v>
      </c>
      <c r="L126" s="1336"/>
      <c r="M126" s="1336"/>
      <c r="N126" s="1336"/>
      <c r="O126" s="1336"/>
      <c r="P126" s="1336"/>
      <c r="Q126" s="1337"/>
      <c r="R126" s="1283"/>
      <c r="S126" s="1283"/>
      <c r="T126" s="1284"/>
      <c r="U126" s="1284"/>
      <c r="V126" s="1284"/>
      <c r="W126" s="1285"/>
      <c r="X126" s="1285"/>
      <c r="Y126" s="1285"/>
      <c r="Z126" s="1285"/>
      <c r="AA126" s="1285"/>
      <c r="AB126" s="1285"/>
      <c r="AC126" s="1285"/>
      <c r="AD126" s="1285"/>
      <c r="AE126" s="1285"/>
      <c r="AF126" s="1283"/>
      <c r="AG126" s="1283"/>
      <c r="AH126" s="1283"/>
      <c r="AI126" s="1283"/>
      <c r="AJ126" s="1283"/>
      <c r="AK126" s="1283"/>
      <c r="AL126" s="1283"/>
      <c r="AM126" s="1283"/>
      <c r="AS126" s="1231"/>
      <c r="AT126" s="1231"/>
      <c r="AU126" s="1231"/>
      <c r="AZ126" s="1231"/>
      <c r="BA126" s="1231"/>
    </row>
    <row r="127" spans="1:53" ht="13.5" thickBot="1" x14ac:dyDescent="0.25">
      <c r="A127" s="1325">
        <v>4</v>
      </c>
      <c r="B127" s="1338" t="str">
        <f>AF94</f>
        <v>4th Place Court 1</v>
      </c>
      <c r="C127" s="1339"/>
      <c r="D127" s="1339"/>
      <c r="E127" s="1339"/>
      <c r="F127" s="1339"/>
      <c r="G127" s="1339"/>
      <c r="H127" s="1339"/>
      <c r="I127" s="1339"/>
      <c r="J127" s="1340"/>
      <c r="K127" s="1335" t="str">
        <f>AL94</f>
        <v>4th Place Court 1</v>
      </c>
      <c r="L127" s="1336"/>
      <c r="M127" s="1336"/>
      <c r="N127" s="1336"/>
      <c r="O127" s="1336"/>
      <c r="P127" s="1336"/>
      <c r="Q127" s="1337"/>
      <c r="R127" s="1283"/>
      <c r="S127" s="1283"/>
      <c r="T127" s="1284"/>
      <c r="U127" s="1284"/>
      <c r="V127" s="1284"/>
      <c r="W127" s="1285"/>
      <c r="X127" s="1285"/>
      <c r="Y127" s="1285"/>
      <c r="Z127" s="1285"/>
      <c r="AA127" s="1285"/>
      <c r="AB127" s="1285"/>
      <c r="AC127" s="1285"/>
      <c r="AD127" s="1285"/>
      <c r="AE127" s="1285"/>
      <c r="AF127" s="1283"/>
      <c r="AG127" s="1283"/>
      <c r="AH127" s="1283"/>
      <c r="AI127" s="1283"/>
      <c r="AJ127" s="1283"/>
      <c r="AK127" s="1283"/>
      <c r="AL127" s="1283"/>
      <c r="AM127" s="1283"/>
      <c r="AS127" s="1231"/>
      <c r="AT127" s="1231"/>
      <c r="AU127" s="1231"/>
      <c r="AZ127" s="1231"/>
      <c r="BA127" s="1231"/>
    </row>
    <row r="128" spans="1:53" ht="13.5" thickBot="1" x14ac:dyDescent="0.25">
      <c r="R128" s="1283"/>
      <c r="S128" s="1283"/>
      <c r="T128" s="1283"/>
      <c r="U128" s="1283"/>
      <c r="V128" s="1283"/>
      <c r="W128" s="1283"/>
      <c r="X128" s="1283"/>
      <c r="Y128" s="1283"/>
      <c r="Z128" s="1283"/>
      <c r="AA128" s="1283"/>
      <c r="AB128" s="1283"/>
      <c r="AC128" s="1283"/>
      <c r="AD128" s="1283"/>
      <c r="AE128" s="1283"/>
      <c r="AF128" s="1283"/>
      <c r="AG128" s="1283"/>
      <c r="AH128" s="1283"/>
      <c r="AI128" s="1283"/>
      <c r="AJ128" s="1283"/>
      <c r="AK128" s="1283"/>
      <c r="AL128" s="1283"/>
      <c r="AM128" s="1283"/>
      <c r="AN128" s="1283"/>
      <c r="AO128" s="1283"/>
      <c r="AP128" s="1283"/>
      <c r="AS128" s="1231"/>
      <c r="AT128" s="1231"/>
      <c r="AU128" s="1231"/>
      <c r="AZ128" s="1231"/>
      <c r="BA128" s="1231"/>
    </row>
    <row r="129" spans="1:77" x14ac:dyDescent="0.2">
      <c r="B129" s="1341" t="s">
        <v>128</v>
      </c>
      <c r="C129" s="1342"/>
      <c r="D129" s="1343"/>
      <c r="E129" s="1344" t="s">
        <v>128</v>
      </c>
      <c r="F129" s="1342"/>
      <c r="G129" s="1343"/>
      <c r="H129" s="1344" t="s">
        <v>11</v>
      </c>
      <c r="I129" s="1342"/>
      <c r="J129" s="1345"/>
      <c r="K129" s="1346" t="s">
        <v>129</v>
      </c>
      <c r="L129" s="1347"/>
      <c r="M129" s="1347"/>
      <c r="N129" s="1347"/>
      <c r="O129" s="1347"/>
      <c r="P129" s="1347"/>
      <c r="Q129" s="1348"/>
      <c r="R129" s="1283"/>
      <c r="S129" s="1283"/>
      <c r="T129" s="1283"/>
      <c r="U129" s="1283"/>
      <c r="V129" s="1283"/>
      <c r="W129" s="1349"/>
      <c r="X129" s="1285"/>
      <c r="Y129" s="1285"/>
      <c r="Z129" s="1349"/>
      <c r="AA129" s="1285"/>
      <c r="AB129" s="1285"/>
      <c r="AC129" s="1349"/>
      <c r="AD129" s="1285"/>
      <c r="AE129" s="1285"/>
      <c r="AF129" s="1285"/>
      <c r="AG129" s="1285"/>
      <c r="AH129" s="1283"/>
      <c r="AI129" s="1283"/>
      <c r="AJ129" s="1283"/>
      <c r="AK129" s="1283"/>
      <c r="AL129" s="1283"/>
      <c r="AM129" s="1283"/>
      <c r="AN129" s="1283"/>
      <c r="AO129" s="1283"/>
      <c r="AP129" s="1283"/>
      <c r="AZ129" s="1231"/>
      <c r="BA129" s="1231"/>
    </row>
    <row r="130" spans="1:77" x14ac:dyDescent="0.2">
      <c r="A130" s="1203" t="s">
        <v>130</v>
      </c>
      <c r="B130" s="1350">
        <v>3</v>
      </c>
      <c r="C130" s="1351"/>
      <c r="D130" s="1352"/>
      <c r="E130" s="1353" t="s">
        <v>131</v>
      </c>
      <c r="F130" s="1351"/>
      <c r="G130" s="1352"/>
      <c r="H130" s="1353" t="s">
        <v>132</v>
      </c>
      <c r="I130" s="1351"/>
      <c r="J130" s="1354"/>
      <c r="K130" s="1355"/>
      <c r="L130" s="1356"/>
      <c r="M130" s="1356"/>
      <c r="N130" s="1356"/>
      <c r="O130" s="1356"/>
      <c r="P130" s="1356"/>
      <c r="Q130" s="1357"/>
      <c r="R130" s="1283"/>
      <c r="S130" s="1283"/>
      <c r="T130" s="1358"/>
      <c r="U130" s="1358"/>
      <c r="V130" s="1358"/>
      <c r="W130" s="1359"/>
      <c r="X130" s="1359"/>
      <c r="Y130" s="1359"/>
      <c r="Z130" s="1359"/>
      <c r="AA130" s="1359"/>
      <c r="AB130" s="1359"/>
      <c r="AC130" s="1359"/>
      <c r="AD130" s="1359"/>
      <c r="AE130" s="1359"/>
      <c r="AF130" s="1283"/>
      <c r="AG130" s="1283"/>
      <c r="AH130" s="1283"/>
      <c r="AI130" s="1283"/>
      <c r="AJ130" s="1283"/>
      <c r="AK130" s="1283"/>
      <c r="AL130" s="1283"/>
      <c r="AM130" s="1283"/>
      <c r="AN130" s="1283"/>
      <c r="AO130" s="1283"/>
      <c r="AP130" s="1283"/>
      <c r="AZ130" s="1231"/>
      <c r="BA130" s="1231"/>
    </row>
    <row r="131" spans="1:77" ht="13.5" thickBot="1" x14ac:dyDescent="0.25">
      <c r="A131" s="1058"/>
      <c r="B131" s="1360" t="s">
        <v>43</v>
      </c>
      <c r="C131" s="1210"/>
      <c r="D131" s="1211"/>
      <c r="E131" s="1209" t="s">
        <v>133</v>
      </c>
      <c r="F131" s="1210"/>
      <c r="G131" s="1211"/>
      <c r="H131" s="1209" t="s">
        <v>134</v>
      </c>
      <c r="I131" s="1210"/>
      <c r="J131" s="1361"/>
      <c r="K131" s="1362"/>
      <c r="L131" s="1363"/>
      <c r="M131" s="1363"/>
      <c r="N131" s="1363"/>
      <c r="O131" s="1363"/>
      <c r="P131" s="1363"/>
      <c r="Q131" s="1364"/>
      <c r="R131" s="1283"/>
      <c r="S131" s="1283"/>
      <c r="T131" s="1284"/>
      <c r="U131" s="1284"/>
      <c r="V131" s="1284"/>
      <c r="W131" s="1365"/>
      <c r="X131" s="1365"/>
      <c r="Y131" s="1365"/>
      <c r="Z131" s="1365"/>
      <c r="AA131" s="1365"/>
      <c r="AB131" s="1365"/>
      <c r="AC131" s="1365"/>
      <c r="AD131" s="1365"/>
      <c r="AE131" s="1365"/>
      <c r="AF131" s="1283"/>
      <c r="AG131" s="1283"/>
      <c r="AH131" s="1283"/>
      <c r="AI131" s="1283"/>
      <c r="AJ131" s="1283"/>
      <c r="AK131" s="1283"/>
      <c r="AL131" s="1283"/>
      <c r="AM131" s="1283"/>
      <c r="AN131" s="1283"/>
      <c r="AO131" s="1283"/>
      <c r="AP131" s="1283"/>
      <c r="AZ131" s="1231"/>
      <c r="BA131" s="1231"/>
    </row>
    <row r="132" spans="1:77" ht="13.5" thickBot="1" x14ac:dyDescent="0.25">
      <c r="A132" s="1058"/>
      <c r="B132" s="1366">
        <v>1</v>
      </c>
      <c r="C132" s="1367" t="s">
        <v>51</v>
      </c>
      <c r="D132" s="1225">
        <v>4</v>
      </c>
      <c r="E132" s="1224">
        <v>2</v>
      </c>
      <c r="F132" s="1367" t="s">
        <v>51</v>
      </c>
      <c r="G132" s="1225">
        <v>3</v>
      </c>
      <c r="H132" s="1368" t="str">
        <f>IF(OR(AND(OR(B136&gt;0,D136&gt;0),B136&gt;D136),OR(D132="b",D132="B")),B132,IF(OR(AND(OR(B136&gt;0,D136&gt;0),D136&gt;B136),OR(B132="b",B132="B")),D132,"W1"))</f>
        <v>W1</v>
      </c>
      <c r="I132" s="1369" t="s">
        <v>51</v>
      </c>
      <c r="J132" s="1370" t="str">
        <f>IF(OR(AND(OR(E136&gt;0,G136&gt;0),E136&gt;G136),OR(G132="b",G132="B")),E132,IF(OR(AND(OR(E136&gt;0,G136&gt;0),G136&gt;E136),OR(E132="b",E132="B")),G132,"W2"))</f>
        <v>W2</v>
      </c>
      <c r="K132" s="1371" t="s">
        <v>135</v>
      </c>
      <c r="L132" s="1372"/>
      <c r="M132" s="1372"/>
      <c r="N132" s="1373"/>
      <c r="R132" s="1283"/>
      <c r="S132" s="1283"/>
      <c r="T132" s="1284"/>
      <c r="U132" s="1284"/>
      <c r="V132" s="1284"/>
      <c r="W132" s="1374"/>
      <c r="X132" s="1375"/>
      <c r="Y132" s="1376"/>
      <c r="Z132" s="1377"/>
      <c r="AA132" s="1375"/>
      <c r="AB132" s="1376"/>
      <c r="AC132" s="1378"/>
      <c r="AD132" s="1379"/>
      <c r="AE132" s="1380"/>
      <c r="AF132" s="1365"/>
      <c r="AG132" s="1365"/>
      <c r="AH132" s="1283"/>
      <c r="AI132" s="1283"/>
      <c r="AJ132" s="1283"/>
      <c r="AK132" s="1283"/>
      <c r="AL132" s="1283"/>
      <c r="AM132" s="1283"/>
      <c r="AN132" s="1283"/>
      <c r="AO132" s="1283"/>
      <c r="AP132" s="1283"/>
      <c r="AZ132" s="1231"/>
      <c r="BA132" s="1231"/>
    </row>
    <row r="133" spans="1:77" ht="13.5" hidden="1" customHeight="1" x14ac:dyDescent="0.2">
      <c r="A133" s="1058"/>
      <c r="B133" s="1381">
        <f>IF(B137&gt;D137,1,0)</f>
        <v>0</v>
      </c>
      <c r="C133" s="1382"/>
      <c r="D133" s="1383">
        <f>IF(D137&gt;B137,1,0)</f>
        <v>0</v>
      </c>
      <c r="E133" s="1381">
        <f>IF(E137&gt;G137,1,0)</f>
        <v>0</v>
      </c>
      <c r="F133" s="1382"/>
      <c r="G133" s="1383">
        <f>IF(G137&gt;E137,1,0)</f>
        <v>0</v>
      </c>
      <c r="H133" s="1381">
        <f>IF(H137&gt;J137,1,0)</f>
        <v>0</v>
      </c>
      <c r="I133" s="1382"/>
      <c r="J133" s="1383">
        <f>IF(J137&gt;H137,1,0)</f>
        <v>0</v>
      </c>
      <c r="K133" s="1384"/>
      <c r="L133" s="1385"/>
      <c r="M133" s="1385"/>
      <c r="N133" s="1386"/>
      <c r="R133" s="1283"/>
      <c r="S133" s="1283"/>
      <c r="T133" s="1284"/>
      <c r="U133" s="1284"/>
      <c r="V133" s="1284"/>
      <c r="W133" s="1374"/>
      <c r="X133" s="1375"/>
      <c r="Y133" s="1376"/>
      <c r="Z133" s="1374"/>
      <c r="AA133" s="1375"/>
      <c r="AB133" s="1376"/>
      <c r="AC133" s="1374"/>
      <c r="AD133" s="1375"/>
      <c r="AE133" s="1376"/>
      <c r="AF133" s="1375"/>
      <c r="AG133" s="1375"/>
      <c r="AH133" s="1283"/>
      <c r="AI133" s="1283"/>
      <c r="AJ133" s="1283"/>
      <c r="AK133" s="1283"/>
      <c r="AL133" s="1283"/>
      <c r="AM133" s="1283"/>
      <c r="AN133" s="1283"/>
      <c r="AO133" s="1283"/>
      <c r="AP133" s="1283"/>
      <c r="AZ133" s="1231"/>
      <c r="BA133" s="1231"/>
    </row>
    <row r="134" spans="1:77" ht="13.5" hidden="1" customHeight="1" x14ac:dyDescent="0.2">
      <c r="A134" s="1058"/>
      <c r="B134" s="1381">
        <f>IF(B138&gt;D138,1,0)</f>
        <v>0</v>
      </c>
      <c r="C134" s="1382"/>
      <c r="D134" s="1383">
        <f>IF(D138&gt;B138,1,0)</f>
        <v>0</v>
      </c>
      <c r="E134" s="1381">
        <f>IF(E138&gt;G138,1,0)</f>
        <v>0</v>
      </c>
      <c r="F134" s="1382"/>
      <c r="G134" s="1383">
        <f>IF(G138&gt;E138,1,0)</f>
        <v>0</v>
      </c>
      <c r="H134" s="1381">
        <f>IF(H138&gt;J138,1,0)</f>
        <v>0</v>
      </c>
      <c r="I134" s="1382"/>
      <c r="J134" s="1383">
        <f>IF(J138&gt;H138,1,0)</f>
        <v>0</v>
      </c>
      <c r="K134" s="1384"/>
      <c r="L134" s="1385"/>
      <c r="M134" s="1385"/>
      <c r="N134" s="1386"/>
      <c r="R134" s="1283"/>
      <c r="S134" s="1283"/>
      <c r="T134" s="1284"/>
      <c r="U134" s="1284"/>
      <c r="V134" s="1284"/>
      <c r="W134" s="1374"/>
      <c r="X134" s="1375"/>
      <c r="Y134" s="1376"/>
      <c r="Z134" s="1374"/>
      <c r="AA134" s="1375"/>
      <c r="AB134" s="1376"/>
      <c r="AC134" s="1374"/>
      <c r="AD134" s="1375"/>
      <c r="AE134" s="1376"/>
      <c r="AF134" s="1375"/>
      <c r="AG134" s="1375"/>
      <c r="AH134" s="1283"/>
      <c r="AI134" s="1283"/>
      <c r="AJ134" s="1283"/>
      <c r="AK134" s="1283"/>
      <c r="AL134" s="1283"/>
      <c r="AM134" s="1283"/>
      <c r="AN134" s="1283"/>
      <c r="AO134" s="1283"/>
      <c r="AP134" s="1283"/>
      <c r="AZ134" s="1231"/>
      <c r="BA134" s="1231"/>
    </row>
    <row r="135" spans="1:77" ht="13.5" hidden="1" customHeight="1" x14ac:dyDescent="0.2">
      <c r="A135" s="1058"/>
      <c r="B135" s="1381">
        <f>IF(B139&gt;D139,1,0)</f>
        <v>0</v>
      </c>
      <c r="C135" s="1382"/>
      <c r="D135" s="1383">
        <f>IF(D139&gt;B139,1,0)</f>
        <v>0</v>
      </c>
      <c r="E135" s="1381">
        <f>IF(E139&gt;G139,1,0)</f>
        <v>0</v>
      </c>
      <c r="F135" s="1382"/>
      <c r="G135" s="1383">
        <f>IF(G139&gt;E139,1,0)</f>
        <v>0</v>
      </c>
      <c r="H135" s="1381">
        <f>IF(H139&gt;J139,1,0)</f>
        <v>0</v>
      </c>
      <c r="I135" s="1382"/>
      <c r="J135" s="1383">
        <f>IF(J139&gt;H139,1,0)</f>
        <v>0</v>
      </c>
      <c r="K135" s="1384"/>
      <c r="L135" s="1385"/>
      <c r="M135" s="1385"/>
      <c r="N135" s="1386"/>
      <c r="R135" s="1283"/>
      <c r="S135" s="1283"/>
      <c r="T135" s="1284"/>
      <c r="U135" s="1284"/>
      <c r="V135" s="1284"/>
      <c r="W135" s="1374"/>
      <c r="X135" s="1375"/>
      <c r="Y135" s="1376"/>
      <c r="Z135" s="1374"/>
      <c r="AA135" s="1375"/>
      <c r="AB135" s="1376"/>
      <c r="AC135" s="1374"/>
      <c r="AD135" s="1375"/>
      <c r="AE135" s="1376"/>
      <c r="AF135" s="1375"/>
      <c r="AG135" s="1375"/>
      <c r="AH135" s="1283"/>
      <c r="AI135" s="1283"/>
      <c r="AJ135" s="1283"/>
      <c r="AK135" s="1283"/>
      <c r="AL135" s="1283"/>
      <c r="AM135" s="1283"/>
      <c r="AN135" s="1283"/>
      <c r="AO135" s="1283"/>
      <c r="AP135" s="1283"/>
      <c r="AZ135" s="1231"/>
      <c r="BA135" s="1231"/>
    </row>
    <row r="136" spans="1:77" ht="13.5" hidden="1" customHeight="1" x14ac:dyDescent="0.2">
      <c r="A136" s="1058"/>
      <c r="B136" s="1381">
        <f>SUM(B133:B135)</f>
        <v>0</v>
      </c>
      <c r="C136" s="1382"/>
      <c r="D136" s="1381">
        <f>SUM(D133:D135)</f>
        <v>0</v>
      </c>
      <c r="E136" s="1381">
        <f>SUM(E133:E135)</f>
        <v>0</v>
      </c>
      <c r="F136" s="1382"/>
      <c r="G136" s="1381">
        <f>SUM(G133:G135)</f>
        <v>0</v>
      </c>
      <c r="H136" s="1381">
        <f>SUM(H133:H135)</f>
        <v>0</v>
      </c>
      <c r="I136" s="1382"/>
      <c r="J136" s="1381">
        <f>SUM(J133:J135)</f>
        <v>0</v>
      </c>
      <c r="K136" s="1384"/>
      <c r="L136" s="1385"/>
      <c r="M136" s="1385"/>
      <c r="N136" s="1386"/>
      <c r="R136" s="1283"/>
      <c r="S136" s="1283"/>
      <c r="T136" s="1284"/>
      <c r="U136" s="1284"/>
      <c r="V136" s="1284"/>
      <c r="W136" s="1374"/>
      <c r="X136" s="1375"/>
      <c r="Y136" s="1374"/>
      <c r="Z136" s="1374"/>
      <c r="AA136" s="1375"/>
      <c r="AB136" s="1374"/>
      <c r="AC136" s="1374"/>
      <c r="AD136" s="1375"/>
      <c r="AE136" s="1374"/>
      <c r="AF136" s="1375"/>
      <c r="AG136" s="1375"/>
      <c r="AH136" s="1283"/>
      <c r="AI136" s="1283"/>
      <c r="AJ136" s="1283"/>
      <c r="AK136" s="1283"/>
      <c r="AL136" s="1283"/>
      <c r="AM136" s="1283"/>
      <c r="AN136" s="1283"/>
      <c r="AO136" s="1283"/>
      <c r="AP136" s="1283"/>
      <c r="AZ136" s="1231"/>
      <c r="BA136" s="1231"/>
    </row>
    <row r="137" spans="1:77" ht="12.75" customHeight="1" x14ac:dyDescent="0.2">
      <c r="A137" s="1046" t="s">
        <v>52</v>
      </c>
      <c r="B137" s="1387"/>
      <c r="C137" s="1228" t="s">
        <v>53</v>
      </c>
      <c r="D137" s="1388"/>
      <c r="E137" s="1389"/>
      <c r="F137" s="1228" t="s">
        <v>53</v>
      </c>
      <c r="G137" s="1388"/>
      <c r="H137" s="1389"/>
      <c r="I137" s="1228" t="s">
        <v>53</v>
      </c>
      <c r="J137" s="1390"/>
      <c r="K137" s="1391" t="str">
        <f>IF(AND(OR(H136&gt;0,J136&gt;0),AND(1&lt;=H132,H132&lt;=4),AND(1&lt;=J132,J132&lt;=4)),IF(H136&gt;J136,H132,IF(J136&gt;H136,J132,"")),"")</f>
        <v/>
      </c>
      <c r="L137" s="1392"/>
      <c r="M137" s="1392"/>
      <c r="N137" s="1393"/>
      <c r="R137" s="1283"/>
      <c r="S137" s="1283"/>
      <c r="T137" s="1284"/>
      <c r="U137" s="1284"/>
      <c r="V137" s="1394"/>
      <c r="W137" s="1395"/>
      <c r="X137" s="1289"/>
      <c r="Y137" s="1396"/>
      <c r="Z137" s="1395"/>
      <c r="AA137" s="1289"/>
      <c r="AB137" s="1396"/>
      <c r="AC137" s="1395"/>
      <c r="AD137" s="1289"/>
      <c r="AE137" s="1396"/>
      <c r="AF137" s="1397"/>
      <c r="AG137" s="1397"/>
      <c r="AH137" s="1283"/>
      <c r="AI137" s="1283"/>
      <c r="AJ137" s="1283"/>
      <c r="AK137" s="1283"/>
      <c r="AL137" s="1283"/>
      <c r="AM137" s="1283"/>
      <c r="AN137" s="1283"/>
      <c r="AO137" s="1283"/>
      <c r="AP137" s="1283"/>
      <c r="AZ137" s="1231"/>
      <c r="BA137" s="1231"/>
    </row>
    <row r="138" spans="1:77" ht="12.75" customHeight="1" x14ac:dyDescent="0.2">
      <c r="A138" s="1046" t="s">
        <v>136</v>
      </c>
      <c r="B138" s="1387"/>
      <c r="C138" s="1228" t="s">
        <v>53</v>
      </c>
      <c r="D138" s="1388"/>
      <c r="E138" s="1389"/>
      <c r="F138" s="1228" t="s">
        <v>53</v>
      </c>
      <c r="G138" s="1388"/>
      <c r="H138" s="1389"/>
      <c r="I138" s="1228" t="s">
        <v>53</v>
      </c>
      <c r="J138" s="1390"/>
      <c r="K138" s="1398"/>
      <c r="L138" s="1399"/>
      <c r="M138" s="1399"/>
      <c r="N138" s="1400"/>
      <c r="R138" s="1283"/>
      <c r="S138" s="1283"/>
      <c r="T138" s="1284"/>
      <c r="U138" s="1284"/>
      <c r="V138" s="1394"/>
      <c r="W138" s="1395"/>
      <c r="X138" s="1289"/>
      <c r="Y138" s="1396"/>
      <c r="Z138" s="1395"/>
      <c r="AA138" s="1289"/>
      <c r="AB138" s="1396"/>
      <c r="AC138" s="1395"/>
      <c r="AD138" s="1289"/>
      <c r="AE138" s="1396"/>
      <c r="AF138" s="1397"/>
      <c r="AG138" s="1397"/>
      <c r="AH138" s="1283"/>
      <c r="AI138" s="1283"/>
      <c r="AJ138" s="1283"/>
      <c r="AK138" s="1283"/>
      <c r="AL138" s="1283"/>
      <c r="AM138" s="1283"/>
      <c r="AN138" s="1283"/>
      <c r="AO138" s="1283"/>
      <c r="AP138" s="1283"/>
      <c r="AZ138" s="1231"/>
      <c r="BA138" s="1231"/>
    </row>
    <row r="139" spans="1:77" ht="13.5" customHeight="1" thickBot="1" x14ac:dyDescent="0.25">
      <c r="A139" s="1046" t="s">
        <v>137</v>
      </c>
      <c r="B139" s="1401"/>
      <c r="C139" s="1402" t="s">
        <v>53</v>
      </c>
      <c r="D139" s="1403"/>
      <c r="E139" s="1404"/>
      <c r="F139" s="1402" t="s">
        <v>53</v>
      </c>
      <c r="G139" s="1403"/>
      <c r="H139" s="1404"/>
      <c r="I139" s="1402" t="s">
        <v>53</v>
      </c>
      <c r="J139" s="1405"/>
      <c r="K139" s="1406"/>
      <c r="L139" s="1407"/>
      <c r="M139" s="1407"/>
      <c r="N139" s="1408"/>
      <c r="R139" s="1283"/>
      <c r="S139" s="1283"/>
      <c r="T139" s="1284"/>
      <c r="U139" s="1284"/>
      <c r="V139" s="1394"/>
      <c r="W139" s="1395"/>
      <c r="X139" s="1289"/>
      <c r="Y139" s="1396"/>
      <c r="Z139" s="1395"/>
      <c r="AA139" s="1289"/>
      <c r="AB139" s="1396"/>
      <c r="AC139" s="1395"/>
      <c r="AD139" s="1289"/>
      <c r="AE139" s="1396"/>
      <c r="AF139" s="1397"/>
      <c r="AG139" s="1397"/>
      <c r="AH139" s="1283"/>
      <c r="AI139" s="1283"/>
      <c r="AJ139" s="1283"/>
      <c r="AK139" s="1283"/>
      <c r="AL139" s="1283"/>
      <c r="AM139" s="1283"/>
      <c r="AN139" s="1283"/>
      <c r="AO139" s="1283"/>
      <c r="AP139" s="1283"/>
      <c r="AZ139" s="1231"/>
      <c r="BA139" s="1231"/>
    </row>
    <row r="140" spans="1:77" hidden="1" x14ac:dyDescent="0.2">
      <c r="B140" s="1039"/>
      <c r="C140" s="1289" t="s">
        <v>87</v>
      </c>
      <c r="D140" s="1039" t="s">
        <v>138</v>
      </c>
      <c r="E140" s="1039"/>
      <c r="F140" s="1289"/>
      <c r="G140" t="s">
        <v>139</v>
      </c>
      <c r="J140" t="s">
        <v>140</v>
      </c>
      <c r="T140" s="1395"/>
      <c r="U140" s="1395"/>
      <c r="V140" s="1395"/>
      <c r="W140" s="1395"/>
      <c r="X140" s="1395"/>
      <c r="Y140" s="1395"/>
      <c r="Z140" s="1395"/>
      <c r="AA140" s="1395"/>
      <c r="AB140" s="1395"/>
      <c r="AC140" s="1395"/>
      <c r="AD140" s="1395"/>
      <c r="AE140" s="1395"/>
      <c r="AT140" t="str">
        <f>B141</f>
        <v>1st Place Court 1</v>
      </c>
      <c r="AU140" t="e">
        <f>J141</f>
        <v>#N/A</v>
      </c>
      <c r="AW140" s="1409"/>
      <c r="AX140" s="1231"/>
      <c r="AY140" s="1231"/>
      <c r="AZ140" s="1231"/>
      <c r="BA140" s="1231"/>
      <c r="BB140" s="1409"/>
      <c r="BC140" s="1231"/>
      <c r="BD140" s="1231"/>
      <c r="BE140" s="1409"/>
      <c r="BF140" s="1231"/>
      <c r="BG140" s="1231"/>
      <c r="BH140" s="1409"/>
      <c r="BI140" s="1231"/>
      <c r="BJ140" s="1231"/>
      <c r="BK140" s="1409"/>
      <c r="BL140" s="1231"/>
      <c r="BM140" s="1231"/>
      <c r="BN140" s="1409"/>
      <c r="BO140" s="1231"/>
      <c r="BP140" s="1231"/>
      <c r="BQ140" s="1409"/>
      <c r="BR140" s="1231"/>
      <c r="BS140" s="1231"/>
      <c r="BT140" s="1409"/>
      <c r="BU140" s="1231"/>
      <c r="BV140" s="1231"/>
      <c r="BW140" s="1409"/>
      <c r="BX140" s="1231"/>
      <c r="BY140" s="1231"/>
    </row>
    <row r="141" spans="1:77" hidden="1" x14ac:dyDescent="0.2">
      <c r="A141">
        <v>1</v>
      </c>
      <c r="B141" t="str">
        <f>B124</f>
        <v>1st Place Court 1</v>
      </c>
      <c r="C141" t="e">
        <f>VLOOKUP(B141,AU$2:AY$7,4,FALSE)</f>
        <v>#N/A</v>
      </c>
      <c r="D141" t="e">
        <f>IF(A141=B132,B147,IF(A141=D132,D147,C141))</f>
        <v>#N/A</v>
      </c>
      <c r="G141" t="e">
        <f>IF(A141=E132,E147,IF(A141=G132,G147,D141))</f>
        <v>#N/A</v>
      </c>
      <c r="J141" t="e">
        <f>IF(A141=H132,H147,IF(A141=J132,J147,G141))</f>
        <v>#N/A</v>
      </c>
      <c r="T141" s="1395"/>
      <c r="U141" s="1395"/>
      <c r="V141" s="1395"/>
      <c r="W141" s="1395"/>
      <c r="X141" s="1395"/>
      <c r="Y141" s="1395"/>
      <c r="Z141" s="1395"/>
      <c r="AA141" s="1395"/>
      <c r="AB141" s="1395"/>
      <c r="AC141" s="1395"/>
      <c r="AD141" s="1395"/>
      <c r="AE141" s="1395"/>
      <c r="AT141" t="str">
        <f>B142</f>
        <v>2nd Place Court 1</v>
      </c>
      <c r="AU141" t="e">
        <f>J142</f>
        <v>#N/A</v>
      </c>
      <c r="AW141" s="1409"/>
      <c r="AX141" s="1231"/>
      <c r="AY141" s="1231"/>
      <c r="AZ141" s="1231"/>
      <c r="BA141" s="1231"/>
      <c r="BB141" s="1409"/>
      <c r="BC141" s="1231"/>
      <c r="BD141" s="1231"/>
      <c r="BE141" s="1409"/>
      <c r="BF141" s="1231"/>
      <c r="BG141" s="1231"/>
      <c r="BH141" s="1409"/>
      <c r="BI141" s="1231"/>
      <c r="BJ141" s="1231"/>
      <c r="BK141" s="1409"/>
      <c r="BL141" s="1231"/>
      <c r="BM141" s="1231"/>
      <c r="BN141" s="1409"/>
      <c r="BO141" s="1231"/>
      <c r="BP141" s="1231"/>
      <c r="BQ141" s="1409"/>
      <c r="BR141" s="1231"/>
      <c r="BS141" s="1231"/>
      <c r="BT141" s="1409"/>
      <c r="BU141" s="1231"/>
      <c r="BV141" s="1231"/>
      <c r="BW141" s="1409"/>
      <c r="BX141" s="1231"/>
      <c r="BY141" s="1231"/>
    </row>
    <row r="142" spans="1:77" hidden="1" x14ac:dyDescent="0.2">
      <c r="A142">
        <v>2</v>
      </c>
      <c r="B142" t="str">
        <f>B125</f>
        <v>2nd Place Court 1</v>
      </c>
      <c r="C142" t="e">
        <f>VLOOKUP(B142,AU$2:AY$7,4,FALSE)</f>
        <v>#N/A</v>
      </c>
      <c r="D142" t="e">
        <f>IF(A142=B132,B147,IF(A142=D132,D147,C142))</f>
        <v>#N/A</v>
      </c>
      <c r="G142" t="e">
        <f>IF(A142=E132,E147,IF(A142=G132,G147,D142))</f>
        <v>#N/A</v>
      </c>
      <c r="J142" t="e">
        <f>IF(A142=H132,H147,IF(A142=J132,J147,G142))</f>
        <v>#N/A</v>
      </c>
      <c r="T142" s="1395"/>
      <c r="U142" s="1395"/>
      <c r="V142" s="1395"/>
      <c r="W142" s="1395"/>
      <c r="X142" s="1395"/>
      <c r="Y142" s="1395"/>
      <c r="Z142" s="1395"/>
      <c r="AA142" s="1395"/>
      <c r="AB142" s="1395"/>
      <c r="AC142" s="1395"/>
      <c r="AD142" s="1395"/>
      <c r="AE142" s="1395"/>
      <c r="AT142" t="str">
        <f>B143</f>
        <v>3rd Place Court 1</v>
      </c>
      <c r="AU142" t="e">
        <f>J143</f>
        <v>#N/A</v>
      </c>
      <c r="AW142" s="1409"/>
      <c r="AX142" s="1231"/>
      <c r="AY142" s="1231"/>
      <c r="AZ142" s="1231"/>
      <c r="BA142" s="1231"/>
      <c r="BB142" s="1409"/>
      <c r="BC142" s="1231"/>
      <c r="BD142" s="1231"/>
      <c r="BE142" s="1409"/>
      <c r="BF142" s="1231"/>
      <c r="BG142" s="1231"/>
      <c r="BH142" s="1409"/>
      <c r="BI142" s="1231"/>
      <c r="BJ142" s="1231"/>
      <c r="BK142" s="1409"/>
      <c r="BL142" s="1231"/>
      <c r="BM142" s="1231"/>
      <c r="BN142" s="1409"/>
      <c r="BO142" s="1231"/>
      <c r="BP142" s="1231"/>
      <c r="BQ142" s="1409"/>
      <c r="BR142" s="1231"/>
      <c r="BS142" s="1231"/>
      <c r="BT142" s="1409"/>
      <c r="BU142" s="1231"/>
      <c r="BV142" s="1231"/>
      <c r="BW142" s="1409"/>
      <c r="BX142" s="1231"/>
      <c r="BY142" s="1231"/>
    </row>
    <row r="143" spans="1:77" hidden="1" x14ac:dyDescent="0.2">
      <c r="A143">
        <v>3</v>
      </c>
      <c r="B143" t="str">
        <f>B126</f>
        <v>3rd Place Court 1</v>
      </c>
      <c r="C143" t="e">
        <f>VLOOKUP(B143,AU$2:AY$7,4,FALSE)</f>
        <v>#N/A</v>
      </c>
      <c r="D143" t="e">
        <f>IF(A143=B132,B147,IF(A143=D132,D147,C143))</f>
        <v>#N/A</v>
      </c>
      <c r="G143" t="e">
        <f>IF(A143=E132,E147,IF(A143=G132,G147,D143))</f>
        <v>#N/A</v>
      </c>
      <c r="J143" t="e">
        <f>IF(A143=H132,H147,IF(A143=J132,J147,G143))</f>
        <v>#N/A</v>
      </c>
      <c r="T143" s="1395"/>
      <c r="U143" s="1395"/>
      <c r="V143" s="1395"/>
      <c r="W143" s="1395"/>
      <c r="X143" s="1395"/>
      <c r="Y143" s="1395"/>
      <c r="Z143" s="1395"/>
      <c r="AA143" s="1395"/>
      <c r="AB143" s="1395"/>
      <c r="AC143" s="1395"/>
      <c r="AD143" s="1395"/>
      <c r="AE143" s="1395"/>
      <c r="AT143" t="str">
        <f>B144</f>
        <v>4th Place Court 1</v>
      </c>
      <c r="AU143" t="e">
        <f>J144</f>
        <v>#N/A</v>
      </c>
      <c r="AW143" s="1409"/>
      <c r="AX143" s="1231"/>
      <c r="AY143" s="1231"/>
      <c r="AZ143" s="1231"/>
      <c r="BA143" s="1231"/>
      <c r="BB143" s="1409"/>
      <c r="BC143" s="1231"/>
      <c r="BD143" s="1231"/>
      <c r="BE143" s="1409"/>
      <c r="BF143" s="1231"/>
      <c r="BG143" s="1231"/>
      <c r="BH143" s="1409"/>
      <c r="BI143" s="1231"/>
      <c r="BJ143" s="1231"/>
      <c r="BK143" s="1409"/>
      <c r="BL143" s="1231"/>
      <c r="BM143" s="1231"/>
      <c r="BN143" s="1409"/>
      <c r="BO143" s="1231"/>
      <c r="BP143" s="1231"/>
      <c r="BQ143" s="1409"/>
      <c r="BR143" s="1231"/>
      <c r="BS143" s="1231"/>
      <c r="BT143" s="1409"/>
      <c r="BU143" s="1231"/>
      <c r="BV143" s="1231"/>
      <c r="BW143" s="1409"/>
      <c r="BX143" s="1231"/>
      <c r="BY143" s="1231"/>
    </row>
    <row r="144" spans="1:77" hidden="1" x14ac:dyDescent="0.2">
      <c r="A144">
        <v>4</v>
      </c>
      <c r="B144" t="str">
        <f>B127</f>
        <v>4th Place Court 1</v>
      </c>
      <c r="C144" t="e">
        <f>VLOOKUP(B144,AU$2:AY$7,4,FALSE)</f>
        <v>#N/A</v>
      </c>
      <c r="D144" t="e">
        <f>IF(A144=B132,B147,IF(A144=D132,D147,C144))</f>
        <v>#N/A</v>
      </c>
      <c r="G144" t="e">
        <f>IF(A144=E132,E147,IF(A144=G132,G147,D144))</f>
        <v>#N/A</v>
      </c>
      <c r="J144" t="e">
        <f>IF(A144=H132,H147,IF(A144=J132,J147,G144))</f>
        <v>#N/A</v>
      </c>
      <c r="T144" s="1395"/>
      <c r="U144" s="1395"/>
      <c r="V144" s="1395"/>
      <c r="W144" s="1395"/>
      <c r="X144" s="1395"/>
      <c r="Y144" s="1395"/>
      <c r="Z144" s="1395"/>
      <c r="AA144" s="1395"/>
      <c r="AB144" s="1395"/>
      <c r="AC144" s="1395"/>
      <c r="AD144" s="1395"/>
      <c r="AE144" s="1395"/>
      <c r="AT144">
        <f>W141</f>
        <v>0</v>
      </c>
      <c r="AU144">
        <f>AE141</f>
        <v>0</v>
      </c>
      <c r="AW144" s="1409"/>
      <c r="AX144" s="1231"/>
      <c r="AY144" s="1231"/>
      <c r="AZ144" s="1231"/>
      <c r="BA144" s="1231"/>
      <c r="BB144" s="1409"/>
      <c r="BC144" s="1231"/>
      <c r="BD144" s="1231"/>
      <c r="BE144" s="1409"/>
      <c r="BF144" s="1231"/>
      <c r="BG144" s="1231"/>
      <c r="BH144" s="1409"/>
      <c r="BI144" s="1231"/>
      <c r="BJ144" s="1231"/>
      <c r="BK144" s="1409"/>
      <c r="BL144" s="1231"/>
      <c r="BM144" s="1231"/>
      <c r="BN144" s="1409"/>
      <c r="BO144" s="1231"/>
      <c r="BP144" s="1231"/>
      <c r="BQ144" s="1409"/>
      <c r="BR144" s="1231"/>
      <c r="BS144" s="1231"/>
      <c r="BT144" s="1409"/>
      <c r="BU144" s="1231"/>
      <c r="BV144" s="1231"/>
      <c r="BW144" s="1409"/>
      <c r="BX144" s="1231"/>
      <c r="BY144" s="1231"/>
    </row>
    <row r="145" spans="1:77" hidden="1" x14ac:dyDescent="0.2">
      <c r="A145" t="s">
        <v>89</v>
      </c>
      <c r="B145" t="e">
        <f>VLOOKUP(B132,$A141:$J144,3,FALSE)</f>
        <v>#N/A</v>
      </c>
      <c r="D145" t="e">
        <f>VLOOKUP(D132,$A141:$J144,3,FALSE)</f>
        <v>#N/A</v>
      </c>
      <c r="E145" t="e">
        <f>VLOOKUP(E132,$A141:$J144,4,FALSE)</f>
        <v>#N/A</v>
      </c>
      <c r="G145" t="e">
        <f>VLOOKUP(G132,$A141:$J144,4,FALSE)</f>
        <v>#N/A</v>
      </c>
      <c r="H145" t="e">
        <f>VLOOKUP(H132,$A141:$J144,7,FALSE)</f>
        <v>#N/A</v>
      </c>
      <c r="J145" t="e">
        <f>VLOOKUP(J132,$A141:$J144,7,FALSE)</f>
        <v>#N/A</v>
      </c>
      <c r="T145" s="1395"/>
      <c r="U145" s="1395"/>
      <c r="V145" s="1395"/>
      <c r="W145" s="1395"/>
      <c r="X145" s="1395"/>
      <c r="Y145" s="1395"/>
      <c r="Z145" s="1395"/>
      <c r="AA145" s="1395"/>
      <c r="AB145" s="1395"/>
      <c r="AC145" s="1395"/>
      <c r="AD145" s="1395"/>
      <c r="AE145" s="1395"/>
      <c r="AT145">
        <f>W142</f>
        <v>0</v>
      </c>
      <c r="AU145">
        <f>AE142</f>
        <v>0</v>
      </c>
      <c r="AW145" s="1409"/>
      <c r="AX145" s="1231"/>
      <c r="AY145" s="1231"/>
      <c r="AZ145" s="1231"/>
      <c r="BA145" s="1231"/>
      <c r="BB145" s="1409"/>
      <c r="BC145" s="1231"/>
      <c r="BD145" s="1231"/>
      <c r="BE145" s="1409"/>
      <c r="BF145" s="1231"/>
      <c r="BG145" s="1231"/>
      <c r="BH145" s="1409"/>
      <c r="BI145" s="1231"/>
      <c r="BJ145" s="1231"/>
      <c r="BK145" s="1409"/>
      <c r="BL145" s="1231"/>
      <c r="BM145" s="1231"/>
      <c r="BN145" s="1409"/>
      <c r="BO145" s="1231"/>
      <c r="BP145" s="1231"/>
      <c r="BQ145" s="1409"/>
      <c r="BR145" s="1231"/>
      <c r="BS145" s="1231"/>
      <c r="BT145" s="1409"/>
      <c r="BU145" s="1231"/>
      <c r="BV145" s="1231"/>
      <c r="BW145" s="1409"/>
      <c r="BX145" s="1231"/>
      <c r="BY145" s="1231"/>
    </row>
    <row r="146" spans="1:77" hidden="1" x14ac:dyDescent="0.2">
      <c r="A146" s="1246" t="s">
        <v>90</v>
      </c>
      <c r="B146" s="1246">
        <f>IF(OR(B136&gt;0,D136&gt;0),1/(1+(10^-((B145-D145)/400)))*(B136+D136),0)</f>
        <v>0</v>
      </c>
      <c r="C146" s="1246"/>
      <c r="D146" s="1246">
        <f>IF(OR(B136&gt;0,D136&gt;0),1/(1+(10^-((D145-B145)/400)))*(B136+D136),0)</f>
        <v>0</v>
      </c>
      <c r="E146" s="1246">
        <f>IF(OR(E136&gt;0,G136&gt;0),1/(1+(10^-((E145-G145)/400)))*(E136+G136),0)</f>
        <v>0</v>
      </c>
      <c r="F146" s="1246"/>
      <c r="G146" s="1246">
        <f>IF(OR(E136&gt;0,G136&gt;0),1/(1+(10^-((G145-E145)/400)))*(E136+G136),0)</f>
        <v>0</v>
      </c>
      <c r="H146" s="1246">
        <f>IF(OR(H136&gt;0,J136&gt;0),1/(1+(10^-((H145-J145)/400)))*(H136+J136),0)</f>
        <v>0</v>
      </c>
      <c r="I146" s="1246"/>
      <c r="J146" s="1246">
        <f>IF(OR(H136&gt;0,J136&gt;0),1/(1+(10^-((J145-H145)/400)))*(H136+J136),0)</f>
        <v>0</v>
      </c>
      <c r="T146" s="1395"/>
      <c r="U146" s="1395"/>
      <c r="V146" s="1395"/>
      <c r="W146" s="1395"/>
      <c r="X146" s="1395"/>
      <c r="Y146" s="1395"/>
      <c r="Z146" s="1395"/>
      <c r="AA146" s="1395"/>
      <c r="AB146" s="1395"/>
      <c r="AC146" s="1395"/>
      <c r="AD146" s="1395"/>
      <c r="AE146" s="1395"/>
      <c r="AT146">
        <f>W143</f>
        <v>0</v>
      </c>
      <c r="AU146">
        <f>AE143</f>
        <v>0</v>
      </c>
      <c r="AW146" s="1409"/>
      <c r="AX146" s="1231"/>
      <c r="AY146" s="1231"/>
      <c r="AZ146" s="1231"/>
      <c r="BA146" s="1231"/>
      <c r="BB146" s="1409"/>
      <c r="BC146" s="1231"/>
      <c r="BD146" s="1231"/>
      <c r="BE146" s="1409"/>
      <c r="BF146" s="1231"/>
      <c r="BG146" s="1231"/>
      <c r="BH146" s="1409"/>
      <c r="BI146" s="1231"/>
      <c r="BJ146" s="1231"/>
      <c r="BK146" s="1409"/>
      <c r="BL146" s="1231"/>
      <c r="BM146" s="1231"/>
      <c r="BN146" s="1409"/>
      <c r="BO146" s="1231"/>
      <c r="BP146" s="1231"/>
      <c r="BQ146" s="1409"/>
      <c r="BR146" s="1231"/>
      <c r="BS146" s="1231"/>
      <c r="BT146" s="1409"/>
      <c r="BU146" s="1231"/>
      <c r="BV146" s="1231"/>
      <c r="BW146" s="1409"/>
      <c r="BX146" s="1231"/>
      <c r="BY146" s="1231"/>
    </row>
    <row r="147" spans="1:77" hidden="1" x14ac:dyDescent="0.2">
      <c r="A147" s="1252" t="s">
        <v>91</v>
      </c>
      <c r="B147" s="1252" t="e">
        <f>B145+(B136-B146)*$BA$2</f>
        <v>#N/A</v>
      </c>
      <c r="C147" s="1252"/>
      <c r="D147" s="1252" t="e">
        <f>D145+(D136-D146)*$BA$2</f>
        <v>#N/A</v>
      </c>
      <c r="E147" s="1252" t="e">
        <f>E145+(E136-E146)*$BA$2</f>
        <v>#N/A</v>
      </c>
      <c r="G147" s="1252" t="e">
        <f>G145+(G136-G146)*$BA$2</f>
        <v>#N/A</v>
      </c>
      <c r="H147" s="1252" t="e">
        <f>H145+(H136-H146)*$BA$2</f>
        <v>#N/A</v>
      </c>
      <c r="J147" s="1252" t="e">
        <f>J145+(J136-J146)*$BA$2</f>
        <v>#N/A</v>
      </c>
      <c r="T147" s="1395"/>
      <c r="U147" s="1395"/>
      <c r="V147" s="1395"/>
      <c r="W147" s="1395"/>
      <c r="X147" s="1395"/>
      <c r="Y147" s="1395"/>
      <c r="Z147" s="1395"/>
      <c r="AA147" s="1395"/>
      <c r="AB147" s="1395"/>
      <c r="AC147" s="1395"/>
      <c r="AD147" s="1395"/>
      <c r="AE147" s="1395"/>
      <c r="AT147">
        <f>W144</f>
        <v>0</v>
      </c>
      <c r="AU147">
        <f>AE144</f>
        <v>0</v>
      </c>
      <c r="AW147" s="1409"/>
      <c r="AX147" s="1231"/>
      <c r="AY147" s="1231"/>
      <c r="AZ147" s="1231"/>
      <c r="BA147" s="1231"/>
      <c r="BB147" s="1409"/>
      <c r="BC147" s="1231"/>
      <c r="BD147" s="1231"/>
      <c r="BE147" s="1409"/>
      <c r="BF147" s="1231"/>
      <c r="BG147" s="1231"/>
      <c r="BH147" s="1409"/>
      <c r="BI147" s="1231"/>
      <c r="BJ147" s="1231"/>
      <c r="BK147" s="1409"/>
      <c r="BL147" s="1231"/>
      <c r="BM147" s="1231"/>
      <c r="BN147" s="1409"/>
      <c r="BO147" s="1231"/>
      <c r="BP147" s="1231"/>
      <c r="BQ147" s="1409"/>
      <c r="BR147" s="1231"/>
      <c r="BS147" s="1231"/>
      <c r="BT147" s="1409"/>
      <c r="BU147" s="1231"/>
      <c r="BV147" s="1231"/>
      <c r="BW147" s="1409"/>
      <c r="BX147" s="1231"/>
      <c r="BY147" s="1231"/>
    </row>
    <row r="148" spans="1:77" x14ac:dyDescent="0.2">
      <c r="A148" s="1410" t="s">
        <v>141</v>
      </c>
      <c r="B148" s="1410"/>
      <c r="C148" s="1410"/>
      <c r="D148" s="1410"/>
      <c r="E148" s="1410"/>
      <c r="F148" s="1410"/>
      <c r="G148" s="1410"/>
      <c r="H148" s="1410"/>
      <c r="I148" s="1410"/>
      <c r="J148" s="1410"/>
      <c r="K148" s="1410"/>
      <c r="L148" s="1410"/>
      <c r="M148" s="1410"/>
      <c r="R148" s="1283"/>
      <c r="S148" s="1283"/>
      <c r="T148" s="1284"/>
      <c r="U148" s="1284"/>
      <c r="V148" s="1284"/>
      <c r="W148" s="1284"/>
      <c r="X148" s="1284"/>
      <c r="Y148" s="1284"/>
      <c r="Z148" s="1284"/>
      <c r="AA148" s="1284"/>
      <c r="AB148" s="1284"/>
      <c r="AC148" s="1284"/>
      <c r="AD148" s="1284"/>
      <c r="AE148" s="1284"/>
      <c r="AF148" s="1284"/>
      <c r="AG148" s="1284"/>
      <c r="AH148" s="1283"/>
      <c r="AI148" s="1283"/>
      <c r="AJ148" s="1283"/>
      <c r="AK148" s="1283"/>
      <c r="AL148" s="1283"/>
      <c r="AM148" s="1283"/>
      <c r="AN148" s="1283"/>
      <c r="AO148" s="1283"/>
      <c r="AP148" s="1283"/>
      <c r="AZ148" s="1231"/>
      <c r="BA148" s="1231"/>
    </row>
    <row r="149" spans="1:77" x14ac:dyDescent="0.2">
      <c r="T149" s="1283"/>
      <c r="U149" s="1283"/>
      <c r="V149" s="1283"/>
      <c r="W149" s="1283"/>
      <c r="X149" s="1283"/>
      <c r="Y149" s="1283"/>
      <c r="Z149" s="1283"/>
      <c r="AA149" s="1283"/>
      <c r="AB149" s="1283"/>
      <c r="AC149" s="1283"/>
      <c r="AD149" s="1283"/>
      <c r="AE149" s="1283"/>
      <c r="AF149" s="1283"/>
      <c r="AG149" s="1283"/>
      <c r="AH149" s="1283"/>
      <c r="AI149" s="1283"/>
      <c r="AJ149" s="1283"/>
      <c r="AK149" s="1283"/>
      <c r="AL149" s="1283"/>
      <c r="AM149" s="1283"/>
      <c r="AN149" s="1283"/>
      <c r="AO149" s="1283"/>
      <c r="AP149" s="1283"/>
      <c r="AS149" s="1231"/>
      <c r="AT149" s="1231"/>
      <c r="AU149" s="1231"/>
      <c r="AZ149" s="1231"/>
      <c r="BA149" s="1231"/>
    </row>
    <row r="150" spans="1:77" x14ac:dyDescent="0.2">
      <c r="AS150" s="1231"/>
      <c r="AT150" s="1231"/>
      <c r="AU150" s="1231"/>
      <c r="AZ150" s="1231"/>
      <c r="BA150" s="1231"/>
    </row>
    <row r="151" spans="1:77" x14ac:dyDescent="0.2">
      <c r="AS151" s="1231"/>
      <c r="AT151" s="1231"/>
      <c r="AU151" s="1231"/>
      <c r="AZ151" s="1231"/>
      <c r="BA151" s="1231"/>
    </row>
    <row r="152" spans="1:77" x14ac:dyDescent="0.2">
      <c r="AS152" s="1231"/>
      <c r="AT152" s="1231"/>
      <c r="AU152" s="1231"/>
      <c r="AZ152" s="1231"/>
      <c r="BA152" s="1231"/>
    </row>
    <row r="153" spans="1:77" x14ac:dyDescent="0.2">
      <c r="AS153" s="1231"/>
      <c r="AT153" s="1231"/>
      <c r="AU153" s="1231"/>
      <c r="AZ153" s="1231"/>
      <c r="BA153" s="1231"/>
    </row>
    <row r="154" spans="1:77" x14ac:dyDescent="0.2">
      <c r="AS154" s="1231"/>
      <c r="AT154" s="1231"/>
      <c r="AU154" s="1231"/>
      <c r="AZ154" s="1231"/>
      <c r="BA154" s="1231"/>
    </row>
    <row r="155" spans="1:77" x14ac:dyDescent="0.2">
      <c r="AS155" s="1231"/>
      <c r="AT155" s="1231"/>
      <c r="AU155" s="1231"/>
      <c r="AZ155" s="1231"/>
      <c r="BA155" s="1231"/>
    </row>
    <row r="156" spans="1:77" x14ac:dyDescent="0.2">
      <c r="AS156" s="1231"/>
      <c r="AT156" s="1231"/>
      <c r="AU156" s="1231"/>
      <c r="AZ156" s="1231"/>
      <c r="BA156" s="1231"/>
    </row>
    <row r="157" spans="1:77" x14ac:dyDescent="0.2">
      <c r="AS157" s="1231"/>
      <c r="AT157" s="1231"/>
      <c r="AU157" s="1231"/>
      <c r="AZ157" s="1231"/>
      <c r="BA157" s="1231"/>
    </row>
    <row r="158" spans="1:77" x14ac:dyDescent="0.2">
      <c r="AS158" s="1231"/>
      <c r="AT158" s="1231"/>
      <c r="AU158" s="1231"/>
      <c r="AZ158" s="1231"/>
      <c r="BA158" s="1231"/>
    </row>
    <row r="159" spans="1:77" x14ac:dyDescent="0.2">
      <c r="AS159" s="1231"/>
      <c r="AT159" s="1231"/>
      <c r="AU159" s="1231"/>
      <c r="AZ159" s="1231"/>
      <c r="BA159" s="1231"/>
    </row>
    <row r="160" spans="1:77" x14ac:dyDescent="0.2">
      <c r="AS160" s="1231"/>
      <c r="AT160" s="1231"/>
      <c r="AU160" s="1231"/>
      <c r="AZ160" s="1231"/>
      <c r="BA160" s="1231"/>
    </row>
    <row r="161" spans="45:53" x14ac:dyDescent="0.2">
      <c r="AS161" s="1231"/>
      <c r="AT161" s="1231"/>
      <c r="AU161" s="1231"/>
      <c r="AZ161" s="1231"/>
      <c r="BA161" s="1231"/>
    </row>
    <row r="162" spans="45:53" x14ac:dyDescent="0.2">
      <c r="AS162" s="1231"/>
      <c r="AT162" s="1231"/>
      <c r="AU162" s="1231"/>
    </row>
    <row r="163" spans="45:53" x14ac:dyDescent="0.2">
      <c r="AS163" s="1231"/>
      <c r="AT163" s="1231"/>
      <c r="AU163" s="1231"/>
      <c r="AZ163" s="1239"/>
      <c r="BA163" s="1239"/>
    </row>
    <row r="164" spans="45:53" x14ac:dyDescent="0.2">
      <c r="AS164" s="1231"/>
      <c r="AT164" s="1231"/>
      <c r="AU164" s="1231"/>
      <c r="AZ164" s="1239"/>
      <c r="BA164" s="1239"/>
    </row>
    <row r="165" spans="45:53" x14ac:dyDescent="0.2">
      <c r="AS165" s="1231"/>
      <c r="AT165" s="1231"/>
      <c r="AU165" s="1231"/>
      <c r="AZ165" s="1239"/>
      <c r="BA165" s="1239"/>
    </row>
    <row r="166" spans="45:53" x14ac:dyDescent="0.2">
      <c r="AS166" s="1231"/>
      <c r="AT166" s="1231"/>
      <c r="AU166" s="1231"/>
      <c r="AZ166" s="1239"/>
      <c r="BA166" s="1239"/>
    </row>
    <row r="167" spans="45:53" x14ac:dyDescent="0.2">
      <c r="AS167" s="1231"/>
      <c r="AT167" s="1231"/>
      <c r="AU167" s="1231"/>
      <c r="AZ167" s="1239"/>
      <c r="BA167" s="1239"/>
    </row>
    <row r="168" spans="45:53" x14ac:dyDescent="0.2">
      <c r="AS168" s="1231"/>
      <c r="AT168" s="1231"/>
      <c r="AU168" s="1231"/>
      <c r="AZ168" s="1239"/>
      <c r="BA168" s="1239"/>
    </row>
    <row r="169" spans="45:53" x14ac:dyDescent="0.2">
      <c r="AS169" s="1231"/>
      <c r="AT169" s="1231"/>
      <c r="AU169" s="1231"/>
      <c r="AZ169" s="1239"/>
      <c r="BA169" s="1239"/>
    </row>
    <row r="170" spans="45:53" x14ac:dyDescent="0.2">
      <c r="AS170" s="1231"/>
      <c r="AT170" s="1231"/>
      <c r="AU170" s="1231"/>
      <c r="AZ170" s="1239"/>
      <c r="BA170" s="1239"/>
    </row>
    <row r="171" spans="45:53" x14ac:dyDescent="0.2">
      <c r="AS171" s="1231"/>
      <c r="AT171" s="1231"/>
      <c r="AU171" s="1231"/>
      <c r="AZ171" s="1249"/>
      <c r="BA171" s="1249"/>
    </row>
    <row r="172" spans="45:53" x14ac:dyDescent="0.2">
      <c r="AS172" s="1231"/>
      <c r="AT172" s="1231"/>
      <c r="AU172" s="1231"/>
      <c r="AZ172" s="1255"/>
      <c r="BA172" s="1255"/>
    </row>
    <row r="173" spans="45:53" x14ac:dyDescent="0.2">
      <c r="AS173" s="1231"/>
      <c r="AT173" s="1231"/>
      <c r="AU173" s="1231"/>
      <c r="AZ173" s="1255"/>
      <c r="BA173" s="1255"/>
    </row>
    <row r="174" spans="45:53" x14ac:dyDescent="0.2">
      <c r="AS174" s="1239"/>
      <c r="AT174" s="1239"/>
      <c r="AU174" s="1239"/>
      <c r="AZ174" s="1239"/>
      <c r="BA174" s="1239"/>
    </row>
    <row r="175" spans="45:53" x14ac:dyDescent="0.2">
      <c r="AS175" s="1239"/>
      <c r="AT175" s="1239"/>
      <c r="AU175" s="1239"/>
      <c r="AZ175" s="1239"/>
      <c r="BA175" s="1239"/>
    </row>
    <row r="200" spans="45:53" x14ac:dyDescent="0.2">
      <c r="AS200" s="1231"/>
      <c r="AT200" s="1231"/>
      <c r="AU200" s="1231"/>
    </row>
    <row r="201" spans="45:53" x14ac:dyDescent="0.2">
      <c r="AS201" s="1231"/>
      <c r="AT201" s="1231"/>
      <c r="AU201" s="1231"/>
      <c r="AZ201" s="1231"/>
      <c r="BA201" s="1231"/>
    </row>
    <row r="202" spans="45:53" x14ac:dyDescent="0.2">
      <c r="AS202" s="1231"/>
      <c r="AT202" s="1231"/>
      <c r="AU202" s="1231"/>
      <c r="AZ202" s="1231"/>
      <c r="BA202" s="1231"/>
    </row>
    <row r="203" spans="45:53" x14ac:dyDescent="0.2">
      <c r="AS203" s="1231"/>
      <c r="AT203" s="1231"/>
      <c r="AU203" s="1231"/>
      <c r="AZ203" s="1231"/>
      <c r="BA203" s="1231"/>
    </row>
    <row r="204" spans="45:53" x14ac:dyDescent="0.2">
      <c r="AS204" s="1231"/>
      <c r="AT204" s="1231"/>
      <c r="AU204" s="1231"/>
      <c r="AZ204" s="1231"/>
      <c r="BA204" s="1231"/>
    </row>
    <row r="205" spans="45:53" x14ac:dyDescent="0.2">
      <c r="AS205" s="1231"/>
      <c r="AT205" s="1231"/>
      <c r="AU205" s="1231"/>
      <c r="AZ205" s="1231"/>
      <c r="BA205" s="1231"/>
    </row>
    <row r="206" spans="45:53" x14ac:dyDescent="0.2">
      <c r="AS206" s="1231"/>
      <c r="AT206" s="1231"/>
      <c r="AU206" s="1231"/>
      <c r="AZ206" s="1231"/>
      <c r="BA206" s="1231"/>
    </row>
    <row r="207" spans="45:53" x14ac:dyDescent="0.2">
      <c r="AS207" s="1231"/>
      <c r="AT207" s="1231"/>
      <c r="AU207" s="1231"/>
      <c r="AZ207" s="1231"/>
      <c r="BA207" s="1231"/>
    </row>
    <row r="208" spans="45:53" x14ac:dyDescent="0.2">
      <c r="AS208" s="1231"/>
      <c r="AT208" s="1231"/>
      <c r="AU208" s="1231"/>
      <c r="AZ208" s="1231"/>
      <c r="BA208" s="1231"/>
    </row>
    <row r="209" spans="45:53" x14ac:dyDescent="0.2">
      <c r="AS209" s="1231"/>
      <c r="AT209" s="1231"/>
      <c r="AU209" s="1231"/>
      <c r="AZ209" s="1231"/>
      <c r="BA209" s="1231"/>
    </row>
    <row r="210" spans="45:53" x14ac:dyDescent="0.2">
      <c r="AS210" s="1231"/>
      <c r="AT210" s="1231"/>
      <c r="AU210" s="1231"/>
      <c r="AZ210" s="1231"/>
      <c r="BA210" s="1231"/>
    </row>
    <row r="211" spans="45:53" x14ac:dyDescent="0.2">
      <c r="AS211" s="1231"/>
      <c r="AT211" s="1231"/>
      <c r="AU211" s="1231"/>
      <c r="AZ211" s="1231"/>
      <c r="BA211" s="1231"/>
    </row>
    <row r="212" spans="45:53" x14ac:dyDescent="0.2">
      <c r="AS212" s="1231"/>
      <c r="AT212" s="1231"/>
      <c r="AU212" s="1231"/>
      <c r="AZ212" s="1231"/>
      <c r="BA212" s="1231"/>
    </row>
    <row r="213" spans="45:53" x14ac:dyDescent="0.2">
      <c r="AS213" s="1231"/>
      <c r="AT213" s="1231"/>
      <c r="AU213" s="1231"/>
      <c r="AZ213" s="1231"/>
      <c r="BA213" s="1231"/>
    </row>
    <row r="214" spans="45:53" x14ac:dyDescent="0.2">
      <c r="AS214" s="1231"/>
      <c r="AT214" s="1231"/>
      <c r="AU214" s="1231"/>
      <c r="AZ214" s="1231"/>
      <c r="BA214" s="1231"/>
    </row>
    <row r="215" spans="45:53" x14ac:dyDescent="0.2">
      <c r="AS215" s="1231"/>
      <c r="AT215" s="1231"/>
      <c r="AU215" s="1231"/>
      <c r="AZ215" s="1231"/>
      <c r="BA215" s="1231"/>
    </row>
    <row r="216" spans="45:53" x14ac:dyDescent="0.2">
      <c r="AS216" s="1231"/>
      <c r="AT216" s="1231"/>
      <c r="AU216" s="1231"/>
      <c r="AZ216" s="1231"/>
      <c r="BA216" s="1231"/>
    </row>
    <row r="217" spans="45:53" x14ac:dyDescent="0.2">
      <c r="AS217" s="1231"/>
      <c r="AT217" s="1231"/>
      <c r="AU217" s="1231"/>
      <c r="AZ217" s="1231"/>
      <c r="BA217" s="1231"/>
    </row>
    <row r="218" spans="45:53" x14ac:dyDescent="0.2">
      <c r="AS218" s="1231"/>
      <c r="AT218" s="1231"/>
      <c r="AU218" s="1231"/>
      <c r="AZ218" s="1231"/>
      <c r="BA218" s="1231"/>
    </row>
    <row r="219" spans="45:53" x14ac:dyDescent="0.2">
      <c r="AS219" s="1231"/>
      <c r="AT219" s="1231"/>
      <c r="AU219" s="1231"/>
      <c r="AZ219" s="1231"/>
      <c r="BA219" s="1231"/>
    </row>
    <row r="220" spans="45:53" x14ac:dyDescent="0.2">
      <c r="AS220" s="1231"/>
      <c r="AT220" s="1231"/>
      <c r="AU220" s="1231"/>
      <c r="AZ220" s="1231"/>
      <c r="BA220" s="1231"/>
    </row>
    <row r="221" spans="45:53" x14ac:dyDescent="0.2">
      <c r="AS221" s="1231"/>
      <c r="AT221" s="1231"/>
      <c r="AU221" s="1231"/>
      <c r="AZ221" s="1231"/>
      <c r="BA221" s="1231"/>
    </row>
    <row r="222" spans="45:53" x14ac:dyDescent="0.2">
      <c r="AS222" s="1231"/>
      <c r="AT222" s="1231"/>
      <c r="AU222" s="1231"/>
      <c r="AZ222" s="1231"/>
      <c r="BA222" s="1231"/>
    </row>
    <row r="223" spans="45:53" x14ac:dyDescent="0.2">
      <c r="AS223" s="1231"/>
      <c r="AT223" s="1231"/>
      <c r="AU223" s="1231"/>
      <c r="AZ223" s="1231"/>
      <c r="BA223" s="1231"/>
    </row>
    <row r="224" spans="45:53" x14ac:dyDescent="0.2">
      <c r="AS224" s="1231"/>
      <c r="AT224" s="1231"/>
      <c r="AU224" s="1231"/>
      <c r="AZ224" s="1231"/>
      <c r="BA224" s="1231"/>
    </row>
    <row r="225" spans="45:53" x14ac:dyDescent="0.2">
      <c r="AS225" s="1231"/>
      <c r="AT225" s="1231"/>
      <c r="AU225" s="1231"/>
      <c r="AZ225" s="1231"/>
      <c r="BA225" s="1231"/>
    </row>
    <row r="226" spans="45:53" x14ac:dyDescent="0.2">
      <c r="AS226" s="1231"/>
      <c r="AT226" s="1231"/>
      <c r="AU226" s="1231"/>
      <c r="AZ226" s="1231"/>
      <c r="BA226" s="1231"/>
    </row>
    <row r="227" spans="45:53" x14ac:dyDescent="0.2">
      <c r="AS227" s="1231"/>
      <c r="AT227" s="1231"/>
      <c r="AU227" s="1231"/>
      <c r="AZ227" s="1231"/>
      <c r="BA227" s="1231"/>
    </row>
    <row r="228" spans="45:53" x14ac:dyDescent="0.2">
      <c r="AS228" s="1231"/>
      <c r="AT228" s="1231"/>
      <c r="AU228" s="1231"/>
      <c r="AZ228" s="1231"/>
      <c r="BA228" s="1231"/>
    </row>
    <row r="229" spans="45:53" x14ac:dyDescent="0.2">
      <c r="AS229" s="1231"/>
      <c r="AT229" s="1231"/>
      <c r="AU229" s="1231"/>
      <c r="AZ229" s="1231"/>
      <c r="BA229" s="1231"/>
    </row>
    <row r="230" spans="45:53" x14ac:dyDescent="0.2">
      <c r="AS230" s="1231"/>
      <c r="AT230" s="1231"/>
      <c r="AU230" s="1231"/>
      <c r="AZ230" s="1231"/>
      <c r="BA230" s="1231"/>
    </row>
    <row r="231" spans="45:53" x14ac:dyDescent="0.2">
      <c r="AS231" s="1231"/>
      <c r="AT231" s="1231"/>
      <c r="AU231" s="1231"/>
      <c r="AZ231" s="1231"/>
      <c r="BA231" s="1231"/>
    </row>
    <row r="232" spans="45:53" x14ac:dyDescent="0.2">
      <c r="AS232" s="1231"/>
      <c r="AT232" s="1231"/>
      <c r="AU232" s="1231"/>
      <c r="AZ232" s="1231"/>
      <c r="BA232" s="1231"/>
    </row>
    <row r="233" spans="45:53" x14ac:dyDescent="0.2">
      <c r="AS233" s="1231"/>
      <c r="AT233" s="1231"/>
      <c r="AU233" s="1231"/>
      <c r="AZ233" s="1231"/>
      <c r="BA233" s="1231"/>
    </row>
    <row r="234" spans="45:53" x14ac:dyDescent="0.2">
      <c r="AS234" s="1231"/>
      <c r="AT234" s="1231"/>
      <c r="AU234" s="1231"/>
      <c r="AZ234" s="1231"/>
      <c r="BA234" s="1231"/>
    </row>
    <row r="235" spans="45:53" x14ac:dyDescent="0.2">
      <c r="AS235" s="1231"/>
      <c r="AT235" s="1231"/>
      <c r="AU235" s="1231"/>
      <c r="AZ235" s="1231"/>
      <c r="BA235" s="1231"/>
    </row>
    <row r="236" spans="45:53" x14ac:dyDescent="0.2">
      <c r="AS236" s="1231"/>
      <c r="AT236" s="1231"/>
      <c r="AU236" s="1231"/>
      <c r="AZ236" s="1231"/>
      <c r="BA236" s="1231"/>
    </row>
    <row r="237" spans="45:53" x14ac:dyDescent="0.2">
      <c r="AS237" s="1231"/>
      <c r="AT237" s="1231"/>
      <c r="AU237" s="1231"/>
      <c r="AZ237" s="1231"/>
      <c r="BA237" s="1231"/>
    </row>
    <row r="238" spans="45:53" x14ac:dyDescent="0.2">
      <c r="AS238" s="1231"/>
      <c r="AT238" s="1231"/>
      <c r="AU238" s="1231"/>
      <c r="AZ238" s="1231"/>
      <c r="BA238" s="1231"/>
    </row>
    <row r="239" spans="45:53" x14ac:dyDescent="0.2">
      <c r="AS239" s="1231"/>
      <c r="AT239" s="1231"/>
      <c r="AU239" s="1231"/>
      <c r="AZ239" s="1231"/>
      <c r="BA239" s="1231"/>
    </row>
    <row r="240" spans="45:53" x14ac:dyDescent="0.2">
      <c r="AS240" s="1231"/>
      <c r="AT240" s="1231"/>
      <c r="AU240" s="1231"/>
      <c r="AZ240" s="1231"/>
      <c r="BA240" s="1231"/>
    </row>
    <row r="241" spans="45:53" x14ac:dyDescent="0.2">
      <c r="AS241" s="1231"/>
      <c r="AT241" s="1231"/>
      <c r="AU241" s="1231"/>
      <c r="AZ241" s="1231"/>
      <c r="BA241" s="1231"/>
    </row>
    <row r="242" spans="45:53" x14ac:dyDescent="0.2">
      <c r="AS242" s="1231"/>
      <c r="AT242" s="1231"/>
      <c r="AU242" s="1231"/>
      <c r="AZ242" s="1231"/>
      <c r="BA242" s="1231"/>
    </row>
    <row r="243" spans="45:53" x14ac:dyDescent="0.2">
      <c r="AS243" s="1231"/>
      <c r="AT243" s="1231"/>
      <c r="AU243" s="1231"/>
      <c r="AZ243" s="1231"/>
      <c r="BA243" s="1231"/>
    </row>
    <row r="244" spans="45:53" x14ac:dyDescent="0.2">
      <c r="AS244" s="1231"/>
      <c r="AT244" s="1231"/>
      <c r="AU244" s="1231"/>
      <c r="AZ244" s="1231"/>
      <c r="BA244" s="1231"/>
    </row>
    <row r="245" spans="45:53" x14ac:dyDescent="0.2">
      <c r="AS245" s="1231"/>
      <c r="AT245" s="1231"/>
      <c r="AU245" s="1231"/>
      <c r="AZ245" s="1231"/>
      <c r="BA245" s="1231"/>
    </row>
    <row r="246" spans="45:53" x14ac:dyDescent="0.2">
      <c r="AS246" s="1239"/>
      <c r="AT246" s="1239"/>
      <c r="AU246" s="1239"/>
      <c r="AZ246" s="1231"/>
      <c r="BA246" s="1231"/>
    </row>
    <row r="247" spans="45:53" x14ac:dyDescent="0.2">
      <c r="AS247" s="1239"/>
      <c r="AT247" s="1239"/>
      <c r="AU247" s="1239"/>
    </row>
    <row r="248" spans="45:53" x14ac:dyDescent="0.2">
      <c r="AZ248" s="1239"/>
      <c r="BA248" s="1239"/>
    </row>
    <row r="249" spans="45:53" x14ac:dyDescent="0.2">
      <c r="AZ249" s="1239"/>
      <c r="BA249" s="1239"/>
    </row>
    <row r="250" spans="45:53" x14ac:dyDescent="0.2">
      <c r="AZ250" s="1239"/>
      <c r="BA250" s="1239"/>
    </row>
    <row r="251" spans="45:53" x14ac:dyDescent="0.2">
      <c r="AZ251" s="1239"/>
      <c r="BA251" s="1239"/>
    </row>
    <row r="252" spans="45:53" x14ac:dyDescent="0.2">
      <c r="AZ252" s="1239"/>
      <c r="BA252" s="1239"/>
    </row>
    <row r="253" spans="45:53" x14ac:dyDescent="0.2">
      <c r="AZ253" s="1239"/>
      <c r="BA253" s="1239"/>
    </row>
    <row r="254" spans="45:53" x14ac:dyDescent="0.2">
      <c r="AZ254" s="1239"/>
      <c r="BA254" s="1239"/>
    </row>
    <row r="255" spans="45:53" x14ac:dyDescent="0.2">
      <c r="AZ255" s="1239"/>
      <c r="BA255" s="1239"/>
    </row>
    <row r="256" spans="45:53" x14ac:dyDescent="0.2">
      <c r="AZ256" s="1249"/>
      <c r="BA256" s="1249"/>
    </row>
    <row r="257" spans="45:53" x14ac:dyDescent="0.2">
      <c r="AZ257" s="1255"/>
      <c r="BA257" s="1255"/>
    </row>
    <row r="258" spans="45:53" x14ac:dyDescent="0.2">
      <c r="AZ258" s="1255"/>
      <c r="BA258" s="1255"/>
    </row>
    <row r="259" spans="45:53" x14ac:dyDescent="0.2">
      <c r="AZ259" s="1239"/>
      <c r="BA259" s="1239"/>
    </row>
    <row r="260" spans="45:53" x14ac:dyDescent="0.2">
      <c r="AZ260" s="1239"/>
      <c r="BA260" s="1239"/>
    </row>
    <row r="272" spans="45:53" x14ac:dyDescent="0.2">
      <c r="AS272" s="1231"/>
      <c r="AT272" s="1231"/>
      <c r="AU272" s="1231"/>
    </row>
    <row r="273" spans="45:53" x14ac:dyDescent="0.2">
      <c r="AS273" s="1231"/>
      <c r="AT273" s="1231"/>
      <c r="AU273" s="1231"/>
    </row>
    <row r="274" spans="45:53" x14ac:dyDescent="0.2">
      <c r="AS274" s="1231"/>
      <c r="AT274" s="1231"/>
      <c r="AU274" s="1231"/>
    </row>
    <row r="275" spans="45:53" x14ac:dyDescent="0.2">
      <c r="AS275" s="1231"/>
      <c r="AT275" s="1231"/>
      <c r="AU275" s="1231"/>
    </row>
    <row r="276" spans="45:53" x14ac:dyDescent="0.2">
      <c r="AS276" s="1231"/>
      <c r="AT276" s="1231"/>
      <c r="AU276" s="1231"/>
    </row>
    <row r="277" spans="45:53" x14ac:dyDescent="0.2">
      <c r="AS277" s="1231"/>
      <c r="AT277" s="1231"/>
      <c r="AU277" s="1231"/>
    </row>
    <row r="278" spans="45:53" x14ac:dyDescent="0.2">
      <c r="AS278" s="1231"/>
      <c r="AT278" s="1231"/>
      <c r="AU278" s="1231"/>
    </row>
    <row r="279" spans="45:53" x14ac:dyDescent="0.2">
      <c r="AS279" s="1231"/>
      <c r="AT279" s="1231"/>
      <c r="AU279" s="1231"/>
    </row>
    <row r="280" spans="45:53" x14ac:dyDescent="0.2">
      <c r="AS280" s="1231"/>
      <c r="AT280" s="1231"/>
      <c r="AU280" s="1231"/>
    </row>
    <row r="281" spans="45:53" x14ac:dyDescent="0.2">
      <c r="AS281" s="1231"/>
      <c r="AT281" s="1231"/>
      <c r="AU281" s="1231"/>
    </row>
    <row r="282" spans="45:53" x14ac:dyDescent="0.2">
      <c r="AS282" s="1231"/>
      <c r="AT282" s="1231"/>
      <c r="AU282" s="1231"/>
    </row>
    <row r="283" spans="45:53" x14ac:dyDescent="0.2">
      <c r="AS283" s="1231"/>
      <c r="AT283" s="1231"/>
      <c r="AU283" s="1231"/>
    </row>
    <row r="284" spans="45:53" x14ac:dyDescent="0.2">
      <c r="AS284" s="1231"/>
      <c r="AT284" s="1231"/>
      <c r="AU284" s="1231"/>
    </row>
    <row r="285" spans="45:53" x14ac:dyDescent="0.2">
      <c r="AS285" s="1231"/>
      <c r="AT285" s="1231"/>
      <c r="AU285" s="1231"/>
    </row>
    <row r="286" spans="45:53" x14ac:dyDescent="0.2">
      <c r="AS286" s="1231"/>
      <c r="AT286" s="1231"/>
      <c r="AU286" s="1231"/>
      <c r="AZ286" s="1231"/>
      <c r="BA286" s="1231"/>
    </row>
    <row r="287" spans="45:53" x14ac:dyDescent="0.2">
      <c r="AS287" s="1231"/>
      <c r="AT287" s="1231"/>
      <c r="AU287" s="1231"/>
      <c r="AZ287" s="1231"/>
      <c r="BA287" s="1231"/>
    </row>
    <row r="288" spans="45:53" x14ac:dyDescent="0.2">
      <c r="AS288" s="1231"/>
      <c r="AT288" s="1231"/>
      <c r="AU288" s="1231"/>
      <c r="AZ288" s="1231"/>
      <c r="BA288" s="1231"/>
    </row>
    <row r="289" spans="45:53" x14ac:dyDescent="0.2">
      <c r="AS289" s="1231"/>
      <c r="AT289" s="1231"/>
      <c r="AU289" s="1231"/>
      <c r="AZ289" s="1231"/>
      <c r="BA289" s="1231"/>
    </row>
    <row r="290" spans="45:53" x14ac:dyDescent="0.2">
      <c r="AS290" s="1231"/>
      <c r="AT290" s="1231"/>
      <c r="AU290" s="1231"/>
      <c r="AZ290" s="1231"/>
      <c r="BA290" s="1231"/>
    </row>
    <row r="291" spans="45:53" x14ac:dyDescent="0.2">
      <c r="AS291" s="1231"/>
      <c r="AT291" s="1231"/>
      <c r="AU291" s="1231"/>
      <c r="AZ291" s="1231"/>
      <c r="BA291" s="1231"/>
    </row>
    <row r="292" spans="45:53" x14ac:dyDescent="0.2">
      <c r="AS292" s="1231"/>
      <c r="AT292" s="1231"/>
      <c r="AU292" s="1231"/>
      <c r="AZ292" s="1231"/>
      <c r="BA292" s="1231"/>
    </row>
    <row r="293" spans="45:53" x14ac:dyDescent="0.2">
      <c r="AS293" s="1231"/>
      <c r="AT293" s="1231"/>
      <c r="AU293" s="1231"/>
      <c r="AZ293" s="1231"/>
      <c r="BA293" s="1231"/>
    </row>
    <row r="294" spans="45:53" x14ac:dyDescent="0.2">
      <c r="AS294" s="1231"/>
      <c r="AT294" s="1231"/>
      <c r="AU294" s="1231"/>
      <c r="AZ294" s="1231"/>
      <c r="BA294" s="1231"/>
    </row>
    <row r="295" spans="45:53" x14ac:dyDescent="0.2">
      <c r="AS295" s="1231"/>
      <c r="AT295" s="1231"/>
      <c r="AU295" s="1231"/>
      <c r="AZ295" s="1231"/>
      <c r="BA295" s="1231"/>
    </row>
    <row r="296" spans="45:53" x14ac:dyDescent="0.2">
      <c r="AS296" s="1231"/>
      <c r="AT296" s="1231"/>
      <c r="AU296" s="1231"/>
      <c r="AZ296" s="1231"/>
      <c r="BA296" s="1231"/>
    </row>
    <row r="297" spans="45:53" x14ac:dyDescent="0.2">
      <c r="AS297" s="1231"/>
      <c r="AT297" s="1231"/>
      <c r="AU297" s="1231"/>
      <c r="AZ297" s="1231"/>
      <c r="BA297" s="1231"/>
    </row>
    <row r="298" spans="45:53" x14ac:dyDescent="0.2">
      <c r="AS298" s="1231"/>
      <c r="AT298" s="1231"/>
      <c r="AU298" s="1231"/>
      <c r="AZ298" s="1231"/>
      <c r="BA298" s="1231"/>
    </row>
    <row r="299" spans="45:53" x14ac:dyDescent="0.2">
      <c r="AS299" s="1231"/>
      <c r="AT299" s="1231"/>
      <c r="AU299" s="1231"/>
      <c r="AZ299" s="1231"/>
      <c r="BA299" s="1231"/>
    </row>
    <row r="300" spans="45:53" x14ac:dyDescent="0.2">
      <c r="AS300" s="1231"/>
      <c r="AT300" s="1231"/>
      <c r="AU300" s="1231"/>
      <c r="AZ300" s="1231"/>
      <c r="BA300" s="1231"/>
    </row>
    <row r="301" spans="45:53" x14ac:dyDescent="0.2">
      <c r="AS301" s="1231"/>
      <c r="AT301" s="1231"/>
      <c r="AU301" s="1231"/>
      <c r="AZ301" s="1231"/>
      <c r="BA301" s="1231"/>
    </row>
    <row r="302" spans="45:53" x14ac:dyDescent="0.2">
      <c r="AS302" s="1231"/>
      <c r="AT302" s="1231"/>
      <c r="AU302" s="1231"/>
      <c r="AZ302" s="1231"/>
      <c r="BA302" s="1231"/>
    </row>
    <row r="303" spans="45:53" x14ac:dyDescent="0.2">
      <c r="AS303" s="1231"/>
      <c r="AT303" s="1231"/>
      <c r="AU303" s="1231"/>
      <c r="AZ303" s="1231"/>
      <c r="BA303" s="1231"/>
    </row>
    <row r="304" spans="45:53" x14ac:dyDescent="0.2">
      <c r="AS304" s="1231"/>
      <c r="AT304" s="1231"/>
      <c r="AU304" s="1231"/>
      <c r="AZ304" s="1231"/>
      <c r="BA304" s="1231"/>
    </row>
    <row r="305" spans="45:53" x14ac:dyDescent="0.2">
      <c r="AS305" s="1231"/>
      <c r="AT305" s="1231"/>
      <c r="AU305" s="1231"/>
      <c r="AZ305" s="1231"/>
      <c r="BA305" s="1231"/>
    </row>
    <row r="306" spans="45:53" x14ac:dyDescent="0.2">
      <c r="AS306" s="1231"/>
      <c r="AT306" s="1231"/>
      <c r="AU306" s="1231"/>
      <c r="AZ306" s="1231"/>
      <c r="BA306" s="1231"/>
    </row>
    <row r="307" spans="45:53" x14ac:dyDescent="0.2">
      <c r="AS307" s="1231"/>
      <c r="AT307" s="1231"/>
      <c r="AU307" s="1231"/>
      <c r="AZ307" s="1231"/>
      <c r="BA307" s="1231"/>
    </row>
    <row r="308" spans="45:53" x14ac:dyDescent="0.2">
      <c r="AS308" s="1231"/>
      <c r="AT308" s="1231"/>
      <c r="AU308" s="1231"/>
      <c r="AZ308" s="1231"/>
      <c r="BA308" s="1231"/>
    </row>
    <row r="309" spans="45:53" x14ac:dyDescent="0.2">
      <c r="AS309" s="1231"/>
      <c r="AT309" s="1231"/>
      <c r="AU309" s="1231"/>
      <c r="AZ309" s="1231"/>
      <c r="BA309" s="1231"/>
    </row>
    <row r="310" spans="45:53" x14ac:dyDescent="0.2">
      <c r="AS310" s="1231"/>
      <c r="AT310" s="1231"/>
      <c r="AU310" s="1231"/>
      <c r="AZ310" s="1231"/>
      <c r="BA310" s="1231"/>
    </row>
    <row r="311" spans="45:53" x14ac:dyDescent="0.2">
      <c r="AS311" s="1231"/>
      <c r="AT311" s="1231"/>
      <c r="AU311" s="1231"/>
      <c r="AZ311" s="1231"/>
      <c r="BA311" s="1231"/>
    </row>
    <row r="312" spans="45:53" x14ac:dyDescent="0.2">
      <c r="AS312" s="1231"/>
      <c r="AT312" s="1231"/>
      <c r="AU312" s="1231"/>
      <c r="AZ312" s="1231"/>
      <c r="BA312" s="1231"/>
    </row>
    <row r="313" spans="45:53" x14ac:dyDescent="0.2">
      <c r="AS313" s="1231"/>
      <c r="AT313" s="1231"/>
      <c r="AU313" s="1231"/>
      <c r="AZ313" s="1231"/>
      <c r="BA313" s="1231"/>
    </row>
    <row r="314" spans="45:53" x14ac:dyDescent="0.2">
      <c r="AS314" s="1231"/>
      <c r="AT314" s="1231"/>
      <c r="AU314" s="1231"/>
      <c r="AZ314" s="1231"/>
      <c r="BA314" s="1231"/>
    </row>
    <row r="315" spans="45:53" x14ac:dyDescent="0.2">
      <c r="AS315" s="1231"/>
      <c r="AT315" s="1231"/>
      <c r="AU315" s="1231"/>
      <c r="AZ315" s="1231"/>
      <c r="BA315" s="1231"/>
    </row>
    <row r="316" spans="45:53" x14ac:dyDescent="0.2">
      <c r="AS316" s="1231"/>
      <c r="AT316" s="1231"/>
      <c r="AU316" s="1231"/>
      <c r="AZ316" s="1231"/>
      <c r="BA316" s="1231"/>
    </row>
    <row r="317" spans="45:53" x14ac:dyDescent="0.2">
      <c r="AS317" s="1231"/>
      <c r="AT317" s="1231"/>
      <c r="AU317" s="1231"/>
      <c r="AZ317" s="1231"/>
      <c r="BA317" s="1231"/>
    </row>
    <row r="318" spans="45:53" x14ac:dyDescent="0.2">
      <c r="AS318" s="1239"/>
      <c r="AT318" s="1239"/>
      <c r="AU318" s="1239"/>
      <c r="AZ318" s="1231"/>
      <c r="BA318" s="1231"/>
    </row>
    <row r="319" spans="45:53" x14ac:dyDescent="0.2">
      <c r="AS319" s="1239"/>
      <c r="AT319" s="1239"/>
      <c r="AU319" s="1239"/>
      <c r="AZ319" s="1231"/>
      <c r="BA319" s="1231"/>
    </row>
    <row r="320" spans="45:53" x14ac:dyDescent="0.2">
      <c r="AZ320" s="1231"/>
      <c r="BA320" s="1231"/>
    </row>
    <row r="321" spans="45:53" x14ac:dyDescent="0.2">
      <c r="AZ321" s="1231"/>
      <c r="BA321" s="1231"/>
    </row>
    <row r="322" spans="45:53" x14ac:dyDescent="0.2">
      <c r="AZ322" s="1231"/>
      <c r="BA322" s="1231"/>
    </row>
    <row r="323" spans="45:53" x14ac:dyDescent="0.2">
      <c r="AZ323" s="1231"/>
      <c r="BA323" s="1231"/>
    </row>
    <row r="324" spans="45:53" x14ac:dyDescent="0.2">
      <c r="AZ324" s="1231"/>
      <c r="BA324" s="1231"/>
    </row>
    <row r="325" spans="45:53" x14ac:dyDescent="0.2">
      <c r="AZ325" s="1231"/>
      <c r="BA325" s="1231"/>
    </row>
    <row r="326" spans="45:53" x14ac:dyDescent="0.2">
      <c r="AZ326" s="1231"/>
      <c r="BA326" s="1231"/>
    </row>
    <row r="327" spans="45:53" x14ac:dyDescent="0.2">
      <c r="AZ327" s="1231"/>
      <c r="BA327" s="1231"/>
    </row>
    <row r="328" spans="45:53" x14ac:dyDescent="0.2">
      <c r="AZ328" s="1231"/>
      <c r="BA328" s="1231"/>
    </row>
    <row r="329" spans="45:53" x14ac:dyDescent="0.2">
      <c r="AZ329" s="1231"/>
      <c r="BA329" s="1231"/>
    </row>
    <row r="330" spans="45:53" x14ac:dyDescent="0.2">
      <c r="AZ330" s="1231"/>
      <c r="BA330" s="1231"/>
    </row>
    <row r="331" spans="45:53" x14ac:dyDescent="0.2">
      <c r="AZ331" s="1231"/>
      <c r="BA331" s="1231"/>
    </row>
    <row r="333" spans="45:53" x14ac:dyDescent="0.2">
      <c r="AZ333" s="1239"/>
      <c r="BA333" s="1239"/>
    </row>
    <row r="334" spans="45:53" x14ac:dyDescent="0.2">
      <c r="AS334" s="1309"/>
      <c r="AT334" s="1309"/>
      <c r="AZ334" s="1239"/>
      <c r="BA334" s="1239"/>
    </row>
    <row r="335" spans="45:53" x14ac:dyDescent="0.2">
      <c r="AZ335" s="1239"/>
      <c r="BA335" s="1239"/>
    </row>
    <row r="336" spans="45:53" x14ac:dyDescent="0.2">
      <c r="AZ336" s="1239"/>
      <c r="BA336" s="1239"/>
    </row>
    <row r="337" spans="52:53" x14ac:dyDescent="0.2">
      <c r="AZ337" s="1239"/>
      <c r="BA337" s="1239"/>
    </row>
    <row r="338" spans="52:53" x14ac:dyDescent="0.2">
      <c r="AZ338" s="1239"/>
      <c r="BA338" s="1239"/>
    </row>
    <row r="339" spans="52:53" x14ac:dyDescent="0.2">
      <c r="AZ339" s="1239"/>
      <c r="BA339" s="1239"/>
    </row>
    <row r="340" spans="52:53" x14ac:dyDescent="0.2">
      <c r="AZ340" s="1239"/>
      <c r="BA340" s="1239"/>
    </row>
    <row r="341" spans="52:53" x14ac:dyDescent="0.2">
      <c r="AZ341" s="1249"/>
      <c r="BA341" s="1249"/>
    </row>
    <row r="342" spans="52:53" x14ac:dyDescent="0.2">
      <c r="AZ342" s="1255"/>
      <c r="BA342" s="1255"/>
    </row>
    <row r="343" spans="52:53" x14ac:dyDescent="0.2">
      <c r="AZ343" s="1255"/>
      <c r="BA343" s="1255"/>
    </row>
    <row r="344" spans="52:53" x14ac:dyDescent="0.2">
      <c r="AZ344" s="1239"/>
      <c r="BA344" s="1239"/>
    </row>
    <row r="345" spans="52:53" x14ac:dyDescent="0.2">
      <c r="AZ345" s="1239"/>
      <c r="BA345" s="1239"/>
    </row>
    <row r="370" spans="45:53" x14ac:dyDescent="0.2">
      <c r="AS370" s="1309"/>
      <c r="AT370" s="1309"/>
    </row>
    <row r="371" spans="45:53" x14ac:dyDescent="0.2">
      <c r="AZ371" s="1231"/>
      <c r="BA371" s="1231"/>
    </row>
    <row r="372" spans="45:53" x14ac:dyDescent="0.2">
      <c r="AZ372" s="1231"/>
      <c r="BA372" s="1231"/>
    </row>
    <row r="373" spans="45:53" x14ac:dyDescent="0.2">
      <c r="AZ373" s="1231"/>
      <c r="BA373" s="1231"/>
    </row>
    <row r="374" spans="45:53" x14ac:dyDescent="0.2">
      <c r="AZ374" s="1231"/>
      <c r="BA374" s="1231"/>
    </row>
    <row r="375" spans="45:53" x14ac:dyDescent="0.2">
      <c r="AZ375" s="1231"/>
      <c r="BA375" s="1231"/>
    </row>
    <row r="376" spans="45:53" x14ac:dyDescent="0.2">
      <c r="AZ376" s="1231"/>
      <c r="BA376" s="1231"/>
    </row>
    <row r="377" spans="45:53" x14ac:dyDescent="0.2">
      <c r="AZ377" s="1231"/>
      <c r="BA377" s="1231"/>
    </row>
    <row r="378" spans="45:53" x14ac:dyDescent="0.2">
      <c r="AZ378" s="1231"/>
      <c r="BA378" s="1231"/>
    </row>
    <row r="379" spans="45:53" x14ac:dyDescent="0.2">
      <c r="AZ379" s="1231"/>
      <c r="BA379" s="1231"/>
    </row>
    <row r="380" spans="45:53" x14ac:dyDescent="0.2">
      <c r="AZ380" s="1231"/>
      <c r="BA380" s="1231"/>
    </row>
    <row r="381" spans="45:53" x14ac:dyDescent="0.2">
      <c r="AZ381" s="1231"/>
      <c r="BA381" s="1231"/>
    </row>
    <row r="382" spans="45:53" x14ac:dyDescent="0.2">
      <c r="AZ382" s="1231"/>
      <c r="BA382" s="1231"/>
    </row>
    <row r="383" spans="45:53" x14ac:dyDescent="0.2">
      <c r="AZ383" s="1231"/>
      <c r="BA383" s="1231"/>
    </row>
    <row r="384" spans="45:53" x14ac:dyDescent="0.2">
      <c r="AZ384" s="1231"/>
      <c r="BA384" s="1231"/>
    </row>
    <row r="385" spans="52:53" x14ac:dyDescent="0.2">
      <c r="AZ385" s="1231"/>
      <c r="BA385" s="1231"/>
    </row>
    <row r="386" spans="52:53" x14ac:dyDescent="0.2">
      <c r="AZ386" s="1231"/>
      <c r="BA386" s="1231"/>
    </row>
    <row r="387" spans="52:53" x14ac:dyDescent="0.2">
      <c r="AZ387" s="1231"/>
      <c r="BA387" s="1231"/>
    </row>
    <row r="388" spans="52:53" x14ac:dyDescent="0.2">
      <c r="AZ388" s="1231"/>
      <c r="BA388" s="1231"/>
    </row>
    <row r="389" spans="52:53" x14ac:dyDescent="0.2">
      <c r="AZ389" s="1231"/>
      <c r="BA389" s="1231"/>
    </row>
    <row r="390" spans="52:53" x14ac:dyDescent="0.2">
      <c r="AZ390" s="1231"/>
      <c r="BA390" s="1231"/>
    </row>
    <row r="391" spans="52:53" x14ac:dyDescent="0.2">
      <c r="AZ391" s="1231"/>
      <c r="BA391" s="1231"/>
    </row>
    <row r="392" spans="52:53" x14ac:dyDescent="0.2">
      <c r="AZ392" s="1231"/>
      <c r="BA392" s="1231"/>
    </row>
    <row r="393" spans="52:53" x14ac:dyDescent="0.2">
      <c r="AZ393" s="1231"/>
      <c r="BA393" s="1231"/>
    </row>
    <row r="394" spans="52:53" x14ac:dyDescent="0.2">
      <c r="AZ394" s="1231"/>
      <c r="BA394" s="1231"/>
    </row>
    <row r="395" spans="52:53" x14ac:dyDescent="0.2">
      <c r="AZ395" s="1231"/>
      <c r="BA395" s="1231"/>
    </row>
    <row r="396" spans="52:53" x14ac:dyDescent="0.2">
      <c r="AZ396" s="1231"/>
      <c r="BA396" s="1231"/>
    </row>
    <row r="397" spans="52:53" x14ac:dyDescent="0.2">
      <c r="AZ397" s="1231"/>
      <c r="BA397" s="1231"/>
    </row>
    <row r="398" spans="52:53" x14ac:dyDescent="0.2">
      <c r="AZ398" s="1231"/>
      <c r="BA398" s="1231"/>
    </row>
    <row r="399" spans="52:53" x14ac:dyDescent="0.2">
      <c r="AZ399" s="1231"/>
      <c r="BA399" s="1231"/>
    </row>
    <row r="400" spans="52:53" x14ac:dyDescent="0.2">
      <c r="AZ400" s="1231"/>
      <c r="BA400" s="1231"/>
    </row>
    <row r="401" spans="52:53" x14ac:dyDescent="0.2">
      <c r="AZ401" s="1231"/>
      <c r="BA401" s="1231"/>
    </row>
    <row r="402" spans="52:53" x14ac:dyDescent="0.2">
      <c r="AZ402" s="1231"/>
      <c r="BA402" s="1231"/>
    </row>
    <row r="403" spans="52:53" x14ac:dyDescent="0.2">
      <c r="AZ403" s="1231"/>
      <c r="BA403" s="1231"/>
    </row>
    <row r="404" spans="52:53" x14ac:dyDescent="0.2">
      <c r="AZ404" s="1231"/>
      <c r="BA404" s="1231"/>
    </row>
    <row r="405" spans="52:53" x14ac:dyDescent="0.2">
      <c r="AZ405" s="1231"/>
      <c r="BA405" s="1231"/>
    </row>
    <row r="406" spans="52:53" x14ac:dyDescent="0.2">
      <c r="AZ406" s="1231"/>
      <c r="BA406" s="1231"/>
    </row>
    <row r="407" spans="52:53" x14ac:dyDescent="0.2">
      <c r="AZ407" s="1231"/>
      <c r="BA407" s="1231"/>
    </row>
    <row r="408" spans="52:53" x14ac:dyDescent="0.2">
      <c r="AZ408" s="1231"/>
      <c r="BA408" s="1231"/>
    </row>
    <row r="409" spans="52:53" x14ac:dyDescent="0.2">
      <c r="AZ409" s="1231"/>
      <c r="BA409" s="1231"/>
    </row>
    <row r="410" spans="52:53" x14ac:dyDescent="0.2">
      <c r="AZ410" s="1231"/>
      <c r="BA410" s="1231"/>
    </row>
    <row r="411" spans="52:53" x14ac:dyDescent="0.2">
      <c r="AZ411" s="1231"/>
      <c r="BA411" s="1231"/>
    </row>
    <row r="412" spans="52:53" x14ac:dyDescent="0.2">
      <c r="AZ412" s="1231"/>
      <c r="BA412" s="1231"/>
    </row>
    <row r="413" spans="52:53" x14ac:dyDescent="0.2">
      <c r="AZ413" s="1231"/>
      <c r="BA413" s="1231"/>
    </row>
    <row r="414" spans="52:53" x14ac:dyDescent="0.2">
      <c r="AZ414" s="1231"/>
      <c r="BA414" s="1231"/>
    </row>
    <row r="415" spans="52:53" x14ac:dyDescent="0.2">
      <c r="AZ415" s="1231"/>
      <c r="BA415" s="1231"/>
    </row>
    <row r="416" spans="52:53" x14ac:dyDescent="0.2">
      <c r="AZ416" s="1231"/>
      <c r="BA416" s="1231"/>
    </row>
    <row r="418" spans="52:53" x14ac:dyDescent="0.2">
      <c r="AZ418" s="1239"/>
      <c r="BA418" s="1239"/>
    </row>
    <row r="419" spans="52:53" x14ac:dyDescent="0.2">
      <c r="AZ419" s="1239"/>
      <c r="BA419" s="1239"/>
    </row>
    <row r="420" spans="52:53" x14ac:dyDescent="0.2">
      <c r="AZ420" s="1239"/>
      <c r="BA420" s="1239"/>
    </row>
    <row r="421" spans="52:53" x14ac:dyDescent="0.2">
      <c r="AZ421" s="1239"/>
      <c r="BA421" s="1239"/>
    </row>
    <row r="422" spans="52:53" x14ac:dyDescent="0.2">
      <c r="AZ422" s="1239"/>
      <c r="BA422" s="1239"/>
    </row>
    <row r="423" spans="52:53" x14ac:dyDescent="0.2">
      <c r="AZ423" s="1239"/>
      <c r="BA423" s="1239"/>
    </row>
    <row r="424" spans="52:53" x14ac:dyDescent="0.2">
      <c r="AZ424" s="1239"/>
      <c r="BA424" s="1239"/>
    </row>
    <row r="425" spans="52:53" x14ac:dyDescent="0.2">
      <c r="AZ425" s="1239"/>
      <c r="BA425" s="1239"/>
    </row>
    <row r="426" spans="52:53" x14ac:dyDescent="0.2">
      <c r="AZ426" s="1249"/>
      <c r="BA426" s="1249"/>
    </row>
    <row r="427" spans="52:53" x14ac:dyDescent="0.2">
      <c r="AZ427" s="1255"/>
      <c r="BA427" s="1255"/>
    </row>
    <row r="428" spans="52:53" x14ac:dyDescent="0.2">
      <c r="AZ428" s="1255"/>
      <c r="BA428" s="1255"/>
    </row>
    <row r="429" spans="52:53" x14ac:dyDescent="0.2">
      <c r="AZ429" s="1239"/>
      <c r="BA429" s="1239"/>
    </row>
    <row r="430" spans="52:53" x14ac:dyDescent="0.2">
      <c r="AZ430" s="1239"/>
      <c r="BA430" s="1239"/>
    </row>
  </sheetData>
  <sheetProtection formatCells="0" selectLockedCells="1"/>
  <mergeCells count="229">
    <mergeCell ref="K132:N132"/>
    <mergeCell ref="K137:N139"/>
    <mergeCell ref="A148:M148"/>
    <mergeCell ref="B129:D129"/>
    <mergeCell ref="E129:G129"/>
    <mergeCell ref="H129:J129"/>
    <mergeCell ref="K129:Q131"/>
    <mergeCell ref="B130:D130"/>
    <mergeCell ref="E130:G130"/>
    <mergeCell ref="H130:J130"/>
    <mergeCell ref="B131:D131"/>
    <mergeCell ref="E131:G131"/>
    <mergeCell ref="H131:J131"/>
    <mergeCell ref="B125:J125"/>
    <mergeCell ref="K125:Q125"/>
    <mergeCell ref="B126:J126"/>
    <mergeCell ref="K126:Q126"/>
    <mergeCell ref="B127:J127"/>
    <mergeCell ref="K127:Q127"/>
    <mergeCell ref="A119:E119"/>
    <mergeCell ref="A122:J122"/>
    <mergeCell ref="B123:J123"/>
    <mergeCell ref="K123:Q123"/>
    <mergeCell ref="B124:J124"/>
    <mergeCell ref="K124:Q124"/>
    <mergeCell ref="A116:D116"/>
    <mergeCell ref="F116:I116"/>
    <mergeCell ref="J116:M116"/>
    <mergeCell ref="A117:E117"/>
    <mergeCell ref="F117:M117"/>
    <mergeCell ref="A118:E118"/>
    <mergeCell ref="J112:P112"/>
    <mergeCell ref="A113:E113"/>
    <mergeCell ref="F113:I113"/>
    <mergeCell ref="J113:P113"/>
    <mergeCell ref="A114:E114"/>
    <mergeCell ref="J114:P114"/>
    <mergeCell ref="A108:E108"/>
    <mergeCell ref="F108:I108"/>
    <mergeCell ref="J108:M108"/>
    <mergeCell ref="A109:E109"/>
    <mergeCell ref="A110:E110"/>
    <mergeCell ref="F111:I111"/>
    <mergeCell ref="A100:K100"/>
    <mergeCell ref="A102:O102"/>
    <mergeCell ref="A104:E104"/>
    <mergeCell ref="A105:E105"/>
    <mergeCell ref="A107:D107"/>
    <mergeCell ref="F107:M107"/>
    <mergeCell ref="AF94:AK94"/>
    <mergeCell ref="AL94:AO94"/>
    <mergeCell ref="A96:AQ96"/>
    <mergeCell ref="A97:AR97"/>
    <mergeCell ref="A98:AQ98"/>
    <mergeCell ref="A99:AQ99"/>
    <mergeCell ref="V93:AA93"/>
    <mergeCell ref="AB93:AE93"/>
    <mergeCell ref="AF93:AK93"/>
    <mergeCell ref="AL93:AO93"/>
    <mergeCell ref="B94:G94"/>
    <mergeCell ref="H94:K94"/>
    <mergeCell ref="L94:Q94"/>
    <mergeCell ref="R94:U94"/>
    <mergeCell ref="V94:AA94"/>
    <mergeCell ref="AB94:AE94"/>
    <mergeCell ref="A91:AQ91"/>
    <mergeCell ref="A92:A93"/>
    <mergeCell ref="B92:K92"/>
    <mergeCell ref="L92:U92"/>
    <mergeCell ref="V92:AE92"/>
    <mergeCell ref="AF92:AO92"/>
    <mergeCell ref="B93:G93"/>
    <mergeCell ref="H93:K93"/>
    <mergeCell ref="L93:Q93"/>
    <mergeCell ref="R93:U93"/>
    <mergeCell ref="Z23:AB23"/>
    <mergeCell ref="AC23:AE23"/>
    <mergeCell ref="AG57:AK57"/>
    <mergeCell ref="A89:AL89"/>
    <mergeCell ref="AM89:AP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C8:AE9"/>
    <mergeCell ref="AF8:AF9"/>
    <mergeCell ref="AG8:AG9"/>
    <mergeCell ref="AH8:AI9"/>
    <mergeCell ref="AT8:AY9"/>
    <mergeCell ref="B9:D9"/>
    <mergeCell ref="E9:K9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1:AI1"/>
    <mergeCell ref="AT1:AV1"/>
    <mergeCell ref="AX1:AY1"/>
    <mergeCell ref="A2:I2"/>
    <mergeCell ref="J2:X2"/>
    <mergeCell ref="Y2:AC2"/>
    <mergeCell ref="AD2:AI2"/>
  </mergeCells>
  <conditionalFormatting sqref="A8">
    <cfRule type="expression" dxfId="3321" priority="35" stopIfTrue="1">
      <formula>IF(AK9&gt;0,0,1)</formula>
    </cfRule>
  </conditionalFormatting>
  <conditionalFormatting sqref="A10:A11">
    <cfRule type="expression" dxfId="3320" priority="36" stopIfTrue="1">
      <formula>IF(AK9&gt;1,0,1)</formula>
    </cfRule>
  </conditionalFormatting>
  <conditionalFormatting sqref="A12:A13">
    <cfRule type="expression" dxfId="3319" priority="37" stopIfTrue="1">
      <formula>IF(AK9&gt;2,0,1)</formula>
    </cfRule>
  </conditionalFormatting>
  <conditionalFormatting sqref="A14:A15">
    <cfRule type="expression" dxfId="3318" priority="38" stopIfTrue="1">
      <formula>IF(AK9&gt;3,0,1)</formula>
    </cfRule>
  </conditionalFormatting>
  <conditionalFormatting sqref="A16:A17">
    <cfRule type="expression" dxfId="3317" priority="39" stopIfTrue="1">
      <formula>IF(AK9&gt;4,0,1)</formula>
    </cfRule>
  </conditionalFormatting>
  <conditionalFormatting sqref="B8">
    <cfRule type="expression" dxfId="3316" priority="40" stopIfTrue="1">
      <formula>IF(AK9&gt;0,0,1)</formula>
    </cfRule>
  </conditionalFormatting>
  <conditionalFormatting sqref="B9">
    <cfRule type="expression" dxfId="3315" priority="41" stopIfTrue="1">
      <formula>IF(AK9&gt;0,0,1)</formula>
    </cfRule>
  </conditionalFormatting>
  <conditionalFormatting sqref="B10">
    <cfRule type="expression" dxfId="3314" priority="42" stopIfTrue="1">
      <formula>IF(AK9&gt;1,0,1)</formula>
    </cfRule>
  </conditionalFormatting>
  <conditionalFormatting sqref="B11:D11">
    <cfRule type="expression" dxfId="3313" priority="43" stopIfTrue="1">
      <formula>IF(AK9&gt;1,0,1)</formula>
    </cfRule>
  </conditionalFormatting>
  <conditionalFormatting sqref="B12:D12">
    <cfRule type="expression" dxfId="3312" priority="44" stopIfTrue="1">
      <formula>IF(AK9&gt;2,0,1)</formula>
    </cfRule>
  </conditionalFormatting>
  <conditionalFormatting sqref="B13:D13">
    <cfRule type="expression" dxfId="3311" priority="45" stopIfTrue="1">
      <formula>IF(AK9&gt;2,0,1)</formula>
    </cfRule>
  </conditionalFormatting>
  <conditionalFormatting sqref="B14:D14">
    <cfRule type="expression" dxfId="3310" priority="46" stopIfTrue="1">
      <formula>IF(AK9&gt;3,0,1)</formula>
    </cfRule>
  </conditionalFormatting>
  <conditionalFormatting sqref="B15:D15">
    <cfRule type="expression" dxfId="3309" priority="47" stopIfTrue="1">
      <formula>IF(AK9&gt;3,0,1)</formula>
    </cfRule>
  </conditionalFormatting>
  <conditionalFormatting sqref="B16:D16">
    <cfRule type="expression" dxfId="3308" priority="48" stopIfTrue="1">
      <formula>IF(AK9&gt;4,0,1)</formula>
    </cfRule>
  </conditionalFormatting>
  <conditionalFormatting sqref="B17:D17">
    <cfRule type="expression" dxfId="3307" priority="49" stopIfTrue="1">
      <formula>IF(AK9&gt;4,0,1)</formula>
    </cfRule>
  </conditionalFormatting>
  <conditionalFormatting sqref="E8">
    <cfRule type="expression" dxfId="3306" priority="50" stopIfTrue="1">
      <formula>IF(AK9&gt;0,0,1)</formula>
    </cfRule>
  </conditionalFormatting>
  <conditionalFormatting sqref="E9">
    <cfRule type="expression" dxfId="3305" priority="51" stopIfTrue="1">
      <formula>IF(AK9&gt;0,0,1)</formula>
    </cfRule>
  </conditionalFormatting>
  <conditionalFormatting sqref="E10">
    <cfRule type="expression" dxfId="3304" priority="52" stopIfTrue="1">
      <formula>IF(AK9&gt;1,0,1)</formula>
    </cfRule>
  </conditionalFormatting>
  <conditionalFormatting sqref="E11">
    <cfRule type="expression" dxfId="3303" priority="53" stopIfTrue="1">
      <formula>IF(AK9&gt;1,0,1)</formula>
    </cfRule>
  </conditionalFormatting>
  <conditionalFormatting sqref="E12">
    <cfRule type="expression" dxfId="3302" priority="54" stopIfTrue="1">
      <formula>IF(AK9&gt;2,0,1)</formula>
    </cfRule>
  </conditionalFormatting>
  <conditionalFormatting sqref="E13">
    <cfRule type="expression" dxfId="3301" priority="55" stopIfTrue="1">
      <formula>IF(AK9&gt;2,0,1)</formula>
    </cfRule>
  </conditionalFormatting>
  <conditionalFormatting sqref="E14">
    <cfRule type="expression" dxfId="3300" priority="56" stopIfTrue="1">
      <formula>IF(AK9&gt;3,0,1)</formula>
    </cfRule>
  </conditionalFormatting>
  <conditionalFormatting sqref="E15">
    <cfRule type="expression" dxfId="3299" priority="57" stopIfTrue="1">
      <formula>IF(AK9&gt;3,0,1)</formula>
    </cfRule>
  </conditionalFormatting>
  <conditionalFormatting sqref="E16">
    <cfRule type="expression" dxfId="3298" priority="58" stopIfTrue="1">
      <formula>IF(AK9&gt;4,0,1)</formula>
    </cfRule>
  </conditionalFormatting>
  <conditionalFormatting sqref="E17">
    <cfRule type="expression" dxfId="3297" priority="59" stopIfTrue="1">
      <formula>IF(AK9&gt;4,0,1)</formula>
    </cfRule>
  </conditionalFormatting>
  <conditionalFormatting sqref="AC8">
    <cfRule type="expression" dxfId="3296" priority="60" stopIfTrue="1">
      <formula>IF(AK11=1,IF(AK9&gt;0,0,1),1)</formula>
    </cfRule>
  </conditionalFormatting>
  <conditionalFormatting sqref="AC10:AE11">
    <cfRule type="expression" dxfId="3295" priority="61" stopIfTrue="1">
      <formula>IF(AK11=1,IF(AK9&gt;1,0,1),1)</formula>
    </cfRule>
  </conditionalFormatting>
  <conditionalFormatting sqref="AC12:AE13">
    <cfRule type="expression" dxfId="3294" priority="62" stopIfTrue="1">
      <formula>IF(AK11=1,IF(AK9&gt;2,0,1),1)</formula>
    </cfRule>
  </conditionalFormatting>
  <conditionalFormatting sqref="AC14:AE15">
    <cfRule type="expression" dxfId="3293" priority="63" stopIfTrue="1">
      <formula>IF(AK11=1,IF(AK9&gt;3,0,1),1)</formula>
    </cfRule>
  </conditionalFormatting>
  <conditionalFormatting sqref="AC16:AE17">
    <cfRule type="expression" dxfId="3292" priority="64" stopIfTrue="1">
      <formula>IF(AK11=1,IF(AK9&gt;4,0,1),1)</formula>
    </cfRule>
  </conditionalFormatting>
  <conditionalFormatting sqref="AH8">
    <cfRule type="expression" dxfId="3291" priority="65" stopIfTrue="1">
      <formula>IF(AK9&gt;0,0,1)</formula>
    </cfRule>
  </conditionalFormatting>
  <conditionalFormatting sqref="AH10:AI11">
    <cfRule type="expression" dxfId="3290" priority="66" stopIfTrue="1">
      <formula>IF(AK9&gt;1,0,1)</formula>
    </cfRule>
  </conditionalFormatting>
  <conditionalFormatting sqref="AH12:AI13">
    <cfRule type="expression" dxfId="3289" priority="67" stopIfTrue="1">
      <formula>IF(AK9&gt;2,0,1)</formula>
    </cfRule>
  </conditionalFormatting>
  <conditionalFormatting sqref="AH14:AI15">
    <cfRule type="expression" dxfId="3288" priority="68" stopIfTrue="1">
      <formula>IF(AK9&gt;3,0,1)</formula>
    </cfRule>
  </conditionalFormatting>
  <conditionalFormatting sqref="AH16:AI17">
    <cfRule type="expression" dxfId="3287" priority="69" stopIfTrue="1">
      <formula>IF(AK9&gt;4,0,1)</formula>
    </cfRule>
  </conditionalFormatting>
  <conditionalFormatting sqref="B19:D19">
    <cfRule type="expression" dxfId="3286" priority="70" stopIfTrue="1">
      <formula>IF(AK8&gt;0,0,1)</formula>
    </cfRule>
  </conditionalFormatting>
  <conditionalFormatting sqref="E19:G19">
    <cfRule type="expression" dxfId="3285" priority="71" stopIfTrue="1">
      <formula>IF(AK8&gt;1,0,1)</formula>
    </cfRule>
  </conditionalFormatting>
  <conditionalFormatting sqref="H19:J19">
    <cfRule type="expression" dxfId="3284" priority="72" stopIfTrue="1">
      <formula>IF(AK8&gt;2,0,1)</formula>
    </cfRule>
  </conditionalFormatting>
  <conditionalFormatting sqref="K19:M19">
    <cfRule type="expression" dxfId="3283" priority="73" stopIfTrue="1">
      <formula>IF(AK8&gt;3,0,1)</formula>
    </cfRule>
  </conditionalFormatting>
  <conditionalFormatting sqref="N19:P19">
    <cfRule type="expression" dxfId="3282" priority="74" stopIfTrue="1">
      <formula>IF(AK8&gt;4,0,1)</formula>
    </cfRule>
  </conditionalFormatting>
  <conditionalFormatting sqref="Q19:S19">
    <cfRule type="expression" dxfId="3281" priority="75" stopIfTrue="1">
      <formula>IF(AK8&gt;5,0,1)</formula>
    </cfRule>
  </conditionalFormatting>
  <conditionalFormatting sqref="T19:V19">
    <cfRule type="expression" dxfId="3280" priority="76" stopIfTrue="1">
      <formula>IF(AK8&gt;6,0,1)</formula>
    </cfRule>
  </conditionalFormatting>
  <conditionalFormatting sqref="W19:Y19">
    <cfRule type="expression" dxfId="3279" priority="77" stopIfTrue="1">
      <formula>IF(AK8&gt;7,0,1)</formula>
    </cfRule>
  </conditionalFormatting>
  <conditionalFormatting sqref="Z19:AB19">
    <cfRule type="expression" dxfId="3278" priority="78" stopIfTrue="1">
      <formula>IF(AK8&gt;8,0,1)</formula>
    </cfRule>
  </conditionalFormatting>
  <conditionalFormatting sqref="AC19:AE19">
    <cfRule type="expression" dxfId="3277" priority="79" stopIfTrue="1">
      <formula>IF(AK8&gt;9,0,1)</formula>
    </cfRule>
  </conditionalFormatting>
  <conditionalFormatting sqref="B20:D20">
    <cfRule type="expression" dxfId="3276" priority="80" stopIfTrue="1">
      <formula>IF(AK8&gt;0,0,1)</formula>
    </cfRule>
  </conditionalFormatting>
  <conditionalFormatting sqref="E20:G20">
    <cfRule type="expression" dxfId="3275" priority="81" stopIfTrue="1">
      <formula>IF(AK8&gt;1,0,1)</formula>
    </cfRule>
  </conditionalFormatting>
  <conditionalFormatting sqref="H20:J20">
    <cfRule type="expression" dxfId="3274" priority="82" stopIfTrue="1">
      <formula>IF(AK8&gt;2,0,1)</formula>
    </cfRule>
  </conditionalFormatting>
  <conditionalFormatting sqref="K20:M20">
    <cfRule type="expression" dxfId="3273" priority="83" stopIfTrue="1">
      <formula>IF(AK8&gt;3,0,1)</formula>
    </cfRule>
  </conditionalFormatting>
  <conditionalFormatting sqref="N20:P20">
    <cfRule type="expression" dxfId="3272" priority="84" stopIfTrue="1">
      <formula>IF(AK8&gt;4,0,1)</formula>
    </cfRule>
  </conditionalFormatting>
  <conditionalFormatting sqref="Q20:S20">
    <cfRule type="expression" dxfId="3271" priority="85" stopIfTrue="1">
      <formula>IF(AK8&gt;5,0,1)</formula>
    </cfRule>
  </conditionalFormatting>
  <conditionalFormatting sqref="T20:V20">
    <cfRule type="expression" dxfId="3270" priority="86" stopIfTrue="1">
      <formula>IF(AK8&gt;6,0,1)</formula>
    </cfRule>
  </conditionalFormatting>
  <conditionalFormatting sqref="W20:Y20">
    <cfRule type="expression" dxfId="3269" priority="87" stopIfTrue="1">
      <formula>IF(AK8&gt;7,0,1)</formula>
    </cfRule>
  </conditionalFormatting>
  <conditionalFormatting sqref="Z20:AB20">
    <cfRule type="expression" dxfId="3268" priority="88" stopIfTrue="1">
      <formula>IF(AK8&gt;8,0,1)</formula>
    </cfRule>
  </conditionalFormatting>
  <conditionalFormatting sqref="AC20:AE20">
    <cfRule type="expression" dxfId="3267" priority="89" stopIfTrue="1">
      <formula>IF(AK8&gt;9,0,1)</formula>
    </cfRule>
  </conditionalFormatting>
  <conditionalFormatting sqref="E22:G22">
    <cfRule type="expression" dxfId="3266" priority="90" stopIfTrue="1">
      <formula>IF(AK8&gt;1,0,1)</formula>
    </cfRule>
  </conditionalFormatting>
  <conditionalFormatting sqref="H22:J22">
    <cfRule type="expression" dxfId="3265" priority="91" stopIfTrue="1">
      <formula>IF(AK8&gt;2,0,1)</formula>
    </cfRule>
  </conditionalFormatting>
  <conditionalFormatting sqref="K22:M22">
    <cfRule type="expression" dxfId="3264" priority="92" stopIfTrue="1">
      <formula>IF(AK8&gt;3,0,1)</formula>
    </cfRule>
  </conditionalFormatting>
  <conditionalFormatting sqref="N22:P22">
    <cfRule type="expression" dxfId="3263" priority="93" stopIfTrue="1">
      <formula>IF(AK8&gt;4,0,1)</formula>
    </cfRule>
  </conditionalFormatting>
  <conditionalFormatting sqref="Q22:S22">
    <cfRule type="expression" dxfId="3262" priority="94" stopIfTrue="1">
      <formula>IF(AK8&gt;5,0,1)</formula>
    </cfRule>
  </conditionalFormatting>
  <conditionalFormatting sqref="T22:V22">
    <cfRule type="expression" dxfId="3261" priority="95" stopIfTrue="1">
      <formula>IF(AK8&gt;6,0,1)</formula>
    </cfRule>
  </conditionalFormatting>
  <conditionalFormatting sqref="W22:Y22">
    <cfRule type="expression" dxfId="3260" priority="96" stopIfTrue="1">
      <formula>IF(AK8&gt;7,0,1)</formula>
    </cfRule>
  </conditionalFormatting>
  <conditionalFormatting sqref="Z22:AB22">
    <cfRule type="expression" dxfId="3259" priority="97" stopIfTrue="1">
      <formula>IF(AK8&gt;8,0,1)</formula>
    </cfRule>
  </conditionalFormatting>
  <conditionalFormatting sqref="AC22:AE22">
    <cfRule type="expression" dxfId="3258" priority="98" stopIfTrue="1">
      <formula>IF(AK8&gt;9,0,1)</formula>
    </cfRule>
  </conditionalFormatting>
  <conditionalFormatting sqref="E23:G23">
    <cfRule type="expression" dxfId="3257" priority="99" stopIfTrue="1">
      <formula>IF(AK8&gt;1,0,1)</formula>
    </cfRule>
  </conditionalFormatting>
  <conditionalFormatting sqref="H23:J23">
    <cfRule type="expression" dxfId="3256" priority="100" stopIfTrue="1">
      <formula>IF(AK8&gt;2,0,1)</formula>
    </cfRule>
  </conditionalFormatting>
  <conditionalFormatting sqref="K23:M23">
    <cfRule type="expression" dxfId="3255" priority="101" stopIfTrue="1">
      <formula>IF(AK8&gt;3,0,1)</formula>
    </cfRule>
  </conditionalFormatting>
  <conditionalFormatting sqref="N23:P23">
    <cfRule type="expression" dxfId="3254" priority="102" stopIfTrue="1">
      <formula>IF(AK8&gt;4,0,1)</formula>
    </cfRule>
  </conditionalFormatting>
  <conditionalFormatting sqref="Q23:S23">
    <cfRule type="expression" dxfId="3253" priority="103" stopIfTrue="1">
      <formula>IF(AK8&gt;5,0,1)</formula>
    </cfRule>
  </conditionalFormatting>
  <conditionalFormatting sqref="T23:V23">
    <cfRule type="expression" dxfId="3252" priority="104" stopIfTrue="1">
      <formula>IF(AK8&gt;6,0,1)</formula>
    </cfRule>
  </conditionalFormatting>
  <conditionalFormatting sqref="W23:Y23">
    <cfRule type="expression" dxfId="3251" priority="105" stopIfTrue="1">
      <formula>IF(AK8&gt;7,0,1)</formula>
    </cfRule>
  </conditionalFormatting>
  <conditionalFormatting sqref="Z23:AB23">
    <cfRule type="expression" dxfId="3250" priority="106" stopIfTrue="1">
      <formula>IF(AK8&gt;8,0,1)</formula>
    </cfRule>
  </conditionalFormatting>
  <conditionalFormatting sqref="AC23:AE23">
    <cfRule type="expression" dxfId="3249" priority="107" stopIfTrue="1">
      <formula>IF(AK8&gt;9,0,1)</formula>
    </cfRule>
  </conditionalFormatting>
  <conditionalFormatting sqref="T24">
    <cfRule type="expression" dxfId="3248" priority="108" stopIfTrue="1">
      <formula>IF(AK8&gt;6,0,1)</formula>
    </cfRule>
  </conditionalFormatting>
  <conditionalFormatting sqref="U24">
    <cfRule type="expression" dxfId="3247" priority="109" stopIfTrue="1">
      <formula>IF(AK8&gt;6,0,1)</formula>
    </cfRule>
  </conditionalFormatting>
  <conditionalFormatting sqref="V24">
    <cfRule type="expression" dxfId="3246" priority="110" stopIfTrue="1">
      <formula>IF(AK8&gt;6,0,1)</formula>
    </cfRule>
  </conditionalFormatting>
  <conditionalFormatting sqref="W24">
    <cfRule type="expression" dxfId="3245" priority="111" stopIfTrue="1">
      <formula>IF(AK8&gt;7,0,1)</formula>
    </cfRule>
  </conditionalFormatting>
  <conditionalFormatting sqref="X24">
    <cfRule type="expression" dxfId="3244" priority="112" stopIfTrue="1">
      <formula>IF(AK8&gt;7,0,1)</formula>
    </cfRule>
  </conditionalFormatting>
  <conditionalFormatting sqref="Y24">
    <cfRule type="expression" dxfId="3243" priority="113" stopIfTrue="1">
      <formula>IF(AK8&gt;7,0,1)</formula>
    </cfRule>
  </conditionalFormatting>
  <conditionalFormatting sqref="Z24">
    <cfRule type="expression" dxfId="3242" priority="114" stopIfTrue="1">
      <formula>IF(AK8&gt;8,0,1)</formula>
    </cfRule>
  </conditionalFormatting>
  <conditionalFormatting sqref="AA24">
    <cfRule type="expression" dxfId="3241" priority="115" stopIfTrue="1">
      <formula>IF(AK8&gt;8,0,1)</formula>
    </cfRule>
  </conditionalFormatting>
  <conditionalFormatting sqref="AB24">
    <cfRule type="expression" dxfId="3240" priority="116" stopIfTrue="1">
      <formula>IF(AK8&gt;8,0,1)</formula>
    </cfRule>
  </conditionalFormatting>
  <conditionalFormatting sqref="AC24">
    <cfRule type="expression" dxfId="3239" priority="117" stopIfTrue="1">
      <formula>IF(AK8&gt;9,0,1)</formula>
    </cfRule>
  </conditionalFormatting>
  <conditionalFormatting sqref="AD24">
    <cfRule type="expression" dxfId="3238" priority="118" stopIfTrue="1">
      <formula>IF(AK8&gt;9,0,1)</formula>
    </cfRule>
  </conditionalFormatting>
  <conditionalFormatting sqref="AE24">
    <cfRule type="expression" dxfId="3237" priority="119" stopIfTrue="1">
      <formula>IF(AK8&gt;9,0,1)</formula>
    </cfRule>
  </conditionalFormatting>
  <conditionalFormatting sqref="A26">
    <cfRule type="expression" dxfId="3236" priority="120" stopIfTrue="1">
      <formula>IF(AK7&gt;1,0,1)</formula>
    </cfRule>
  </conditionalFormatting>
  <conditionalFormatting sqref="A27">
    <cfRule type="expression" dxfId="3235" priority="121" stopIfTrue="1">
      <formula>IF(AK7&gt;2,0,1)</formula>
    </cfRule>
  </conditionalFormatting>
  <conditionalFormatting sqref="A28">
    <cfRule type="expression" dxfId="3234" priority="122" stopIfTrue="1">
      <formula>IF(AK7&gt;3,0,1)</formula>
    </cfRule>
  </conditionalFormatting>
  <conditionalFormatting sqref="A29">
    <cfRule type="expression" dxfId="3233" priority="123" stopIfTrue="1">
      <formula>IF(AK7&gt;4,0,1)</formula>
    </cfRule>
  </conditionalFormatting>
  <conditionalFormatting sqref="B27:D27">
    <cfRule type="expression" dxfId="3232" priority="124" stopIfTrue="1">
      <formula>IF($AK8&lt;1,1,IF($AK7&lt;3,1,0))</formula>
    </cfRule>
  </conditionalFormatting>
  <conditionalFormatting sqref="B28:D28">
    <cfRule type="expression" dxfId="3231" priority="125" stopIfTrue="1">
      <formula>IF($AK8&lt;1,1,IF($AK7&lt;4,1,0))</formula>
    </cfRule>
  </conditionalFormatting>
  <conditionalFormatting sqref="B29:D29">
    <cfRule type="expression" dxfId="3230" priority="126" stopIfTrue="1">
      <formula>IF($AK8&lt;1,1,IF($AK7&lt;5,1,0))</formula>
    </cfRule>
  </conditionalFormatting>
  <conditionalFormatting sqref="AG23">
    <cfRule type="expression" dxfId="3229" priority="127" stopIfTrue="1">
      <formula>IF($AK8&lt;1,1,0)</formula>
    </cfRule>
  </conditionalFormatting>
  <conditionalFormatting sqref="AH23">
    <cfRule type="expression" dxfId="3228" priority="128" stopIfTrue="1">
      <formula>IF($AK8&lt;2,1,0)</formula>
    </cfRule>
  </conditionalFormatting>
  <conditionalFormatting sqref="AI23">
    <cfRule type="expression" dxfId="3227" priority="129" stopIfTrue="1">
      <formula>IF($AK8&lt;3,1,0)</formula>
    </cfRule>
  </conditionalFormatting>
  <conditionalFormatting sqref="AJ23">
    <cfRule type="expression" dxfId="3226" priority="130" stopIfTrue="1">
      <formula>IF($AK8&lt;4,1,0)</formula>
    </cfRule>
  </conditionalFormatting>
  <conditionalFormatting sqref="AK23">
    <cfRule type="expression" dxfId="3225" priority="131" stopIfTrue="1">
      <formula>IF($AK8&lt;5,1,0)</formula>
    </cfRule>
  </conditionalFormatting>
  <conditionalFormatting sqref="AL23">
    <cfRule type="expression" dxfId="3224" priority="132" stopIfTrue="1">
      <formula>IF($AK8&lt;6,1,0)</formula>
    </cfRule>
  </conditionalFormatting>
  <conditionalFormatting sqref="AM23">
    <cfRule type="expression" dxfId="3223" priority="133" stopIfTrue="1">
      <formula>IF($AK8&lt;7,1,0)</formula>
    </cfRule>
  </conditionalFormatting>
  <conditionalFormatting sqref="AN23">
    <cfRule type="expression" dxfId="3222" priority="134" stopIfTrue="1">
      <formula>IF($AK8&lt;8,1,0)</formula>
    </cfRule>
  </conditionalFormatting>
  <conditionalFormatting sqref="AO23">
    <cfRule type="expression" dxfId="3221" priority="135" stopIfTrue="1">
      <formula>IF($AK8&lt;9,1,0)</formula>
    </cfRule>
  </conditionalFormatting>
  <conditionalFormatting sqref="AP23">
    <cfRule type="expression" dxfId="3220" priority="136" stopIfTrue="1">
      <formula>IF($AK8&lt;10,1,0)</formula>
    </cfRule>
  </conditionalFormatting>
  <conditionalFormatting sqref="AQ24">
    <cfRule type="expression" dxfId="3219" priority="137" stopIfTrue="1">
      <formula>IF($AK9&gt;0,0,1)</formula>
    </cfRule>
  </conditionalFormatting>
  <conditionalFormatting sqref="AQ25">
    <cfRule type="expression" dxfId="3218" priority="138" stopIfTrue="1">
      <formula>IF($AK9&gt;1,0,1)</formula>
    </cfRule>
  </conditionalFormatting>
  <conditionalFormatting sqref="AQ26">
    <cfRule type="expression" dxfId="3217" priority="139" stopIfTrue="1">
      <formula>IF($AK9&gt;2,0,1)</formula>
    </cfRule>
  </conditionalFormatting>
  <conditionalFormatting sqref="AQ27">
    <cfRule type="expression" dxfId="3216" priority="140" stopIfTrue="1">
      <formula>IF($AK9&gt;3,0,1)</formula>
    </cfRule>
  </conditionalFormatting>
  <conditionalFormatting sqref="AQ28">
    <cfRule type="expression" dxfId="3215" priority="141" stopIfTrue="1">
      <formula>IF($AK9&gt;4,0,1)</formula>
    </cfRule>
  </conditionalFormatting>
  <conditionalFormatting sqref="E27:G27">
    <cfRule type="expression" dxfId="3214" priority="142" stopIfTrue="1">
      <formula>IF($AK8&lt;2,1,IF($AK7&lt;3,1,0))</formula>
    </cfRule>
  </conditionalFormatting>
  <conditionalFormatting sqref="E28:G28">
    <cfRule type="expression" dxfId="3213" priority="143" stopIfTrue="1">
      <formula>IF($AK8&lt;2,1,IF($AK7&lt;4,1,0))</formula>
    </cfRule>
  </conditionalFormatting>
  <conditionalFormatting sqref="E29:G29">
    <cfRule type="expression" dxfId="3212" priority="144" stopIfTrue="1">
      <formula>IF($AK8&lt;2,1,IF($AK7&lt;5,1,0))</formula>
    </cfRule>
  </conditionalFormatting>
  <conditionalFormatting sqref="T25:V25">
    <cfRule type="expression" dxfId="3211" priority="145" stopIfTrue="1">
      <formula>IF($AK8&gt;6,0,1)</formula>
    </cfRule>
  </conditionalFormatting>
  <conditionalFormatting sqref="W25:Y25">
    <cfRule type="expression" dxfId="3210" priority="146" stopIfTrue="1">
      <formula>IF($AK8&gt;7,0,1)</formula>
    </cfRule>
  </conditionalFormatting>
  <conditionalFormatting sqref="Z25:AB25">
    <cfRule type="expression" dxfId="3209" priority="147" stopIfTrue="1">
      <formula>IF($AK8&gt;8,0,1)</formula>
    </cfRule>
  </conditionalFormatting>
  <conditionalFormatting sqref="AC25:AE25">
    <cfRule type="expression" dxfId="3208" priority="148" stopIfTrue="1">
      <formula>IF($AK8&gt;9,0,1)</formula>
    </cfRule>
  </conditionalFormatting>
  <conditionalFormatting sqref="T26:V26">
    <cfRule type="expression" dxfId="3207" priority="149" stopIfTrue="1">
      <formula>IF($AK8&lt;7,1,IF($AK7&lt;2,1,0))</formula>
    </cfRule>
  </conditionalFormatting>
  <conditionalFormatting sqref="W26:Y26">
    <cfRule type="expression" dxfId="3206" priority="150" stopIfTrue="1">
      <formula>IF($AK8&lt;8,1,IF($AK7&lt;2,1,0))</formula>
    </cfRule>
  </conditionalFormatting>
  <conditionalFormatting sqref="Z26:AB26">
    <cfRule type="expression" dxfId="3205" priority="151" stopIfTrue="1">
      <formula>IF($AK8&lt;9,1,IF($AK7&lt;2,1,0))</formula>
    </cfRule>
  </conditionalFormatting>
  <conditionalFormatting sqref="AC26:AE26">
    <cfRule type="expression" dxfId="3204" priority="152" stopIfTrue="1">
      <formula>IF($AK8&lt;10,1,IF($AK7&lt;2,1,0))</formula>
    </cfRule>
  </conditionalFormatting>
  <conditionalFormatting sqref="H27:J27">
    <cfRule type="expression" dxfId="3203" priority="153" stopIfTrue="1">
      <formula>IF($AK8&lt;3,1,IF($AK7&lt;3,1,0))</formula>
    </cfRule>
  </conditionalFormatting>
  <conditionalFormatting sqref="K27:M27">
    <cfRule type="expression" dxfId="3202" priority="154" stopIfTrue="1">
      <formula>IF($AK8&lt;4,1,IF($AK7&lt;3,1,0))</formula>
    </cfRule>
  </conditionalFormatting>
  <conditionalFormatting sqref="N27:P27">
    <cfRule type="expression" dxfId="3201" priority="155" stopIfTrue="1">
      <formula>IF($AK8&lt;5,1,IF($AK7&lt;3,1,0))</formula>
    </cfRule>
  </conditionalFormatting>
  <conditionalFormatting sqref="Q27:S27">
    <cfRule type="expression" dxfId="3200" priority="156" stopIfTrue="1">
      <formula>IF($AK8&lt;6,1,IF($AK7&lt;3,1,0))</formula>
    </cfRule>
  </conditionalFormatting>
  <conditionalFormatting sqref="T27:V27">
    <cfRule type="expression" dxfId="3199" priority="157" stopIfTrue="1">
      <formula>IF($AK8&lt;7,1,IF($AK7&lt;3,1,0))</formula>
    </cfRule>
  </conditionalFormatting>
  <conditionalFormatting sqref="W27:Y27">
    <cfRule type="expression" dxfId="3198" priority="158" stopIfTrue="1">
      <formula>IF($AK8&lt;8,1,IF($AK7&lt;3,1,0))</formula>
    </cfRule>
  </conditionalFormatting>
  <conditionalFormatting sqref="Z27:AB27">
    <cfRule type="expression" dxfId="3197" priority="159" stopIfTrue="1">
      <formula>IF($AK8&lt;9,1,IF($AK7&lt;3,1,0))</formula>
    </cfRule>
  </conditionalFormatting>
  <conditionalFormatting sqref="AC27:AE27">
    <cfRule type="expression" dxfId="3196" priority="160" stopIfTrue="1">
      <formula>IF($AK8&lt;10,1,IF($AK7&lt;3,1,0))</formula>
    </cfRule>
  </conditionalFormatting>
  <conditionalFormatting sqref="H28:J28">
    <cfRule type="expression" dxfId="3195" priority="161" stopIfTrue="1">
      <formula>IF($AK8&lt;3,1,IF($AK7&lt;4,1,0))</formula>
    </cfRule>
  </conditionalFormatting>
  <conditionalFormatting sqref="K28:M28">
    <cfRule type="expression" dxfId="3194" priority="162" stopIfTrue="1">
      <formula>IF($AK8&lt;4,1,IF($AK7&lt;4,1,0))</formula>
    </cfRule>
  </conditionalFormatting>
  <conditionalFormatting sqref="N28:P28">
    <cfRule type="expression" dxfId="3193" priority="163" stopIfTrue="1">
      <formula>IF($AK8&lt;5,1,IF($AK7&lt;4,1,0))</formula>
    </cfRule>
  </conditionalFormatting>
  <conditionalFormatting sqref="Q28:S28">
    <cfRule type="expression" dxfId="3192" priority="164" stopIfTrue="1">
      <formula>IF($AK8&lt;6,1,IF($AK7&lt;4,1,0))</formula>
    </cfRule>
  </conditionalFormatting>
  <conditionalFormatting sqref="T28:V28">
    <cfRule type="expression" dxfId="3191" priority="165" stopIfTrue="1">
      <formula>IF($AK8&lt;7,1,IF($AK7&lt;4,1,0))</formula>
    </cfRule>
  </conditionalFormatting>
  <conditionalFormatting sqref="W28:Y28">
    <cfRule type="expression" dxfId="3190" priority="166" stopIfTrue="1">
      <formula>IF($AK8&lt;8,1,IF($AK7&lt;4,1,0))</formula>
    </cfRule>
  </conditionalFormatting>
  <conditionalFormatting sqref="Z28:AB28">
    <cfRule type="expression" dxfId="3189" priority="167" stopIfTrue="1">
      <formula>IF($AK8&lt;9,1,IF($AK7&lt;4,1,0))</formula>
    </cfRule>
  </conditionalFormatting>
  <conditionalFormatting sqref="AC28:AE28">
    <cfRule type="expression" dxfId="3188" priority="168" stopIfTrue="1">
      <formula>IF($AK8&lt;10,1,IF($AK7&lt;4,1,0))</formula>
    </cfRule>
  </conditionalFormatting>
  <conditionalFormatting sqref="H29:J29">
    <cfRule type="expression" dxfId="3187" priority="169" stopIfTrue="1">
      <formula>IF($AK8&lt;3,1,IF($AK7&lt;5,1,0))</formula>
    </cfRule>
  </conditionalFormatting>
  <conditionalFormatting sqref="K29:M29">
    <cfRule type="expression" dxfId="3186" priority="170" stopIfTrue="1">
      <formula>IF($AK8&lt;4,1,IF($AK7&lt;5,1,0))</formula>
    </cfRule>
  </conditionalFormatting>
  <conditionalFormatting sqref="N29:P29">
    <cfRule type="expression" dxfId="3185" priority="171" stopIfTrue="1">
      <formula>IF($AK8&lt;5,1,IF($AK7&lt;5,1,0))</formula>
    </cfRule>
  </conditionalFormatting>
  <conditionalFormatting sqref="Q29:S29">
    <cfRule type="expression" dxfId="3184" priority="172" stopIfTrue="1">
      <formula>IF($AK8&lt;6,1,IF($AK7&lt;5,1,0))</formula>
    </cfRule>
  </conditionalFormatting>
  <conditionalFormatting sqref="T29:V29">
    <cfRule type="expression" dxfId="3183" priority="173" stopIfTrue="1">
      <formula>IF($AK8&lt;7,1,IF($AK7&lt;5,1,0))</formula>
    </cfRule>
  </conditionalFormatting>
  <conditionalFormatting sqref="W29:Y29">
    <cfRule type="expression" dxfId="3182" priority="174" stopIfTrue="1">
      <formula>IF($AK8&lt;8,1,IF($AK7&lt;5,1,0))</formula>
    </cfRule>
  </conditionalFormatting>
  <conditionalFormatting sqref="Z29:AB29">
    <cfRule type="expression" dxfId="3181" priority="175" stopIfTrue="1">
      <formula>IF($AK8&lt;9,1,IF($AK7&lt;5,1,0))</formula>
    </cfRule>
  </conditionalFormatting>
  <conditionalFormatting sqref="AC29:AE29">
    <cfRule type="expression" dxfId="3180" priority="176" stopIfTrue="1">
      <formula>IF($AK8&lt;10,1,IF($AK7&lt;5,1,0))</formula>
    </cfRule>
  </conditionalFormatting>
  <conditionalFormatting sqref="R14:AB15 AF14:AF15 L14:P15 AG14">
    <cfRule type="expression" dxfId="3179" priority="177" stopIfTrue="1">
      <formula>IF($AK9&gt;3,0,1)</formula>
    </cfRule>
  </conditionalFormatting>
  <conditionalFormatting sqref="R16:AB17 AF16:AF17 L16:P17 AG16">
    <cfRule type="expression" dxfId="3178" priority="178" stopIfTrue="1">
      <formula>IF($AK9&gt;4,0,1)</formula>
    </cfRule>
  </conditionalFormatting>
  <conditionalFormatting sqref="R8:AB9 AF8:AF9 L8:P9 AG8">
    <cfRule type="expression" dxfId="3177" priority="179" stopIfTrue="1">
      <formula>IF($AK9&gt;0,0,1)</formula>
    </cfRule>
  </conditionalFormatting>
  <conditionalFormatting sqref="R10:AB11 AF10:AF11 L10:P11 AG10">
    <cfRule type="expression" dxfId="3176" priority="180" stopIfTrue="1">
      <formula>IF($AK9&gt;1,0,1)</formula>
    </cfRule>
  </conditionalFormatting>
  <conditionalFormatting sqref="R12:AB13 AF12:AF13 L12:P13 AG12">
    <cfRule type="expression" dxfId="3175" priority="181" stopIfTrue="1">
      <formula>IF($AK9&gt;2,0,1)</formula>
    </cfRule>
  </conditionalFormatting>
  <conditionalFormatting sqref="B21:D21">
    <cfRule type="expression" dxfId="3174" priority="182" stopIfTrue="1">
      <formula>IF(AK8&gt;0,0,1)</formula>
    </cfRule>
  </conditionalFormatting>
  <conditionalFormatting sqref="E21:G21">
    <cfRule type="expression" dxfId="3173" priority="183" stopIfTrue="1">
      <formula>IF(AK8&gt;1,0,1)</formula>
    </cfRule>
  </conditionalFormatting>
  <conditionalFormatting sqref="H21:J21">
    <cfRule type="expression" dxfId="3172" priority="184" stopIfTrue="1">
      <formula>IF(AK8&gt;2,0,1)</formula>
    </cfRule>
  </conditionalFormatting>
  <conditionalFormatting sqref="K21:M21">
    <cfRule type="expression" dxfId="3171" priority="185" stopIfTrue="1">
      <formula>IF(AK8&gt;3,0,1)</formula>
    </cfRule>
  </conditionalFormatting>
  <conditionalFormatting sqref="N21:P21">
    <cfRule type="expression" dxfId="3170" priority="186" stopIfTrue="1">
      <formula>IF(AK8&gt;4,0,1)</formula>
    </cfRule>
  </conditionalFormatting>
  <conditionalFormatting sqref="Q21:S21">
    <cfRule type="expression" dxfId="3169" priority="187" stopIfTrue="1">
      <formula>IF(AK8&gt;5,0,1)</formula>
    </cfRule>
  </conditionalFormatting>
  <conditionalFormatting sqref="T21:V21">
    <cfRule type="expression" dxfId="3168" priority="188" stopIfTrue="1">
      <formula>IF(AK8&gt;6,0,1)</formula>
    </cfRule>
  </conditionalFormatting>
  <conditionalFormatting sqref="W21:Y21">
    <cfRule type="expression" dxfId="3167" priority="189" stopIfTrue="1">
      <formula>IF(AK8&gt;7,0,1)</formula>
    </cfRule>
  </conditionalFormatting>
  <conditionalFormatting sqref="Z21:AB21">
    <cfRule type="expression" dxfId="3166" priority="190" stopIfTrue="1">
      <formula>IF(AK8&gt;8,0,1)</formula>
    </cfRule>
  </conditionalFormatting>
  <conditionalFormatting sqref="AC21:AE21">
    <cfRule type="expression" dxfId="3165" priority="191" stopIfTrue="1">
      <formula>IF(AK8&gt;9,0,1)</formula>
    </cfRule>
  </conditionalFormatting>
  <conditionalFormatting sqref="X138:X139 W129:W130 X129:Y129 W132:Y137 Z133:AE136 AA137:AA139 I137:I139 F137:F139 B129:B130 C129:D129 B132:D137 C138:C139 E133:J136 AD137:AD139">
    <cfRule type="expression" dxfId="3164" priority="192" stopIfTrue="1">
      <formula>IF(#REF!&gt;0,0,1)</formula>
    </cfRule>
  </conditionalFormatting>
  <conditionalFormatting sqref="AA129:AB129 AB137 AA132:AB132 Z137 Z129:Z132 F129:G129 G137 F132:G132 E137 E129:E132 T140:AE147">
    <cfRule type="expression" dxfId="3163" priority="193" stopIfTrue="1">
      <formula>IF(#REF!&gt;1,0,1)</formula>
    </cfRule>
  </conditionalFormatting>
  <conditionalFormatting sqref="AC129:AC132 AD129:AE129 AE137 AD132:AE132 AC137 H137 H129:H132 I129:J129 I132:J132 J137">
    <cfRule type="expression" dxfId="3162" priority="194" stopIfTrue="1">
      <formula>IF(#REF!&gt;2,0,1)</formula>
    </cfRule>
  </conditionalFormatting>
  <conditionalFormatting sqref="W138 Y138 B138 D138">
    <cfRule type="expression" dxfId="3161" priority="195" stopIfTrue="1">
      <formula>IF(#REF!&lt;1,1,IF(#REF!&lt;2,1,0))</formula>
    </cfRule>
  </conditionalFormatting>
  <conditionalFormatting sqref="Z138 AB138 E138 G138">
    <cfRule type="expression" dxfId="3160" priority="196" stopIfTrue="1">
      <formula>IF(#REF!&lt;2,1,IF(#REF!&lt;2,1,0))</formula>
    </cfRule>
  </conditionalFormatting>
  <conditionalFormatting sqref="AC138 AE138 H138 J138">
    <cfRule type="expression" dxfId="3159" priority="197" stopIfTrue="1">
      <formula>IF(#REF!&lt;3,1,IF(#REF!&lt;2,1,0))</formula>
    </cfRule>
  </conditionalFormatting>
  <conditionalFormatting sqref="Y139 B139 D139 W139">
    <cfRule type="expression" dxfId="3158" priority="198" stopIfTrue="1">
      <formula>IF(#REF!&lt;1,1,IF(#REF!&lt;3,1,0))</formula>
    </cfRule>
  </conditionalFormatting>
  <conditionalFormatting sqref="AB139 E139 G139 Z139">
    <cfRule type="expression" dxfId="3157" priority="199" stopIfTrue="1">
      <formula>IF(#REF!&lt;2,1,IF(#REF!&lt;3,1,0))</formula>
    </cfRule>
  </conditionalFormatting>
  <conditionalFormatting sqref="AE139 H139 J139 AC139">
    <cfRule type="expression" dxfId="3156" priority="200" stopIfTrue="1">
      <formula>IF(#REF!&lt;3,1,IF(#REF!&lt;3,1,0))</formula>
    </cfRule>
  </conditionalFormatting>
  <conditionalFormatting sqref="AG24:AP28">
    <cfRule type="cellIs" dxfId="3155" priority="201" stopIfTrue="1" operator="notBetween">
      <formula>-9999</formula>
      <formula>9999</formula>
    </cfRule>
  </conditionalFormatting>
  <conditionalFormatting sqref="AC7">
    <cfRule type="expression" dxfId="3154" priority="202" stopIfTrue="1">
      <formula>IF($AK$11=0,1,0)</formula>
    </cfRule>
  </conditionalFormatting>
  <conditionalFormatting sqref="B18">
    <cfRule type="expression" dxfId="3153" priority="203" stopIfTrue="1">
      <formula>IF($AK$9&gt;0,0,1)</formula>
    </cfRule>
  </conditionalFormatting>
  <conditionalFormatting sqref="B22:D23">
    <cfRule type="cellIs" dxfId="3152" priority="204" stopIfTrue="1" operator="equal">
      <formula>99</formula>
    </cfRule>
  </conditionalFormatting>
  <conditionalFormatting sqref="C140 F140">
    <cfRule type="expression" dxfId="3151" priority="205" stopIfTrue="1">
      <formula>IF(#REF!&gt;0,0,1)</formula>
    </cfRule>
  </conditionalFormatting>
  <conditionalFormatting sqref="K129">
    <cfRule type="expression" dxfId="3150" priority="34" stopIfTrue="1">
      <formula>IF(#REF!&gt;2,0,1)</formula>
    </cfRule>
  </conditionalFormatting>
  <conditionalFormatting sqref="K129">
    <cfRule type="expression" dxfId="3149" priority="33" stopIfTrue="1">
      <formula>IF(#REF!&gt;2,0,1)</formula>
    </cfRule>
  </conditionalFormatting>
  <conditionalFormatting sqref="K129">
    <cfRule type="expression" dxfId="3148" priority="32" stopIfTrue="1">
      <formula>IF(#REF!&gt;2,0,1)</formula>
    </cfRule>
  </conditionalFormatting>
  <conditionalFormatting sqref="K129">
    <cfRule type="expression" dxfId="3147" priority="31" stopIfTrue="1">
      <formula>IF(ISNUMBER(K137),0,1)</formula>
    </cfRule>
  </conditionalFormatting>
  <conditionalFormatting sqref="B24">
    <cfRule type="expression" dxfId="3146" priority="1" stopIfTrue="1">
      <formula>IF(AK8&gt;0,0,1)</formula>
    </cfRule>
  </conditionalFormatting>
  <conditionalFormatting sqref="C24">
    <cfRule type="expression" dxfId="3145" priority="2" stopIfTrue="1">
      <formula>IF(AK8&gt;0,0,1)</formula>
    </cfRule>
  </conditionalFormatting>
  <conditionalFormatting sqref="D24">
    <cfRule type="expression" dxfId="3144" priority="3" stopIfTrue="1">
      <formula>IF(AK8&gt;0,0,1)</formula>
    </cfRule>
  </conditionalFormatting>
  <conditionalFormatting sqref="E24">
    <cfRule type="expression" dxfId="3143" priority="4" stopIfTrue="1">
      <formula>IF(AK8&gt;1,0,1)</formula>
    </cfRule>
  </conditionalFormatting>
  <conditionalFormatting sqref="F24">
    <cfRule type="expression" dxfId="3142" priority="5" stopIfTrue="1">
      <formula>IF(AK8&gt;1,0,1)</formula>
    </cfRule>
  </conditionalFormatting>
  <conditionalFormatting sqref="G24">
    <cfRule type="expression" dxfId="3141" priority="6" stopIfTrue="1">
      <formula>IF(AK8&gt;1,0,1)</formula>
    </cfRule>
  </conditionalFormatting>
  <conditionalFormatting sqref="H24">
    <cfRule type="expression" dxfId="3140" priority="7" stopIfTrue="1">
      <formula>IF(AK8&gt;2,0,1)</formula>
    </cfRule>
  </conditionalFormatting>
  <conditionalFormatting sqref="I24">
    <cfRule type="expression" dxfId="3139" priority="8" stopIfTrue="1">
      <formula>IF(AK8&gt;2,0,1)</formula>
    </cfRule>
  </conditionalFormatting>
  <conditionalFormatting sqref="J24">
    <cfRule type="expression" dxfId="3138" priority="9" stopIfTrue="1">
      <formula>IF(AK8&gt;2,0,1)</formula>
    </cfRule>
  </conditionalFormatting>
  <conditionalFormatting sqref="K24">
    <cfRule type="expression" dxfId="3137" priority="10" stopIfTrue="1">
      <formula>IF(AK8&gt;3,0,1)</formula>
    </cfRule>
  </conditionalFormatting>
  <conditionalFormatting sqref="L24">
    <cfRule type="expression" dxfId="3136" priority="11" stopIfTrue="1">
      <formula>IF(AK8&gt;3,0,1)</formula>
    </cfRule>
  </conditionalFormatting>
  <conditionalFormatting sqref="M24">
    <cfRule type="expression" dxfId="3135" priority="12" stopIfTrue="1">
      <formula>IF(AK8&gt;3,0,1)</formula>
    </cfRule>
  </conditionalFormatting>
  <conditionalFormatting sqref="N24">
    <cfRule type="expression" dxfId="3134" priority="13" stopIfTrue="1">
      <formula>IF(AK8&gt;4,0,1)</formula>
    </cfRule>
  </conditionalFormatting>
  <conditionalFormatting sqref="O24">
    <cfRule type="expression" dxfId="3133" priority="14" stopIfTrue="1">
      <formula>IF(AK8&gt;4,0,1)</formula>
    </cfRule>
  </conditionalFormatting>
  <conditionalFormatting sqref="P24">
    <cfRule type="expression" dxfId="3132" priority="15" stopIfTrue="1">
      <formula>IF(AK8&gt;4,0,1)</formula>
    </cfRule>
  </conditionalFormatting>
  <conditionalFormatting sqref="Q24">
    <cfRule type="expression" dxfId="3131" priority="16" stopIfTrue="1">
      <formula>IF(AK8&gt;5,0,1)</formula>
    </cfRule>
  </conditionalFormatting>
  <conditionalFormatting sqref="R24">
    <cfRule type="expression" dxfId="3130" priority="17" stopIfTrue="1">
      <formula>IF(AK8&gt;5,0,1)</formula>
    </cfRule>
  </conditionalFormatting>
  <conditionalFormatting sqref="S24">
    <cfRule type="expression" dxfId="3129" priority="18" stopIfTrue="1">
      <formula>IF(AK8&gt;5,0,1)</formula>
    </cfRule>
  </conditionalFormatting>
  <conditionalFormatting sqref="B25:D25">
    <cfRule type="expression" dxfId="3128" priority="19" stopIfTrue="1">
      <formula>IF($AK8&gt;0,0,1)</formula>
    </cfRule>
  </conditionalFormatting>
  <conditionalFormatting sqref="B26:D26">
    <cfRule type="expression" dxfId="3127" priority="20" stopIfTrue="1">
      <formula>IF($AK8&lt;1,1,IF($AK7&lt;2,1,0))</formula>
    </cfRule>
  </conditionalFormatting>
  <conditionalFormatting sqref="H25:J25">
    <cfRule type="expression" dxfId="3126" priority="21" stopIfTrue="1">
      <formula>IF($AK8&gt;2,0,1)</formula>
    </cfRule>
  </conditionalFormatting>
  <conditionalFormatting sqref="E25:G25">
    <cfRule type="expression" dxfId="3125" priority="22" stopIfTrue="1">
      <formula>IF($AK8&gt;1,0,1)</formula>
    </cfRule>
  </conditionalFormatting>
  <conditionalFormatting sqref="E26:G26">
    <cfRule type="expression" dxfId="3124" priority="23" stopIfTrue="1">
      <formula>IF($AK8&lt;2,1,IF($AK7&lt;2,1,0))</formula>
    </cfRule>
  </conditionalFormatting>
  <conditionalFormatting sqref="K25:M25">
    <cfRule type="expression" dxfId="3123" priority="24" stopIfTrue="1">
      <formula>IF($AK8&gt;3,0,1)</formula>
    </cfRule>
  </conditionalFormatting>
  <conditionalFormatting sqref="N25:P25">
    <cfRule type="expression" dxfId="3122" priority="25" stopIfTrue="1">
      <formula>IF($AK8&gt;4,0,1)</formula>
    </cfRule>
  </conditionalFormatting>
  <conditionalFormatting sqref="Q25:S25">
    <cfRule type="expression" dxfId="3121" priority="26" stopIfTrue="1">
      <formula>IF($AK8&gt;5,0,1)</formula>
    </cfRule>
  </conditionalFormatting>
  <conditionalFormatting sqref="H26:J26">
    <cfRule type="expression" dxfId="3120" priority="27" stopIfTrue="1">
      <formula>IF($AK8&lt;3,1,IF($AK7&lt;2,1,0))</formula>
    </cfRule>
  </conditionalFormatting>
  <conditionalFormatting sqref="K26:M26">
    <cfRule type="expression" dxfId="3119" priority="28" stopIfTrue="1">
      <formula>IF($AK8&lt;4,1,IF($AK7&lt;2,1,0))</formula>
    </cfRule>
  </conditionalFormatting>
  <conditionalFormatting sqref="N26:P26">
    <cfRule type="expression" dxfId="3118" priority="29" stopIfTrue="1">
      <formula>IF($AK8&lt;5,1,IF($AK7&lt;2,1,0))</formula>
    </cfRule>
  </conditionalFormatting>
  <conditionalFormatting sqref="Q26:S26">
    <cfRule type="expression" dxfId="3117" priority="30" stopIfTrue="1">
      <formula>IF($AK8&lt;6,1,IF($AK7&lt;2,1,0))</formula>
    </cfRule>
  </conditionalFormatting>
  <pageMargins left="0.25" right="0.25" top="0.25" bottom="0.25" header="0" footer="0"/>
  <pageSetup scale="78" fitToHeight="2" orientation="landscape" r:id="rId1"/>
  <headerFooter alignWithMargins="0"/>
  <rowBreaks count="1" manualBreakCount="1">
    <brk id="95" max="16383" man="1"/>
  </rowBreaks>
  <drawing r:id="rId2"/>
  <legacyDrawing r:id="rId3"/>
  <controls>
    <mc:AlternateContent xmlns:mc="http://schemas.openxmlformats.org/markup-compatibility/2006">
      <mc:Choice Requires="x14">
        <control shapeId="39937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39937" r:id="rId4" name="Pool1RecalcFinish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indexed="11"/>
  </sheetPr>
  <dimension ref="A1:BY430"/>
  <sheetViews>
    <sheetView topLeftCell="O1" zoomScale="70" zoomScaleNormal="70" workbookViewId="0">
      <selection activeCell="AW3" sqref="AW3:AW6"/>
    </sheetView>
  </sheetViews>
  <sheetFormatPr defaultRowHeight="12.75" x14ac:dyDescent="0.2"/>
  <cols>
    <col min="2" max="2" width="3.7109375" customWidth="1"/>
    <col min="3" max="3" width="2.28515625" customWidth="1"/>
    <col min="4" max="5" width="3.7109375" customWidth="1"/>
    <col min="6" max="6" width="2.28515625" customWidth="1"/>
    <col min="7" max="8" width="3.7109375" customWidth="1"/>
    <col min="9" max="9" width="2.28515625" customWidth="1"/>
    <col min="10" max="11" width="3.7109375" customWidth="1"/>
    <col min="12" max="12" width="2.28515625" customWidth="1"/>
    <col min="13" max="14" width="3.7109375" customWidth="1"/>
    <col min="15" max="15" width="2.28515625" customWidth="1"/>
    <col min="16" max="17" width="3.7109375" customWidth="1"/>
    <col min="18" max="18" width="2.28515625" customWidth="1"/>
    <col min="19" max="20" width="3.7109375" customWidth="1"/>
    <col min="21" max="21" width="2.28515625" customWidth="1"/>
    <col min="22" max="23" width="3.7109375" customWidth="1"/>
    <col min="24" max="24" width="2.28515625" customWidth="1"/>
    <col min="25" max="26" width="3.7109375" customWidth="1"/>
    <col min="27" max="27" width="2.28515625" customWidth="1"/>
    <col min="28" max="29" width="3.7109375" customWidth="1"/>
    <col min="30" max="30" width="2.28515625" customWidth="1"/>
    <col min="31" max="31" width="3.7109375" customWidth="1"/>
    <col min="32" max="32" width="9.7109375" customWidth="1"/>
    <col min="33" max="42" width="3.7109375" customWidth="1"/>
    <col min="43" max="43" width="11" customWidth="1"/>
    <col min="46" max="46" width="10.85546875" customWidth="1"/>
    <col min="47" max="47" width="26.5703125" customWidth="1"/>
    <col min="48" max="48" width="18.140625" customWidth="1"/>
    <col min="49" max="49" width="14.28515625" bestFit="1" customWidth="1"/>
    <col min="50" max="50" width="10.140625" customWidth="1"/>
    <col min="51" max="51" width="10.28515625" customWidth="1"/>
    <col min="52" max="52" width="25" customWidth="1"/>
    <col min="53" max="53" width="6" customWidth="1"/>
  </cols>
  <sheetData>
    <row r="1" spans="1:53" ht="13.5" thickBot="1" x14ac:dyDescent="0.25">
      <c r="A1" s="1036" t="s">
        <v>0</v>
      </c>
      <c r="B1" s="1036"/>
      <c r="C1" s="1036"/>
      <c r="D1" s="1036"/>
      <c r="E1" s="1036"/>
      <c r="F1" s="1036"/>
      <c r="G1" s="1036"/>
      <c r="H1" s="1036"/>
      <c r="I1" s="1036"/>
      <c r="J1" s="1036"/>
      <c r="K1" s="1036"/>
      <c r="L1" s="1036"/>
      <c r="M1" s="1036"/>
      <c r="N1" s="1036"/>
      <c r="O1" s="1036"/>
      <c r="P1" s="1036"/>
      <c r="Q1" s="1036"/>
      <c r="R1" s="1036"/>
      <c r="S1" s="1036"/>
      <c r="T1" s="1036"/>
      <c r="U1" s="1036"/>
      <c r="V1" s="1036"/>
      <c r="W1" s="1036"/>
      <c r="X1" s="1036"/>
      <c r="Y1" s="1036"/>
      <c r="Z1" s="1036"/>
      <c r="AA1" s="1036"/>
      <c r="AB1" s="1036"/>
      <c r="AC1" s="1036"/>
      <c r="AD1" s="1036"/>
      <c r="AE1" s="1036"/>
      <c r="AF1" s="1036"/>
      <c r="AG1" s="1036"/>
      <c r="AH1" s="1036"/>
      <c r="AI1" s="1036"/>
      <c r="AJ1" s="1037"/>
      <c r="AK1" s="1037"/>
      <c r="AL1" s="1037"/>
      <c r="AM1" s="1037"/>
      <c r="AN1" s="1037"/>
      <c r="AO1" s="1037"/>
      <c r="AP1" s="1037"/>
      <c r="AQ1" s="1038" t="s">
        <v>349</v>
      </c>
      <c r="AR1" s="1039"/>
      <c r="AT1" s="1040" t="s">
        <v>1</v>
      </c>
      <c r="AU1" s="1041"/>
      <c r="AV1" s="1042"/>
      <c r="AW1" s="1043"/>
      <c r="AX1" s="1044" t="s">
        <v>2</v>
      </c>
      <c r="AY1" s="1045"/>
      <c r="AZ1" s="1046" t="s">
        <v>3</v>
      </c>
      <c r="BA1" s="355">
        <v>32</v>
      </c>
    </row>
    <row r="2" spans="1:53" ht="18.75" customHeight="1" thickBot="1" x14ac:dyDescent="0.3">
      <c r="A2" s="1047" t="s">
        <v>4</v>
      </c>
      <c r="B2" s="1048"/>
      <c r="C2" s="1048"/>
      <c r="D2" s="1048"/>
      <c r="E2" s="1048"/>
      <c r="F2" s="1048"/>
      <c r="G2" s="1048"/>
      <c r="H2" s="1048"/>
      <c r="I2" s="1049"/>
      <c r="J2" s="1050"/>
      <c r="K2" s="1051"/>
      <c r="L2" s="1051"/>
      <c r="M2" s="1051"/>
      <c r="N2" s="1051"/>
      <c r="O2" s="1051"/>
      <c r="P2" s="1051"/>
      <c r="Q2" s="1051"/>
      <c r="R2" s="1051"/>
      <c r="S2" s="1051"/>
      <c r="T2" s="1051"/>
      <c r="U2" s="1051"/>
      <c r="V2" s="1051"/>
      <c r="W2" s="1051"/>
      <c r="X2" s="1052"/>
      <c r="Y2" s="1053" t="s">
        <v>5</v>
      </c>
      <c r="Z2" s="1054"/>
      <c r="AA2" s="1054"/>
      <c r="AB2" s="1054"/>
      <c r="AC2" s="1055"/>
      <c r="AD2" s="1056"/>
      <c r="AE2" s="1056"/>
      <c r="AF2" s="1056"/>
      <c r="AG2" s="1056"/>
      <c r="AH2" s="1056"/>
      <c r="AI2" s="1057"/>
      <c r="AJ2" s="1058"/>
      <c r="AK2" s="1058"/>
      <c r="AL2" s="1058"/>
      <c r="AM2" s="1058"/>
      <c r="AN2" s="1058"/>
      <c r="AO2" s="1058"/>
      <c r="AP2" s="1058"/>
      <c r="AQ2" s="1058"/>
      <c r="AR2" s="1039"/>
      <c r="AT2" s="1059" t="s">
        <v>6</v>
      </c>
      <c r="AU2" s="1060" t="s">
        <v>7</v>
      </c>
      <c r="AV2" s="1061" t="s">
        <v>8</v>
      </c>
      <c r="AW2" s="1062" t="s">
        <v>9</v>
      </c>
      <c r="AX2" s="1063" t="s">
        <v>10</v>
      </c>
      <c r="AY2" s="1062" t="s">
        <v>11</v>
      </c>
      <c r="AZ2" s="1046" t="s">
        <v>12</v>
      </c>
      <c r="BA2" s="355">
        <v>16</v>
      </c>
    </row>
    <row r="3" spans="1:53" ht="18.75" customHeight="1" thickBot="1" x14ac:dyDescent="0.3">
      <c r="A3" s="1064" t="s">
        <v>13</v>
      </c>
      <c r="B3" s="1065"/>
      <c r="C3" s="1066"/>
      <c r="D3" s="1066"/>
      <c r="E3" s="1066"/>
      <c r="F3" s="1066"/>
      <c r="G3" s="1066"/>
      <c r="H3" s="1066"/>
      <c r="I3" s="1066"/>
      <c r="J3" s="1066"/>
      <c r="K3" s="1066"/>
      <c r="L3" s="1066"/>
      <c r="M3" s="1066"/>
      <c r="N3" s="1066"/>
      <c r="O3" s="1067"/>
      <c r="P3" s="1068" t="s">
        <v>14</v>
      </c>
      <c r="Q3" s="1069"/>
      <c r="R3" s="1069"/>
      <c r="S3" s="1070"/>
      <c r="T3" s="1071"/>
      <c r="U3" s="1071"/>
      <c r="V3" s="1071"/>
      <c r="W3" s="1071"/>
      <c r="X3" s="1072"/>
      <c r="Y3" s="1073" t="s">
        <v>15</v>
      </c>
      <c r="Z3" s="1074"/>
      <c r="AA3" s="1074"/>
      <c r="AB3" s="1074"/>
      <c r="AC3" s="1074"/>
      <c r="AD3" s="1075"/>
      <c r="AE3" s="1076" t="s">
        <v>16</v>
      </c>
      <c r="AF3" s="1077"/>
      <c r="AG3" s="1077" t="s">
        <v>17</v>
      </c>
      <c r="AH3" s="1077"/>
      <c r="AI3" s="1078"/>
      <c r="AJ3" s="1058"/>
      <c r="AK3" s="1058"/>
      <c r="AL3" s="1058"/>
      <c r="AM3" s="1058"/>
      <c r="AN3" s="1058"/>
      <c r="AO3" s="1058"/>
      <c r="AP3" s="1058"/>
      <c r="AQ3" s="1058"/>
      <c r="AR3" s="1039"/>
      <c r="AT3" s="1079">
        <v>1</v>
      </c>
      <c r="AU3" s="167" t="s">
        <v>621</v>
      </c>
      <c r="AV3" s="167" t="s">
        <v>620</v>
      </c>
      <c r="AW3" s="16">
        <f>VLOOKUP(AV3,Initial!G:K,5,FALSE)</f>
        <v>1252.9739815801377</v>
      </c>
      <c r="AX3" s="1081">
        <f>VLOOKUP(AU3,AT$79:AU$83,2,FALSE)</f>
        <v>1291.463631335562</v>
      </c>
      <c r="AY3" s="1082">
        <f>IF(ISNA(VLOOKUP(AU3,AT$96:AU$148,2,FALSE)),AX3,VLOOKUP(AU3,AT$96:AU$148,2,FALSE))</f>
        <v>1291.463631335562</v>
      </c>
    </row>
    <row r="4" spans="1:53" ht="24" customHeight="1" thickBot="1" x14ac:dyDescent="0.25">
      <c r="A4" s="1083" t="s">
        <v>18</v>
      </c>
      <c r="B4" s="1084"/>
      <c r="C4" s="1084"/>
      <c r="D4" s="1085"/>
      <c r="E4" s="1086"/>
      <c r="F4" s="1087"/>
      <c r="G4" s="1087"/>
      <c r="H4" s="1087"/>
      <c r="I4" s="1087"/>
      <c r="J4" s="1087"/>
      <c r="K4" s="1087"/>
      <c r="L4" s="1087"/>
      <c r="M4" s="1088"/>
      <c r="N4" s="1083" t="s">
        <v>19</v>
      </c>
      <c r="O4" s="1084"/>
      <c r="P4" s="1084"/>
      <c r="Q4" s="1085"/>
      <c r="R4" s="1089"/>
      <c r="S4" s="1056"/>
      <c r="T4" s="1056"/>
      <c r="U4" s="1056"/>
      <c r="V4" s="1056"/>
      <c r="W4" s="1056"/>
      <c r="X4" s="1056"/>
      <c r="Y4" s="1056"/>
      <c r="Z4" s="1056"/>
      <c r="AA4" s="1057"/>
      <c r="AB4" s="1083" t="s">
        <v>20</v>
      </c>
      <c r="AC4" s="1084"/>
      <c r="AD4" s="1084"/>
      <c r="AE4" s="1085"/>
      <c r="AF4" s="1089"/>
      <c r="AG4" s="1056"/>
      <c r="AH4" s="1056"/>
      <c r="AI4" s="1057"/>
      <c r="AJ4" s="1058"/>
      <c r="AK4" s="1058"/>
      <c r="AL4" s="1058"/>
      <c r="AM4" s="1058"/>
      <c r="AN4" s="1058"/>
      <c r="AO4" s="1058"/>
      <c r="AP4" s="1058"/>
      <c r="AQ4" s="1058"/>
      <c r="AR4" s="1039"/>
      <c r="AT4" s="1090">
        <v>2</v>
      </c>
      <c r="AU4" s="167" t="s">
        <v>615</v>
      </c>
      <c r="AV4" s="167" t="s">
        <v>614</v>
      </c>
      <c r="AW4" s="16">
        <f>VLOOKUP(AV4,Initial!G:K,5,FALSE)</f>
        <v>1164.88819190138</v>
      </c>
      <c r="AX4" s="1091">
        <f>VLOOKUP(AU4,AT$79:AU$83,2,FALSE)</f>
        <v>1157.3958897894904</v>
      </c>
      <c r="AY4" s="1092">
        <f>IF(ISNA(VLOOKUP(AU4,AT$96:AU$148,2,FALSE)),AX4,VLOOKUP(AU4,AT$96:AU$148,2,FALSE))</f>
        <v>1157.3958897894904</v>
      </c>
    </row>
    <row r="5" spans="1:53" ht="15.75" thickBot="1" x14ac:dyDescent="0.25">
      <c r="A5" s="1037" t="s">
        <v>21</v>
      </c>
      <c r="B5" s="1093" t="s">
        <v>21</v>
      </c>
      <c r="C5" s="1094"/>
      <c r="D5" s="1094"/>
      <c r="E5" s="1094"/>
      <c r="F5" s="1094"/>
      <c r="G5" s="1094"/>
      <c r="H5" s="1094"/>
      <c r="I5" s="1094"/>
      <c r="J5" s="1094"/>
      <c r="K5" s="1095" t="s">
        <v>21</v>
      </c>
      <c r="L5" s="1095"/>
      <c r="M5" s="1095"/>
      <c r="N5" s="1095"/>
      <c r="O5" s="1095"/>
      <c r="P5" s="1095"/>
      <c r="Q5" s="1095"/>
      <c r="R5" s="1095"/>
      <c r="S5" s="1095"/>
      <c r="T5" s="1095"/>
      <c r="U5" s="1095"/>
      <c r="V5" s="1095"/>
      <c r="W5" s="1095"/>
      <c r="X5" s="1095"/>
      <c r="Y5" s="1095"/>
      <c r="Z5" s="1095"/>
      <c r="AA5" s="1095"/>
      <c r="AB5" s="1095"/>
      <c r="AC5" s="1095"/>
      <c r="AD5" s="1095"/>
      <c r="AE5" s="1095"/>
      <c r="AF5" s="1037"/>
      <c r="AG5" s="1037"/>
      <c r="AH5" s="1037"/>
      <c r="AI5" s="1037"/>
      <c r="AJ5" s="1037"/>
      <c r="AK5" s="1037"/>
      <c r="AL5" s="1037"/>
      <c r="AM5" s="1037"/>
      <c r="AN5" s="1037"/>
      <c r="AO5" s="1037"/>
      <c r="AP5" s="1037"/>
      <c r="AQ5" s="1037"/>
      <c r="AR5" s="1039"/>
      <c r="AT5" s="1090">
        <v>3</v>
      </c>
      <c r="AU5" s="167" t="s">
        <v>566</v>
      </c>
      <c r="AV5" s="167" t="s">
        <v>565</v>
      </c>
      <c r="AW5" s="16">
        <f>VLOOKUP(AV5,Initial!G:K,5,FALSE)</f>
        <v>1233.3466974331975</v>
      </c>
      <c r="AX5" s="1091">
        <f>VLOOKUP(AU5,AT$79:AU$83,2,FALSE)</f>
        <v>1216.9982652053041</v>
      </c>
      <c r="AY5" s="1092">
        <f>IF(ISNA(VLOOKUP(AU5,AT$96:AU$148,2,FALSE)),AX5,VLOOKUP(AU5,AT$96:AU$148,2,FALSE))</f>
        <v>1216.9982652053041</v>
      </c>
    </row>
    <row r="6" spans="1:53" ht="24" customHeight="1" thickBot="1" x14ac:dyDescent="0.25">
      <c r="A6" s="1096" t="s">
        <v>22</v>
      </c>
      <c r="B6" s="1097" t="s">
        <v>23</v>
      </c>
      <c r="C6" s="1098" t="s">
        <v>24</v>
      </c>
      <c r="D6" s="1099"/>
      <c r="E6" s="1099"/>
      <c r="F6" s="1099"/>
      <c r="G6" s="1099"/>
      <c r="H6" s="1100"/>
      <c r="I6" s="1101">
        <v>1</v>
      </c>
      <c r="J6" s="1102"/>
      <c r="K6" s="1103" t="str">
        <f>"Pool "&amp;B6&amp;" - Round 1 - Court "&amp;I6</f>
        <v>Pool A - Round 1 - Court 1</v>
      </c>
      <c r="L6" s="1104"/>
      <c r="M6" s="1104"/>
      <c r="N6" s="1104"/>
      <c r="O6" s="1104"/>
      <c r="P6" s="1104"/>
      <c r="Q6" s="1104"/>
      <c r="R6" s="1104"/>
      <c r="S6" s="1104"/>
      <c r="T6" s="1104"/>
      <c r="U6" s="1104"/>
      <c r="V6" s="1104"/>
      <c r="W6" s="1104"/>
      <c r="X6" s="1104"/>
      <c r="Y6" s="1104"/>
      <c r="Z6" s="1104"/>
      <c r="AA6" s="1104"/>
      <c r="AB6" s="1104"/>
      <c r="AC6" s="1104"/>
      <c r="AD6" s="1104"/>
      <c r="AE6" s="1104"/>
      <c r="AF6" s="1104"/>
      <c r="AG6" s="1104"/>
      <c r="AH6" s="1104"/>
      <c r="AI6" s="1105"/>
      <c r="AJ6" s="1058"/>
      <c r="AK6" s="1058"/>
      <c r="AL6" s="1058"/>
      <c r="AM6" s="1058"/>
      <c r="AN6" s="1058"/>
      <c r="AO6" s="1058"/>
      <c r="AP6" s="1058"/>
      <c r="AQ6" s="1058"/>
      <c r="AT6" s="1090">
        <v>4</v>
      </c>
      <c r="AU6" s="167" t="s">
        <v>626</v>
      </c>
      <c r="AV6" s="167" t="s">
        <v>251</v>
      </c>
      <c r="AW6" s="16">
        <f>VLOOKUP(AV6,Initial!G:K,5,FALSE)</f>
        <v>1206.7266798132362</v>
      </c>
      <c r="AX6" s="1091">
        <f>VLOOKUP(AU6,AT$79:AU$83,2,FALSE)</f>
        <v>1192.0777643975948</v>
      </c>
      <c r="AY6" s="1092">
        <f>IF(ISNA(VLOOKUP(AU6,AT$96:AU$148,2,FALSE)),AX6,VLOOKUP(AU6,AT$96:AU$148,2,FALSE))</f>
        <v>1192.0777643975948</v>
      </c>
    </row>
    <row r="7" spans="1:53" ht="27" customHeight="1" thickBot="1" x14ac:dyDescent="0.25">
      <c r="A7" s="1106" t="s">
        <v>25</v>
      </c>
      <c r="B7" s="1107" t="s">
        <v>7</v>
      </c>
      <c r="C7" s="1108"/>
      <c r="D7" s="1108"/>
      <c r="E7" s="1108"/>
      <c r="F7" s="1108"/>
      <c r="G7" s="1108"/>
      <c r="H7" s="1108"/>
      <c r="I7" s="1108"/>
      <c r="J7" s="1108"/>
      <c r="K7" s="1108"/>
      <c r="L7" s="1107" t="str">
        <f>IF($AK10=0,"Games Won","Matches Won")</f>
        <v>Matches Won</v>
      </c>
      <c r="M7" s="1108"/>
      <c r="N7" s="1108"/>
      <c r="O7" s="1108"/>
      <c r="P7" s="1108"/>
      <c r="Q7" s="1109"/>
      <c r="R7" s="1107" t="str">
        <f>IF($AK10=0,"Games Lost","Matches Lost")</f>
        <v>Matches Lost</v>
      </c>
      <c r="S7" s="1110"/>
      <c r="T7" s="1110"/>
      <c r="U7" s="1110"/>
      <c r="V7" s="1111"/>
      <c r="W7" s="1112" t="s">
        <v>26</v>
      </c>
      <c r="X7" s="1113"/>
      <c r="Y7" s="1114"/>
      <c r="Z7" s="1112" t="s">
        <v>27</v>
      </c>
      <c r="AA7" s="1113"/>
      <c r="AB7" s="1114"/>
      <c r="AC7" s="1115" t="s">
        <v>28</v>
      </c>
      <c r="AD7" s="1116"/>
      <c r="AE7" s="1117"/>
      <c r="AF7" s="1118" t="s">
        <v>29</v>
      </c>
      <c r="AG7" s="1119" t="s">
        <v>6</v>
      </c>
      <c r="AH7" s="1120" t="s">
        <v>30</v>
      </c>
      <c r="AI7" s="1121"/>
      <c r="AJ7" s="1122"/>
      <c r="AK7" s="1123">
        <v>1</v>
      </c>
      <c r="AL7" s="1124" t="s">
        <v>31</v>
      </c>
      <c r="AM7" s="1124"/>
      <c r="AN7" s="1124"/>
      <c r="AO7" s="1124"/>
      <c r="AP7" s="1124"/>
      <c r="AQ7" s="1124"/>
      <c r="AR7" s="1125"/>
      <c r="AT7" s="1411"/>
      <c r="AU7" s="1412"/>
      <c r="AV7" s="1413"/>
      <c r="AW7" s="1414"/>
      <c r="AX7" s="1415"/>
      <c r="AY7" s="1416"/>
    </row>
    <row r="8" spans="1:53" ht="18.75" customHeight="1" x14ac:dyDescent="0.2">
      <c r="A8" s="1129" t="str">
        <f>IF($AK9&gt;0,"1","")</f>
        <v>1</v>
      </c>
      <c r="B8" s="1130" t="s">
        <v>7</v>
      </c>
      <c r="C8" s="1131"/>
      <c r="D8" s="1132"/>
      <c r="E8" s="1133" t="str">
        <f>AU3</f>
        <v>Intense kids power col</v>
      </c>
      <c r="F8" s="1134"/>
      <c r="G8" s="1134"/>
      <c r="H8" s="1134"/>
      <c r="I8" s="1134"/>
      <c r="J8" s="1134"/>
      <c r="K8" s="1135"/>
      <c r="L8" s="1136">
        <f>IF($AK10=0,AF64,AF46)</f>
        <v>3</v>
      </c>
      <c r="M8" s="1137"/>
      <c r="N8" s="1137"/>
      <c r="O8" s="1137"/>
      <c r="P8" s="1137"/>
      <c r="Q8" s="1109"/>
      <c r="R8" s="1136">
        <f>IF($AK10=0,AG64,AG46)</f>
        <v>0</v>
      </c>
      <c r="S8" s="1137"/>
      <c r="T8" s="1137"/>
      <c r="U8" s="1137"/>
      <c r="V8" s="1137"/>
      <c r="W8" s="1136">
        <f>AQ24</f>
        <v>25</v>
      </c>
      <c r="X8" s="1137"/>
      <c r="Y8" s="1137"/>
      <c r="Z8" s="1138">
        <f>IF(AF58&gt;0,(AQ24/AF58),0)</f>
        <v>0.26595744680851063</v>
      </c>
      <c r="AA8" s="1139"/>
      <c r="AB8" s="1139"/>
      <c r="AC8" s="1140">
        <f>IF(AF72=0,0,(AF64/AF72))</f>
        <v>1</v>
      </c>
      <c r="AD8" s="1141"/>
      <c r="AE8" s="1142"/>
      <c r="AF8" s="1143">
        <v>1</v>
      </c>
      <c r="AG8" s="1143">
        <v>1</v>
      </c>
      <c r="AH8" s="1144"/>
      <c r="AI8" s="1145"/>
      <c r="AJ8" s="1122"/>
      <c r="AK8" s="1123">
        <v>6</v>
      </c>
      <c r="AL8" s="1124" t="s">
        <v>32</v>
      </c>
      <c r="AM8" s="1124"/>
      <c r="AN8" s="1124"/>
      <c r="AO8" s="1124"/>
      <c r="AP8" s="1124"/>
      <c r="AQ8" s="1124"/>
      <c r="AR8" s="1125"/>
      <c r="AT8" s="1146" t="s">
        <v>37</v>
      </c>
      <c r="AU8" s="1147"/>
      <c r="AV8" s="1147"/>
      <c r="AW8" s="1147"/>
      <c r="AX8" s="1147"/>
      <c r="AY8" s="1148"/>
    </row>
    <row r="9" spans="1:53" ht="18.75" customHeight="1" thickBot="1" x14ac:dyDescent="0.25">
      <c r="A9" s="1149"/>
      <c r="B9" s="1150" t="s">
        <v>8</v>
      </c>
      <c r="C9" s="1151"/>
      <c r="D9" s="1152"/>
      <c r="E9" s="1153" t="str">
        <f>AV3</f>
        <v>fj2inten3pm</v>
      </c>
      <c r="F9" s="1154"/>
      <c r="G9" s="1154"/>
      <c r="H9" s="1154"/>
      <c r="I9" s="1154"/>
      <c r="J9" s="1154"/>
      <c r="K9" s="1154"/>
      <c r="L9" s="1155"/>
      <c r="M9" s="1156"/>
      <c r="N9" s="1156"/>
      <c r="O9" s="1156"/>
      <c r="P9" s="1156"/>
      <c r="Q9" s="1109"/>
      <c r="R9" s="1155"/>
      <c r="S9" s="1156"/>
      <c r="T9" s="1156"/>
      <c r="U9" s="1156"/>
      <c r="V9" s="1156"/>
      <c r="W9" s="1155"/>
      <c r="X9" s="1156"/>
      <c r="Y9" s="1156"/>
      <c r="Z9" s="1157"/>
      <c r="AA9" s="1158"/>
      <c r="AB9" s="1158"/>
      <c r="AC9" s="1159"/>
      <c r="AD9" s="1160"/>
      <c r="AE9" s="1161"/>
      <c r="AF9" s="1162"/>
      <c r="AG9" s="1162"/>
      <c r="AH9" s="1163"/>
      <c r="AI9" s="1164"/>
      <c r="AJ9" s="1122"/>
      <c r="AK9" s="1123">
        <v>4</v>
      </c>
      <c r="AL9" s="1124" t="s">
        <v>33</v>
      </c>
      <c r="AM9" s="1122"/>
      <c r="AN9" s="1122"/>
      <c r="AO9" s="1122"/>
      <c r="AP9" s="1122"/>
      <c r="AQ9" s="1122"/>
      <c r="AR9" s="1039"/>
      <c r="AT9" s="1165"/>
      <c r="AU9" s="1166"/>
      <c r="AV9" s="1166"/>
      <c r="AW9" s="1166"/>
      <c r="AX9" s="1166"/>
      <c r="AY9" s="1167"/>
    </row>
    <row r="10" spans="1:53" ht="18.75" customHeight="1" x14ac:dyDescent="0.2">
      <c r="A10" s="1129" t="str">
        <f>IF($AK9&gt;1,"2","")</f>
        <v>2</v>
      </c>
      <c r="B10" s="1130" t="s">
        <v>7</v>
      </c>
      <c r="C10" s="1131"/>
      <c r="D10" s="1132"/>
      <c r="E10" s="1133" t="str">
        <f>AU4</f>
        <v>Foothills Vanessa</v>
      </c>
      <c r="F10" s="1134"/>
      <c r="G10" s="1134"/>
      <c r="H10" s="1134"/>
      <c r="I10" s="1134"/>
      <c r="J10" s="1134"/>
      <c r="K10" s="1135"/>
      <c r="L10" s="1136">
        <f>IF($AK10=0,AF65,AF47)</f>
        <v>1</v>
      </c>
      <c r="M10" s="1137"/>
      <c r="N10" s="1137"/>
      <c r="O10" s="1137"/>
      <c r="P10" s="1137"/>
      <c r="Q10" s="1109"/>
      <c r="R10" s="1136">
        <f>IF($AK10=0,AG65,AG47)</f>
        <v>2</v>
      </c>
      <c r="S10" s="1137"/>
      <c r="T10" s="1137"/>
      <c r="U10" s="1137"/>
      <c r="V10" s="1137"/>
      <c r="W10" s="1136">
        <f>AQ25</f>
        <v>-24</v>
      </c>
      <c r="X10" s="1137"/>
      <c r="Y10" s="1137"/>
      <c r="Z10" s="1138">
        <f>IF(AF59&gt;0,(AQ25/AF59),0)</f>
        <v>-0.23762376237623761</v>
      </c>
      <c r="AA10" s="1139"/>
      <c r="AB10" s="1139"/>
      <c r="AC10" s="1140">
        <f>IF(AF73=0,0,(AF65/AF73))</f>
        <v>0.33333333333333331</v>
      </c>
      <c r="AD10" s="1141"/>
      <c r="AE10" s="1142"/>
      <c r="AF10" s="1143">
        <v>4</v>
      </c>
      <c r="AG10" s="1143">
        <v>4</v>
      </c>
      <c r="AH10" s="1144"/>
      <c r="AI10" s="1145"/>
      <c r="AJ10" s="1122"/>
      <c r="AK10" s="1123">
        <v>1</v>
      </c>
      <c r="AL10" s="1124" t="s">
        <v>34</v>
      </c>
      <c r="AM10" s="1124"/>
      <c r="AN10" s="1124"/>
      <c r="AO10" s="1124"/>
      <c r="AP10" s="1124"/>
      <c r="AQ10" s="1124"/>
      <c r="AR10" s="1125"/>
    </row>
    <row r="11" spans="1:53" ht="18.75" customHeight="1" thickBot="1" x14ac:dyDescent="0.25">
      <c r="A11" s="1149"/>
      <c r="B11" s="1168" t="s">
        <v>8</v>
      </c>
      <c r="C11" s="1169"/>
      <c r="D11" s="1169"/>
      <c r="E11" s="1153" t="str">
        <f>AV4</f>
        <v>fj2footh2pm</v>
      </c>
      <c r="F11" s="1154"/>
      <c r="G11" s="1154"/>
      <c r="H11" s="1154"/>
      <c r="I11" s="1154"/>
      <c r="J11" s="1154"/>
      <c r="K11" s="1154"/>
      <c r="L11" s="1155"/>
      <c r="M11" s="1156"/>
      <c r="N11" s="1156"/>
      <c r="O11" s="1156"/>
      <c r="P11" s="1156"/>
      <c r="Q11" s="1109"/>
      <c r="R11" s="1155"/>
      <c r="S11" s="1156"/>
      <c r="T11" s="1156"/>
      <c r="U11" s="1156"/>
      <c r="V11" s="1156"/>
      <c r="W11" s="1155"/>
      <c r="X11" s="1156"/>
      <c r="Y11" s="1156"/>
      <c r="Z11" s="1157"/>
      <c r="AA11" s="1158"/>
      <c r="AB11" s="1158"/>
      <c r="AC11" s="1159"/>
      <c r="AD11" s="1160"/>
      <c r="AE11" s="1161"/>
      <c r="AF11" s="1162"/>
      <c r="AG11" s="1162"/>
      <c r="AH11" s="1163"/>
      <c r="AI11" s="1164"/>
      <c r="AJ11" s="1122"/>
      <c r="AK11" s="1123">
        <v>1</v>
      </c>
      <c r="AL11" s="1124" t="s">
        <v>35</v>
      </c>
      <c r="AM11" s="1122"/>
      <c r="AN11" s="1122"/>
      <c r="AO11" s="1122"/>
      <c r="AP11" s="1122"/>
      <c r="AQ11" s="1122"/>
      <c r="AR11" s="1039"/>
      <c r="AS11" s="1170"/>
      <c r="AT11" s="1208"/>
      <c r="AU11" s="1208"/>
    </row>
    <row r="12" spans="1:53" ht="18.75" customHeight="1" x14ac:dyDescent="0.2">
      <c r="A12" s="1129" t="str">
        <f>IF($AK9&gt;2,"3","")</f>
        <v>3</v>
      </c>
      <c r="B12" s="1171" t="s">
        <v>7</v>
      </c>
      <c r="C12" s="1172"/>
      <c r="D12" s="1172"/>
      <c r="E12" s="1133" t="str">
        <f>AU5</f>
        <v>SC Midlands KP Garnet</v>
      </c>
      <c r="F12" s="1134"/>
      <c r="G12" s="1134"/>
      <c r="H12" s="1134"/>
      <c r="I12" s="1134"/>
      <c r="J12" s="1134"/>
      <c r="K12" s="1135"/>
      <c r="L12" s="1136">
        <f>IF($AK10=0,AF66,AF48)</f>
        <v>1</v>
      </c>
      <c r="M12" s="1137"/>
      <c r="N12" s="1137"/>
      <c r="O12" s="1137"/>
      <c r="P12" s="1137"/>
      <c r="Q12" s="1109"/>
      <c r="R12" s="1136">
        <f>IF($AK10=0,AG66,AG48)</f>
        <v>2</v>
      </c>
      <c r="S12" s="1137"/>
      <c r="T12" s="1137"/>
      <c r="U12" s="1137"/>
      <c r="V12" s="1137"/>
      <c r="W12" s="1136">
        <f>AQ26</f>
        <v>-6</v>
      </c>
      <c r="X12" s="1137"/>
      <c r="Y12" s="1137"/>
      <c r="Z12" s="1138">
        <f>IF(AF60&gt;0,(AQ26/AF60),0)</f>
        <v>-6.5934065934065936E-2</v>
      </c>
      <c r="AA12" s="1139"/>
      <c r="AB12" s="1139"/>
      <c r="AC12" s="1140">
        <f>IF(AF74=0,0,(AF66/AF74))</f>
        <v>0.33333333333333331</v>
      </c>
      <c r="AD12" s="1141"/>
      <c r="AE12" s="1142"/>
      <c r="AF12" s="1143">
        <v>3</v>
      </c>
      <c r="AG12" s="1143">
        <v>4</v>
      </c>
      <c r="AH12" s="1144"/>
      <c r="AI12" s="1145"/>
      <c r="AJ12" s="1173"/>
      <c r="AK12" s="1123">
        <v>3</v>
      </c>
      <c r="AL12" s="1174" t="s">
        <v>36</v>
      </c>
      <c r="AM12" s="1124"/>
      <c r="AN12" s="1124"/>
      <c r="AO12" s="1124"/>
      <c r="AP12" s="1124"/>
      <c r="AQ12" s="1124"/>
      <c r="AR12" s="1125"/>
      <c r="AS12" s="1170"/>
      <c r="AT12" s="1208"/>
      <c r="AU12" s="1208"/>
    </row>
    <row r="13" spans="1:53" ht="18.75" customHeight="1" thickBot="1" x14ac:dyDescent="0.25">
      <c r="A13" s="1149"/>
      <c r="B13" s="1168" t="s">
        <v>8</v>
      </c>
      <c r="C13" s="1169"/>
      <c r="D13" s="1169"/>
      <c r="E13" s="1153" t="str">
        <f>AV5</f>
        <v>fj1scmid2pm</v>
      </c>
      <c r="F13" s="1154"/>
      <c r="G13" s="1154"/>
      <c r="H13" s="1154"/>
      <c r="I13" s="1154"/>
      <c r="J13" s="1154"/>
      <c r="K13" s="1154"/>
      <c r="L13" s="1155"/>
      <c r="M13" s="1156"/>
      <c r="N13" s="1156"/>
      <c r="O13" s="1156"/>
      <c r="P13" s="1156"/>
      <c r="Q13" s="1109"/>
      <c r="R13" s="1155"/>
      <c r="S13" s="1156"/>
      <c r="T13" s="1156"/>
      <c r="U13" s="1156"/>
      <c r="V13" s="1156"/>
      <c r="W13" s="1155"/>
      <c r="X13" s="1156"/>
      <c r="Y13" s="1156"/>
      <c r="Z13" s="1157"/>
      <c r="AA13" s="1158"/>
      <c r="AB13" s="1158"/>
      <c r="AC13" s="1159"/>
      <c r="AD13" s="1160"/>
      <c r="AE13" s="1161"/>
      <c r="AF13" s="1162"/>
      <c r="AG13" s="1162"/>
      <c r="AH13" s="1163"/>
      <c r="AI13" s="1164"/>
      <c r="AJ13" s="1173"/>
      <c r="AK13" s="1175"/>
      <c r="AL13" s="1176"/>
      <c r="AM13" s="1176"/>
      <c r="AN13" s="1176"/>
      <c r="AO13" s="1176"/>
      <c r="AP13" s="1176"/>
      <c r="AQ13" s="1122"/>
      <c r="AR13" s="1039"/>
      <c r="AS13" s="1170"/>
      <c r="AT13" s="1208"/>
      <c r="AU13" s="1208"/>
    </row>
    <row r="14" spans="1:53" ht="18.75" customHeight="1" x14ac:dyDescent="0.2">
      <c r="A14" s="1129" t="str">
        <f>IF($AK9&gt;3,"4","")</f>
        <v>4</v>
      </c>
      <c r="B14" s="1171" t="s">
        <v>7</v>
      </c>
      <c r="C14" s="1172"/>
      <c r="D14" s="1172"/>
      <c r="E14" s="1133" t="str">
        <f>AU6</f>
        <v>SC Midlands KP White</v>
      </c>
      <c r="F14" s="1134"/>
      <c r="G14" s="1134"/>
      <c r="H14" s="1134"/>
      <c r="I14" s="1134"/>
      <c r="J14" s="1134"/>
      <c r="K14" s="1135"/>
      <c r="L14" s="1136">
        <f>IF($AK10=0,AF67,AF49)</f>
        <v>1</v>
      </c>
      <c r="M14" s="1137"/>
      <c r="N14" s="1137"/>
      <c r="O14" s="1137"/>
      <c r="P14" s="1137"/>
      <c r="Q14" s="1109"/>
      <c r="R14" s="1136">
        <f>IF($AK10=0,AG67,AG49)</f>
        <v>2</v>
      </c>
      <c r="S14" s="1137"/>
      <c r="T14" s="1137"/>
      <c r="U14" s="1137"/>
      <c r="V14" s="1137"/>
      <c r="W14" s="1136">
        <f>AQ27</f>
        <v>5</v>
      </c>
      <c r="X14" s="1137"/>
      <c r="Y14" s="1137"/>
      <c r="Z14" s="1138">
        <f>IF(AF61&gt;0,(AQ27/AF61),0)</f>
        <v>5.5555555555555552E-2</v>
      </c>
      <c r="AA14" s="1139"/>
      <c r="AB14" s="1139"/>
      <c r="AC14" s="1140">
        <f>IF(AF75=0,0,(AF67/AF75))</f>
        <v>0.33333333333333331</v>
      </c>
      <c r="AD14" s="1141"/>
      <c r="AE14" s="1142"/>
      <c r="AF14" s="1143">
        <v>2</v>
      </c>
      <c r="AG14" s="1143">
        <v>4</v>
      </c>
      <c r="AH14" s="1144"/>
      <c r="AI14" s="1145"/>
      <c r="AJ14" s="1058"/>
      <c r="AK14" s="1176"/>
      <c r="AL14" s="1176"/>
      <c r="AM14" s="1176"/>
      <c r="AN14" s="1176"/>
      <c r="AO14" s="1176"/>
      <c r="AP14" s="1176"/>
      <c r="AQ14" s="1124"/>
      <c r="AR14" s="1125"/>
      <c r="AS14" s="1170"/>
      <c r="AT14" s="1208"/>
      <c r="AU14" s="1208"/>
    </row>
    <row r="15" spans="1:53" ht="18.75" customHeight="1" thickBot="1" x14ac:dyDescent="0.25">
      <c r="A15" s="1149"/>
      <c r="B15" s="1168" t="s">
        <v>8</v>
      </c>
      <c r="C15" s="1169"/>
      <c r="D15" s="1169"/>
      <c r="E15" s="1153" t="str">
        <f>AV6</f>
        <v>fj2scmid2pm</v>
      </c>
      <c r="F15" s="1154"/>
      <c r="G15" s="1154"/>
      <c r="H15" s="1154"/>
      <c r="I15" s="1154"/>
      <c r="J15" s="1154"/>
      <c r="K15" s="1154"/>
      <c r="L15" s="1155"/>
      <c r="M15" s="1156"/>
      <c r="N15" s="1156"/>
      <c r="O15" s="1156"/>
      <c r="P15" s="1156"/>
      <c r="Q15" s="1109"/>
      <c r="R15" s="1155"/>
      <c r="S15" s="1156"/>
      <c r="T15" s="1156"/>
      <c r="U15" s="1156"/>
      <c r="V15" s="1156"/>
      <c r="W15" s="1155"/>
      <c r="X15" s="1156"/>
      <c r="Y15" s="1156"/>
      <c r="Z15" s="1157"/>
      <c r="AA15" s="1158"/>
      <c r="AB15" s="1158"/>
      <c r="AC15" s="1159"/>
      <c r="AD15" s="1160"/>
      <c r="AE15" s="1161"/>
      <c r="AF15" s="1162"/>
      <c r="AG15" s="1162"/>
      <c r="AH15" s="1163"/>
      <c r="AI15" s="1164"/>
      <c r="AJ15" s="1058"/>
      <c r="AK15" s="1176"/>
      <c r="AL15" s="1176"/>
      <c r="AM15" s="1176"/>
      <c r="AN15" s="1176"/>
      <c r="AO15" s="1176"/>
      <c r="AP15" s="1176"/>
      <c r="AQ15" s="1058"/>
      <c r="AR15" s="1039"/>
      <c r="AS15" s="1170"/>
      <c r="AT15" s="1208"/>
      <c r="AU15" s="1208"/>
    </row>
    <row r="16" spans="1:53" ht="18.75" customHeight="1" x14ac:dyDescent="0.2">
      <c r="A16" s="1129" t="str">
        <f>IF($AK9&gt;4,"5","")</f>
        <v/>
      </c>
      <c r="B16" s="1171" t="s">
        <v>7</v>
      </c>
      <c r="C16" s="1172"/>
      <c r="D16" s="1172"/>
      <c r="E16" s="1417">
        <f>AU7</f>
        <v>0</v>
      </c>
      <c r="F16" s="1418"/>
      <c r="G16" s="1418"/>
      <c r="H16" s="1418"/>
      <c r="I16" s="1418"/>
      <c r="J16" s="1418"/>
      <c r="K16" s="1419"/>
      <c r="L16" s="1136">
        <f>IF($AK10=0,AF68,AF50)</f>
        <v>0</v>
      </c>
      <c r="M16" s="1137"/>
      <c r="N16" s="1137"/>
      <c r="O16" s="1137"/>
      <c r="P16" s="1137"/>
      <c r="Q16" s="1109"/>
      <c r="R16" s="1136">
        <f>IF($AK10=0,AG68,AG50)</f>
        <v>0</v>
      </c>
      <c r="S16" s="1137"/>
      <c r="T16" s="1137"/>
      <c r="U16" s="1137"/>
      <c r="V16" s="1137"/>
      <c r="W16" s="1136">
        <f>AQ28</f>
        <v>0</v>
      </c>
      <c r="X16" s="1137"/>
      <c r="Y16" s="1137"/>
      <c r="Z16" s="1138">
        <f>IF(AF62&gt;0,(AQ28/AF62),0)</f>
        <v>0</v>
      </c>
      <c r="AA16" s="1139"/>
      <c r="AB16" s="1139"/>
      <c r="AC16" s="1140">
        <f>IF(AF76=0,0,(AF68/AF76))</f>
        <v>0</v>
      </c>
      <c r="AD16" s="1141"/>
      <c r="AE16" s="1142"/>
      <c r="AF16" s="1143"/>
      <c r="AG16" s="1143"/>
      <c r="AH16" s="1144"/>
      <c r="AI16" s="1145"/>
      <c r="AJ16" s="1058"/>
      <c r="AK16" s="1176"/>
      <c r="AL16" s="1176"/>
      <c r="AM16" s="1176"/>
      <c r="AN16" s="1176"/>
      <c r="AO16" s="1176"/>
      <c r="AP16" s="1176"/>
      <c r="AQ16" s="1058"/>
      <c r="AR16" s="1039"/>
      <c r="AS16" s="1170"/>
      <c r="AT16" s="1208"/>
      <c r="AU16" s="1208"/>
    </row>
    <row r="17" spans="1:47" ht="18.75" customHeight="1" thickBot="1" x14ac:dyDescent="0.25">
      <c r="A17" s="1149"/>
      <c r="B17" s="1177" t="s">
        <v>8</v>
      </c>
      <c r="C17" s="1178"/>
      <c r="D17" s="1178"/>
      <c r="E17" s="1420">
        <f>AV7</f>
        <v>0</v>
      </c>
      <c r="F17" s="1421"/>
      <c r="G17" s="1421"/>
      <c r="H17" s="1421"/>
      <c r="I17" s="1421"/>
      <c r="J17" s="1421"/>
      <c r="K17" s="1421"/>
      <c r="L17" s="1181"/>
      <c r="M17" s="1182"/>
      <c r="N17" s="1182"/>
      <c r="O17" s="1182"/>
      <c r="P17" s="1182"/>
      <c r="Q17" s="1109"/>
      <c r="R17" s="1181"/>
      <c r="S17" s="1182"/>
      <c r="T17" s="1182"/>
      <c r="U17" s="1182"/>
      <c r="V17" s="1182"/>
      <c r="W17" s="1181"/>
      <c r="X17" s="1182"/>
      <c r="Y17" s="1182"/>
      <c r="Z17" s="1183"/>
      <c r="AA17" s="1184"/>
      <c r="AB17" s="1184"/>
      <c r="AC17" s="1185"/>
      <c r="AD17" s="1186"/>
      <c r="AE17" s="1187"/>
      <c r="AF17" s="1188"/>
      <c r="AG17" s="1188"/>
      <c r="AH17" s="1189"/>
      <c r="AI17" s="1190"/>
      <c r="AJ17" s="1058"/>
      <c r="AK17" s="1176"/>
      <c r="AL17" s="1176"/>
      <c r="AM17" s="1176"/>
      <c r="AN17" s="1176"/>
      <c r="AO17" s="1176"/>
      <c r="AP17" s="1176"/>
      <c r="AQ17" s="1058"/>
      <c r="AR17" s="1039"/>
      <c r="AS17" s="1191"/>
      <c r="AT17" s="1208"/>
      <c r="AU17" s="1208"/>
    </row>
    <row r="18" spans="1:47" ht="21" customHeight="1" thickTop="1" thickBot="1" x14ac:dyDescent="0.25">
      <c r="A18" s="1192"/>
      <c r="B18" s="1193" t="s">
        <v>1211</v>
      </c>
      <c r="C18" s="1194"/>
      <c r="D18" s="1194"/>
      <c r="E18" s="1194"/>
      <c r="F18" s="1194"/>
      <c r="G18" s="1194"/>
      <c r="H18" s="1194"/>
      <c r="I18" s="1194"/>
      <c r="J18" s="1194"/>
      <c r="K18" s="1194"/>
      <c r="L18" s="1194"/>
      <c r="M18" s="1194"/>
      <c r="N18" s="1194"/>
      <c r="O18" s="1194"/>
      <c r="P18" s="1194"/>
      <c r="Q18" s="1194"/>
      <c r="R18" s="1194"/>
      <c r="S18" s="1194"/>
      <c r="T18" s="1194"/>
      <c r="U18" s="1194"/>
      <c r="V18" s="1194"/>
      <c r="W18" s="1194"/>
      <c r="X18" s="1194"/>
      <c r="Y18" s="1194"/>
      <c r="Z18" s="1194"/>
      <c r="AA18" s="1194"/>
      <c r="AB18" s="1194"/>
      <c r="AC18" s="1194"/>
      <c r="AD18" s="1194"/>
      <c r="AE18" s="1194"/>
      <c r="AF18" s="1194"/>
      <c r="AG18" s="1194"/>
      <c r="AH18" s="1194"/>
      <c r="AI18" s="1195"/>
      <c r="AJ18" s="1058"/>
      <c r="AK18" s="1176"/>
      <c r="AL18" s="1176"/>
      <c r="AM18" s="1176"/>
      <c r="AN18" s="1176"/>
      <c r="AO18" s="1176"/>
      <c r="AP18" s="1176"/>
      <c r="AQ18" s="1058"/>
      <c r="AR18" s="1039"/>
      <c r="AS18" s="1191"/>
      <c r="AT18" s="1208"/>
      <c r="AU18" s="1208"/>
    </row>
    <row r="19" spans="1:47" ht="13.5" customHeight="1" thickTop="1" x14ac:dyDescent="0.2">
      <c r="A19" t="s">
        <v>39</v>
      </c>
      <c r="B19" s="1196">
        <v>0.35416666666666669</v>
      </c>
      <c r="C19" s="1197"/>
      <c r="D19" s="1198"/>
      <c r="E19" s="1196">
        <v>0.39583333333333331</v>
      </c>
      <c r="F19" s="1197"/>
      <c r="G19" s="1198"/>
      <c r="H19" s="1196">
        <v>0.4375</v>
      </c>
      <c r="I19" s="1197"/>
      <c r="J19" s="1198"/>
      <c r="K19" s="1196">
        <v>0.5</v>
      </c>
      <c r="L19" s="1197"/>
      <c r="M19" s="1198"/>
      <c r="N19" s="1196">
        <v>4.1666666666666664E-2</v>
      </c>
      <c r="O19" s="1197"/>
      <c r="P19" s="1198"/>
      <c r="Q19" s="1196">
        <v>8.3333333333333329E-2</v>
      </c>
      <c r="R19" s="1197"/>
      <c r="S19" s="1198"/>
      <c r="T19" s="1196">
        <v>4.1666666666666664E-2</v>
      </c>
      <c r="U19" s="1197"/>
      <c r="V19" s="1198"/>
      <c r="W19" s="1196">
        <v>7.2916666666666671E-2</v>
      </c>
      <c r="X19" s="1197"/>
      <c r="Y19" s="1198"/>
      <c r="Z19" s="1196">
        <v>0.10416666666666667</v>
      </c>
      <c r="AA19" s="1197"/>
      <c r="AB19" s="1198"/>
      <c r="AC19" s="1196">
        <v>0.13541666666666666</v>
      </c>
      <c r="AD19" s="1197"/>
      <c r="AE19" s="1198"/>
      <c r="AF19" s="1199" t="s">
        <v>40</v>
      </c>
      <c r="AG19" s="1200"/>
      <c r="AH19" s="1200"/>
      <c r="AI19" s="1200"/>
      <c r="AJ19" s="1201"/>
      <c r="AK19" s="1201"/>
      <c r="AL19" s="1201"/>
      <c r="AM19" s="1201"/>
      <c r="AN19" s="1201"/>
      <c r="AO19" s="1201"/>
      <c r="AP19" s="1201"/>
      <c r="AQ19" s="1202"/>
      <c r="AS19" s="1191"/>
      <c r="AT19" s="1208"/>
      <c r="AU19" s="1208"/>
    </row>
    <row r="20" spans="1:47" x14ac:dyDescent="0.2">
      <c r="A20" s="1203" t="s">
        <v>41</v>
      </c>
      <c r="B20" s="1204"/>
      <c r="C20" s="1205"/>
      <c r="D20" s="1206"/>
      <c r="E20" s="1204"/>
      <c r="F20" s="1205"/>
      <c r="G20" s="1206"/>
      <c r="H20" s="1204"/>
      <c r="I20" s="1205"/>
      <c r="J20" s="1206"/>
      <c r="K20" s="1204"/>
      <c r="L20" s="1205"/>
      <c r="M20" s="1206"/>
      <c r="N20" s="1204"/>
      <c r="O20" s="1205"/>
      <c r="P20" s="1206"/>
      <c r="Q20" s="1204"/>
      <c r="R20" s="1205"/>
      <c r="S20" s="1206"/>
      <c r="T20" s="1204"/>
      <c r="U20" s="1205"/>
      <c r="V20" s="1206"/>
      <c r="W20" s="1204"/>
      <c r="X20" s="1205"/>
      <c r="Y20" s="1206"/>
      <c r="Z20" s="1204"/>
      <c r="AA20" s="1205"/>
      <c r="AB20" s="1206"/>
      <c r="AC20" s="1204"/>
      <c r="AD20" s="1205"/>
      <c r="AE20" s="1206"/>
      <c r="AF20" s="1199"/>
      <c r="AG20" s="1200"/>
      <c r="AH20" s="1200"/>
      <c r="AI20" s="1200"/>
      <c r="AJ20" s="1200"/>
      <c r="AK20" s="1200"/>
      <c r="AL20" s="1200"/>
      <c r="AM20" s="1200"/>
      <c r="AN20" s="1200"/>
      <c r="AO20" s="1200"/>
      <c r="AP20" s="1200"/>
      <c r="AQ20" s="1207"/>
      <c r="AS20" s="1191"/>
      <c r="AT20" s="1208"/>
      <c r="AU20" s="1208"/>
    </row>
    <row r="21" spans="1:47" x14ac:dyDescent="0.2">
      <c r="A21" s="1203" t="s">
        <v>42</v>
      </c>
      <c r="B21" s="1204"/>
      <c r="C21" s="1205"/>
      <c r="D21" s="1206"/>
      <c r="E21" s="1204"/>
      <c r="F21" s="1205"/>
      <c r="G21" s="1206"/>
      <c r="H21" s="1204"/>
      <c r="I21" s="1205"/>
      <c r="J21" s="1206"/>
      <c r="K21" s="1204"/>
      <c r="L21" s="1205"/>
      <c r="M21" s="1206"/>
      <c r="N21" s="1204"/>
      <c r="O21" s="1205"/>
      <c r="P21" s="1206"/>
      <c r="Q21" s="1204"/>
      <c r="R21" s="1205"/>
      <c r="S21" s="1206"/>
      <c r="T21" s="1204"/>
      <c r="U21" s="1205"/>
      <c r="V21" s="1206"/>
      <c r="W21" s="1204"/>
      <c r="X21" s="1205"/>
      <c r="Y21" s="1206"/>
      <c r="Z21" s="1204"/>
      <c r="AA21" s="1205"/>
      <c r="AB21" s="1206"/>
      <c r="AC21" s="1204"/>
      <c r="AD21" s="1205"/>
      <c r="AE21" s="1206"/>
      <c r="AF21" s="1199"/>
      <c r="AG21" s="1200"/>
      <c r="AH21" s="1200"/>
      <c r="AI21" s="1200"/>
      <c r="AJ21" s="1200"/>
      <c r="AK21" s="1200"/>
      <c r="AL21" s="1200"/>
      <c r="AM21" s="1200"/>
      <c r="AN21" s="1200"/>
      <c r="AO21" s="1200"/>
      <c r="AP21" s="1200"/>
      <c r="AQ21" s="1207"/>
    </row>
    <row r="22" spans="1:47" ht="13.5" thickBot="1" x14ac:dyDescent="0.25">
      <c r="A22" s="1058"/>
      <c r="B22" s="1209" t="s">
        <v>43</v>
      </c>
      <c r="C22" s="1210"/>
      <c r="D22" s="1211"/>
      <c r="E22" s="1209" t="str">
        <f>IF(AK8&gt;1,"Match 2","")</f>
        <v>Match 2</v>
      </c>
      <c r="F22" s="1210"/>
      <c r="G22" s="1211"/>
      <c r="H22" s="1209" t="str">
        <f>IF(AK8&gt;2,"Match 3","")</f>
        <v>Match 3</v>
      </c>
      <c r="I22" s="1210"/>
      <c r="J22" s="1211"/>
      <c r="K22" s="1209" t="str">
        <f>IF(AK8&gt;3,"Match 4","")</f>
        <v>Match 4</v>
      </c>
      <c r="L22" s="1210"/>
      <c r="M22" s="1211"/>
      <c r="N22" s="1209" t="str">
        <f>IF(AK8&gt;4,"Match 5","")</f>
        <v>Match 5</v>
      </c>
      <c r="O22" s="1210"/>
      <c r="P22" s="1211"/>
      <c r="Q22" s="1209" t="str">
        <f>IF(AK8&gt;5,"Match 6","")</f>
        <v>Match 6</v>
      </c>
      <c r="R22" s="1210"/>
      <c r="S22" s="1211"/>
      <c r="T22" s="1209" t="str">
        <f>IF(AK8&gt;6,"Match 7","")</f>
        <v/>
      </c>
      <c r="U22" s="1210"/>
      <c r="V22" s="1211"/>
      <c r="W22" s="1209" t="str">
        <f>IF(AK8&gt;7,"Match 8","")</f>
        <v/>
      </c>
      <c r="X22" s="1210"/>
      <c r="Y22" s="1211"/>
      <c r="Z22" s="1209" t="str">
        <f>IF(AK8&gt;8,"Match 9","")</f>
        <v/>
      </c>
      <c r="AA22" s="1210"/>
      <c r="AB22" s="1211"/>
      <c r="AC22" s="1209" t="str">
        <f>IF(AK8&gt;9,"Match 10","")</f>
        <v/>
      </c>
      <c r="AD22" s="1210"/>
      <c r="AE22" s="1211"/>
      <c r="AF22" s="1212"/>
      <c r="AG22" s="1213"/>
      <c r="AH22" s="1213"/>
      <c r="AI22" s="1213"/>
      <c r="AJ22" s="1213"/>
      <c r="AK22" s="1213"/>
      <c r="AL22" s="1213"/>
      <c r="AM22" s="1213"/>
      <c r="AN22" s="1213"/>
      <c r="AO22" s="1213"/>
      <c r="AP22" s="1213"/>
      <c r="AQ22" s="1214"/>
      <c r="AS22" s="1191"/>
      <c r="AT22" s="1208"/>
      <c r="AU22" s="1208"/>
    </row>
    <row r="23" spans="1:47" ht="15.75" x14ac:dyDescent="0.25">
      <c r="A23" s="1058"/>
      <c r="B23" s="1215" t="s">
        <v>46</v>
      </c>
      <c r="C23" s="1216"/>
      <c r="D23" s="1217"/>
      <c r="E23" s="1215" t="s">
        <v>48</v>
      </c>
      <c r="F23" s="1216"/>
      <c r="G23" s="1217"/>
      <c r="H23" s="1215" t="s">
        <v>45</v>
      </c>
      <c r="I23" s="1216"/>
      <c r="J23" s="1217"/>
      <c r="K23" s="1215" t="s">
        <v>44</v>
      </c>
      <c r="L23" s="1216"/>
      <c r="M23" s="1217"/>
      <c r="N23" s="1215" t="s">
        <v>48</v>
      </c>
      <c r="O23" s="1216"/>
      <c r="P23" s="1217"/>
      <c r="Q23" s="1215" t="s">
        <v>45</v>
      </c>
      <c r="R23" s="1216"/>
      <c r="S23" s="1217"/>
      <c r="T23" s="1215" t="s">
        <v>44</v>
      </c>
      <c r="U23" s="1216"/>
      <c r="V23" s="1217"/>
      <c r="W23" s="1215" t="s">
        <v>48</v>
      </c>
      <c r="X23" s="1216"/>
      <c r="Y23" s="1217"/>
      <c r="Z23" s="1215" t="s">
        <v>1180</v>
      </c>
      <c r="AA23" s="1216"/>
      <c r="AB23" s="1217"/>
      <c r="AC23" s="1215" t="s">
        <v>45</v>
      </c>
      <c r="AD23" s="1216"/>
      <c r="AE23" s="1217"/>
      <c r="AF23" s="1218" t="s">
        <v>49</v>
      </c>
      <c r="AG23" s="1219">
        <v>1</v>
      </c>
      <c r="AH23" s="1219">
        <v>2</v>
      </c>
      <c r="AI23" s="1219">
        <v>3</v>
      </c>
      <c r="AJ23" s="1219">
        <v>4</v>
      </c>
      <c r="AK23" s="1219">
        <v>5</v>
      </c>
      <c r="AL23" s="1219">
        <v>6</v>
      </c>
      <c r="AM23" s="1219">
        <v>7</v>
      </c>
      <c r="AN23" s="1219">
        <v>8</v>
      </c>
      <c r="AO23" s="1219">
        <v>9</v>
      </c>
      <c r="AP23" s="1219">
        <v>10</v>
      </c>
      <c r="AQ23" s="1220" t="s">
        <v>50</v>
      </c>
      <c r="AS23" s="1191"/>
      <c r="AT23" s="1208"/>
      <c r="AU23" s="1208"/>
    </row>
    <row r="24" spans="1:47" ht="15.75" x14ac:dyDescent="0.25">
      <c r="A24" s="1058"/>
      <c r="B24" s="1221">
        <v>2</v>
      </c>
      <c r="C24" s="1222" t="s">
        <v>51</v>
      </c>
      <c r="D24" s="1223">
        <v>3</v>
      </c>
      <c r="E24" s="1221">
        <v>1</v>
      </c>
      <c r="F24" s="1222" t="str">
        <f>IF(AK8&gt;1,"v","")</f>
        <v>v</v>
      </c>
      <c r="G24" s="1223">
        <v>4</v>
      </c>
      <c r="H24" s="1221">
        <v>2</v>
      </c>
      <c r="I24" s="1222" t="str">
        <f>IF(AK8&gt;2,"v","")</f>
        <v>v</v>
      </c>
      <c r="J24" s="1223">
        <v>4</v>
      </c>
      <c r="K24" s="1221">
        <v>1</v>
      </c>
      <c r="L24" s="1222" t="str">
        <f>IF(AK8&gt;3,"v","")</f>
        <v>v</v>
      </c>
      <c r="M24" s="1223">
        <v>3</v>
      </c>
      <c r="N24" s="1221">
        <v>3</v>
      </c>
      <c r="O24" s="1222" t="str">
        <f>IF(AK8&gt;4,"v","")</f>
        <v>v</v>
      </c>
      <c r="P24" s="1223">
        <v>4</v>
      </c>
      <c r="Q24" s="1221">
        <v>1</v>
      </c>
      <c r="R24" s="1222" t="str">
        <f>IF(AK8&gt;5,"v","")</f>
        <v>v</v>
      </c>
      <c r="S24" s="1223">
        <v>2</v>
      </c>
      <c r="T24" s="1221"/>
      <c r="U24" s="1222" t="str">
        <f>IF(AK8&gt;6,"v","")</f>
        <v/>
      </c>
      <c r="V24" s="1223"/>
      <c r="W24" s="1221"/>
      <c r="X24" s="1222" t="str">
        <f>IF(AK8&gt;7,"v","")</f>
        <v/>
      </c>
      <c r="Y24" s="1223"/>
      <c r="Z24" s="1221"/>
      <c r="AA24" s="1222" t="str">
        <f>IF(AK8&gt;8,"v","")</f>
        <v/>
      </c>
      <c r="AB24" s="1223"/>
      <c r="AC24" s="1221"/>
      <c r="AD24" s="1222" t="str">
        <f>IF(AK8&gt;9,"v","")</f>
        <v/>
      </c>
      <c r="AE24" s="1223"/>
      <c r="AF24" s="1218" t="str">
        <f>IF(AK9&gt;0,"Team 1","")</f>
        <v>Team 1</v>
      </c>
      <c r="AG24" s="1226" t="str">
        <f>IF(AK9&lt;1,"",IF(AK8&lt;1,"",IF(B24=1,B30-D30,IF(D24=1,D30-B30,""))))</f>
        <v/>
      </c>
      <c r="AH24" s="1226">
        <f>IF(AK9&lt;1,"",IF(AK8&lt;2,"",IF(E24=1,E30-G30,IF(G24=1,G30-E30,""))))</f>
        <v>3</v>
      </c>
      <c r="AI24" s="1226" t="str">
        <f>IF(AK9&lt;1,"",IF(AK8&lt;3,"",IF(H24=1,H30-J30,IF(J24=1,J30-H30,""))))</f>
        <v/>
      </c>
      <c r="AJ24" s="1226">
        <f>IF(AK9&lt;1,"",IF(AK8&lt;4,"",IF(K24=1,K30-M30,IF(M24=1,M30-K30,""))))</f>
        <v>4</v>
      </c>
      <c r="AK24" s="1226" t="str">
        <f>IF(AK9&lt;1,"",IF(AK8&lt;5,"",IF(N24=1,N30-P30,IF(P24=1,P30-N30,""))))</f>
        <v/>
      </c>
      <c r="AL24" s="1226">
        <f>IF(AK9&lt;1,"",IF(AK8&lt;6,"",IF(Q24=1,Q30-S30,IF(S24=1,S30-Q30,""))))</f>
        <v>18</v>
      </c>
      <c r="AM24" s="1226" t="str">
        <f>IF(AK9&lt;1,"",IF(AK8&lt;7,"",IF(T24=1,T30-V30,IF(V24=1,V30-T30,""))))</f>
        <v/>
      </c>
      <c r="AN24" s="1226" t="str">
        <f>IF(AK9&lt;1,"",IF(AK8&lt;8,"",IF(W24=1,W30-Y30,IF(Y24=1,Y30-W30,""))))</f>
        <v/>
      </c>
      <c r="AO24" s="1226" t="str">
        <f>IF(AK9&lt;1,"",IF(AK8&lt;9,"",IF(Z24=1,Z30-AB30,IF(AB24=1,AB30-Z30,""))))</f>
        <v/>
      </c>
      <c r="AP24" s="1226" t="str">
        <f>IF(AK9&lt;1,"",IF(AK8&lt;10,"",IF(AC24=1,AC30-AE30,IF(AE24=1,AE30-AC30,""))))</f>
        <v/>
      </c>
      <c r="AQ24" s="1220">
        <f>SUM(AG24:AP24)</f>
        <v>25</v>
      </c>
      <c r="AS24" s="1191"/>
      <c r="AT24" s="1208"/>
      <c r="AU24" s="1208"/>
    </row>
    <row r="25" spans="1:47" ht="15" x14ac:dyDescent="0.2">
      <c r="A25" t="s">
        <v>52</v>
      </c>
      <c r="B25" s="1227">
        <v>33</v>
      </c>
      <c r="C25" s="1228" t="s">
        <v>53</v>
      </c>
      <c r="D25" s="1229">
        <v>30</v>
      </c>
      <c r="E25" s="1227">
        <v>29</v>
      </c>
      <c r="F25" s="1228" t="str">
        <f>IF(AK8&gt;1,"/","")</f>
        <v>/</v>
      </c>
      <c r="G25" s="1229">
        <v>26</v>
      </c>
      <c r="H25" s="1227">
        <v>24</v>
      </c>
      <c r="I25" s="1228" t="str">
        <f>IF(AK8&gt;2,"/","")</f>
        <v>/</v>
      </c>
      <c r="J25" s="1229">
        <v>33</v>
      </c>
      <c r="K25" s="1227">
        <v>30</v>
      </c>
      <c r="L25" s="1228" t="str">
        <f>IF(AK8&gt;3,"/","")</f>
        <v>/</v>
      </c>
      <c r="M25" s="1229">
        <v>26</v>
      </c>
      <c r="N25" s="1227">
        <v>28</v>
      </c>
      <c r="O25" s="1228" t="str">
        <f>IF(AK8&gt;4,"/","")</f>
        <v>/</v>
      </c>
      <c r="P25" s="1229">
        <v>27</v>
      </c>
      <c r="Q25" s="1227">
        <v>35</v>
      </c>
      <c r="R25" s="1228" t="str">
        <f>IF(AK8&gt;5,"/","")</f>
        <v>/</v>
      </c>
      <c r="S25" s="1229">
        <v>17</v>
      </c>
      <c r="T25" s="1227"/>
      <c r="U25" s="1228" t="str">
        <f>IF(AK8&gt;6,"/","")</f>
        <v/>
      </c>
      <c r="V25" s="1229"/>
      <c r="W25" s="1227"/>
      <c r="X25" s="1228" t="str">
        <f>IF(AK8&gt;7,"/","")</f>
        <v/>
      </c>
      <c r="Y25" s="1229"/>
      <c r="Z25" s="1227"/>
      <c r="AA25" s="1228" t="str">
        <f>IF(AK8&gt;8,"/","")</f>
        <v/>
      </c>
      <c r="AB25" s="1229"/>
      <c r="AC25" s="1227"/>
      <c r="AD25" s="1228" t="str">
        <f>IF(AK8&gt;9,"/","")</f>
        <v/>
      </c>
      <c r="AE25" s="1229"/>
      <c r="AF25" s="1218" t="str">
        <f>IF(AK9&gt;1,"Team 2","")</f>
        <v>Team 2</v>
      </c>
      <c r="AG25" s="1226">
        <f>IF(AK9&lt;2,"",IF(AK8&lt;1,"",IF(B24=2,B30-D30,IF(D24=2,D30-B30,""))))</f>
        <v>3</v>
      </c>
      <c r="AH25" s="1226" t="str">
        <f>IF(AK9&lt;2,"",IF(AK8&lt;2,"",IF(E24=2,E30-G30,IF(G24=2,G30-E30,""))))</f>
        <v/>
      </c>
      <c r="AI25" s="1226">
        <f>IF(AK9&lt;2,"",IF(AK8&lt;3,"",IF(H24=2,H30-J30,IF(J24=2,J30-H30,""))))</f>
        <v>-9</v>
      </c>
      <c r="AJ25" s="1226" t="str">
        <f>IF(AK9&lt;2,"",IF(AK8&lt;4,"",IF(K24=2,K30-M30,IF(M24=2,M30-K30,""))))</f>
        <v/>
      </c>
      <c r="AK25" s="1226" t="str">
        <f>IF(AK9&lt;2,"",IF(AK8&lt;5,"",IF(N24=2,N30-P30,IF(P24=2,P30-N30,""))))</f>
        <v/>
      </c>
      <c r="AL25" s="1226">
        <f>IF(AK9&lt;2,"",IF(AK8&lt;6,"",IF(Q24=2,Q30-S30,IF(S24=2,S30-Q30,""))))</f>
        <v>-18</v>
      </c>
      <c r="AM25" s="1226" t="str">
        <f>IF(AK9&lt;2,"",IF(AK8&lt;7,"",IF(T24=2,T30-V30,IF(V24=2,V30-T30,""))))</f>
        <v/>
      </c>
      <c r="AN25" s="1226" t="str">
        <f>IF(AK9&lt;2,"",IF(AK8&lt;8,"",IF(W24=2,W30-Y30,IF(Y24=2,Y30-W30,""))))</f>
        <v/>
      </c>
      <c r="AO25" s="1226" t="str">
        <f>IF(AK9&lt;2,"",IF(AK8&lt;9,"",IF(Z24=2,Z30-AB30,IF(AB24=2,AB30-Z30,""))))</f>
        <v/>
      </c>
      <c r="AP25" s="1226" t="str">
        <f>IF(AK9&lt;2,"",IF(AK8&lt;10,"",IF(AC24=2,AC30-AE30,IF(AE24=2,AE30-AC30,""))))</f>
        <v/>
      </c>
      <c r="AQ25" s="1220">
        <f>SUM(AG25:AP25)</f>
        <v>-24</v>
      </c>
    </row>
    <row r="26" spans="1:47" ht="15" x14ac:dyDescent="0.2">
      <c r="A26" s="1039" t="str">
        <f>IF(AK7&gt;1,"Game 2","")</f>
        <v/>
      </c>
      <c r="B26" s="1227"/>
      <c r="C26" s="1228" t="s">
        <v>53</v>
      </c>
      <c r="D26" s="1229"/>
      <c r="E26" s="1227"/>
      <c r="F26" s="1228" t="str">
        <f>IF(AK8&gt;1,IF(AK7&gt;1,"/",""),"")</f>
        <v/>
      </c>
      <c r="G26" s="1229"/>
      <c r="H26" s="1227"/>
      <c r="I26" s="1228" t="str">
        <f>IF(AK8&gt;2,IF(AK7&gt;1,"/",""),"")</f>
        <v/>
      </c>
      <c r="J26" s="1229"/>
      <c r="K26" s="1227"/>
      <c r="L26" s="1228" t="str">
        <f>IF(AK8&gt;3,IF(AK7&gt;1,"/",""),"")</f>
        <v/>
      </c>
      <c r="M26" s="1229"/>
      <c r="N26" s="1227"/>
      <c r="O26" s="1228" t="str">
        <f>IF(AK8&gt;4,IF(AK7&gt;1,"/",""),"")</f>
        <v/>
      </c>
      <c r="P26" s="1229"/>
      <c r="Q26" s="1227"/>
      <c r="R26" s="1228" t="str">
        <f>IF(AK8&gt;5,IF(AK7&gt;1,"/",""),"")</f>
        <v/>
      </c>
      <c r="S26" s="1229"/>
      <c r="T26" s="1227"/>
      <c r="U26" s="1228" t="str">
        <f>IF(AK8&gt;6,IF(AK7&gt;1,"/",""),"")</f>
        <v/>
      </c>
      <c r="V26" s="1229"/>
      <c r="W26" s="1227"/>
      <c r="X26" s="1228" t="str">
        <f>IF(AK8&gt;7,IF(AK7&gt;1,"/",""),"")</f>
        <v/>
      </c>
      <c r="Y26" s="1229"/>
      <c r="Z26" s="1227"/>
      <c r="AA26" s="1228" t="str">
        <f>IF(AK8&gt;8,IF(AK7&gt;1,"/",""),"")</f>
        <v/>
      </c>
      <c r="AB26" s="1229"/>
      <c r="AC26" s="1227"/>
      <c r="AD26" s="1228" t="str">
        <f>IF(AK8&gt;9,IF(AK7&gt;1,"/",""),"")</f>
        <v/>
      </c>
      <c r="AE26" s="1229"/>
      <c r="AF26" s="1218" t="str">
        <f>IF(AK9&gt;2,"Team 3","")</f>
        <v>Team 3</v>
      </c>
      <c r="AG26" s="1226">
        <f>IF(AK9&lt;3,"",IF(AK8&lt;1,"",IF(B24=3,B30-D30,IF(D24=3,D30-B30,""))))</f>
        <v>-3</v>
      </c>
      <c r="AH26" s="1226" t="str">
        <f>IF(AK9&lt;3,"",IF(AK8&lt;2,"",IF(E24=3,E30-G30,IF(G24=3,G30-E30,""))))</f>
        <v/>
      </c>
      <c r="AI26" s="1226" t="str">
        <f>IF(AK9&lt;3,"",IF(AK8&lt;3,"",IF(H24=3,H30-J30,IF(J24=3,J30-H30,""))))</f>
        <v/>
      </c>
      <c r="AJ26" s="1226">
        <f>IF(AK9&lt;3,"",IF(AK8&lt;4,"",IF(K24=3,K30-M30,IF(M24=3,M30-K30,""))))</f>
        <v>-4</v>
      </c>
      <c r="AK26" s="1226">
        <f>IF(AK9&lt;3,"",IF(AK8&lt;5,"",IF(N24=3,N30-P30,IF(P24=3,P30-N30,""))))</f>
        <v>1</v>
      </c>
      <c r="AL26" s="1226" t="str">
        <f>IF(AK9&lt;3,"",IF(AK8&lt;6,"",IF(Q24=3,Q30-S30,IF(S24=3,S30-Q30,""))))</f>
        <v/>
      </c>
      <c r="AM26" s="1226" t="str">
        <f>IF(AK9&lt;3,"",IF(AK8&lt;7,"",IF(T24=3,T30-V30,IF(V24=3,V30-T30,""))))</f>
        <v/>
      </c>
      <c r="AN26" s="1226" t="str">
        <f>IF(AK9&lt;3,"",IF(AK8&lt;8,"",IF(W24=3,W30-Y30,IF(Y24=3,Y30-W30,""))))</f>
        <v/>
      </c>
      <c r="AO26" s="1226" t="str">
        <f>IF(AK9&lt;3,"",IF(AK8&lt;9,"",IF(Z24=3,Z30-AB30,IF(AB24=3,AB30-Z30,""))))</f>
        <v/>
      </c>
      <c r="AP26" s="1226" t="str">
        <f>IF(AK9&lt;3,"",IF(AK8&lt;9,"",IF(AC24=3,AC30-AE30,IF(AE24=3,AE30-AC30,""))))</f>
        <v/>
      </c>
      <c r="AQ26" s="1220">
        <f>SUM(AG26:AP26)</f>
        <v>-6</v>
      </c>
    </row>
    <row r="27" spans="1:47" ht="15" x14ac:dyDescent="0.2">
      <c r="A27" s="1039" t="str">
        <f>IF(AK7&gt;2,"Game 3","")</f>
        <v/>
      </c>
      <c r="B27" s="1227"/>
      <c r="C27" s="1228" t="s">
        <v>53</v>
      </c>
      <c r="D27" s="1229"/>
      <c r="E27" s="1227"/>
      <c r="F27" s="1228" t="str">
        <f>IF(AK8&gt;1,IF(AK7&gt;2,"/",""),"")</f>
        <v/>
      </c>
      <c r="G27" s="1229"/>
      <c r="H27" s="1227"/>
      <c r="I27" s="1228" t="str">
        <f>IF(AK8&gt;2,IF(AK7&gt;2,"/",""),"")</f>
        <v/>
      </c>
      <c r="J27" s="1229"/>
      <c r="K27" s="1227"/>
      <c r="L27" s="1228" t="str">
        <f>IF(AK8&gt;3,IF(AK7&gt;2,"/",""),"")</f>
        <v/>
      </c>
      <c r="M27" s="1229"/>
      <c r="N27" s="1227"/>
      <c r="O27" s="1228" t="str">
        <f>IF(AK8&gt;4,IF(AK7&gt;2,"/",""),"")</f>
        <v/>
      </c>
      <c r="P27" s="1229"/>
      <c r="Q27" s="1227"/>
      <c r="R27" s="1228" t="str">
        <f>IF(AK8&gt;5,IF(AK7&gt;2,"/",""),"")</f>
        <v/>
      </c>
      <c r="S27" s="1229"/>
      <c r="T27" s="1227"/>
      <c r="U27" s="1228" t="str">
        <f>IF(AK8&gt;6,IF(AK7&gt;2,"/",""),"")</f>
        <v/>
      </c>
      <c r="V27" s="1229"/>
      <c r="W27" s="1227"/>
      <c r="X27" s="1228" t="str">
        <f>IF(AK8&gt;7,IF(AK7&gt;2,"/",""),"")</f>
        <v/>
      </c>
      <c r="Y27" s="1229"/>
      <c r="Z27" s="1227"/>
      <c r="AA27" s="1228" t="str">
        <f>IF(AK8&gt;8,IF(AK7&gt;2,"/",""),"")</f>
        <v/>
      </c>
      <c r="AB27" s="1229"/>
      <c r="AC27" s="1227"/>
      <c r="AD27" s="1228" t="str">
        <f>IF(AK8&gt;9,IF(AK7&gt;2,"/",""),"")</f>
        <v/>
      </c>
      <c r="AE27" s="1229"/>
      <c r="AF27" s="1218" t="str">
        <f>IF(AK9&gt;3,"Team 4","")</f>
        <v>Team 4</v>
      </c>
      <c r="AG27" s="1226" t="str">
        <f>IF(AK9&lt;4,"",IF(AK8&lt;1,"",IF(B24=4,B30-D30,IF(D24=4,D30-B30,""))))</f>
        <v/>
      </c>
      <c r="AH27" s="1226">
        <f>IF(AK9&lt;4,"",IF(AK8&lt;2,"",IF(E24=4,E30-G30,IF(G24=4,G30-E30,""))))</f>
        <v>-3</v>
      </c>
      <c r="AI27" s="1226">
        <f>IF(AK9&lt;4,"",IF(AK8&lt;3,"",IF(H24=4,H30-J30,IF(J24=4,J30-H30,""))))</f>
        <v>9</v>
      </c>
      <c r="AJ27" s="1226" t="str">
        <f>IF(AK9&lt;4,"",IF(AK8&lt;4,"",IF(K24=4,K30-M30,IF(M24=4,M30-K30,""))))</f>
        <v/>
      </c>
      <c r="AK27" s="1226">
        <f>IF(AK9&lt;4,"",IF(AK8&lt;5,"",IF(N24=4,N30-P30,IF(P24=4,P30-N30,""))))</f>
        <v>-1</v>
      </c>
      <c r="AL27" s="1226" t="str">
        <f>IF(AK9&lt;4,"",IF(AK8&lt;6,"",IF(Q24=4,Q30-S30,IF(S24=4,S30-Q30,""))))</f>
        <v/>
      </c>
      <c r="AM27" s="1226" t="str">
        <f>IF(AK9&lt;4,"",IF(AK8&lt;7,"",IF(T24=4,T30-V30,IF(V24=4,V30-T30,""))))</f>
        <v/>
      </c>
      <c r="AN27" s="1226" t="str">
        <f>IF(AK9&lt;4,"",IF(AK8&lt;8,"",IF(W24=4,W30-Y30,IF(Y24=4,Y30-W30,""))))</f>
        <v/>
      </c>
      <c r="AO27" s="1226" t="str">
        <f>IF(AK9&lt;4,"",IF(AK8&lt;9,"",IF(Z24=4,Z30-AB30,IF(AB24=4,AB30-Z30,""))))</f>
        <v/>
      </c>
      <c r="AP27" s="1226" t="str">
        <f>IF(AK9&lt;4,"",IF(AK8&lt;10,"",IF(AC24=4,AC30-AE30,IF(AE24=4,AE30-AC30,""))))</f>
        <v/>
      </c>
      <c r="AQ27" s="1220">
        <f>SUM(AG27:AP27)</f>
        <v>5</v>
      </c>
    </row>
    <row r="28" spans="1:47" ht="15" x14ac:dyDescent="0.2">
      <c r="A28" s="1039" t="str">
        <f>IF(AK7&gt;3,"Game 4","")</f>
        <v/>
      </c>
      <c r="B28" s="1227"/>
      <c r="C28" s="1228" t="s">
        <v>53</v>
      </c>
      <c r="D28" s="1229"/>
      <c r="E28" s="1227"/>
      <c r="F28" s="1228" t="str">
        <f>IF(AK8&gt;1,IF(AK7&gt;3,"/",""),"")</f>
        <v/>
      </c>
      <c r="G28" s="1229"/>
      <c r="H28" s="1227"/>
      <c r="I28" s="1228" t="str">
        <f>IF(AK8&gt;2,IF(AK7&gt;3,"/",""),"")</f>
        <v/>
      </c>
      <c r="J28" s="1229"/>
      <c r="K28" s="1227"/>
      <c r="L28" s="1228" t="str">
        <f>IF(AK8&gt;3,IF(AK7&gt;3,"/",""),"")</f>
        <v/>
      </c>
      <c r="M28" s="1229"/>
      <c r="N28" s="1227"/>
      <c r="O28" s="1228" t="str">
        <f>IF(AK8&gt;4,IF(AK7&gt;3,"/",""),"")</f>
        <v/>
      </c>
      <c r="P28" s="1229"/>
      <c r="Q28" s="1227"/>
      <c r="R28" s="1228" t="str">
        <f>IF(AK8&gt;5,IF(AK7&gt;3,"/",""),"")</f>
        <v/>
      </c>
      <c r="S28" s="1229"/>
      <c r="T28" s="1227"/>
      <c r="U28" s="1228" t="str">
        <f>IF(AK8&gt;6,IF(AK7&gt;3,"/",""),"")</f>
        <v/>
      </c>
      <c r="V28" s="1229"/>
      <c r="W28" s="1227"/>
      <c r="X28" s="1228" t="str">
        <f>IF(AK8&gt;7,IF(AK7&gt;3,"/",""),"")</f>
        <v/>
      </c>
      <c r="Y28" s="1229"/>
      <c r="Z28" s="1227"/>
      <c r="AA28" s="1228" t="str">
        <f>IF(AK8&gt;8,IF(AK7&gt;3,"/",""),"")</f>
        <v/>
      </c>
      <c r="AB28" s="1229"/>
      <c r="AC28" s="1227"/>
      <c r="AD28" s="1228" t="str">
        <f>IF(AK8&gt;9,IF(AK7&gt;3,"/",""),"")</f>
        <v/>
      </c>
      <c r="AE28" s="1229"/>
      <c r="AF28" s="1218" t="str">
        <f>IF(AK9&gt;4,"Team 5","")</f>
        <v/>
      </c>
      <c r="AG28" s="1230" t="str">
        <f>IF(AK9&lt;5,"",IF(AK8&lt;1,"",IF(B24=5,B30-D30,IF(D24=5,D30-B30,""))))</f>
        <v/>
      </c>
      <c r="AH28" s="1226" t="str">
        <f>IF(AK9&lt;5,"",IF(AK8&lt;2,"",IF(E24=5,E30-G30,IF(G24=5,G30-E30,""))))</f>
        <v/>
      </c>
      <c r="AI28" s="1226" t="str">
        <f>IF(AK9&lt;5,"",IF(AK8&lt;3,"",IF(H24=5,H30-J30,IF(J24=5,J30-H30,""))))</f>
        <v/>
      </c>
      <c r="AJ28" s="1226" t="str">
        <f>IF(AK9&lt;5,"",IF(AK8&lt;4,"",IF(K24=5,K30-M30,IF(M24=5,M30-K30,""))))</f>
        <v/>
      </c>
      <c r="AK28" s="1226" t="str">
        <f>IF(AK9&lt;5,"",IF(AK8&lt;5,"",IF(N24=5,N30-P30,IF(P24=5,P30-N30,""))))</f>
        <v/>
      </c>
      <c r="AL28" s="1226" t="str">
        <f>IF(AK9&lt;5,"",IF(AK8&lt;6,"",IF(Q24=5,Q30-S30,IF(S24=5,S30-Q30,""))))</f>
        <v/>
      </c>
      <c r="AM28" s="1226" t="str">
        <f>IF(AK9&lt;5,"",IF(AK8&lt;7,"",IF(T24=5,T30-V30,IF(V24=5,V30-T30,""))))</f>
        <v/>
      </c>
      <c r="AN28" s="1226" t="str">
        <f>IF(AK9&lt;5,"",IF(AK8&lt;8,"",IF(W24=5,W30-Y30,IF(Y24=5,Y30-W30,""))))</f>
        <v/>
      </c>
      <c r="AO28" s="1226" t="str">
        <f>IF(AK9&lt;5,"",IF(AK8&lt;9,"",IF(Z24=5,Z30-AB30,IF(AB24=5,AB30-Z30,""))))</f>
        <v/>
      </c>
      <c r="AP28" s="1226" t="str">
        <f>IF(AK9&lt;5,"",IF(AK8&lt;10,"",IF(AC24=5,AC30-AE30,IF(AE24=5,AE30-AC30,""))))</f>
        <v/>
      </c>
      <c r="AQ28" s="1220">
        <f>SUM(AG28:AP28)</f>
        <v>0</v>
      </c>
    </row>
    <row r="29" spans="1:47" ht="15" x14ac:dyDescent="0.2">
      <c r="A29" s="1039" t="str">
        <f>IF(AK7&gt;4,"Game 5","")</f>
        <v/>
      </c>
      <c r="B29" s="1227"/>
      <c r="C29" s="1228" t="s">
        <v>53</v>
      </c>
      <c r="D29" s="1229"/>
      <c r="E29" s="1227"/>
      <c r="F29" s="1228" t="str">
        <f>IF(AK8&gt;1,IF(AK7&gt;4,"/",""),"")</f>
        <v/>
      </c>
      <c r="G29" s="1229"/>
      <c r="H29" s="1227"/>
      <c r="I29" s="1228" t="str">
        <f>IF(AK8&gt;2,IF(AK7&gt;4,"/",""),"")</f>
        <v/>
      </c>
      <c r="J29" s="1229"/>
      <c r="K29" s="1227"/>
      <c r="L29" s="1228" t="str">
        <f>IF(AK8&gt;3,IF(AK7&gt;4,"/",""),"")</f>
        <v/>
      </c>
      <c r="M29" s="1229"/>
      <c r="N29" s="1227"/>
      <c r="O29" s="1228" t="str">
        <f>IF(AK8&gt;4,IF(AK7&gt;4,"/",""),"")</f>
        <v/>
      </c>
      <c r="P29" s="1229"/>
      <c r="Q29" s="1227"/>
      <c r="R29" s="1228" t="str">
        <f>IF(AK8&gt;5,IF(AK7&gt;4,"/",""),"")</f>
        <v/>
      </c>
      <c r="S29" s="1229"/>
      <c r="T29" s="1227"/>
      <c r="U29" s="1228" t="str">
        <f>IF(AK8&gt;6,IF(AK7&gt;4,"/",""),"")</f>
        <v/>
      </c>
      <c r="V29" s="1229"/>
      <c r="W29" s="1227"/>
      <c r="X29" s="1228" t="str">
        <f>IF(AK8&gt;7,IF(AK7&gt;4,"/",""),"")</f>
        <v/>
      </c>
      <c r="Y29" s="1229"/>
      <c r="Z29" s="1227"/>
      <c r="AA29" s="1228" t="str">
        <f>IF(AK8&gt;8,IF(AK7&gt;4,"/",""),"")</f>
        <v/>
      </c>
      <c r="AB29" s="1229"/>
      <c r="AC29" s="1227"/>
      <c r="AD29" s="1228" t="str">
        <f>IF(AK8&gt;9,IF(AK7&gt;4,"/",""),"")</f>
        <v/>
      </c>
      <c r="AE29" s="1229"/>
      <c r="AF29" s="1058"/>
      <c r="AG29" s="1058"/>
      <c r="AH29" s="1058"/>
      <c r="AI29" s="1058"/>
      <c r="AJ29" s="1058"/>
      <c r="AK29" s="1058"/>
      <c r="AL29" s="1058"/>
      <c r="AM29" s="1058"/>
      <c r="AN29" s="1058"/>
      <c r="AO29" s="1058"/>
      <c r="AP29" s="1058"/>
      <c r="AQ29" s="1058"/>
    </row>
    <row r="30" spans="1:47" hidden="1" x14ac:dyDescent="0.2">
      <c r="A30" s="1028"/>
      <c r="B30" s="1028">
        <f>IF($AK7=5,SUM(B25:B29),IF($AK7=4,SUM(B25:B28),IF($AK7=3,SUM(B25:B27),IF($AK7=2,SUM(B25:B26),B25))))</f>
        <v>33</v>
      </c>
      <c r="C30" s="1028"/>
      <c r="D30" s="1028">
        <f>IF($AK7=5,SUM(D25:D29),IF($AK7=4,SUM(D25:D28),IF($AK7=3,SUM(D25:D27),IF($AK7=2,SUM(D25:D26),D25))))</f>
        <v>30</v>
      </c>
      <c r="E30" s="1028">
        <f>IF($AK7=5,SUM(E25:E29),IF($AK7=4,SUM(E25:E28),IF($AK7=3,SUM(E25:E27),IF($AK7=2,SUM(E25:E26),E25))))</f>
        <v>29</v>
      </c>
      <c r="F30" s="1028"/>
      <c r="G30" s="1028">
        <f>IF($AK7=5,SUM(G25:G29),IF($AK7=4,SUM(G25:G28),IF($AK7=3,SUM(G25:G27),IF($AK7=2,SUM(G25:G26),G25))))</f>
        <v>26</v>
      </c>
      <c r="H30" s="1028">
        <f>IF($AK7=5,SUM(H25:H29),IF($AK7=4,SUM(H25:H28),IF($AK7=3,SUM(H25:H27),IF($AK7=2,SUM(H25:H26),H25))))</f>
        <v>24</v>
      </c>
      <c r="I30" s="1028"/>
      <c r="J30" s="1028">
        <f>IF($AK7=5,SUM(J25:J29),IF($AK7=4,SUM(J25:J28),IF($AK7=3,SUM(J25:J27),IF($AK7=2,SUM(J25:J26),J25))))</f>
        <v>33</v>
      </c>
      <c r="K30" s="1028">
        <f>IF($AK7=5,SUM(K25:K29),IF($AK7=4,SUM(K25:K28),IF($AK7=3,SUM(K25:K27),IF($AK7=2,SUM(K25:K26),K25))))</f>
        <v>30</v>
      </c>
      <c r="L30" s="1028"/>
      <c r="M30" s="1028">
        <f>IF($AK7=5,SUM(M25:M29),IF($AK7=4,SUM(M25:M28),IF($AK7=3,SUM(M25:M27),IF($AK7=2,SUM(M25:M26),M25))))</f>
        <v>26</v>
      </c>
      <c r="N30" s="1028">
        <f>IF($AK7=5,SUM(N25:N29),IF($AK7=4,SUM(N25:N28),IF($AK7=3,SUM(N25:N27),IF($AK7=2,SUM(N25:N26),N25))))</f>
        <v>28</v>
      </c>
      <c r="O30" s="1028"/>
      <c r="P30" s="1028">
        <f>IF($AK7=5,SUM(P25:P29),IF($AK7=4,SUM(P25:P28),IF($AK7=3,SUM(P25:P27),IF($AK7=2,SUM(P25:P26),P25))))</f>
        <v>27</v>
      </c>
      <c r="Q30" s="1028">
        <f>IF($AK7=5,SUM(Q25:Q29),IF($AK7=4,SUM(Q25:Q28),IF($AK7=3,SUM(Q25:Q27),IF($AK7=2,SUM(Q25:Q26),Q25))))</f>
        <v>35</v>
      </c>
      <c r="R30" s="1028"/>
      <c r="S30" s="1028">
        <f>IF($AK7=5,SUM(S25:S29),IF($AK7=4,SUM(S25:S28),IF($AK7=3,SUM(S25:S27),IF($AK7=2,SUM(S25:S26),S25))))</f>
        <v>17</v>
      </c>
      <c r="T30" s="1028">
        <f>IF($AK7=5,SUM(T25:T29),IF($AK7=4,SUM(T25:T28),IF($AK7=3,SUM(T25:T27),IF($AK7=2,SUM(T25:T26),T25))))</f>
        <v>0</v>
      </c>
      <c r="U30" s="1028"/>
      <c r="V30" s="1028">
        <f>IF($AK7=5,SUM(V25:V29),IF($AK7=4,SUM(V25:V28),IF($AK7=3,SUM(V25:V27),IF($AK7=2,SUM(V25:V26),V25))))</f>
        <v>0</v>
      </c>
      <c r="W30" s="1028">
        <f>IF($AK7=5,SUM(W25:W29),IF($AK7=4,SUM(W25:W28),IF($AK7=3,SUM(W25:W27),IF($AK7=2,SUM(W25:W26),W25))))</f>
        <v>0</v>
      </c>
      <c r="X30" s="1028"/>
      <c r="Y30" s="1028">
        <f>IF($AK7=5,SUM(Y25:Y29),IF($AK7=4,SUM(Y25:Y28),IF($AK7=3,SUM(Y25:Y27),IF($AK7=2,SUM(Y25:Y26),Y25))))</f>
        <v>0</v>
      </c>
      <c r="Z30" s="1028">
        <f>IF($AK7=5,SUM(Z25:Z29),IF($AK7=4,SUM(Z25:Z28),IF($AK7=3,SUM(Z25:Z27),IF($AK7=2,SUM(Z25:Z26),Z25))))</f>
        <v>0</v>
      </c>
      <c r="AA30" s="1028"/>
      <c r="AB30" s="1028">
        <f>IF($AK7=5,SUM(AB25:AB29),IF($AK7=4,SUM(AB25:AB28),IF($AK7=3,SUM(AB25:AB27),IF($AK7=2,SUM(AB25:AB26),AB25))))</f>
        <v>0</v>
      </c>
      <c r="AC30" s="1028">
        <f>IF($AK7=5,SUM(AC25:AC29),IF($AK7=4,SUM(AC25:AC28),IF($AK7=3,SUM(AC25:AC27),IF($AK7=2,SUM(AC25:AC26),AC25))))</f>
        <v>0</v>
      </c>
      <c r="AD30" s="1028"/>
      <c r="AE30" s="1028">
        <f>IF($AK7=5,SUM(AE25:AE29),IF($AK7=4,SUM(AE25:AE28),IF($AK7=3,SUM(AE25:AE27),IF($AK7=2,SUM(AE25:AE26),AE25))))</f>
        <v>0</v>
      </c>
      <c r="AF30" s="1058"/>
      <c r="AG30" s="1058"/>
      <c r="AH30" s="1058"/>
      <c r="AI30" s="1058"/>
      <c r="AJ30" s="1058"/>
      <c r="AK30" s="1058"/>
      <c r="AL30" s="1058"/>
      <c r="AM30" s="1058"/>
      <c r="AN30" s="1058"/>
      <c r="AO30" s="1058"/>
      <c r="AP30" s="1058"/>
      <c r="AQ30" s="1058"/>
    </row>
    <row r="31" spans="1:47" s="1231" customFormat="1" ht="12.75" hidden="1" customHeight="1" x14ac:dyDescent="0.2">
      <c r="A31" s="1231" t="s">
        <v>54</v>
      </c>
      <c r="B31" s="1232">
        <f>IF(AND(B25&gt;D25,$AK8&gt;0,ISNUMBER(B25),ISNUMBER(D25)),1,0)</f>
        <v>1</v>
      </c>
      <c r="C31" s="1232"/>
      <c r="D31" s="1233">
        <f>IF(AND(D25&gt;B25,$AK8&gt;0,ISNUMBER(B25),ISNUMBER(D25)),1,0)</f>
        <v>0</v>
      </c>
      <c r="E31" s="1232">
        <f>IF(AND(E25&gt;G25,$AK8&gt;1,ISNUMBER(E25),ISNUMBER(G25)),1,0)</f>
        <v>1</v>
      </c>
      <c r="F31" s="1232"/>
      <c r="G31" s="1233">
        <f>IF(AND(G25&gt;E25,$AK8&gt;1,ISNUMBER(E25),ISNUMBER(G25)),1,0)</f>
        <v>0</v>
      </c>
      <c r="H31" s="1232">
        <f>IF(AND(H25&gt;J25,$AK8&gt;2,ISNUMBER(H25),ISNUMBER(J25)),1,0)</f>
        <v>0</v>
      </c>
      <c r="I31" s="1232"/>
      <c r="J31" s="1233">
        <f>IF(AND(J25&gt;H25,$AK8&gt;2,ISNUMBER(H25),ISNUMBER(J25)),1,0)</f>
        <v>1</v>
      </c>
      <c r="K31" s="1232">
        <f>IF(AND(K25&gt;M25,$AK8&gt;3,ISNUMBER(K25),ISNUMBER(M25)),1,0)</f>
        <v>1</v>
      </c>
      <c r="L31" s="1232"/>
      <c r="M31" s="1233">
        <f>IF(AND(M25&gt;K25,$AK8&gt;3,ISNUMBER(K25),ISNUMBER(M25)),1,0)</f>
        <v>0</v>
      </c>
      <c r="N31" s="1232">
        <f>IF(AND(N25&gt;P25,$AK8&gt;4,ISNUMBER(N25),ISNUMBER(P25)),1,0)</f>
        <v>1</v>
      </c>
      <c r="O31" s="1232"/>
      <c r="P31" s="1233">
        <f>IF(AND(P25&gt;N25,$AK8&gt;4,ISNUMBER(N25),ISNUMBER(P25)),1,0)</f>
        <v>0</v>
      </c>
      <c r="Q31" s="1232">
        <f>IF(AND(Q25&gt;S25,$AK8&gt;5,ISNUMBER(Q25),ISNUMBER(S25)),1,0)</f>
        <v>1</v>
      </c>
      <c r="R31" s="1232"/>
      <c r="S31" s="1233">
        <f>IF(AND(S25&gt;Q25,$AK8&gt;5,ISNUMBER(Q25),ISNUMBER(S25)),1,0)</f>
        <v>0</v>
      </c>
      <c r="T31" s="1232">
        <f>IF(AND(T25&gt;V25,$AK8&gt;6,ISNUMBER(T25),ISNUMBER(V25)),1,0)</f>
        <v>0</v>
      </c>
      <c r="U31" s="1232"/>
      <c r="V31" s="1233">
        <f>IF(AND(V25&gt;T25,$AK8&gt;6,ISNUMBER(T25),ISNUMBER(V25)),1,0)</f>
        <v>0</v>
      </c>
      <c r="W31" s="1232">
        <f>IF(AND(W25&gt;Y25,$AK8&gt;7,ISNUMBER(W25),ISNUMBER(Y25)),1,0)</f>
        <v>0</v>
      </c>
      <c r="X31" s="1232"/>
      <c r="Y31" s="1233">
        <f>IF(AND(Y25&gt;W25,$AK8&gt;7,ISNUMBER(W25),ISNUMBER(Y25)),1,0)</f>
        <v>0</v>
      </c>
      <c r="Z31" s="1232">
        <f>IF(AND(Z25&gt;AB25,$AK8&gt;8,ISNUMBER(Z25),ISNUMBER(AB25)),1,0)</f>
        <v>0</v>
      </c>
      <c r="AA31" s="1232"/>
      <c r="AB31" s="1233">
        <f>IF(AND(AB25&gt;Z25,$AK8&gt;8,ISNUMBER(Z25),ISNUMBER(AB25)),1,0)</f>
        <v>0</v>
      </c>
      <c r="AC31" s="1232">
        <f>IF(AND(AC25&gt;AE25,$AK8&gt;9,ISNUMBER(AC25),ISNUMBER(AE25)),1,0)</f>
        <v>0</v>
      </c>
      <c r="AD31" s="1232"/>
      <c r="AE31" s="1233">
        <f>IF(AND(AE25&gt;AC25,$AK8&gt;9,ISNUMBER(AC25),ISNUMBER(AE25)),1,0)</f>
        <v>0</v>
      </c>
    </row>
    <row r="32" spans="1:47" s="1231" customFormat="1" ht="12.75" hidden="1" customHeight="1" x14ac:dyDescent="0.2">
      <c r="A32" s="1231" t="s">
        <v>55</v>
      </c>
      <c r="B32" s="1232">
        <f>IF(AND(B26&gt;D26,$AK8&gt;0,$AK7&gt;1,ISNUMBER(B26),ISNUMBER(D26)),1,0)</f>
        <v>0</v>
      </c>
      <c r="C32" s="1232"/>
      <c r="D32" s="1233">
        <f>IF(AND(D26&gt;B26,$AK8&gt;0,$AK7&gt;1,ISNUMBER(B26),ISNUMBER(D26)),1,0)</f>
        <v>0</v>
      </c>
      <c r="E32" s="1232">
        <f>IF(AND(E26&gt;G26,$AK8&gt;1,$AK7&gt;1,ISNUMBER(E26),ISNUMBER(G26)),1,0)</f>
        <v>0</v>
      </c>
      <c r="F32" s="1232"/>
      <c r="G32" s="1233">
        <f>IF(AND(G26&gt;E26,$AK8&gt;1,$AK7&gt;1,ISNUMBER(E26),ISNUMBER(G26)),1,0)</f>
        <v>0</v>
      </c>
      <c r="H32" s="1232">
        <f>IF(AND(H26&gt;J26,$AK8&gt;2,$AK7&gt;1,ISNUMBER(H26),ISNUMBER(J26)),1,0)</f>
        <v>0</v>
      </c>
      <c r="I32" s="1232"/>
      <c r="J32" s="1233">
        <f>IF(AND(J26&gt;H26,$AK8&gt;2,$AK7&gt;1,ISNUMBER(H26),ISNUMBER(J26)),1,0)</f>
        <v>0</v>
      </c>
      <c r="K32" s="1232">
        <f>IF(AND(K26&gt;M26,$AK8&gt;3,$AK7&gt;1,ISNUMBER(K26),ISNUMBER(M26)),1,0)</f>
        <v>0</v>
      </c>
      <c r="L32" s="1232"/>
      <c r="M32" s="1233">
        <f>IF(AND(M26&gt;K26,$AK8&gt;3,$AK7&gt;1,ISNUMBER(K26),ISNUMBER(M26)),1,0)</f>
        <v>0</v>
      </c>
      <c r="N32" s="1232">
        <f>IF(AND(N26&gt;P26,$AK8&gt;4,$AK7&gt;1,ISNUMBER(N26),ISNUMBER(P26)),1,0)</f>
        <v>0</v>
      </c>
      <c r="O32" s="1232"/>
      <c r="P32" s="1233">
        <f>IF(AND(P26&gt;N26,$AK8&gt;4,$AK7&gt;1,ISNUMBER(N26),ISNUMBER(P26)),1,0)</f>
        <v>0</v>
      </c>
      <c r="Q32" s="1232">
        <f>IF(AND(Q26&gt;S26,$AK8&gt;5,$AK7&gt;1,ISNUMBER(Q26),ISNUMBER(S26)),1,0)</f>
        <v>0</v>
      </c>
      <c r="R32" s="1232"/>
      <c r="S32" s="1233">
        <f>IF(AND(S26&gt;Q26,$AK8&gt;5,$AK7&gt;1,ISNUMBER(Q26),ISNUMBER(S26)),1,0)</f>
        <v>0</v>
      </c>
      <c r="T32" s="1232">
        <f>IF(AND(T26&gt;V26,$AK8&gt;6,$AK7&gt;1,ISNUMBER(T26),ISNUMBER(V26)),1,0)</f>
        <v>0</v>
      </c>
      <c r="U32" s="1232"/>
      <c r="V32" s="1233">
        <f>IF(AND(V26&gt;T26,$AK8&gt;6,$AK7&gt;1,ISNUMBER(T26),ISNUMBER(V26)),1,0)</f>
        <v>0</v>
      </c>
      <c r="W32" s="1232">
        <f>IF(AND(W26&gt;Y26,$AK8&gt;7,$AK7&gt;1,ISNUMBER(W26),ISNUMBER(Y26)),1,0)</f>
        <v>0</v>
      </c>
      <c r="X32" s="1232"/>
      <c r="Y32" s="1233">
        <f>IF(AND(Y26&gt;W26,$AK8&gt;7,$AK7&gt;1,ISNUMBER(W26),ISNUMBER(Y26)),1,0)</f>
        <v>0</v>
      </c>
      <c r="Z32" s="1232">
        <f>IF(AND(Z26&gt;AB26,$AK8&gt;8,$AK7&gt;1,ISNUMBER(Z26),ISNUMBER(AB26)),1,0)</f>
        <v>0</v>
      </c>
      <c r="AA32" s="1232"/>
      <c r="AB32" s="1233">
        <f>IF(AND(AB26&gt;Z26,$AK8&gt;8,$AK7&gt;1,ISNUMBER(Z26),ISNUMBER(AB26)),1,0)</f>
        <v>0</v>
      </c>
      <c r="AC32" s="1232">
        <f>IF(AND(AC26&gt;AE26,$AK8&gt;9,$AK7&gt;1,ISNUMBER(AC26),ISNUMBER(AE26)),1,0)</f>
        <v>0</v>
      </c>
      <c r="AD32" s="1232"/>
      <c r="AE32" s="1233">
        <f>IF(AND(AE26&gt;AC26,$AK8&gt;9,$AK7&gt;1,ISNUMBER(AC26),ISNUMBER(AE26)),1,0)</f>
        <v>0</v>
      </c>
    </row>
    <row r="33" spans="1:33" s="1231" customFormat="1" ht="12.75" hidden="1" customHeight="1" x14ac:dyDescent="0.2">
      <c r="A33" s="1231" t="s">
        <v>56</v>
      </c>
      <c r="B33" s="1232">
        <f>IF(AND(B27&gt;D27,$AK8&gt;0,$AK7&gt;2,ISNUMBER(B27),ISNUMBER(D27)),1,0)</f>
        <v>0</v>
      </c>
      <c r="C33" s="1232"/>
      <c r="D33" s="1233">
        <f>IF(AND(D27&gt;B27,$AK8&gt;0,$AK7&gt;2,ISNUMBER(B27),ISNUMBER(D27)),1,0)</f>
        <v>0</v>
      </c>
      <c r="E33" s="1232">
        <f>IF(AND(E27&gt;G27,$AK8&gt;1,$AK7&gt;2,ISNUMBER(E27),ISNUMBER(G27)),1,0)</f>
        <v>0</v>
      </c>
      <c r="F33" s="1232"/>
      <c r="G33" s="1233">
        <f>IF(AND(G27&gt;E27,$AK8&gt;1,$AK7&gt;2,ISNUMBER(E27),ISNUMBER(G27)),1,0)</f>
        <v>0</v>
      </c>
      <c r="H33" s="1232">
        <f>IF(AND(H27&gt;J27,$AK8&gt;2,$AK7&gt;2,ISNUMBER(H27),ISNUMBER(J27)),1,0)</f>
        <v>0</v>
      </c>
      <c r="I33" s="1232"/>
      <c r="J33" s="1233">
        <f>IF(AND(J27&gt;H27,$AK8&gt;2,$AK7&gt;2,ISNUMBER(H27),ISNUMBER(J27)),1,0)</f>
        <v>0</v>
      </c>
      <c r="K33" s="1232">
        <f>IF(AND(K27&gt;M27,$AK8&gt;3,$AK7&gt;2,ISNUMBER(K27),ISNUMBER(M27)),1,0)</f>
        <v>0</v>
      </c>
      <c r="L33" s="1232"/>
      <c r="M33" s="1233">
        <f>IF(AND(M27&gt;K27,$AK8&gt;3,$AK7&gt;2,ISNUMBER(K27),ISNUMBER(M27)),1,0)</f>
        <v>0</v>
      </c>
      <c r="N33" s="1232">
        <f>IF(AND(N27&gt;P27,$AK8&gt;4,$AK7&gt;2,ISNUMBER(N27),ISNUMBER(P27)),1,0)</f>
        <v>0</v>
      </c>
      <c r="O33" s="1232"/>
      <c r="P33" s="1233">
        <f>IF(AND(P27&gt;N27,$AK8&gt;4,$AK7&gt;2,ISNUMBER(N27),ISNUMBER(P27)),1,0)</f>
        <v>0</v>
      </c>
      <c r="Q33" s="1232">
        <f>IF(AND(Q27&gt;S27,$AK8&gt;5,$AK7&gt;2,ISNUMBER(Q27),ISNUMBER(S27)),1,0)</f>
        <v>0</v>
      </c>
      <c r="R33" s="1232"/>
      <c r="S33" s="1233">
        <f>IF(AND(S27&gt;Q27,$AK8&gt;5,$AK7&gt;2,ISNUMBER(Q27),ISNUMBER(S27)),1,0)</f>
        <v>0</v>
      </c>
      <c r="T33" s="1232">
        <f>IF(AND(T27&gt;V27,$AK8&gt;6,$AK7&gt;2,ISNUMBER(T27),ISNUMBER(V27)),1,0)</f>
        <v>0</v>
      </c>
      <c r="U33" s="1232"/>
      <c r="V33" s="1233">
        <f>IF(AND(V27&gt;T27,$AK8&gt;6,$AK7&gt;2,ISNUMBER(T27),ISNUMBER(V27)),1,0)</f>
        <v>0</v>
      </c>
      <c r="W33" s="1232">
        <f>IF(AND(W27&gt;Y27,$AK8&gt;7,$AK7&gt;2,ISNUMBER(W27),ISNUMBER(Y27)),1,0)</f>
        <v>0</v>
      </c>
      <c r="X33" s="1232"/>
      <c r="Y33" s="1233">
        <f>IF(AND(Y27&gt;W27,$AK8&gt;7,$AK7&gt;2,ISNUMBER(W27),ISNUMBER(Y27)),1,0)</f>
        <v>0</v>
      </c>
      <c r="Z33" s="1232">
        <f>IF(AND(Z27&gt;AB27,$AK8&gt;8,$AK7&gt;2,ISNUMBER(Z27),ISNUMBER(AB27)),1,0)</f>
        <v>0</v>
      </c>
      <c r="AA33" s="1232"/>
      <c r="AB33" s="1233">
        <f>IF(AND(AB27&gt;Z27,$AK8&gt;8,$AK7&gt;2,ISNUMBER(Z27),ISNUMBER(AB27)),1,0)</f>
        <v>0</v>
      </c>
      <c r="AC33" s="1232">
        <f>IF(AND(AC27&gt;AE27,$AK8&gt;9,$AK7&gt;2,ISNUMBER(AC27),ISNUMBER(AE27)),1,0)</f>
        <v>0</v>
      </c>
      <c r="AD33" s="1232"/>
      <c r="AE33" s="1233">
        <f>IF(AND(AE27&gt;AC27,$AK8&gt;9,$AK7&gt;2,ISNUMBER(AC27),ISNUMBER(AE27)),1,0)</f>
        <v>0</v>
      </c>
    </row>
    <row r="34" spans="1:33" s="1231" customFormat="1" ht="12.75" hidden="1" customHeight="1" x14ac:dyDescent="0.2">
      <c r="A34" s="1231" t="s">
        <v>57</v>
      </c>
      <c r="B34" s="1232">
        <f>IF(AND(B28&gt;D28,$AK8&gt;0,$AK7&gt;3,ISNUMBER(B28),ISNUMBER(D28)),1,0)</f>
        <v>0</v>
      </c>
      <c r="C34" s="1232"/>
      <c r="D34" s="1233">
        <f>IF(AND(D28&gt;B28,$AK8&gt;0,$AK7&gt;3,ISNUMBER(B28),ISNUMBER(D28)),1,0)</f>
        <v>0</v>
      </c>
      <c r="E34" s="1232">
        <f>IF(AND(E28&gt;G28,$AK8&gt;1,$AK7&gt;3,ISNUMBER(E28),ISNUMBER(G28)),1,0)</f>
        <v>0</v>
      </c>
      <c r="F34" s="1232"/>
      <c r="G34" s="1233">
        <f>IF(AND(G28&gt;E28,$AK8&gt;1,$AK7&gt;3,ISNUMBER(E28),ISNUMBER(G28)),1,0)</f>
        <v>0</v>
      </c>
      <c r="H34" s="1232">
        <f>IF(AND(H28&gt;J28,$AK8&gt;2,$AK7&gt;3,ISNUMBER(H28),ISNUMBER(J28)),1,0)</f>
        <v>0</v>
      </c>
      <c r="I34" s="1232"/>
      <c r="J34" s="1233">
        <f>IF(AND(J28&gt;H28,$AK8&gt;2,$AK7&gt;3,ISNUMBER(H28),ISNUMBER(J28)),1,0)</f>
        <v>0</v>
      </c>
      <c r="K34" s="1232">
        <f>IF(AND(K28&gt;M28,$AK8&gt;3,$AK7&gt;3,ISNUMBER(K28),ISNUMBER(M28)),1,0)</f>
        <v>0</v>
      </c>
      <c r="L34" s="1232"/>
      <c r="M34" s="1233">
        <f>IF(AND(M28&gt;K28,$AK8&gt;3,$AK7&gt;3,ISNUMBER(K28),ISNUMBER(M28)),1,0)</f>
        <v>0</v>
      </c>
      <c r="N34" s="1232">
        <f>IF(AND(N28&gt;P28,$AK8&gt;4,$AK7&gt;3,ISNUMBER(N28),ISNUMBER(P28)),1,0)</f>
        <v>0</v>
      </c>
      <c r="O34" s="1232"/>
      <c r="P34" s="1233">
        <f>IF(AND(P28&gt;N28,$AK8&gt;4,$AK7&gt;3,ISNUMBER(N28),ISNUMBER(P28)),1,0)</f>
        <v>0</v>
      </c>
      <c r="Q34" s="1232">
        <f>IF(AND(Q28&gt;S28,$AK8&gt;5,$AK7&gt;3,ISNUMBER(Q28),ISNUMBER(S28)),1,0)</f>
        <v>0</v>
      </c>
      <c r="R34" s="1232"/>
      <c r="S34" s="1233">
        <f>IF(AND(S28&gt;Q28,$AK8&gt;5,$AK7&gt;3,ISNUMBER(Q28),ISNUMBER(S28)),1,0)</f>
        <v>0</v>
      </c>
      <c r="T34" s="1232">
        <f>IF(AND(T28&gt;V28,$AK8&gt;6,$AK7&gt;3,ISNUMBER(T28),ISNUMBER(V28)),1,0)</f>
        <v>0</v>
      </c>
      <c r="U34" s="1232"/>
      <c r="V34" s="1233">
        <f>IF(AND(V28&gt;T28,$AK8&gt;6,$AK7&gt;3,ISNUMBER(T28),ISNUMBER(V28)),1,0)</f>
        <v>0</v>
      </c>
      <c r="W34" s="1232">
        <f>IF(AND(W28&gt;Y28,$AK8&gt;7,$AK7&gt;3,ISNUMBER(W28),ISNUMBER(Y28)),1,0)</f>
        <v>0</v>
      </c>
      <c r="X34" s="1232"/>
      <c r="Y34" s="1233">
        <f>IF(AND(Y28&gt;W28,$AK8&gt;7,$AK7&gt;3,ISNUMBER(W28),ISNUMBER(Y28)),1,0)</f>
        <v>0</v>
      </c>
      <c r="Z34" s="1232">
        <f>IF(AND(Z28&gt;AB28,$AK8&gt;8,$AK7&gt;3,ISNUMBER(Z28),ISNUMBER(AB28)),1,0)</f>
        <v>0</v>
      </c>
      <c r="AA34" s="1232"/>
      <c r="AB34" s="1233">
        <f>IF(AND(AB28&gt;Z28,$AK8&gt;8,$AK7&gt;3,ISNUMBER(Z28),ISNUMBER(AB28)),1,0)</f>
        <v>0</v>
      </c>
      <c r="AC34" s="1232">
        <f>IF(AND(AC28&gt;AE28,$AK8&gt;9,$AK7&gt;3,ISNUMBER(AC28),ISNUMBER(AE28)),1,0)</f>
        <v>0</v>
      </c>
      <c r="AD34" s="1232"/>
      <c r="AE34" s="1233">
        <f>IF(AND(AE28&gt;AC28,$AK8&gt;9,$AK7&gt;3,ISNUMBER(AC28),ISNUMBER(AE28)),1,0)</f>
        <v>0</v>
      </c>
    </row>
    <row r="35" spans="1:33" s="1231" customFormat="1" ht="12.75" hidden="1" customHeight="1" x14ac:dyDescent="0.2">
      <c r="A35" s="1231" t="s">
        <v>58</v>
      </c>
      <c r="B35" s="1232">
        <f>IF(AND(B29&gt;D29,$AK8&gt;0,$AK7&gt;4,ISNUMBER(B29),ISNUMBER(D29)),1,0)</f>
        <v>0</v>
      </c>
      <c r="C35" s="1232"/>
      <c r="D35" s="1233">
        <f>IF(AND(D29&gt;B29,$AK8&gt;0,$AK7&gt;4,ISNUMBER(B29),ISNUMBER(D29)),1,0)</f>
        <v>0</v>
      </c>
      <c r="E35" s="1232">
        <f>IF(AND(E29&gt;G29,$AK8&gt;1,$AK7&gt;4,ISNUMBER(E29),ISNUMBER(G29)),1,0)</f>
        <v>0</v>
      </c>
      <c r="F35" s="1232"/>
      <c r="G35" s="1233">
        <f>IF(AND(G29&gt;E29,$AK8&gt;1,$AK7&gt;4,ISNUMBER(E29),ISNUMBER(G29)),1,0)</f>
        <v>0</v>
      </c>
      <c r="H35" s="1232">
        <f>IF(AND(H29&gt;J29,$AK8&gt;2,$AK7&gt;4,ISNUMBER(H29),ISNUMBER(J29)),1,0)</f>
        <v>0</v>
      </c>
      <c r="I35" s="1232"/>
      <c r="J35" s="1233">
        <f>IF(AND(J29&gt;H29,$AK8&gt;2,$AK7&gt;4,ISNUMBER(H29),ISNUMBER(J29)),1,0)</f>
        <v>0</v>
      </c>
      <c r="K35" s="1232">
        <f>IF(AND(K29&gt;M29,$AK8&gt;3,$AK7&gt;4,ISNUMBER(K29),ISNUMBER(M29)),1,0)</f>
        <v>0</v>
      </c>
      <c r="L35" s="1232"/>
      <c r="M35" s="1233">
        <f>IF(AND(M29&gt;K29,$AK8&gt;3,$AK7&gt;4,ISNUMBER(K29),ISNUMBER(M29)),1,0)</f>
        <v>0</v>
      </c>
      <c r="N35" s="1232">
        <f>IF(AND(N29&gt;P29,$AK8&gt;4,$AK7&gt;4,ISNUMBER(N29),ISNUMBER(P29)),1,0)</f>
        <v>0</v>
      </c>
      <c r="O35" s="1232"/>
      <c r="P35" s="1233">
        <f>IF(AND(P29&gt;N29,$AK8&gt;4,$AK7&gt;4,ISNUMBER(N29),ISNUMBER(P29)),1,0)</f>
        <v>0</v>
      </c>
      <c r="Q35" s="1232">
        <f>IF(AND(Q29&gt;S29,$AK8&gt;5,$AK7&gt;4,ISNUMBER(Q29),ISNUMBER(S29)),1,0)</f>
        <v>0</v>
      </c>
      <c r="R35" s="1232"/>
      <c r="S35" s="1233">
        <f>IF(AND(S29&gt;Q29,$AK8&gt;5,$AK7&gt;4,ISNUMBER(Q29),ISNUMBER(S29)),1,0)</f>
        <v>0</v>
      </c>
      <c r="T35" s="1232">
        <f>IF(AND(T29&gt;V29,$AK8&gt;6,$AK7&gt;4,ISNUMBER(T29),ISNUMBER(V29)),1,0)</f>
        <v>0</v>
      </c>
      <c r="U35" s="1232"/>
      <c r="V35" s="1233">
        <f>IF(AND(V29&gt;T29,$AK8&gt;6,$AK7&gt;4,ISNUMBER(T29),ISNUMBER(V29)),1,0)</f>
        <v>0</v>
      </c>
      <c r="W35" s="1232">
        <f>IF(AND(W29&gt;Y29,$AK8&gt;7,$AK7&gt;4,ISNUMBER(W29),ISNUMBER(Y29)),1,0)</f>
        <v>0</v>
      </c>
      <c r="X35" s="1232"/>
      <c r="Y35" s="1233">
        <f>IF(AND(Y29&gt;W29,$AK8&gt;7,$AK7&gt;4,ISNUMBER(W29),ISNUMBER(Y29)),1,0)</f>
        <v>0</v>
      </c>
      <c r="Z35" s="1232">
        <f>IF(AND(Z29&gt;AB29,$AK8&gt;8,$AK7&gt;4,ISNUMBER(Z29),ISNUMBER(AB29)),1,0)</f>
        <v>0</v>
      </c>
      <c r="AA35" s="1232"/>
      <c r="AB35" s="1233">
        <f>IF(AND(AB29&gt;Z29,$AK8&gt;8,$AK7&gt;4,ISNUMBER(Z29),ISNUMBER(AB29)),1,0)</f>
        <v>0</v>
      </c>
      <c r="AC35" s="1232">
        <f>IF(AND(AC29&gt;AE29,$AK8&gt;9,$AK7&gt;4,ISNUMBER(AC29),ISNUMBER(AE29)),1,0)</f>
        <v>0</v>
      </c>
      <c r="AD35" s="1232"/>
      <c r="AE35" s="1233">
        <f>IF(AND(AE29&gt;AC29,$AK8&gt;9,$AK7&gt;4,ISNUMBER(AC29),ISNUMBER(AE29)),1,0)</f>
        <v>0</v>
      </c>
    </row>
    <row r="36" spans="1:33" s="1231" customFormat="1" ht="38.25" hidden="1" customHeight="1" x14ac:dyDescent="0.2">
      <c r="A36" s="1234" t="s">
        <v>59</v>
      </c>
      <c r="B36" s="1231">
        <f>SUM(B31:B35)</f>
        <v>1</v>
      </c>
      <c r="D36" s="1235">
        <f>SUM(D31:D35)</f>
        <v>0</v>
      </c>
      <c r="E36" s="1231">
        <f>SUM(E31:E35)</f>
        <v>1</v>
      </c>
      <c r="G36" s="1235">
        <f>SUM(G31:G35)</f>
        <v>0</v>
      </c>
      <c r="H36" s="1231">
        <f>SUM(H31:H35)</f>
        <v>0</v>
      </c>
      <c r="J36" s="1235">
        <f>SUM(J31:J35)</f>
        <v>1</v>
      </c>
      <c r="K36" s="1231">
        <f>SUM(K31:K35)</f>
        <v>1</v>
      </c>
      <c r="M36" s="1235">
        <f>SUM(M31:M35)</f>
        <v>0</v>
      </c>
      <c r="N36" s="1231">
        <f>SUM(N31:N35)</f>
        <v>1</v>
      </c>
      <c r="P36" s="1235">
        <f>SUM(P31:P35)</f>
        <v>0</v>
      </c>
      <c r="Q36" s="1231">
        <f>SUM(Q31:Q35)</f>
        <v>1</v>
      </c>
      <c r="S36" s="1235">
        <f>SUM(S31:S35)</f>
        <v>0</v>
      </c>
      <c r="T36" s="1231">
        <f>SUM(T31:T35)</f>
        <v>0</v>
      </c>
      <c r="V36" s="1235">
        <f>SUM(V31:V35)</f>
        <v>0</v>
      </c>
      <c r="W36" s="1231">
        <f>SUM(W31:W35)</f>
        <v>0</v>
      </c>
      <c r="Y36" s="1235">
        <f>SUM(Y31:Y35)</f>
        <v>0</v>
      </c>
      <c r="Z36" s="1231">
        <f>SUM(Z31:Z35)</f>
        <v>0</v>
      </c>
      <c r="AB36" s="1235">
        <f>SUM(AB31:AB35)</f>
        <v>0</v>
      </c>
      <c r="AC36" s="1231">
        <f>SUM(AC31:AC35)</f>
        <v>0</v>
      </c>
      <c r="AE36" s="1235">
        <f>SUM(AE31:AE35)</f>
        <v>0</v>
      </c>
    </row>
    <row r="37" spans="1:33" s="1231" customFormat="1" ht="25.5" hidden="1" customHeight="1" x14ac:dyDescent="0.2">
      <c r="A37" s="1234" t="s">
        <v>60</v>
      </c>
      <c r="B37" s="1231">
        <f>IF(B36&gt;D36,IF(C71=AK7,1,IF(C71=AK7-1,1,0)),0)</f>
        <v>1</v>
      </c>
      <c r="C37" s="1231">
        <f>B37+D37</f>
        <v>1</v>
      </c>
      <c r="D37" s="1235">
        <f>IF(D36&gt;B36,IF(C71=AK7,1,IF(C71=AK7-1,1,0)),0)</f>
        <v>0</v>
      </c>
      <c r="E37" s="1231">
        <f>IF(E36&gt;G36,IF(F71=AK7,1,IF(F71=AK7-1,1,0)),0)</f>
        <v>1</v>
      </c>
      <c r="F37" s="1231">
        <f>E37+G37</f>
        <v>1</v>
      </c>
      <c r="G37" s="1235">
        <f>IF(G36&gt;E36,IF(F71=AK7,1,IF(F71=AK7-1,1,0)),0)</f>
        <v>0</v>
      </c>
      <c r="H37" s="1231">
        <f>IF(H36&gt;J36,IF(I71=AK7,1,IF(I71=AK7-1,1,0)),0)</f>
        <v>0</v>
      </c>
      <c r="I37" s="1231">
        <f>H37+J37</f>
        <v>1</v>
      </c>
      <c r="J37" s="1235">
        <f>IF(J36&gt;H36,IF(I71=AK7,1,IF(I71=AK7-1,1,0)),0)</f>
        <v>1</v>
      </c>
      <c r="K37" s="1231">
        <f>IF(K36&gt;M36,IF(L71=AK7,1,IF(L71=AK7-1,1,0)),0)</f>
        <v>1</v>
      </c>
      <c r="L37" s="1231">
        <f>K37+M37</f>
        <v>1</v>
      </c>
      <c r="M37" s="1235">
        <f>IF(M36&gt;K36,IF(L71=AK7,1,IF(L71=AK7-1,1,0)),0)</f>
        <v>0</v>
      </c>
      <c r="N37" s="1231">
        <f>IF(N36&gt;P36,IF(O71=AK7,1,IF(O71=AK7-1,1,0)),0)</f>
        <v>1</v>
      </c>
      <c r="O37" s="1231">
        <f>N37+P37</f>
        <v>1</v>
      </c>
      <c r="P37" s="1235">
        <f>IF(P36&gt;N36,IF(O71=AK7,1,IF(O71=AK7-1,1,0)),0)</f>
        <v>0</v>
      </c>
      <c r="Q37" s="1231">
        <f>IF(Q36&gt;S36,IF(R71=AK7,1,IF(R71=AK7-1,1,0)),0)</f>
        <v>1</v>
      </c>
      <c r="R37" s="1231">
        <f>Q37+S37</f>
        <v>1</v>
      </c>
      <c r="S37" s="1235">
        <f>IF(S36&gt;Q36,IF(R71=AK7,1,IF(R71=AK7-1,1,0)),0)</f>
        <v>0</v>
      </c>
      <c r="T37" s="1231">
        <f>IF(T36&gt;V36,IF(U71=AK7,1,IF(U71=AK7-1,1,0)),0)</f>
        <v>0</v>
      </c>
      <c r="U37" s="1231">
        <f>T37+V37</f>
        <v>0</v>
      </c>
      <c r="V37" s="1235">
        <f>IF(V36&gt;T36,IF(U71=AK7,1,IF(U71=AK7-1,1,0)),0)</f>
        <v>0</v>
      </c>
      <c r="W37" s="1231">
        <f>IF(W36&gt;Y36,IF(X71=AK7,1,IF(X71=AK7-1,1,0)),0)</f>
        <v>0</v>
      </c>
      <c r="X37" s="1231">
        <f>W37+Y37</f>
        <v>0</v>
      </c>
      <c r="Y37" s="1235">
        <f>IF(Y36&gt;W36,IF(X71=AK7,1,IF(X71=AK7-1,1,0)),0)</f>
        <v>0</v>
      </c>
      <c r="Z37" s="1231">
        <f>IF(Z36&gt;AB36,IF(AA71=AK7,1,IF(AA71=AK7-1,1,0)),0)</f>
        <v>0</v>
      </c>
      <c r="AA37" s="1231">
        <f>Z37+AB37</f>
        <v>0</v>
      </c>
      <c r="AB37" s="1235">
        <f>IF(AB36&gt;Z36,IF(AA71=AK7,1,IF(AA71=AK7-1,1,0)),0)</f>
        <v>0</v>
      </c>
      <c r="AC37" s="1231">
        <f>IF(AC36&gt;AE36,IF(AD71=AK7,1,IF(AD71=AK7-1,1,0)),0)</f>
        <v>0</v>
      </c>
      <c r="AD37" s="1231">
        <f>AC37+AE37</f>
        <v>0</v>
      </c>
      <c r="AE37" s="1235">
        <f>IF(AE36&gt;AC36,IF(AD71=AK7,1,IF(AD71=AK7-1,1,0)),0)</f>
        <v>0</v>
      </c>
    </row>
    <row r="38" spans="1:33" s="1231" customFormat="1" ht="25.5" hidden="1" customHeight="1" x14ac:dyDescent="0.2">
      <c r="A38" s="1234"/>
      <c r="D38" s="1235"/>
      <c r="G38" s="1235"/>
      <c r="J38" s="1235"/>
      <c r="M38" s="1235"/>
      <c r="P38" s="1235"/>
      <c r="S38" s="1235"/>
      <c r="V38" s="1235"/>
      <c r="Y38" s="1235"/>
      <c r="AB38" s="1235"/>
      <c r="AE38" s="1235"/>
    </row>
    <row r="39" spans="1:33" s="1231" customFormat="1" ht="12.75" hidden="1" customHeight="1" x14ac:dyDescent="0.2">
      <c r="A39" s="1231" t="s">
        <v>61</v>
      </c>
      <c r="B39" s="1231">
        <f>IF(B31=1,B25,0)</f>
        <v>33</v>
      </c>
      <c r="D39" s="1235">
        <f t="shared" ref="D39:E43" si="0">IF(D31=1,D25,0)</f>
        <v>0</v>
      </c>
      <c r="E39" s="1231">
        <f t="shared" si="0"/>
        <v>29</v>
      </c>
      <c r="G39" s="1235">
        <f t="shared" ref="G39:H43" si="1">IF(G31=1,G25,0)</f>
        <v>0</v>
      </c>
      <c r="H39" s="1231">
        <f t="shared" si="1"/>
        <v>0</v>
      </c>
      <c r="J39" s="1235">
        <f t="shared" ref="J39:K43" si="2">IF(J31=1,J25,0)</f>
        <v>33</v>
      </c>
      <c r="K39" s="1231">
        <f t="shared" si="2"/>
        <v>30</v>
      </c>
      <c r="M39" s="1235">
        <f t="shared" ref="M39:N43" si="3">IF(M31=1,M25,0)</f>
        <v>0</v>
      </c>
      <c r="N39" s="1231">
        <f t="shared" si="3"/>
        <v>28</v>
      </c>
      <c r="P39" s="1235">
        <f t="shared" ref="P39:Q43" si="4">IF(P31=1,P25,0)</f>
        <v>0</v>
      </c>
      <c r="Q39" s="1231">
        <f t="shared" si="4"/>
        <v>35</v>
      </c>
      <c r="S39" s="1235">
        <f t="shared" ref="S39:T43" si="5">IF(S31=1,S25,0)</f>
        <v>0</v>
      </c>
      <c r="T39" s="1231">
        <f t="shared" si="5"/>
        <v>0</v>
      </c>
      <c r="V39" s="1235">
        <f t="shared" ref="V39:W43" si="6">IF(V31=1,V25,0)</f>
        <v>0</v>
      </c>
      <c r="W39" s="1231">
        <f t="shared" si="6"/>
        <v>0</v>
      </c>
      <c r="Y39" s="1235">
        <f t="shared" ref="Y39:Z43" si="7">IF(Y31=1,Y25,0)</f>
        <v>0</v>
      </c>
      <c r="Z39" s="1231">
        <f t="shared" si="7"/>
        <v>0</v>
      </c>
      <c r="AB39" s="1235">
        <f t="shared" ref="AB39:AC43" si="8">IF(AB31=1,AB25,0)</f>
        <v>0</v>
      </c>
      <c r="AC39" s="1231">
        <f t="shared" si="8"/>
        <v>0</v>
      </c>
      <c r="AE39" s="1235">
        <f>IF(AE31=1,AE25,0)</f>
        <v>0</v>
      </c>
    </row>
    <row r="40" spans="1:33" s="1231" customFormat="1" ht="12.75" hidden="1" customHeight="1" x14ac:dyDescent="0.2">
      <c r="A40" s="1231" t="s">
        <v>62</v>
      </c>
      <c r="B40" s="1231">
        <f>IF(B32=1,B26,0)</f>
        <v>0</v>
      </c>
      <c r="D40" s="1235">
        <f t="shared" si="0"/>
        <v>0</v>
      </c>
      <c r="E40" s="1231">
        <f t="shared" si="0"/>
        <v>0</v>
      </c>
      <c r="G40" s="1235">
        <f t="shared" si="1"/>
        <v>0</v>
      </c>
      <c r="H40" s="1231">
        <f t="shared" si="1"/>
        <v>0</v>
      </c>
      <c r="J40" s="1235">
        <f t="shared" si="2"/>
        <v>0</v>
      </c>
      <c r="K40" s="1231">
        <f t="shared" si="2"/>
        <v>0</v>
      </c>
      <c r="M40" s="1235">
        <f t="shared" si="3"/>
        <v>0</v>
      </c>
      <c r="N40" s="1231">
        <f t="shared" si="3"/>
        <v>0</v>
      </c>
      <c r="P40" s="1235">
        <f t="shared" si="4"/>
        <v>0</v>
      </c>
      <c r="Q40" s="1231">
        <f t="shared" si="4"/>
        <v>0</v>
      </c>
      <c r="S40" s="1235">
        <f t="shared" si="5"/>
        <v>0</v>
      </c>
      <c r="T40" s="1231">
        <f t="shared" si="5"/>
        <v>0</v>
      </c>
      <c r="V40" s="1235">
        <f t="shared" si="6"/>
        <v>0</v>
      </c>
      <c r="W40" s="1231">
        <f t="shared" si="6"/>
        <v>0</v>
      </c>
      <c r="Y40" s="1235">
        <f t="shared" si="7"/>
        <v>0</v>
      </c>
      <c r="Z40" s="1231">
        <f t="shared" si="7"/>
        <v>0</v>
      </c>
      <c r="AB40" s="1235">
        <f t="shared" si="8"/>
        <v>0</v>
      </c>
      <c r="AC40" s="1231">
        <f t="shared" si="8"/>
        <v>0</v>
      </c>
      <c r="AE40" s="1235">
        <f>IF(AE32=1,AE26,0)</f>
        <v>0</v>
      </c>
    </row>
    <row r="41" spans="1:33" s="1231" customFormat="1" ht="12.75" hidden="1" customHeight="1" x14ac:dyDescent="0.2">
      <c r="A41" s="1231" t="s">
        <v>63</v>
      </c>
      <c r="B41" s="1231">
        <f>IF(B33=1,B27,0)</f>
        <v>0</v>
      </c>
      <c r="D41" s="1235">
        <f t="shared" si="0"/>
        <v>0</v>
      </c>
      <c r="E41" s="1231">
        <f t="shared" si="0"/>
        <v>0</v>
      </c>
      <c r="G41" s="1235">
        <f t="shared" si="1"/>
        <v>0</v>
      </c>
      <c r="H41" s="1231">
        <f t="shared" si="1"/>
        <v>0</v>
      </c>
      <c r="J41" s="1235">
        <f t="shared" si="2"/>
        <v>0</v>
      </c>
      <c r="K41" s="1231">
        <f t="shared" si="2"/>
        <v>0</v>
      </c>
      <c r="M41" s="1235">
        <f t="shared" si="3"/>
        <v>0</v>
      </c>
      <c r="N41" s="1231">
        <f t="shared" si="3"/>
        <v>0</v>
      </c>
      <c r="P41" s="1235">
        <f t="shared" si="4"/>
        <v>0</v>
      </c>
      <c r="Q41" s="1231">
        <f t="shared" si="4"/>
        <v>0</v>
      </c>
      <c r="S41" s="1235">
        <f t="shared" si="5"/>
        <v>0</v>
      </c>
      <c r="T41" s="1231">
        <f t="shared" si="5"/>
        <v>0</v>
      </c>
      <c r="V41" s="1235">
        <f t="shared" si="6"/>
        <v>0</v>
      </c>
      <c r="W41" s="1231">
        <f t="shared" si="6"/>
        <v>0</v>
      </c>
      <c r="Y41" s="1235">
        <f t="shared" si="7"/>
        <v>0</v>
      </c>
      <c r="Z41" s="1231">
        <f t="shared" si="7"/>
        <v>0</v>
      </c>
      <c r="AB41" s="1235">
        <f t="shared" si="8"/>
        <v>0</v>
      </c>
      <c r="AC41" s="1231">
        <f t="shared" si="8"/>
        <v>0</v>
      </c>
      <c r="AE41" s="1235">
        <f>IF(AE33=1,AE27,0)</f>
        <v>0</v>
      </c>
    </row>
    <row r="42" spans="1:33" s="1231" customFormat="1" ht="12.75" hidden="1" customHeight="1" x14ac:dyDescent="0.2">
      <c r="A42" s="1231" t="s">
        <v>64</v>
      </c>
      <c r="B42" s="1231">
        <f>IF(B34=1,B28,0)</f>
        <v>0</v>
      </c>
      <c r="D42" s="1235">
        <f t="shared" si="0"/>
        <v>0</v>
      </c>
      <c r="E42" s="1231">
        <f t="shared" si="0"/>
        <v>0</v>
      </c>
      <c r="G42" s="1235">
        <f t="shared" si="1"/>
        <v>0</v>
      </c>
      <c r="H42" s="1231">
        <f t="shared" si="1"/>
        <v>0</v>
      </c>
      <c r="J42" s="1235">
        <f t="shared" si="2"/>
        <v>0</v>
      </c>
      <c r="K42" s="1231">
        <f t="shared" si="2"/>
        <v>0</v>
      </c>
      <c r="M42" s="1235">
        <f t="shared" si="3"/>
        <v>0</v>
      </c>
      <c r="N42" s="1231">
        <f t="shared" si="3"/>
        <v>0</v>
      </c>
      <c r="P42" s="1235">
        <f t="shared" si="4"/>
        <v>0</v>
      </c>
      <c r="Q42" s="1231">
        <f t="shared" si="4"/>
        <v>0</v>
      </c>
      <c r="S42" s="1235">
        <f t="shared" si="5"/>
        <v>0</v>
      </c>
      <c r="T42" s="1231">
        <f t="shared" si="5"/>
        <v>0</v>
      </c>
      <c r="V42" s="1235">
        <f t="shared" si="6"/>
        <v>0</v>
      </c>
      <c r="W42" s="1231">
        <f t="shared" si="6"/>
        <v>0</v>
      </c>
      <c r="Y42" s="1235">
        <f t="shared" si="7"/>
        <v>0</v>
      </c>
      <c r="Z42" s="1231">
        <f t="shared" si="7"/>
        <v>0</v>
      </c>
      <c r="AB42" s="1235">
        <f t="shared" si="8"/>
        <v>0</v>
      </c>
      <c r="AC42" s="1231">
        <f t="shared" si="8"/>
        <v>0</v>
      </c>
      <c r="AE42" s="1235">
        <f>IF(AE34=1,AE28,0)</f>
        <v>0</v>
      </c>
    </row>
    <row r="43" spans="1:33" s="1231" customFormat="1" ht="12.75" hidden="1" customHeight="1" x14ac:dyDescent="0.2">
      <c r="A43" s="1231" t="s">
        <v>65</v>
      </c>
      <c r="B43" s="1231">
        <f>IF(B35=1,B29,0)</f>
        <v>0</v>
      </c>
      <c r="D43" s="1235">
        <f t="shared" si="0"/>
        <v>0</v>
      </c>
      <c r="E43" s="1231">
        <f t="shared" si="0"/>
        <v>0</v>
      </c>
      <c r="G43" s="1235">
        <f t="shared" si="1"/>
        <v>0</v>
      </c>
      <c r="H43" s="1231">
        <f t="shared" si="1"/>
        <v>0</v>
      </c>
      <c r="J43" s="1235">
        <f t="shared" si="2"/>
        <v>0</v>
      </c>
      <c r="K43" s="1231">
        <f t="shared" si="2"/>
        <v>0</v>
      </c>
      <c r="M43" s="1235">
        <f t="shared" si="3"/>
        <v>0</v>
      </c>
      <c r="N43" s="1231">
        <f t="shared" si="3"/>
        <v>0</v>
      </c>
      <c r="P43" s="1235">
        <f t="shared" si="4"/>
        <v>0</v>
      </c>
      <c r="Q43" s="1231">
        <f t="shared" si="4"/>
        <v>0</v>
      </c>
      <c r="S43" s="1235">
        <f t="shared" si="5"/>
        <v>0</v>
      </c>
      <c r="T43" s="1231">
        <f t="shared" si="5"/>
        <v>0</v>
      </c>
      <c r="V43" s="1235">
        <f t="shared" si="6"/>
        <v>0</v>
      </c>
      <c r="W43" s="1231">
        <f t="shared" si="6"/>
        <v>0</v>
      </c>
      <c r="Y43" s="1235">
        <f t="shared" si="7"/>
        <v>0</v>
      </c>
      <c r="Z43" s="1231">
        <f t="shared" si="7"/>
        <v>0</v>
      </c>
      <c r="AB43" s="1235">
        <f t="shared" si="8"/>
        <v>0</v>
      </c>
      <c r="AC43" s="1231">
        <f t="shared" si="8"/>
        <v>0</v>
      </c>
      <c r="AE43" s="1235">
        <f>IF(AE35=1,AE29,0)</f>
        <v>0</v>
      </c>
    </row>
    <row r="44" spans="1:33" s="1231" customFormat="1" ht="38.25" hidden="1" customHeight="1" x14ac:dyDescent="0.2">
      <c r="A44" s="1234" t="s">
        <v>66</v>
      </c>
      <c r="B44" s="1231">
        <f>SUM(B39:D43)</f>
        <v>33</v>
      </c>
      <c r="D44" s="1235"/>
      <c r="E44" s="1231">
        <f>SUM(E39:G43)</f>
        <v>29</v>
      </c>
      <c r="G44" s="1235"/>
      <c r="H44" s="1231">
        <f>SUM(H39:J43)</f>
        <v>33</v>
      </c>
      <c r="J44" s="1235"/>
      <c r="K44" s="1231">
        <f>SUM(K39:M43)</f>
        <v>30</v>
      </c>
      <c r="M44" s="1235"/>
      <c r="N44" s="1231">
        <f>SUM(N39:P43)</f>
        <v>28</v>
      </c>
      <c r="P44" s="1235"/>
      <c r="Q44" s="1231">
        <f>SUM(Q39:S43)</f>
        <v>35</v>
      </c>
      <c r="S44" s="1235"/>
      <c r="T44" s="1231">
        <f>SUM(T39:V43)</f>
        <v>0</v>
      </c>
      <c r="V44" s="1235"/>
      <c r="W44" s="1231">
        <f>SUM(W39:Y43)</f>
        <v>0</v>
      </c>
      <c r="Y44" s="1235"/>
      <c r="Z44" s="1231">
        <f>SUM(Z39:AB43)</f>
        <v>0</v>
      </c>
      <c r="AB44" s="1235"/>
      <c r="AC44" s="1231">
        <f>SUM(AC39:AE43)</f>
        <v>0</v>
      </c>
      <c r="AE44" s="1235"/>
    </row>
    <row r="45" spans="1:33" s="1231" customFormat="1" ht="38.25" hidden="1" customHeight="1" x14ac:dyDescent="0.2">
      <c r="A45" s="1231" t="s">
        <v>67</v>
      </c>
      <c r="D45" s="1235"/>
      <c r="G45" s="1235"/>
      <c r="J45" s="1235"/>
      <c r="M45" s="1235"/>
      <c r="P45" s="1235"/>
      <c r="S45" s="1235"/>
      <c r="V45" s="1235"/>
      <c r="Y45" s="1235"/>
      <c r="AB45" s="1235"/>
      <c r="AE45" s="1235"/>
      <c r="AF45" s="1234" t="s">
        <v>68</v>
      </c>
      <c r="AG45" s="1231" t="s">
        <v>69</v>
      </c>
    </row>
    <row r="46" spans="1:33" s="1231" customFormat="1" ht="12.75" hidden="1" customHeight="1" x14ac:dyDescent="0.2">
      <c r="A46" s="1231" t="s">
        <v>70</v>
      </c>
      <c r="B46" s="1231">
        <f>IF(B24=1,IF(B37=1,1,0),0)</f>
        <v>0</v>
      </c>
      <c r="D46" s="1235">
        <f>IF(D24=1,IF(D37=1,1,0),0)</f>
        <v>0</v>
      </c>
      <c r="E46" s="1231">
        <f>IF(E24=1,IF(E37=1,1,0),0)</f>
        <v>1</v>
      </c>
      <c r="G46" s="1235">
        <f>IF(G24=1,IF(G37=1,1,0),0)</f>
        <v>0</v>
      </c>
      <c r="H46" s="1231">
        <f>IF(H24=1,IF(H37=1,1,0),0)</f>
        <v>0</v>
      </c>
      <c r="J46" s="1235">
        <f>IF(J24=1,IF(J37=1,1,0),0)</f>
        <v>0</v>
      </c>
      <c r="K46" s="1231">
        <f>IF(K24=1,IF(K37=1,1,0),0)</f>
        <v>1</v>
      </c>
      <c r="M46" s="1235">
        <f>IF(M24=1,IF(M37=1,1,0),0)</f>
        <v>0</v>
      </c>
      <c r="N46" s="1231">
        <f>IF(N24=1,IF(N37=1,1,0),0)</f>
        <v>0</v>
      </c>
      <c r="P46" s="1235">
        <f>IF(P24=1,IF(P37=1,1,0),0)</f>
        <v>0</v>
      </c>
      <c r="Q46" s="1231">
        <f>IF(Q24=1,IF(Q37=1,1,0),0)</f>
        <v>1</v>
      </c>
      <c r="S46" s="1235">
        <f>IF(S24=1,IF(S37=1,1,0),0)</f>
        <v>0</v>
      </c>
      <c r="T46" s="1231">
        <f>IF(T24=1,IF(T37=1,1,0),0)</f>
        <v>0</v>
      </c>
      <c r="V46" s="1235">
        <f>IF(V24=1,IF(V37=1,1,0),0)</f>
        <v>0</v>
      </c>
      <c r="W46" s="1231">
        <f>IF(W24=1,IF(W37=1,1,0),0)</f>
        <v>0</v>
      </c>
      <c r="Y46" s="1235">
        <f>IF(Y24=1,IF(Y37=1,1,0),0)</f>
        <v>0</v>
      </c>
      <c r="Z46" s="1231">
        <f>IF(Z24=1,IF(Z37=1,1,0),0)</f>
        <v>0</v>
      </c>
      <c r="AB46" s="1235">
        <f>IF(AB24=1,IF(AB37=1,1,0),0)</f>
        <v>0</v>
      </c>
      <c r="AC46" s="1231">
        <f>IF(AC24=1,IF(AC37=1,1,0),0)</f>
        <v>0</v>
      </c>
      <c r="AE46" s="1235">
        <f>IF(AE24=1,IF(AE37=1,1,0),0)</f>
        <v>0</v>
      </c>
      <c r="AF46" s="1231">
        <f>SUM(B46:AE46)</f>
        <v>3</v>
      </c>
      <c r="AG46" s="1231">
        <f>AF52-AF46</f>
        <v>0</v>
      </c>
    </row>
    <row r="47" spans="1:33" s="1231" customFormat="1" ht="12.75" hidden="1" customHeight="1" x14ac:dyDescent="0.2">
      <c r="A47" s="1231" t="s">
        <v>71</v>
      </c>
      <c r="B47" s="1231">
        <f>IF(B24=2,IF(B37=1,1,0),0)</f>
        <v>1</v>
      </c>
      <c r="D47" s="1235">
        <f>IF(D24=2,IF(D37=1,1,0),0)</f>
        <v>0</v>
      </c>
      <c r="E47" s="1231">
        <f>IF(E24=2,IF(E37=1,1,0),0)</f>
        <v>0</v>
      </c>
      <c r="G47" s="1235">
        <f>IF(G24=2,IF(G37=1,1,0),0)</f>
        <v>0</v>
      </c>
      <c r="H47" s="1231">
        <f>IF(H24=2,IF(H37=1,1,0),0)</f>
        <v>0</v>
      </c>
      <c r="J47" s="1235">
        <f>IF(J24=2,IF(J37=1,1,0),0)</f>
        <v>0</v>
      </c>
      <c r="K47" s="1231">
        <f>IF(K24=2,IF(K37=1,1,0),0)</f>
        <v>0</v>
      </c>
      <c r="M47" s="1235">
        <f>IF(M24=2,IF(M37=1,1,0),0)</f>
        <v>0</v>
      </c>
      <c r="N47" s="1231">
        <f>IF(N24=2,IF(N37=1,1,0),0)</f>
        <v>0</v>
      </c>
      <c r="P47" s="1235">
        <f>IF(P24=2,IF(P37=1,1,0),0)</f>
        <v>0</v>
      </c>
      <c r="Q47" s="1231">
        <f>IF(Q24=2,IF(Q37=1,1,0),0)</f>
        <v>0</v>
      </c>
      <c r="S47" s="1235">
        <f>IF(S24=2,IF(S37=1,1,0),0)</f>
        <v>0</v>
      </c>
      <c r="T47" s="1231">
        <f>IF(T24=2,IF(T37=1,1,0),0)</f>
        <v>0</v>
      </c>
      <c r="V47" s="1235">
        <f>IF(V24=2,IF(V37=1,1,0),0)</f>
        <v>0</v>
      </c>
      <c r="W47" s="1231">
        <f>IF(W24=2,IF(W37=1,1,0),0)</f>
        <v>0</v>
      </c>
      <c r="Y47" s="1235">
        <f>IF(Y24=2,IF(Y37=1,1,0),0)</f>
        <v>0</v>
      </c>
      <c r="Z47" s="1231">
        <f>IF(Z24=2,IF(Z37=1,1,0),0)</f>
        <v>0</v>
      </c>
      <c r="AB47" s="1235">
        <f>IF(AB24=2,IF(AB37=1,1,0),0)</f>
        <v>0</v>
      </c>
      <c r="AC47" s="1231">
        <f>IF(AC24=2,IF(AC37=1,1,0),0)</f>
        <v>0</v>
      </c>
      <c r="AE47" s="1235">
        <f>IF(AE24=2,IF(AE37=1,1,0),0)</f>
        <v>0</v>
      </c>
      <c r="AF47" s="1231">
        <f>SUM(B47:AE47)</f>
        <v>1</v>
      </c>
      <c r="AG47" s="1231">
        <f>AF53-AF47</f>
        <v>2</v>
      </c>
    </row>
    <row r="48" spans="1:33" s="1231" customFormat="1" ht="12.75" hidden="1" customHeight="1" x14ac:dyDescent="0.2">
      <c r="A48" s="1231" t="s">
        <v>72</v>
      </c>
      <c r="B48" s="1231">
        <f>IF(B24=3,IF(B37=1,1,0),0)</f>
        <v>0</v>
      </c>
      <c r="D48" s="1235">
        <f>IF(D24=3,IF(D37=1,1,0),0)</f>
        <v>0</v>
      </c>
      <c r="E48" s="1231">
        <f>IF(E24=3,IF(E37=1,1,0),0)</f>
        <v>0</v>
      </c>
      <c r="G48" s="1235">
        <f>IF(G24=3,IF(G37=1,1,0),0)</f>
        <v>0</v>
      </c>
      <c r="H48" s="1231">
        <f>IF(H24=3,IF(H37=1,1,0),0)</f>
        <v>0</v>
      </c>
      <c r="J48" s="1235">
        <f>IF(J24=3,IF(J37=1,1,0),0)</f>
        <v>0</v>
      </c>
      <c r="K48" s="1231">
        <f>IF(K24=3,IF(K37=1,1,0),0)</f>
        <v>0</v>
      </c>
      <c r="M48" s="1235">
        <f>IF(M24=3,IF(M37=1,1,0),0)</f>
        <v>0</v>
      </c>
      <c r="N48" s="1231">
        <f>IF(N24=3,IF(N37=1,1,0),0)</f>
        <v>1</v>
      </c>
      <c r="P48" s="1235">
        <f>IF(P24=3,IF(P37=1,1,0),0)</f>
        <v>0</v>
      </c>
      <c r="Q48" s="1231">
        <f>IF(Q24=3,IF(Q37=1,1,0),0)</f>
        <v>0</v>
      </c>
      <c r="S48" s="1235">
        <f>IF(S24=3,IF(S37=1,1,0),0)</f>
        <v>0</v>
      </c>
      <c r="T48" s="1231">
        <f>IF(T24=3,IF(T37=1,1,0),0)</f>
        <v>0</v>
      </c>
      <c r="V48" s="1235">
        <f>IF(V24=3,IF(V37=1,1,0),0)</f>
        <v>0</v>
      </c>
      <c r="W48" s="1231">
        <f>IF(W24=3,IF(W37=1,1,0),0)</f>
        <v>0</v>
      </c>
      <c r="Y48" s="1235">
        <f>IF(Y24=3,IF(Y37=1,1,0),0)</f>
        <v>0</v>
      </c>
      <c r="Z48" s="1231">
        <f>IF(Z24=3,IF(Z37=1,1,0),0)</f>
        <v>0</v>
      </c>
      <c r="AB48" s="1235">
        <f>IF(AB24=3,IF(AB37=1,1,0),0)</f>
        <v>0</v>
      </c>
      <c r="AC48" s="1231">
        <f>IF(AC24=3,IF(AC37=1,1,0),0)</f>
        <v>0</v>
      </c>
      <c r="AE48" s="1235">
        <f>IF(AE24=3,IF(AE37=1,1,0),0)</f>
        <v>0</v>
      </c>
      <c r="AF48" s="1231">
        <f>SUM(B48:AE48)</f>
        <v>1</v>
      </c>
      <c r="AG48" s="1231">
        <f>AF54-AF48</f>
        <v>2</v>
      </c>
    </row>
    <row r="49" spans="1:37" s="1231" customFormat="1" ht="12.75" hidden="1" customHeight="1" x14ac:dyDescent="0.2">
      <c r="A49" s="1231" t="s">
        <v>73</v>
      </c>
      <c r="B49" s="1231">
        <f>IF(B24=4,IF(B37=1,1,0),0)</f>
        <v>0</v>
      </c>
      <c r="D49" s="1235">
        <f>IF(D24=4,IF(D37=1,1,0),0)</f>
        <v>0</v>
      </c>
      <c r="E49" s="1231">
        <f>IF(E24=4,IF(E37=1,1,0),0)</f>
        <v>0</v>
      </c>
      <c r="G49" s="1235">
        <f>IF(G24=4,IF(G37=1,1,0),0)</f>
        <v>0</v>
      </c>
      <c r="H49" s="1231">
        <f>IF(H24=4,IF(H37=1,1,0),0)</f>
        <v>0</v>
      </c>
      <c r="J49" s="1235">
        <f>IF(J24=4,IF(J37=1,1,0),0)</f>
        <v>1</v>
      </c>
      <c r="K49" s="1231">
        <f>IF(K24=4,IF(K37=1,1,0),0)</f>
        <v>0</v>
      </c>
      <c r="M49" s="1235">
        <f>IF(M24=4,IF(M37=1,1,0),0)</f>
        <v>0</v>
      </c>
      <c r="N49" s="1231">
        <f>IF(N24=4,IF(N37=1,1,0),0)</f>
        <v>0</v>
      </c>
      <c r="P49" s="1235">
        <f>IF(P24=4,IF(P37=1,1,0),0)</f>
        <v>0</v>
      </c>
      <c r="Q49" s="1231">
        <f>IF(Q24=4,IF(Q37=1,1,0),0)</f>
        <v>0</v>
      </c>
      <c r="S49" s="1235">
        <f>IF(S24=4,IF(S37=1,1,0),0)</f>
        <v>0</v>
      </c>
      <c r="T49" s="1231">
        <f>IF(T24=4,IF(T37=1,1,0),0)</f>
        <v>0</v>
      </c>
      <c r="V49" s="1235">
        <f>IF(V24=4,IF(V37=1,1,0),0)</f>
        <v>0</v>
      </c>
      <c r="W49" s="1231">
        <f>IF(W24=4,IF(W37=1,1,0),0)</f>
        <v>0</v>
      </c>
      <c r="Y49" s="1235">
        <f>IF(Y24=4,IF(Y37=1,1,0),0)</f>
        <v>0</v>
      </c>
      <c r="Z49" s="1231">
        <f>IF(Z24=4,IF(Z37=1,1,0),0)</f>
        <v>0</v>
      </c>
      <c r="AB49" s="1235">
        <f>IF(AB24=4,IF(AB37=1,1,0),0)</f>
        <v>0</v>
      </c>
      <c r="AC49" s="1231">
        <f>IF(AC24=4,IF(AC37=1,1,0),0)</f>
        <v>0</v>
      </c>
      <c r="AE49" s="1235">
        <f>IF(AE24=4,IF(AE37=1,1,0),0)</f>
        <v>0</v>
      </c>
      <c r="AF49" s="1231">
        <f>SUM(B49:AE49)</f>
        <v>1</v>
      </c>
      <c r="AG49" s="1231">
        <f>AF55-AF49</f>
        <v>2</v>
      </c>
    </row>
    <row r="50" spans="1:37" s="1231" customFormat="1" ht="12.75" hidden="1" customHeight="1" x14ac:dyDescent="0.2">
      <c r="A50" s="1231" t="s">
        <v>74</v>
      </c>
      <c r="B50" s="1231">
        <f>IF(B24=5,IF(B37=1,1,0),0)</f>
        <v>0</v>
      </c>
      <c r="D50" s="1235">
        <f>IF(D24=5,IF(D37=1,1,0),0)</f>
        <v>0</v>
      </c>
      <c r="E50" s="1231">
        <f>IF(E24=5,IF(E37=1,1,0),0)</f>
        <v>0</v>
      </c>
      <c r="G50" s="1235">
        <f>IF(G24=5,IF(G37=1,1,0),0)</f>
        <v>0</v>
      </c>
      <c r="H50" s="1231">
        <f>IF(H24=5,IF(H37=1,1,0),0)</f>
        <v>0</v>
      </c>
      <c r="J50" s="1235">
        <f>IF(J24=5,IF(J37=1,1,0),0)</f>
        <v>0</v>
      </c>
      <c r="K50" s="1231">
        <f>IF(K24=5,IF(K37=1,1,0),0)</f>
        <v>0</v>
      </c>
      <c r="M50" s="1235">
        <f>IF(M24=5,IF(M37=1,1,0),0)</f>
        <v>0</v>
      </c>
      <c r="N50" s="1231">
        <f>IF(N24=5,IF(N37=1,1,0),0)</f>
        <v>0</v>
      </c>
      <c r="P50" s="1235">
        <f>IF(P24=5,IF(P37=1,1,0),0)</f>
        <v>0</v>
      </c>
      <c r="Q50" s="1231">
        <f>IF(Q24=5,IF(Q37=1,1,0),0)</f>
        <v>0</v>
      </c>
      <c r="S50" s="1235">
        <f>IF(S24=5,IF(S37=1,1,0),0)</f>
        <v>0</v>
      </c>
      <c r="T50" s="1231">
        <f>IF(T24=5,IF(T37=1,1,0),0)</f>
        <v>0</v>
      </c>
      <c r="V50" s="1235">
        <f>IF(V24=5,IF(V37=1,1,0),0)</f>
        <v>0</v>
      </c>
      <c r="W50" s="1231">
        <f>IF(W24=5,IF(W37=1,1,0),0)</f>
        <v>0</v>
      </c>
      <c r="Y50" s="1235">
        <f>IF(Y24=5,IF(Y37=1,1,0),0)</f>
        <v>0</v>
      </c>
      <c r="Z50" s="1231">
        <f>IF(Z24=5,IF(Z37=1,1,0),0)</f>
        <v>0</v>
      </c>
      <c r="AB50" s="1235">
        <f>IF(AB24=5,IF(AB37=1,1,0),0)</f>
        <v>0</v>
      </c>
      <c r="AC50" s="1231">
        <f>IF(AC24=5,IF(AC37=1,1,0),0)</f>
        <v>0</v>
      </c>
      <c r="AE50" s="1235">
        <f>IF(AE24=5,IF(AE37=1,1,0),0)</f>
        <v>0</v>
      </c>
      <c r="AF50" s="1231">
        <f>SUM(B50:AE50)</f>
        <v>0</v>
      </c>
      <c r="AG50" s="1231">
        <f>AF56-AF50</f>
        <v>0</v>
      </c>
    </row>
    <row r="51" spans="1:37" s="1231" customFormat="1" ht="38.25" hidden="1" customHeight="1" x14ac:dyDescent="0.2">
      <c r="A51" s="1234"/>
      <c r="D51" s="1235"/>
      <c r="G51" s="1235"/>
      <c r="J51" s="1235"/>
      <c r="M51" s="1235"/>
      <c r="P51" s="1235"/>
      <c r="S51" s="1235"/>
      <c r="V51" s="1235"/>
      <c r="Y51" s="1235"/>
      <c r="AB51" s="1235"/>
      <c r="AE51" s="1235"/>
      <c r="AF51" s="1234" t="s">
        <v>75</v>
      </c>
    </row>
    <row r="52" spans="1:37" s="1231" customFormat="1" ht="12.75" hidden="1" customHeight="1" x14ac:dyDescent="0.2">
      <c r="A52" s="1231" t="s">
        <v>76</v>
      </c>
      <c r="B52" s="1231">
        <f>IF(B24=1,IF(C37=1,1,0),0)</f>
        <v>0</v>
      </c>
      <c r="D52" s="1235">
        <f>IF(D24=1,IF(C37=1,1,0),0)</f>
        <v>0</v>
      </c>
      <c r="E52" s="1231">
        <f>IF(E24=1,IF(F37=1,1,0),0)</f>
        <v>1</v>
      </c>
      <c r="G52" s="1235">
        <f>IF(G24=1,IF(F37=1,1,0),0)</f>
        <v>0</v>
      </c>
      <c r="H52" s="1231">
        <f>IF(H24=1,IF(I37=1,1,0),0)</f>
        <v>0</v>
      </c>
      <c r="J52" s="1235">
        <f>IF(J24=1,IF(I37=1,1,0),0)</f>
        <v>0</v>
      </c>
      <c r="K52" s="1231">
        <f>IF(K24=1,IF(L37=1,1,0),0)</f>
        <v>1</v>
      </c>
      <c r="M52" s="1235">
        <f>IF(M24=1,IF(L37=1,1,0),0)</f>
        <v>0</v>
      </c>
      <c r="N52" s="1231">
        <f>IF(N24=1,IF(O37=1,1,0),0)</f>
        <v>0</v>
      </c>
      <c r="P52" s="1235">
        <f>IF(P24=1,IF(O37=1,1,0),0)</f>
        <v>0</v>
      </c>
      <c r="Q52" s="1231">
        <f>IF(Q24=1,IF(R37=1,1,0),0)</f>
        <v>1</v>
      </c>
      <c r="S52" s="1235">
        <f>IF(S24=1,IF(R37=1,1,0),0)</f>
        <v>0</v>
      </c>
      <c r="T52" s="1231">
        <f>IF(T24=1,IF(U37=1,1,0),0)</f>
        <v>0</v>
      </c>
      <c r="V52" s="1235">
        <f>IF(V24=1,IF(U37=1,1,0),0)</f>
        <v>0</v>
      </c>
      <c r="W52" s="1231">
        <f>IF(W24=1,IF(X37=1,1,0),0)</f>
        <v>0</v>
      </c>
      <c r="Y52" s="1235">
        <f>IF(Y24=1,IF(X37=1,1,0),0)</f>
        <v>0</v>
      </c>
      <c r="Z52" s="1231">
        <f>IF(Z24=1,IF(AA37=1,1,0),0)</f>
        <v>0</v>
      </c>
      <c r="AB52" s="1235">
        <f>IF(AB24=1,IF(AA37=1,1,0),0)</f>
        <v>0</v>
      </c>
      <c r="AC52" s="1231">
        <f>IF(AC24=1,IF(AD37=1,1,0),0)</f>
        <v>0</v>
      </c>
      <c r="AE52" s="1235">
        <f>IF(AE24=1,IF(AD37=1,1,0),0)</f>
        <v>0</v>
      </c>
      <c r="AF52" s="1231">
        <f>SUM(B52:AE52)</f>
        <v>3</v>
      </c>
    </row>
    <row r="53" spans="1:37" s="1231" customFormat="1" ht="12.75" hidden="1" customHeight="1" x14ac:dyDescent="0.2">
      <c r="A53" s="1231" t="s">
        <v>77</v>
      </c>
      <c r="B53" s="1231">
        <f>IF(B24=2,IF(C37=1,1,0),0)</f>
        <v>1</v>
      </c>
      <c r="D53" s="1235">
        <f>IF(D24=2,IF(C37=1,1,0),0)</f>
        <v>0</v>
      </c>
      <c r="E53" s="1231">
        <f>IF(E24=2,IF(F37=1,1,0),0)</f>
        <v>0</v>
      </c>
      <c r="G53" s="1235">
        <f>IF(G24=2,IF(F37=1,1,0),0)</f>
        <v>0</v>
      </c>
      <c r="H53" s="1231">
        <f>IF(H24=2,IF(I37=1,1,0),0)</f>
        <v>1</v>
      </c>
      <c r="J53" s="1235">
        <f>IF(J24=2,IF(I37=1,1,0),0)</f>
        <v>0</v>
      </c>
      <c r="K53" s="1231">
        <f>IF(K24=2,IF(L37=1,1,0),0)</f>
        <v>0</v>
      </c>
      <c r="M53" s="1235">
        <f>IF(M24=2,IF(L37=1,1,0),0)</f>
        <v>0</v>
      </c>
      <c r="N53" s="1231">
        <f>IF(N24=2,IF(O37=1,1,0),0)</f>
        <v>0</v>
      </c>
      <c r="P53" s="1235">
        <f>IF(P24=2,IF(O37=1,1,0),0)</f>
        <v>0</v>
      </c>
      <c r="Q53" s="1231">
        <f>IF(Q24=2,IF(R37=1,1,0),0)</f>
        <v>0</v>
      </c>
      <c r="S53" s="1235">
        <f>IF(S24=2,IF(R37=1,1,0),0)</f>
        <v>1</v>
      </c>
      <c r="T53" s="1231">
        <f>IF(T24=2,IF(U37=1,1,0),0)</f>
        <v>0</v>
      </c>
      <c r="V53" s="1235">
        <f>IF(V24=2,IF(U37=1,1,0),0)</f>
        <v>0</v>
      </c>
      <c r="W53" s="1231">
        <f>IF(W24=2,IF(X37=1,1,0),0)</f>
        <v>0</v>
      </c>
      <c r="Y53" s="1235">
        <f>IF(Y24=2,IF(X37=1,1,0),0)</f>
        <v>0</v>
      </c>
      <c r="Z53" s="1231">
        <f>IF(Z24=2,IF(AA37=1,1,0),0)</f>
        <v>0</v>
      </c>
      <c r="AB53" s="1235">
        <f>IF(AB24=2,IF(AA37=1,1,0),0)</f>
        <v>0</v>
      </c>
      <c r="AC53" s="1231">
        <f>IF(AC24=2,IF(AD37=1,1,0),0)</f>
        <v>0</v>
      </c>
      <c r="AE53" s="1235">
        <f>IF(AE24=2,IF(AD37=1,1,0),0)</f>
        <v>0</v>
      </c>
      <c r="AF53" s="1231">
        <f>SUM(B53:AE53)</f>
        <v>3</v>
      </c>
    </row>
    <row r="54" spans="1:37" s="1231" customFormat="1" ht="12.75" hidden="1" customHeight="1" x14ac:dyDescent="0.2">
      <c r="A54" s="1231" t="s">
        <v>78</v>
      </c>
      <c r="B54" s="1231">
        <f>IF(B24=3,IF(C37=1,1,0),0)</f>
        <v>0</v>
      </c>
      <c r="D54" s="1235">
        <f>IF(D24=3,IF(C37=1,1,0),0)</f>
        <v>1</v>
      </c>
      <c r="E54" s="1231">
        <f>IF(E24=3,IF(F37=1,1,0),0)</f>
        <v>0</v>
      </c>
      <c r="G54" s="1235">
        <f>IF(G24=3,IF(F37=1,1,0),0)</f>
        <v>0</v>
      </c>
      <c r="H54" s="1231">
        <f>IF(H24=3,IF(I37=1,1,0),0)</f>
        <v>0</v>
      </c>
      <c r="J54" s="1235">
        <f>IF(J24=3,IF(I37=1,1,0),0)</f>
        <v>0</v>
      </c>
      <c r="K54" s="1231">
        <f>IF(K24=3,IF(L37=1,1,0),0)</f>
        <v>0</v>
      </c>
      <c r="M54" s="1235">
        <f>IF(M24=3,IF(L37=1,1,0),0)</f>
        <v>1</v>
      </c>
      <c r="N54" s="1231">
        <f>IF(N24=3,IF(O37=1,1,0),0)</f>
        <v>1</v>
      </c>
      <c r="P54" s="1235">
        <f>IF(P24=3,IF(O37=1,1,0),0)</f>
        <v>0</v>
      </c>
      <c r="Q54" s="1231">
        <f>IF(Q24=3,IF(R37=1,1,0),0)</f>
        <v>0</v>
      </c>
      <c r="S54" s="1235">
        <f>IF(S24=3,IF(R37=1,1,0),0)</f>
        <v>0</v>
      </c>
      <c r="T54" s="1231">
        <f>IF(T24=3,IF(U37=1,1,0),0)</f>
        <v>0</v>
      </c>
      <c r="V54" s="1235">
        <f>IF(V24=3,IF(U37=1,1,0),0)</f>
        <v>0</v>
      </c>
      <c r="W54" s="1231">
        <f>IF(W24=3,IF(X37=1,1,0),0)</f>
        <v>0</v>
      </c>
      <c r="Y54" s="1235">
        <f>IF(Y24=3,IF(X37=1,1,0),0)</f>
        <v>0</v>
      </c>
      <c r="Z54" s="1231">
        <f>IF(Z24=3,IF(AA37=1,1,0),0)</f>
        <v>0</v>
      </c>
      <c r="AB54" s="1235">
        <f>IF(AB24=3,IF(AA37=1,1,0),0)</f>
        <v>0</v>
      </c>
      <c r="AC54" s="1231">
        <f>IF(AC24=3,IF(AD37=1,1,0),0)</f>
        <v>0</v>
      </c>
      <c r="AE54" s="1235">
        <f>IF(AE24=3,IF(AD37=1,1,0),0)</f>
        <v>0</v>
      </c>
      <c r="AF54" s="1231">
        <f>SUM(B54:AE54)</f>
        <v>3</v>
      </c>
    </row>
    <row r="55" spans="1:37" s="1231" customFormat="1" ht="12.75" hidden="1" customHeight="1" x14ac:dyDescent="0.2">
      <c r="A55" s="1231" t="s">
        <v>79</v>
      </c>
      <c r="B55" s="1231">
        <f>IF(B24=4,IF(C37=1,1,0),0)</f>
        <v>0</v>
      </c>
      <c r="D55" s="1235">
        <f>IF(D24=4,IF(C37=1,1,0),0)</f>
        <v>0</v>
      </c>
      <c r="E55" s="1231">
        <f>IF(E24=4,IF(F37=1,1,0),0)</f>
        <v>0</v>
      </c>
      <c r="G55" s="1235">
        <f>IF(G24=4,IF(F37=1,1,0),0)</f>
        <v>1</v>
      </c>
      <c r="H55" s="1231">
        <f>IF(H24=4,IF(I37=1,1,0),0)</f>
        <v>0</v>
      </c>
      <c r="J55" s="1235">
        <f>IF(J24=4,IF(I37=1,1,0),0)</f>
        <v>1</v>
      </c>
      <c r="K55" s="1231">
        <f>IF(K24=4,IF(L37=1,1,0),0)</f>
        <v>0</v>
      </c>
      <c r="M55" s="1235">
        <f>IF(M24=4,IF(L37=1,1,0),0)</f>
        <v>0</v>
      </c>
      <c r="N55" s="1231">
        <f>IF(N24=4,IF(O37=1,1,0),0)</f>
        <v>0</v>
      </c>
      <c r="P55" s="1235">
        <f>IF(P24=4,IF(O37=1,1,0),0)</f>
        <v>1</v>
      </c>
      <c r="Q55" s="1231">
        <f>IF(Q24=4,IF(R37=1,1,0),0)</f>
        <v>0</v>
      </c>
      <c r="S55" s="1235">
        <f>IF(S24=4,IF(R37=1,1,0),0)</f>
        <v>0</v>
      </c>
      <c r="T55" s="1231">
        <f>IF(T24=4,IF(U37=1,1,0),0)</f>
        <v>0</v>
      </c>
      <c r="V55" s="1235">
        <f>IF(V24=4,IF(U37=1,1,0),0)</f>
        <v>0</v>
      </c>
      <c r="W55" s="1231">
        <f>IF(W24=4,IF(X37=1,1,0),0)</f>
        <v>0</v>
      </c>
      <c r="Y55" s="1235">
        <f>IF(Y24=4,IF(X37=1,1,0),0)</f>
        <v>0</v>
      </c>
      <c r="Z55" s="1231">
        <f>IF(Z24=4,IF(AA37=1,1,0),0)</f>
        <v>0</v>
      </c>
      <c r="AB55" s="1235">
        <f>IF(AB24=4,IF(AA37=1,1,0),0)</f>
        <v>0</v>
      </c>
      <c r="AC55" s="1231">
        <f>IF(AC24=4,IF(AD37=1,1,0),0)</f>
        <v>0</v>
      </c>
      <c r="AE55" s="1235">
        <f>IF(AE24=4,IF(AD37=1,1,0),0)</f>
        <v>0</v>
      </c>
      <c r="AF55" s="1231">
        <f>SUM(B55:AE55)</f>
        <v>3</v>
      </c>
    </row>
    <row r="56" spans="1:37" s="1231" customFormat="1" ht="12.75" hidden="1" customHeight="1" x14ac:dyDescent="0.2">
      <c r="A56" s="1231" t="s">
        <v>80</v>
      </c>
      <c r="B56" s="1231">
        <f>IF(B24=5,IF(C37=1,1,0),0)</f>
        <v>0</v>
      </c>
      <c r="D56" s="1235">
        <f>IF(D24=5,IF(C37=1,1,0),0)</f>
        <v>0</v>
      </c>
      <c r="E56" s="1231">
        <f>IF(E24=5,IF(F37=1,1,0),0)</f>
        <v>0</v>
      </c>
      <c r="G56" s="1235">
        <f>IF(G24=5,IF(F37=1,1,0),0)</f>
        <v>0</v>
      </c>
      <c r="H56" s="1231">
        <f>IF(H24=5,IF(I37=1,1,0),0)</f>
        <v>0</v>
      </c>
      <c r="J56" s="1235">
        <f>IF(J24=5,IF(I37=1,1,0),0)</f>
        <v>0</v>
      </c>
      <c r="K56" s="1231">
        <f>IF(K24=5,IF(L37=1,1,0),0)</f>
        <v>0</v>
      </c>
      <c r="M56" s="1235">
        <f>IF(M24=5,IF(L37=1,1,0),0)</f>
        <v>0</v>
      </c>
      <c r="N56" s="1231">
        <f>IF(N24=5,IF(O37=1,1,0),0)</f>
        <v>0</v>
      </c>
      <c r="P56" s="1235">
        <f>IF(P24=5,IF(O37=1,1,0),0)</f>
        <v>0</v>
      </c>
      <c r="Q56" s="1231">
        <f>IF(Q24=5,IF(R37=1,1,0),0)</f>
        <v>0</v>
      </c>
      <c r="S56" s="1235">
        <f>IF(S24=5,IF(R37=1,1,0),0)</f>
        <v>0</v>
      </c>
      <c r="T56" s="1231">
        <f>IF(T24=5,IF(U37=1,1,0),0)</f>
        <v>0</v>
      </c>
      <c r="V56" s="1235">
        <f>IF(V24=5,IF(U37=1,1,0),0)</f>
        <v>0</v>
      </c>
      <c r="W56" s="1231">
        <f>IF(W24=5,IF(X37=1,1,0),0)</f>
        <v>0</v>
      </c>
      <c r="Y56" s="1235">
        <f>IF(Y24=5,IF(X37=1,1,0),0)</f>
        <v>0</v>
      </c>
      <c r="Z56" s="1231">
        <f>IF(Z24=5,IF(AA37=1,1,0),0)</f>
        <v>0</v>
      </c>
      <c r="AB56" s="1235">
        <f>IF(AB24=5,IF(AA37=1,1,0),0)</f>
        <v>0</v>
      </c>
      <c r="AC56" s="1231">
        <f>IF(AC24=5,IF(AD37=1,1,0),0)</f>
        <v>0</v>
      </c>
      <c r="AE56" s="1235">
        <f>IF(AE24=5,IF(AD37=1,1,0),0)</f>
        <v>0</v>
      </c>
      <c r="AF56" s="1231">
        <f>SUM(B56:AE56)</f>
        <v>0</v>
      </c>
    </row>
    <row r="57" spans="1:37" s="1231" customFormat="1" ht="38.25" hidden="1" customHeight="1" x14ac:dyDescent="0.2">
      <c r="A57" s="1234"/>
      <c r="D57" s="1235"/>
      <c r="G57" s="1235"/>
      <c r="J57" s="1235"/>
      <c r="M57" s="1235"/>
      <c r="P57" s="1235"/>
      <c r="S57" s="1235"/>
      <c r="V57" s="1235"/>
      <c r="Y57" s="1235"/>
      <c r="AB57" s="1235"/>
      <c r="AE57" s="1235"/>
      <c r="AF57" s="1234" t="s">
        <v>81</v>
      </c>
      <c r="AG57" s="1236"/>
      <c r="AH57" s="1236"/>
      <c r="AI57" s="1236"/>
      <c r="AJ57" s="1236"/>
      <c r="AK57" s="1236"/>
    </row>
    <row r="58" spans="1:37" s="1231" customFormat="1" ht="12.75" hidden="1" customHeight="1" x14ac:dyDescent="0.2">
      <c r="A58" s="1231" t="s">
        <v>76</v>
      </c>
      <c r="B58" s="1231">
        <f>IF(B24=1,B44,0)</f>
        <v>0</v>
      </c>
      <c r="D58" s="1235">
        <f>IF(D24=1,B44,0)</f>
        <v>0</v>
      </c>
      <c r="E58" s="1231">
        <f>IF(E24=1,E44,0)</f>
        <v>29</v>
      </c>
      <c r="G58" s="1235">
        <f>IF(G24=1,E44,0)</f>
        <v>0</v>
      </c>
      <c r="H58" s="1231">
        <f>IF(H24=1,H44,0)</f>
        <v>0</v>
      </c>
      <c r="J58" s="1235">
        <f>IF(J24=1,H44,0)</f>
        <v>0</v>
      </c>
      <c r="K58" s="1231">
        <f>IF(K24=1,K44,0)</f>
        <v>30</v>
      </c>
      <c r="M58" s="1235">
        <f>IF(M24=1,K44,0)</f>
        <v>0</v>
      </c>
      <c r="N58" s="1231">
        <f>IF(N24=1,N44,0)</f>
        <v>0</v>
      </c>
      <c r="P58" s="1235">
        <f>IF(P24=1,N44,0)</f>
        <v>0</v>
      </c>
      <c r="Q58" s="1231">
        <f>IF(Q24=1,Q44,0)</f>
        <v>35</v>
      </c>
      <c r="S58" s="1235">
        <f>IF(S24=1,Q44,0)</f>
        <v>0</v>
      </c>
      <c r="T58" s="1231">
        <f>IF(T24=1,T44,0)</f>
        <v>0</v>
      </c>
      <c r="V58" s="1235">
        <f>IF(V24=1,T44,0)</f>
        <v>0</v>
      </c>
      <c r="W58" s="1231">
        <f>IF(W24=1,W44,0)</f>
        <v>0</v>
      </c>
      <c r="Y58" s="1235">
        <f>IF(Y24=1,W44,0)</f>
        <v>0</v>
      </c>
      <c r="Z58" s="1231">
        <f>IF(Z24=1,Z44,0)</f>
        <v>0</v>
      </c>
      <c r="AB58" s="1235">
        <f>IF(AB24=1,Z44,0)</f>
        <v>0</v>
      </c>
      <c r="AC58" s="1231">
        <f>IF(AC24=1,AC44,0)</f>
        <v>0</v>
      </c>
      <c r="AE58" s="1235">
        <f>IF(AE24=1,AC44,0)</f>
        <v>0</v>
      </c>
      <c r="AF58" s="1231">
        <f>SUM(B58:AE58)</f>
        <v>94</v>
      </c>
    </row>
    <row r="59" spans="1:37" s="1231" customFormat="1" ht="12.75" hidden="1" customHeight="1" x14ac:dyDescent="0.2">
      <c r="A59" s="1231" t="s">
        <v>77</v>
      </c>
      <c r="B59" s="1231">
        <f>IF(B24=2,B44,0)</f>
        <v>33</v>
      </c>
      <c r="D59" s="1235">
        <f>IF(D24=2,B44,0)</f>
        <v>0</v>
      </c>
      <c r="E59" s="1231">
        <f>IF(E24=2,E44,0)</f>
        <v>0</v>
      </c>
      <c r="G59" s="1235">
        <f>IF(G24=2,E44,0)</f>
        <v>0</v>
      </c>
      <c r="H59" s="1231">
        <f>IF(H24=2,H44,0)</f>
        <v>33</v>
      </c>
      <c r="J59" s="1235">
        <f>IF(J24=2,H44,0)</f>
        <v>0</v>
      </c>
      <c r="K59" s="1231">
        <f>IF(K24=2,K44,0)</f>
        <v>0</v>
      </c>
      <c r="M59" s="1235">
        <f>IF(M24=2,K44,0)</f>
        <v>0</v>
      </c>
      <c r="N59" s="1231">
        <f>IF(N24=2,N44,0)</f>
        <v>0</v>
      </c>
      <c r="P59" s="1235">
        <f>IF(P24=2,N44,0)</f>
        <v>0</v>
      </c>
      <c r="Q59" s="1231">
        <f>IF(Q24=2,Q44,0)</f>
        <v>0</v>
      </c>
      <c r="S59" s="1235">
        <f>IF(S24=2,Q44,0)</f>
        <v>35</v>
      </c>
      <c r="T59" s="1231">
        <f>IF(T24=2,T44,0)</f>
        <v>0</v>
      </c>
      <c r="V59" s="1235">
        <f>IF(V24=2,T44,0)</f>
        <v>0</v>
      </c>
      <c r="W59" s="1231">
        <f>IF(W24=2,W44,0)</f>
        <v>0</v>
      </c>
      <c r="Y59" s="1235">
        <f>IF(Y24=2,W44,0)</f>
        <v>0</v>
      </c>
      <c r="Z59" s="1231">
        <f>IF(Z24=2,Z44,0)</f>
        <v>0</v>
      </c>
      <c r="AB59" s="1235">
        <f>IF(AB24=2,Z44,0)</f>
        <v>0</v>
      </c>
      <c r="AC59" s="1231">
        <f>IF(AC24=2,AC44,0)</f>
        <v>0</v>
      </c>
      <c r="AE59" s="1235">
        <f>IF(AE24=2,AC44,0)</f>
        <v>0</v>
      </c>
      <c r="AF59" s="1231">
        <f>SUM(B59:AE59)</f>
        <v>101</v>
      </c>
    </row>
    <row r="60" spans="1:37" s="1231" customFormat="1" ht="12.75" hidden="1" customHeight="1" x14ac:dyDescent="0.2">
      <c r="A60" s="1231" t="s">
        <v>78</v>
      </c>
      <c r="B60" s="1231">
        <f>IF(B24=3,B44,0)</f>
        <v>0</v>
      </c>
      <c r="D60" s="1235">
        <f>IF(D24=3,B44,0)</f>
        <v>33</v>
      </c>
      <c r="E60" s="1231">
        <f>IF(E24=3,E44,0)</f>
        <v>0</v>
      </c>
      <c r="G60" s="1235">
        <f>IF(G24=3,E44,0)</f>
        <v>0</v>
      </c>
      <c r="H60" s="1231">
        <f>IF(H24=3,H44,0)</f>
        <v>0</v>
      </c>
      <c r="J60" s="1235">
        <f>IF(J24=3,H44,0)</f>
        <v>0</v>
      </c>
      <c r="K60" s="1231">
        <f>IF(K24=3,K44,0)</f>
        <v>0</v>
      </c>
      <c r="M60" s="1235">
        <f>IF(M24=3,K44,0)</f>
        <v>30</v>
      </c>
      <c r="N60" s="1231">
        <f>IF(N24=3,N44,0)</f>
        <v>28</v>
      </c>
      <c r="P60" s="1235">
        <f>IF(P24=3,N44,0)</f>
        <v>0</v>
      </c>
      <c r="Q60" s="1231">
        <f>IF(Q24=3,Q44,0)</f>
        <v>0</v>
      </c>
      <c r="S60" s="1235">
        <f>IF(S24=3,Q44,0)</f>
        <v>0</v>
      </c>
      <c r="T60" s="1231">
        <f>IF(T24=3,T44,0)</f>
        <v>0</v>
      </c>
      <c r="V60" s="1235">
        <f>IF(V24=3,T44,0)</f>
        <v>0</v>
      </c>
      <c r="W60" s="1231">
        <f>IF(W24=3,W44,0)</f>
        <v>0</v>
      </c>
      <c r="Y60" s="1235">
        <f>IF(Y24=3,W44,0)</f>
        <v>0</v>
      </c>
      <c r="Z60" s="1231">
        <f>IF(Z24=3,Z44,0)</f>
        <v>0</v>
      </c>
      <c r="AB60" s="1235">
        <f>IF(AB24=3,Z44,0)</f>
        <v>0</v>
      </c>
      <c r="AC60" s="1231">
        <f>IF(AC24=3,AC44,0)</f>
        <v>0</v>
      </c>
      <c r="AE60" s="1235">
        <f>IF(AE24=3,AC44,0)</f>
        <v>0</v>
      </c>
      <c r="AF60" s="1231">
        <f>SUM(B60:AE60)</f>
        <v>91</v>
      </c>
    </row>
    <row r="61" spans="1:37" s="1231" customFormat="1" ht="12.75" hidden="1" customHeight="1" x14ac:dyDescent="0.2">
      <c r="A61" s="1231" t="s">
        <v>79</v>
      </c>
      <c r="B61" s="1231">
        <f>IF(B24=4,B44,0)</f>
        <v>0</v>
      </c>
      <c r="D61" s="1235">
        <f>IF(D24=4,B44,0)</f>
        <v>0</v>
      </c>
      <c r="E61" s="1231">
        <f>IF(E24=4,E44,0)</f>
        <v>0</v>
      </c>
      <c r="G61" s="1235">
        <f>IF(G24=4,E44,0)</f>
        <v>29</v>
      </c>
      <c r="H61" s="1231">
        <f>IF(H24=4,H44,0)</f>
        <v>0</v>
      </c>
      <c r="J61" s="1235">
        <f>IF(J24=4,H44,0)</f>
        <v>33</v>
      </c>
      <c r="K61" s="1231">
        <f>IF(K24=4,K44,0)</f>
        <v>0</v>
      </c>
      <c r="M61" s="1235">
        <f>IF(M24=4,K44,0)</f>
        <v>0</v>
      </c>
      <c r="N61" s="1231">
        <f>IF(N24=4,N44,0)</f>
        <v>0</v>
      </c>
      <c r="P61" s="1235">
        <f>IF(P24=4,N44,0)</f>
        <v>28</v>
      </c>
      <c r="Q61" s="1231">
        <f>IF(Q24=4,Q44,0)</f>
        <v>0</v>
      </c>
      <c r="S61" s="1235">
        <f>IF(S24=4,Q44,0)</f>
        <v>0</v>
      </c>
      <c r="T61" s="1231">
        <f>IF(T24=4,T44,0)</f>
        <v>0</v>
      </c>
      <c r="V61" s="1235">
        <f>IF(V24=4,T44,0)</f>
        <v>0</v>
      </c>
      <c r="W61" s="1231">
        <f>IF(W24=4,W44,0)</f>
        <v>0</v>
      </c>
      <c r="Y61" s="1235">
        <f>IF(Y24=4,W44,0)</f>
        <v>0</v>
      </c>
      <c r="Z61" s="1231">
        <f>IF(Z24=4,Z44,0)</f>
        <v>0</v>
      </c>
      <c r="AB61" s="1235">
        <f>IF(AB24=4,Z44,0)</f>
        <v>0</v>
      </c>
      <c r="AC61" s="1231">
        <f>IF(AC24=4,AC44,0)</f>
        <v>0</v>
      </c>
      <c r="AE61" s="1235">
        <f>IF(AE24=4,AC44,0)</f>
        <v>0</v>
      </c>
      <c r="AF61" s="1231">
        <f>SUM(B61:AE61)</f>
        <v>90</v>
      </c>
    </row>
    <row r="62" spans="1:37" s="1231" customFormat="1" ht="12.75" hidden="1" customHeight="1" x14ac:dyDescent="0.2">
      <c r="A62" s="1231" t="s">
        <v>80</v>
      </c>
      <c r="B62" s="1231">
        <f>IF(B24=5,B44,0)</f>
        <v>0</v>
      </c>
      <c r="D62" s="1235">
        <f>IF(D24=5,B44,0)</f>
        <v>0</v>
      </c>
      <c r="E62" s="1231">
        <f>IF(E24=5,E44,0)</f>
        <v>0</v>
      </c>
      <c r="G62" s="1235">
        <f>IF(G24=5,E44,0)</f>
        <v>0</v>
      </c>
      <c r="H62" s="1231">
        <f>IF(H24=5,H44,0)</f>
        <v>0</v>
      </c>
      <c r="J62" s="1235">
        <f>IF(J24=5,H44,0)</f>
        <v>0</v>
      </c>
      <c r="K62" s="1231">
        <f>IF(K24=5,K44,0)</f>
        <v>0</v>
      </c>
      <c r="M62" s="1235">
        <f>IF(M24=5,K44,0)</f>
        <v>0</v>
      </c>
      <c r="N62" s="1231">
        <f>IF(N24=5,N44,0)</f>
        <v>0</v>
      </c>
      <c r="P62" s="1235">
        <f>IF(P24=5,N44,0)</f>
        <v>0</v>
      </c>
      <c r="Q62" s="1231">
        <f>IF(Q24=5,Q44,0)</f>
        <v>0</v>
      </c>
      <c r="S62" s="1235">
        <f>IF(S24=5,Q44,0)</f>
        <v>0</v>
      </c>
      <c r="T62" s="1231">
        <f>IF(T24=5,T44,0)</f>
        <v>0</v>
      </c>
      <c r="V62" s="1235">
        <f>IF(V24=5,T44,0)</f>
        <v>0</v>
      </c>
      <c r="W62" s="1231">
        <f>IF(W24=5,W44,0)</f>
        <v>0</v>
      </c>
      <c r="Y62" s="1235">
        <f>IF(Y24=5,W44,0)</f>
        <v>0</v>
      </c>
      <c r="Z62" s="1231">
        <f>IF(Z24=5,Z44,0)</f>
        <v>0</v>
      </c>
      <c r="AB62" s="1235">
        <f>IF(AB24=5,Z44,0)</f>
        <v>0</v>
      </c>
      <c r="AC62" s="1231">
        <f>IF(AC24=5,AC44,0)</f>
        <v>0</v>
      </c>
      <c r="AE62" s="1235">
        <f>IF(AE24=5,AC44,0)</f>
        <v>0</v>
      </c>
      <c r="AF62" s="1231">
        <f>SUM(B62:AE62)</f>
        <v>0</v>
      </c>
    </row>
    <row r="63" spans="1:37" s="1231" customFormat="1" ht="38.25" hidden="1" customHeight="1" x14ac:dyDescent="0.2">
      <c r="A63" s="1231" t="s">
        <v>82</v>
      </c>
      <c r="D63" s="1235"/>
      <c r="G63" s="1235"/>
      <c r="J63" s="1235"/>
      <c r="M63" s="1235"/>
      <c r="P63" s="1235"/>
      <c r="S63" s="1235"/>
      <c r="V63" s="1235"/>
      <c r="Y63" s="1235"/>
      <c r="AB63" s="1235"/>
      <c r="AE63" s="1235"/>
      <c r="AF63" s="1234" t="s">
        <v>83</v>
      </c>
      <c r="AG63" s="1231" t="s">
        <v>84</v>
      </c>
    </row>
    <row r="64" spans="1:37" s="1231" customFormat="1" ht="12.75" hidden="1" customHeight="1" x14ac:dyDescent="0.2">
      <c r="A64" s="1231" t="s">
        <v>70</v>
      </c>
      <c r="B64" s="1231">
        <f>IF(B24=1,SUMIF(B31:B35,"&gt;0"),0)</f>
        <v>0</v>
      </c>
      <c r="D64" s="1235">
        <f>IF(D24=1,SUMIF(D31:D35,"&gt;0"),0)</f>
        <v>0</v>
      </c>
      <c r="E64" s="1231">
        <f>IF(E24=1,SUMIF(E31:E35,"&gt;0"),0)</f>
        <v>1</v>
      </c>
      <c r="G64" s="1235">
        <f>IF(G24=1,SUMIF(G31:G35,"&gt;0"),0)</f>
        <v>0</v>
      </c>
      <c r="H64" s="1231">
        <f>IF(H24=1,SUMIF(H31:H35,"&gt;0"),0)</f>
        <v>0</v>
      </c>
      <c r="J64" s="1235">
        <f>IF(J24=1,SUMIF(J31:J35,"&gt;0"),0)</f>
        <v>0</v>
      </c>
      <c r="K64" s="1231">
        <f>IF(K24=1,SUMIF(K31:K35,"&gt;0"),0)</f>
        <v>1</v>
      </c>
      <c r="M64" s="1235">
        <f>IF(M24=1,SUMIF(M31:M35,"&gt;0"),0)</f>
        <v>0</v>
      </c>
      <c r="N64" s="1231">
        <f>IF(N24=1,SUMIF(N31:N35,"&gt;0"),0)</f>
        <v>0</v>
      </c>
      <c r="P64" s="1235">
        <f>IF(P24=1,SUMIF(P31:P35,"&gt;0"),0)</f>
        <v>0</v>
      </c>
      <c r="Q64" s="1231">
        <f>IF(Q24=1,SUMIF(Q31:Q35,"&gt;0"),0)</f>
        <v>1</v>
      </c>
      <c r="S64" s="1235">
        <f>IF(S24=1,SUMIF(S31:S35,"&gt;0"),0)</f>
        <v>0</v>
      </c>
      <c r="T64" s="1231">
        <f>IF(T24=1,SUMIF(T31:T35,"&gt;0"),0)</f>
        <v>0</v>
      </c>
      <c r="V64" s="1235">
        <f>IF(V24=1,SUMIF(V31:V35,"&gt;0"),0)</f>
        <v>0</v>
      </c>
      <c r="W64" s="1231">
        <f>IF(W24=1,SUMIF(W31:W35,"&gt;0"),0)</f>
        <v>0</v>
      </c>
      <c r="Y64" s="1235">
        <f>IF(Y24=1,SUMIF(Y31:Y35,"&gt;0"),0)</f>
        <v>0</v>
      </c>
      <c r="Z64" s="1231">
        <f>IF(Z24=1,SUMIF(Z31:Z35,"&gt;0"),0)</f>
        <v>0</v>
      </c>
      <c r="AB64" s="1235">
        <f>IF(AB24=1,SUMIF(AB31:AB35,"&gt;0"),0)</f>
        <v>0</v>
      </c>
      <c r="AC64" s="1231">
        <f>IF(AC24=1,SUMIF(AC31:AC35,"&gt;0"),0)</f>
        <v>0</v>
      </c>
      <c r="AE64" s="1235">
        <f>IF(AE24=1,SUMIF(AE31:AE35,"&gt;0"),0)</f>
        <v>0</v>
      </c>
      <c r="AF64" s="1231">
        <f>SUM(B64:AE64)</f>
        <v>3</v>
      </c>
      <c r="AG64" s="1231">
        <f>AF72-AF64</f>
        <v>0</v>
      </c>
    </row>
    <row r="65" spans="1:54" s="1231" customFormat="1" ht="12.75" hidden="1" customHeight="1" x14ac:dyDescent="0.2">
      <c r="A65" s="1231" t="s">
        <v>71</v>
      </c>
      <c r="B65" s="1231">
        <f>IF(B24=2,SUMIF(B31:B35,"&gt;0"),0)</f>
        <v>1</v>
      </c>
      <c r="D65" s="1235">
        <f>IF(D24=2,SUMIF(D31:D35,"&gt;0"),0)</f>
        <v>0</v>
      </c>
      <c r="E65" s="1231">
        <f>IF(E24=2,SUMIF(E31:E35,"&gt;0"),0)</f>
        <v>0</v>
      </c>
      <c r="G65" s="1235">
        <f>IF(G24=2,SUMIF(G31:G35,"&gt;0"),0)</f>
        <v>0</v>
      </c>
      <c r="H65" s="1231">
        <f>IF(H24=2,SUMIF(H31:H35,"&gt;0"),0)</f>
        <v>0</v>
      </c>
      <c r="J65" s="1235">
        <f>IF(J24=2,SUMIF(J31:J35,"&gt;0"),0)</f>
        <v>0</v>
      </c>
      <c r="K65" s="1231">
        <f>IF(K24=2,SUMIF(K31:K35,"&gt;0"),0)</f>
        <v>0</v>
      </c>
      <c r="M65" s="1235">
        <f>IF(M24=2,SUMIF(M31:M35,"&gt;0"),0)</f>
        <v>0</v>
      </c>
      <c r="N65" s="1231">
        <f>IF(N24=2,SUMIF(N31:N35,"&gt;0"),0)</f>
        <v>0</v>
      </c>
      <c r="P65" s="1235">
        <f>IF(P24=2,SUMIF(P31:P35,"&gt;0"),0)</f>
        <v>0</v>
      </c>
      <c r="Q65" s="1231">
        <f>IF(Q24=2,SUMIF(Q31:Q35,"&gt;0"),0)</f>
        <v>0</v>
      </c>
      <c r="S65" s="1235">
        <f>IF(S24=2,SUMIF(S31:S35,"&gt;0"),0)</f>
        <v>0</v>
      </c>
      <c r="T65" s="1231">
        <f>IF(T24=2,SUMIF(T31:T35,"&gt;0"),0)</f>
        <v>0</v>
      </c>
      <c r="V65" s="1235">
        <f>IF(V24=2,SUMIF(V31:V35,"&gt;0"),0)</f>
        <v>0</v>
      </c>
      <c r="W65" s="1231">
        <f>IF(W24=2,SUMIF(W31:W35,"&gt;0"),0)</f>
        <v>0</v>
      </c>
      <c r="Y65" s="1235">
        <f>IF(Y24=2,SUMIF(Y31:Y35,"&gt;0"),0)</f>
        <v>0</v>
      </c>
      <c r="Z65" s="1231">
        <f>IF(Z24=2,SUMIF(Z31:Z35,"&gt;0"),0)</f>
        <v>0</v>
      </c>
      <c r="AB65" s="1235">
        <f>IF(AB24=2,SUMIF(AB31:AB35,"&gt;0"),0)</f>
        <v>0</v>
      </c>
      <c r="AC65" s="1231">
        <f>IF(AC24=2,SUMIF(AC31:AC35,"&gt;0"),0)</f>
        <v>0</v>
      </c>
      <c r="AE65" s="1235">
        <f>IF(AE24=2,SUMIF(AE31:AE35,"&gt;0"),0)</f>
        <v>0</v>
      </c>
      <c r="AF65" s="1231">
        <f>SUM(B65:AE65)</f>
        <v>1</v>
      </c>
      <c r="AG65" s="1231">
        <f>AF73-AF65</f>
        <v>2</v>
      </c>
    </row>
    <row r="66" spans="1:54" s="1231" customFormat="1" ht="12.75" hidden="1" customHeight="1" x14ac:dyDescent="0.2">
      <c r="A66" s="1231" t="s">
        <v>72</v>
      </c>
      <c r="B66" s="1231">
        <f>IF(B24=3,SUMIF(B31:B35,"&gt;0"),0)</f>
        <v>0</v>
      </c>
      <c r="D66" s="1235">
        <f>IF(D24=3,SUMIF(D31:D35,"&gt;0"),0)</f>
        <v>0</v>
      </c>
      <c r="E66" s="1231">
        <f>IF(E24=3,SUMIF(E31:E35,"&gt;0"),0)</f>
        <v>0</v>
      </c>
      <c r="G66" s="1235">
        <f>IF(G24=3,SUMIF(G31:G35,"&gt;0"),0)</f>
        <v>0</v>
      </c>
      <c r="H66" s="1231">
        <f>IF(H24=3,SUMIF(H31:H35,"&gt;0"),0)</f>
        <v>0</v>
      </c>
      <c r="J66" s="1235">
        <f>IF(J24=3,SUMIF(J31:J35,"&gt;0"),0)</f>
        <v>0</v>
      </c>
      <c r="K66" s="1231">
        <f>IF(K24=3,SUMIF(K31:K35,"&gt;0"),0)</f>
        <v>0</v>
      </c>
      <c r="M66" s="1235">
        <f>IF(M24=3,SUMIF(M31:M35,"&gt;0"),0)</f>
        <v>0</v>
      </c>
      <c r="N66" s="1231">
        <f>IF(N24=3,SUMIF(N31:N35,"&gt;0"),0)</f>
        <v>1</v>
      </c>
      <c r="P66" s="1235">
        <f>IF(P24=3,SUMIF(P31:P35,"&gt;0"),0)</f>
        <v>0</v>
      </c>
      <c r="Q66" s="1231">
        <f>IF(Q24=3,SUMIF(Q31:Q35,"&gt;0"),0)</f>
        <v>0</v>
      </c>
      <c r="S66" s="1235">
        <f>IF(S24=3,SUMIF(S31:S35,"&gt;0"),0)</f>
        <v>0</v>
      </c>
      <c r="T66" s="1231">
        <f>IF(T24=3,SUMIF(T31:T35,"&gt;0"),0)</f>
        <v>0</v>
      </c>
      <c r="V66" s="1235">
        <f>IF(V24=3,SUMIF(V31:V35,"&gt;0"),0)</f>
        <v>0</v>
      </c>
      <c r="W66" s="1231">
        <f>IF(W24=3,SUMIF(W31:W35,"&gt;0"),0)</f>
        <v>0</v>
      </c>
      <c r="Y66" s="1235">
        <f>IF(Y24=3,SUMIF(Y31:Y35,"&gt;0"),0)</f>
        <v>0</v>
      </c>
      <c r="Z66" s="1231">
        <f>IF(Z24=3,SUMIF(Z31:Z35,"&gt;0"),0)</f>
        <v>0</v>
      </c>
      <c r="AB66" s="1235">
        <f>IF(AB24=3,SUMIF(AB31:AB35,"&gt;0"),0)</f>
        <v>0</v>
      </c>
      <c r="AC66" s="1231">
        <f>IF(AC24=3,SUMIF(AC31:AC35,"&gt;0"),0)</f>
        <v>0</v>
      </c>
      <c r="AE66" s="1235">
        <f>IF(AE24=3,SUMIF(AE31:AE35,"&gt;0"),0)</f>
        <v>0</v>
      </c>
      <c r="AF66" s="1231">
        <f>SUM(B66:AE66)</f>
        <v>1</v>
      </c>
      <c r="AG66" s="1231">
        <f>AF74-AF66</f>
        <v>2</v>
      </c>
    </row>
    <row r="67" spans="1:54" s="1231" customFormat="1" ht="12.75" hidden="1" customHeight="1" x14ac:dyDescent="0.2">
      <c r="A67" s="1231" t="s">
        <v>73</v>
      </c>
      <c r="B67" s="1231">
        <f>IF(B24=4,SUMIF(B31:B35,"&gt;0"),0)</f>
        <v>0</v>
      </c>
      <c r="D67" s="1235">
        <f>IF(D24=4,SUMIF(D31:D35,"&gt;0"),0)</f>
        <v>0</v>
      </c>
      <c r="E67" s="1231">
        <f>IF(E24=4,SUMIF(E31:E35,"&gt;0"),0)</f>
        <v>0</v>
      </c>
      <c r="G67" s="1235">
        <f>IF(G24=4,SUMIF(G31:G35,"&gt;0"),0)</f>
        <v>0</v>
      </c>
      <c r="H67" s="1231">
        <f>IF(H24=4,SUMIF(H31:H35,"&gt;0"),0)</f>
        <v>0</v>
      </c>
      <c r="J67" s="1235">
        <f>IF(J24=4,SUMIF(J31:J35,"&gt;0"),0)</f>
        <v>1</v>
      </c>
      <c r="K67" s="1231">
        <f>IF(K24=4,SUMIF(K31:K35,"&gt;0"),0)</f>
        <v>0</v>
      </c>
      <c r="M67" s="1235">
        <f>IF(M24=4,SUMIF(M31:M35,"&gt;0"),0)</f>
        <v>0</v>
      </c>
      <c r="N67" s="1231">
        <f>IF(N24=4,SUMIF(N31:N35,"&gt;0"),0)</f>
        <v>0</v>
      </c>
      <c r="P67" s="1235">
        <f>IF(P24=4,SUMIF(P31:P35,"&gt;0"),0)</f>
        <v>0</v>
      </c>
      <c r="Q67" s="1231">
        <f>IF(Q24=4,SUMIF(Q31:Q35,"&gt;0"),0)</f>
        <v>0</v>
      </c>
      <c r="S67" s="1235">
        <f>IF(S24=4,SUMIF(S31:S35,"&gt;0"),0)</f>
        <v>0</v>
      </c>
      <c r="T67" s="1231">
        <f>IF(T24=4,SUMIF(T31:T35,"&gt;0"),0)</f>
        <v>0</v>
      </c>
      <c r="V67" s="1235">
        <f>IF(V24=4,SUMIF(V31:V35,"&gt;0"),0)</f>
        <v>0</v>
      </c>
      <c r="W67" s="1231">
        <f>IF(W24=4,SUMIF(W31:W35,"&gt;0"),0)</f>
        <v>0</v>
      </c>
      <c r="Y67" s="1235">
        <f>IF(Y24=4,SUMIF(Y31:Y35,"&gt;0"),0)</f>
        <v>0</v>
      </c>
      <c r="Z67" s="1231">
        <f>IF(Z24=4,SUMIF(Z31:Z35,"&gt;0"),0)</f>
        <v>0</v>
      </c>
      <c r="AB67" s="1235">
        <f>IF(AB24=4,SUMIF(AB31:AB35,"&gt;0"),0)</f>
        <v>0</v>
      </c>
      <c r="AC67" s="1231">
        <f>IF(AC24=4,SUMIF(AC31:AC35,"&gt;0"),0)</f>
        <v>0</v>
      </c>
      <c r="AE67" s="1235">
        <f>IF(AE24=4,SUMIF(AE31:AE35,"&gt;0"),0)</f>
        <v>0</v>
      </c>
      <c r="AF67" s="1231">
        <f>SUM(B67:AE67)</f>
        <v>1</v>
      </c>
      <c r="AG67" s="1231">
        <f>AF75-AF67</f>
        <v>2</v>
      </c>
    </row>
    <row r="68" spans="1:54" s="1231" customFormat="1" ht="12.75" hidden="1" customHeight="1" x14ac:dyDescent="0.2">
      <c r="A68" s="1231" t="s">
        <v>74</v>
      </c>
      <c r="B68" s="1231">
        <f>IF(B24=5,SUMIF(B31:B35,"&gt;0"),0)</f>
        <v>0</v>
      </c>
      <c r="D68" s="1235">
        <f>IF(D24=5,SUMIF(D31:D35,"&gt;0"),0)</f>
        <v>0</v>
      </c>
      <c r="E68" s="1231">
        <f>IF(E24=5,SUMIF(E31:E35,"&gt;0"),0)</f>
        <v>0</v>
      </c>
      <c r="G68" s="1235">
        <f>IF(G24=5,SUMIF(G31:G35,"&gt;0"),0)</f>
        <v>0</v>
      </c>
      <c r="H68" s="1231">
        <f>IF(H24=5,SUMIF(H31:H35,"&gt;0"),0)</f>
        <v>0</v>
      </c>
      <c r="J68" s="1235">
        <f>IF(J24=5,SUMIF(J31:J35,"&gt;0"),0)</f>
        <v>0</v>
      </c>
      <c r="K68" s="1231">
        <f>IF(K24=5,SUMIF(K31:K35,"&gt;0"),0)</f>
        <v>0</v>
      </c>
      <c r="M68" s="1235">
        <f>IF(M24=5,SUMIF(M31:M35,"&gt;0"),0)</f>
        <v>0</v>
      </c>
      <c r="N68" s="1231">
        <f>IF(N24=5,SUMIF(N31:N35,"&gt;0"),0)</f>
        <v>0</v>
      </c>
      <c r="P68" s="1235">
        <f>IF(P24=5,SUMIF(P31:P35,"&gt;0"),0)</f>
        <v>0</v>
      </c>
      <c r="Q68" s="1231">
        <f>IF(Q24=5,SUMIF(Q31:Q35,"&gt;0"),0)</f>
        <v>0</v>
      </c>
      <c r="S68" s="1235">
        <f>IF(S24=5,SUMIF(S31:S35,"&gt;0"),0)</f>
        <v>0</v>
      </c>
      <c r="T68" s="1231">
        <f>IF(T24=5,SUMIF(T31:T35,"&gt;0"),0)</f>
        <v>0</v>
      </c>
      <c r="V68" s="1235">
        <f>IF(V24=5,SUMIF(V31:V35,"&gt;0"),0)</f>
        <v>0</v>
      </c>
      <c r="W68" s="1231">
        <f>IF(W24=5,SUMIF(W31:W35,"&gt;0"),0)</f>
        <v>0</v>
      </c>
      <c r="Y68" s="1235">
        <f>IF(Y24=5,SUMIF(Y31:Y35,"&gt;0"),0)</f>
        <v>0</v>
      </c>
      <c r="Z68" s="1231">
        <f>IF(Z24=5,SUMIF(Z31:Z35,"&gt;0"),0)</f>
        <v>0</v>
      </c>
      <c r="AB68" s="1235">
        <f>IF(AB24=5,SUMIF(AB31:AB35,"&gt;0"),0)</f>
        <v>0</v>
      </c>
      <c r="AC68" s="1231">
        <f>IF(AC24=5,SUMIF(AC31:AC35,"&gt;0"),0)</f>
        <v>0</v>
      </c>
      <c r="AE68" s="1235">
        <f>IF(AE24=5,SUMIF(AE31:AE35,"&gt;0"),0)</f>
        <v>0</v>
      </c>
      <c r="AF68" s="1231">
        <f>SUM(B68:AE68)</f>
        <v>0</v>
      </c>
      <c r="AG68" s="1231">
        <f>AF76-AF68</f>
        <v>0</v>
      </c>
    </row>
    <row r="69" spans="1:54" s="1231" customFormat="1" ht="12.75" hidden="1" customHeight="1" x14ac:dyDescent="0.2">
      <c r="D69" s="1235"/>
      <c r="G69" s="1235"/>
      <c r="J69" s="1235"/>
      <c r="M69" s="1235"/>
      <c r="P69" s="1235"/>
      <c r="S69" s="1235"/>
      <c r="V69" s="1235"/>
      <c r="Y69" s="1235"/>
      <c r="AB69" s="1235"/>
      <c r="AE69" s="1235"/>
    </row>
    <row r="70" spans="1:54" s="1231" customFormat="1" ht="12.75" hidden="1" customHeight="1" x14ac:dyDescent="0.2">
      <c r="D70" s="1235"/>
      <c r="G70" s="1235"/>
      <c r="J70" s="1235"/>
      <c r="M70" s="1235"/>
      <c r="P70" s="1235"/>
      <c r="S70" s="1235"/>
      <c r="V70" s="1235"/>
      <c r="Y70" s="1235"/>
      <c r="AB70" s="1235"/>
      <c r="AE70" s="1235"/>
    </row>
    <row r="71" spans="1:54" s="1231" customFormat="1" ht="51" hidden="1" customHeight="1" x14ac:dyDescent="0.2">
      <c r="A71" s="1234" t="s">
        <v>85</v>
      </c>
      <c r="C71" s="1231">
        <f>SUMIF(B64:D68,"&gt;0")</f>
        <v>1</v>
      </c>
      <c r="D71" s="1235"/>
      <c r="F71" s="1231">
        <f>SUMIF(E64:G68,"&gt;0")</f>
        <v>1</v>
      </c>
      <c r="G71" s="1235"/>
      <c r="I71" s="1231">
        <f>SUMIF(H64:J68,"&gt;0")</f>
        <v>1</v>
      </c>
      <c r="J71" s="1235"/>
      <c r="L71" s="1231">
        <f>SUMIF(K64:M68,"&gt;0")</f>
        <v>1</v>
      </c>
      <c r="M71" s="1235"/>
      <c r="O71" s="1231">
        <f>SUMIF(N64:P68,"&gt;0")</f>
        <v>1</v>
      </c>
      <c r="P71" s="1235"/>
      <c r="R71" s="1231">
        <f>SUMIF(Q64:S68,"&gt;0")</f>
        <v>1</v>
      </c>
      <c r="S71" s="1235"/>
      <c r="U71" s="1231">
        <f>SUMIF(T64:V68,"&gt;0")</f>
        <v>0</v>
      </c>
      <c r="V71" s="1235"/>
      <c r="X71" s="1231">
        <f>SUMIF(W64:Y68,"&gt;0")</f>
        <v>0</v>
      </c>
      <c r="Y71" s="1235"/>
      <c r="AA71" s="1231">
        <f>SUMIF(Z64:AB68,"&gt;0")</f>
        <v>0</v>
      </c>
      <c r="AB71" s="1235"/>
      <c r="AD71" s="1231">
        <f>SUMIF(AC64:AE68,"&gt;0")</f>
        <v>0</v>
      </c>
      <c r="AE71" s="1235"/>
      <c r="AF71" s="1234" t="s">
        <v>86</v>
      </c>
    </row>
    <row r="72" spans="1:54" s="1231" customFormat="1" ht="12.75" hidden="1" customHeight="1" x14ac:dyDescent="0.2">
      <c r="A72" s="1231" t="s">
        <v>76</v>
      </c>
      <c r="B72" s="1231">
        <f>IF(B24=1,C71,0)</f>
        <v>0</v>
      </c>
      <c r="D72" s="1235">
        <f>IF(D24=1,C71,0)</f>
        <v>0</v>
      </c>
      <c r="E72" s="1231">
        <f>IF(E24=1,F71,0)</f>
        <v>1</v>
      </c>
      <c r="G72" s="1235">
        <f>IF(G24=1,F71,0)</f>
        <v>0</v>
      </c>
      <c r="H72" s="1231">
        <f>IF(H24=1,I71,0)</f>
        <v>0</v>
      </c>
      <c r="J72" s="1235">
        <f>IF(J24=1,I71,0)</f>
        <v>0</v>
      </c>
      <c r="K72" s="1231">
        <f>IF(K24=1,L71,0)</f>
        <v>1</v>
      </c>
      <c r="M72" s="1235">
        <f>IF(M24=1,L71,0)</f>
        <v>0</v>
      </c>
      <c r="N72" s="1231">
        <f>IF(N24=1,O71,0)</f>
        <v>0</v>
      </c>
      <c r="P72" s="1235">
        <f>IF(P24=1,O71,0)</f>
        <v>0</v>
      </c>
      <c r="Q72" s="1231">
        <f>IF(Q24=1,R71,0)</f>
        <v>1</v>
      </c>
      <c r="S72" s="1235">
        <f>IF(S24=1,R71,0)</f>
        <v>0</v>
      </c>
      <c r="T72" s="1231">
        <f>IF(T24=1,U71,0)</f>
        <v>0</v>
      </c>
      <c r="V72" s="1235">
        <f>IF(V24=1,U71,0)</f>
        <v>0</v>
      </c>
      <c r="W72" s="1231">
        <f>IF(W24=1,X71,0)</f>
        <v>0</v>
      </c>
      <c r="Y72" s="1235">
        <f>IF(Y24=1,X71,0)</f>
        <v>0</v>
      </c>
      <c r="Z72" s="1231">
        <f>IF(Z24=1,AA71,0)</f>
        <v>0</v>
      </c>
      <c r="AB72" s="1235">
        <f>IF(AB24=1,AA71,0)</f>
        <v>0</v>
      </c>
      <c r="AC72" s="1231">
        <f>IF(AC24=1,AD71,0)</f>
        <v>0</v>
      </c>
      <c r="AE72" s="1235">
        <f>IF(AE24=1,AD71,0)</f>
        <v>0</v>
      </c>
      <c r="AF72" s="1231">
        <f>SUM(B72:AE72)</f>
        <v>3</v>
      </c>
    </row>
    <row r="73" spans="1:54" s="1231" customFormat="1" ht="12.75" hidden="1" customHeight="1" x14ac:dyDescent="0.2">
      <c r="A73" s="1231" t="s">
        <v>77</v>
      </c>
      <c r="B73" s="1231">
        <f>IF(B24=2,C71,0)</f>
        <v>1</v>
      </c>
      <c r="D73" s="1235">
        <f>IF(D24=2,C71,0)</f>
        <v>0</v>
      </c>
      <c r="E73" s="1231">
        <f>IF(E24=2,F71,0)</f>
        <v>0</v>
      </c>
      <c r="G73" s="1235">
        <f>IF(G24=2,F71,0)</f>
        <v>0</v>
      </c>
      <c r="H73" s="1231">
        <f>IF(H24=2,I71,0)</f>
        <v>1</v>
      </c>
      <c r="J73" s="1235">
        <f>IF(J24=2,I71,0)</f>
        <v>0</v>
      </c>
      <c r="K73" s="1231">
        <f>IF(K24=2,L71,0)</f>
        <v>0</v>
      </c>
      <c r="M73" s="1235">
        <f>IF(M24=2,L71,0)</f>
        <v>0</v>
      </c>
      <c r="N73" s="1231">
        <f>IF(N24=2,O71,0)</f>
        <v>0</v>
      </c>
      <c r="P73" s="1235">
        <f>IF(P24=2,O71,0)</f>
        <v>0</v>
      </c>
      <c r="Q73" s="1231">
        <f>IF(Q24=2,R71,0)</f>
        <v>0</v>
      </c>
      <c r="S73" s="1235">
        <f>IF(S24=2,R71,0)</f>
        <v>1</v>
      </c>
      <c r="T73" s="1231">
        <f>IF(T24=2,U71,0)</f>
        <v>0</v>
      </c>
      <c r="V73" s="1235">
        <f>IF(V24=2,U71,0)</f>
        <v>0</v>
      </c>
      <c r="W73" s="1231">
        <f>IF(W24=2,X71,0)</f>
        <v>0</v>
      </c>
      <c r="Y73" s="1235">
        <f>IF(Y24=2,X71,0)</f>
        <v>0</v>
      </c>
      <c r="Z73" s="1231">
        <f>IF(Z24=2,AA71,0)</f>
        <v>0</v>
      </c>
      <c r="AB73" s="1235">
        <f>IF(AB24=2,AA71,0)</f>
        <v>0</v>
      </c>
      <c r="AC73" s="1231">
        <f>IF(AC24=2,AD71,0)</f>
        <v>0</v>
      </c>
      <c r="AE73" s="1235">
        <f>IF(AE24=2,AD71,0)</f>
        <v>0</v>
      </c>
      <c r="AF73" s="1231">
        <f>SUM(B73:AE73)</f>
        <v>3</v>
      </c>
    </row>
    <row r="74" spans="1:54" s="1231" customFormat="1" ht="12.75" hidden="1" customHeight="1" x14ac:dyDescent="0.2">
      <c r="A74" s="1231" t="s">
        <v>78</v>
      </c>
      <c r="B74" s="1231">
        <f>IF(B24=3,C71,0)</f>
        <v>0</v>
      </c>
      <c r="D74" s="1235">
        <f>IF(D24=3,C71,0)</f>
        <v>1</v>
      </c>
      <c r="E74" s="1231">
        <f>IF(E24=3,F71,0)</f>
        <v>0</v>
      </c>
      <c r="G74" s="1235">
        <f>IF(G24=3,F71,0)</f>
        <v>0</v>
      </c>
      <c r="H74" s="1231">
        <f>IF(H24=3,I71,0)</f>
        <v>0</v>
      </c>
      <c r="J74" s="1235">
        <f>IF(J24=3,I71,0)</f>
        <v>0</v>
      </c>
      <c r="K74" s="1231">
        <f>IF(K24=3,L71,0)</f>
        <v>0</v>
      </c>
      <c r="M74" s="1235">
        <f>IF(M24=3,L71,0)</f>
        <v>1</v>
      </c>
      <c r="N74" s="1231">
        <f>IF(N24=3,O71,0)</f>
        <v>1</v>
      </c>
      <c r="P74" s="1235">
        <f>IF(P24=3,O71,0)</f>
        <v>0</v>
      </c>
      <c r="Q74" s="1231">
        <f>IF(Q24=3,R71,0)</f>
        <v>0</v>
      </c>
      <c r="S74" s="1235">
        <f>IF(S24=3,R71,0)</f>
        <v>0</v>
      </c>
      <c r="T74" s="1231">
        <f>IF(T24=3,U71,0)</f>
        <v>0</v>
      </c>
      <c r="V74" s="1235">
        <f>IF(V24=3,U71,0)</f>
        <v>0</v>
      </c>
      <c r="W74" s="1231">
        <f>IF(W24=3,X71,0)</f>
        <v>0</v>
      </c>
      <c r="Y74" s="1235">
        <f>IF(Y24=3,X71,0)</f>
        <v>0</v>
      </c>
      <c r="Z74" s="1231">
        <f>IF(Z24=3,AA71,0)</f>
        <v>0</v>
      </c>
      <c r="AB74" s="1235">
        <f>IF(AB24=3,AA71,0)</f>
        <v>0</v>
      </c>
      <c r="AC74" s="1231">
        <f>IF(AC24=3,AD71,0)</f>
        <v>0</v>
      </c>
      <c r="AE74" s="1235">
        <f>IF(AE24=3,AD71,0)</f>
        <v>0</v>
      </c>
      <c r="AF74" s="1231">
        <f>SUM(B74:AE74)</f>
        <v>3</v>
      </c>
    </row>
    <row r="75" spans="1:54" s="1231" customFormat="1" ht="12.75" hidden="1" customHeight="1" x14ac:dyDescent="0.2">
      <c r="A75" s="1231" t="s">
        <v>79</v>
      </c>
      <c r="B75" s="1231">
        <f>IF(B24=4,C71,0)</f>
        <v>0</v>
      </c>
      <c r="D75" s="1235">
        <f>IF(D24=4,C71,0)</f>
        <v>0</v>
      </c>
      <c r="E75" s="1231">
        <f>IF(E24=4,F71,0)</f>
        <v>0</v>
      </c>
      <c r="G75" s="1235">
        <f>IF(G24=4,F71,0)</f>
        <v>1</v>
      </c>
      <c r="H75" s="1231">
        <f>IF(H24=4,I71,0)</f>
        <v>0</v>
      </c>
      <c r="J75" s="1235">
        <f>IF(J24=4,I71,0)</f>
        <v>1</v>
      </c>
      <c r="K75" s="1231">
        <f>IF(K24=4,L71,0)</f>
        <v>0</v>
      </c>
      <c r="M75" s="1235">
        <f>IF(M24=4,L71,0)</f>
        <v>0</v>
      </c>
      <c r="N75" s="1231">
        <f>IF(N24=4,O71,0)</f>
        <v>0</v>
      </c>
      <c r="P75" s="1235">
        <f>IF(P24=4,O71,0)</f>
        <v>1</v>
      </c>
      <c r="Q75" s="1231">
        <f>IF(Q24=4,R71,0)</f>
        <v>0</v>
      </c>
      <c r="S75" s="1235">
        <f>IF(S24=4,R71,0)</f>
        <v>0</v>
      </c>
      <c r="T75" s="1231">
        <f>IF(T24=4,U71,0)</f>
        <v>0</v>
      </c>
      <c r="V75" s="1235">
        <f>IF(V24=4,U71,0)</f>
        <v>0</v>
      </c>
      <c r="W75" s="1231">
        <f>IF(W24=4,X71,0)</f>
        <v>0</v>
      </c>
      <c r="Y75" s="1235">
        <f>IF(Y24=4,X71,0)</f>
        <v>0</v>
      </c>
      <c r="Z75" s="1231">
        <f>IF(Z24=4,AA71,0)</f>
        <v>0</v>
      </c>
      <c r="AB75" s="1235">
        <f>IF(AB24=4,AA71,0)</f>
        <v>0</v>
      </c>
      <c r="AC75" s="1231">
        <f>IF(AC24=4,AD71,0)</f>
        <v>0</v>
      </c>
      <c r="AE75" s="1235">
        <f>IF(AE24=4,AD71,0)</f>
        <v>0</v>
      </c>
      <c r="AF75" s="1231">
        <f>SUM(B75:AE75)</f>
        <v>3</v>
      </c>
    </row>
    <row r="76" spans="1:54" s="1231" customFormat="1" ht="12.75" hidden="1" customHeight="1" x14ac:dyDescent="0.2">
      <c r="A76" s="1231" t="s">
        <v>80</v>
      </c>
      <c r="B76" s="1231">
        <f>IF(B24=5,C71,0)</f>
        <v>0</v>
      </c>
      <c r="D76" s="1235">
        <f>IF(D24=5,C71,0)</f>
        <v>0</v>
      </c>
      <c r="E76" s="1231">
        <f>IF(E24=5,F71,0)</f>
        <v>0</v>
      </c>
      <c r="G76" s="1235">
        <f>IF(G24=5,F71,0)</f>
        <v>0</v>
      </c>
      <c r="H76" s="1231">
        <f>IF(H24=5,I71,0)</f>
        <v>0</v>
      </c>
      <c r="J76" s="1235">
        <f>IF(J24=5,I71,0)</f>
        <v>0</v>
      </c>
      <c r="K76" s="1231">
        <f>IF(K24=5,L71,0)</f>
        <v>0</v>
      </c>
      <c r="M76" s="1235">
        <f>IF(M24=5,L71,0)</f>
        <v>0</v>
      </c>
      <c r="N76" s="1231">
        <f>IF(N24=5,O71,0)</f>
        <v>0</v>
      </c>
      <c r="P76" s="1235">
        <f>IF(P24=5,O71,0)</f>
        <v>0</v>
      </c>
      <c r="Q76" s="1231">
        <f>IF(Q24=5,R71,0)</f>
        <v>0</v>
      </c>
      <c r="S76" s="1235">
        <f>IF(S24=5,R71,0)</f>
        <v>0</v>
      </c>
      <c r="T76" s="1231">
        <f>IF(T24=5,U71,0)</f>
        <v>0</v>
      </c>
      <c r="V76" s="1235">
        <f>IF(V24=5,U71,0)</f>
        <v>0</v>
      </c>
      <c r="W76" s="1231">
        <f>IF(W24=5,X71,0)</f>
        <v>0</v>
      </c>
      <c r="Y76" s="1235">
        <f>IF(Y24=5,X71,0)</f>
        <v>0</v>
      </c>
      <c r="Z76" s="1231">
        <f>IF(Z24=5,AA71,0)</f>
        <v>0</v>
      </c>
      <c r="AB76" s="1235">
        <f>IF(AB24=5,AA71,0)</f>
        <v>0</v>
      </c>
      <c r="AC76" s="1231">
        <f>IF(AC24=5,AD71,0)</f>
        <v>0</v>
      </c>
      <c r="AE76" s="1235">
        <f>IF(AE24=5,AD71,0)</f>
        <v>0</v>
      </c>
      <c r="AF76" s="1231">
        <f>SUM(B76:AE76)</f>
        <v>0</v>
      </c>
    </row>
    <row r="77" spans="1:54" hidden="1" x14ac:dyDescent="0.2">
      <c r="A77" s="1237"/>
      <c r="B77" s="1237"/>
      <c r="C77" s="1237"/>
      <c r="D77" s="1237"/>
      <c r="E77" s="1237"/>
      <c r="F77" s="1237"/>
      <c r="G77" s="1237"/>
      <c r="H77" s="1237"/>
      <c r="I77" s="1237"/>
      <c r="J77" s="1237"/>
      <c r="K77" s="1237"/>
      <c r="L77" s="1237"/>
      <c r="M77" s="1237"/>
      <c r="N77" s="1237"/>
      <c r="O77" s="1237"/>
      <c r="P77" s="1237"/>
      <c r="Q77" s="1237"/>
      <c r="R77" s="1237"/>
      <c r="S77" s="1237"/>
      <c r="T77" s="1237"/>
      <c r="U77" s="1237"/>
      <c r="V77" s="1237"/>
      <c r="W77" s="1237"/>
      <c r="X77" s="1237"/>
      <c r="Y77" s="1237"/>
      <c r="Z77" s="1237"/>
      <c r="AA77" s="1237"/>
      <c r="AB77" s="1237"/>
      <c r="AC77" s="1237"/>
      <c r="AD77" s="1237"/>
      <c r="AE77" s="1237"/>
      <c r="AF77" s="1237"/>
      <c r="AG77" s="1237"/>
      <c r="AH77" s="1237"/>
      <c r="AI77" s="1237"/>
      <c r="AJ77" s="1237"/>
      <c r="AK77" s="1237"/>
      <c r="AL77" s="1237"/>
      <c r="AM77" s="1237"/>
      <c r="AN77" s="1238"/>
      <c r="AO77" s="1238"/>
      <c r="AP77" s="1238"/>
      <c r="AQ77" s="1238"/>
      <c r="AR77" s="1239"/>
      <c r="AS77" s="1239"/>
      <c r="AT77" s="1239"/>
      <c r="AU77" s="1239"/>
      <c r="AV77" s="1239"/>
      <c r="AW77" s="1240"/>
      <c r="BB77" s="1240"/>
    </row>
    <row r="78" spans="1:54" s="1239" customFormat="1" hidden="1" x14ac:dyDescent="0.2">
      <c r="A78" s="1241"/>
      <c r="B78" s="1241"/>
      <c r="C78" s="1241" t="s">
        <v>87</v>
      </c>
      <c r="D78" s="1241">
        <v>1</v>
      </c>
      <c r="E78" s="1241"/>
      <c r="F78" s="1241"/>
      <c r="G78" s="1241">
        <v>2</v>
      </c>
      <c r="H78" s="1241"/>
      <c r="I78" s="1241"/>
      <c r="J78" s="1241">
        <v>3</v>
      </c>
      <c r="K78" s="1241"/>
      <c r="L78" s="1241"/>
      <c r="M78" s="1241">
        <v>4</v>
      </c>
      <c r="N78" s="1241"/>
      <c r="O78" s="1241"/>
      <c r="P78" s="1241">
        <v>5</v>
      </c>
      <c r="Q78" s="1241"/>
      <c r="R78" s="1241"/>
      <c r="S78" s="1241">
        <v>6</v>
      </c>
      <c r="T78" s="1241"/>
      <c r="U78" s="1241"/>
      <c r="V78" s="1241">
        <v>7</v>
      </c>
      <c r="W78" s="1241"/>
      <c r="X78" s="1241"/>
      <c r="Y78" s="1241">
        <v>8</v>
      </c>
      <c r="Z78" s="1241"/>
      <c r="AA78" s="1241"/>
      <c r="AB78" s="1241">
        <v>9</v>
      </c>
      <c r="AC78" s="1241"/>
      <c r="AD78" s="1241"/>
      <c r="AE78" s="1241">
        <v>10</v>
      </c>
      <c r="AF78"/>
      <c r="AG78" s="1241"/>
      <c r="AI78" s="1242"/>
      <c r="AJ78"/>
      <c r="AK78"/>
      <c r="AL78"/>
      <c r="AM78"/>
      <c r="AN78"/>
      <c r="AO78"/>
      <c r="AT78" s="1242" t="s">
        <v>88</v>
      </c>
      <c r="AW78" s="1243"/>
      <c r="BB78" s="1243"/>
    </row>
    <row r="79" spans="1:54" s="1239" customFormat="1" hidden="1" x14ac:dyDescent="0.2">
      <c r="A79" s="1244">
        <v>1</v>
      </c>
      <c r="B79" s="1244" t="str">
        <f>E8</f>
        <v>Intense kids power col</v>
      </c>
      <c r="C79" s="1244">
        <f>VLOOKUP(B79,AU$3:AY$7,3,FALSE)</f>
        <v>1252.9739815801377</v>
      </c>
      <c r="D79" s="1244">
        <f>IF(B72,B87,IF(D72,D87,C79))</f>
        <v>1252.9739815801377</v>
      </c>
      <c r="E79" s="1244"/>
      <c r="F79" s="1244"/>
      <c r="G79" s="1244">
        <f>IF(E72,E87,IF(G72,G87,D79))</f>
        <v>1266.8567047914996</v>
      </c>
      <c r="H79" s="1244"/>
      <c r="I79" s="1244"/>
      <c r="J79" s="1244">
        <f>IF(H72,H87,IF(J72,J87,G79))</f>
        <v>1266.8567047914996</v>
      </c>
      <c r="K79" s="1244"/>
      <c r="L79" s="1244"/>
      <c r="M79" s="1244">
        <f>IF(K72,K87,IF(M72,M87,J79))</f>
        <v>1280.45171297869</v>
      </c>
      <c r="N79" s="1244"/>
      <c r="O79" s="1244"/>
      <c r="P79" s="1244">
        <f>IF(N72,N87,IF(P72,P87,M79))</f>
        <v>1280.45171297869</v>
      </c>
      <c r="Q79" s="1244"/>
      <c r="R79" s="1244"/>
      <c r="S79" s="1244">
        <f>IF(Q72,Q87,IF(S72,S87,P79))</f>
        <v>1291.463631335562</v>
      </c>
      <c r="T79" s="1244"/>
      <c r="U79" s="1244"/>
      <c r="V79" s="1244">
        <f>IF(T72,T87,IF(V72,V87,S79))</f>
        <v>1291.463631335562</v>
      </c>
      <c r="W79" s="1244"/>
      <c r="X79" s="1244"/>
      <c r="Y79" s="1244">
        <f>IF(W72,W87,IF(Y72,Y87,V79))</f>
        <v>1291.463631335562</v>
      </c>
      <c r="Z79" s="1244"/>
      <c r="AA79" s="1244"/>
      <c r="AB79" s="1244">
        <f>IF(Z72,Z87,IF(AB72,AB87,Y79))</f>
        <v>1291.463631335562</v>
      </c>
      <c r="AC79" s="1244"/>
      <c r="AD79" s="1244"/>
      <c r="AE79" s="1244">
        <f>IF(AC72,AC87,IF(AE72,AE87,AB79))</f>
        <v>1291.463631335562</v>
      </c>
      <c r="AF79"/>
      <c r="AG79"/>
      <c r="AJ79"/>
      <c r="AK79"/>
      <c r="AL79"/>
      <c r="AM79"/>
      <c r="AN79"/>
      <c r="AO79"/>
      <c r="AT79" s="1239" t="str">
        <f>B79</f>
        <v>Intense kids power col</v>
      </c>
      <c r="AU79" s="1239">
        <f>AE79</f>
        <v>1291.463631335562</v>
      </c>
      <c r="AW79" s="1243"/>
      <c r="BB79" s="1243"/>
    </row>
    <row r="80" spans="1:54" s="1239" customFormat="1" hidden="1" x14ac:dyDescent="0.2">
      <c r="A80" s="1244">
        <v>2</v>
      </c>
      <c r="B80" s="1244" t="str">
        <f>E10</f>
        <v>Foothills Vanessa</v>
      </c>
      <c r="C80" s="1244">
        <f>VLOOKUP(B80,AU$3:AY$7,3,FALSE)</f>
        <v>1164.88819190138</v>
      </c>
      <c r="D80" s="1244">
        <f>IF(B73,B87,IF(D73,D87,C80))</f>
        <v>1184.0006465945339</v>
      </c>
      <c r="E80" s="1244"/>
      <c r="F80" s="1244"/>
      <c r="G80" s="1244">
        <f>IF(E73,E87,IF(G73,G87,D80))</f>
        <v>1184.0006465945339</v>
      </c>
      <c r="H80" s="1244"/>
      <c r="I80" s="1244"/>
      <c r="J80" s="1244">
        <f>IF(H73,H87,IF(J73,J87,G80))</f>
        <v>1168.4078081463624</v>
      </c>
      <c r="K80" s="1244"/>
      <c r="L80" s="1244"/>
      <c r="M80" s="1244">
        <f>IF(K73,K87,IF(M73,M87,J80))</f>
        <v>1168.4078081463624</v>
      </c>
      <c r="N80" s="1244"/>
      <c r="O80" s="1244"/>
      <c r="P80" s="1244">
        <f>IF(N73,N87,IF(P73,P87,M80))</f>
        <v>1168.4078081463624</v>
      </c>
      <c r="Q80" s="1244"/>
      <c r="R80" s="1244"/>
      <c r="S80" s="1244">
        <f>IF(Q73,Q87,IF(S73,S87,P80))</f>
        <v>1157.3958897894904</v>
      </c>
      <c r="T80" s="1244"/>
      <c r="U80" s="1244"/>
      <c r="V80" s="1244">
        <f>IF(T73,T87,IF(V73,V87,S80))</f>
        <v>1157.3958897894904</v>
      </c>
      <c r="W80" s="1244"/>
      <c r="X80" s="1244"/>
      <c r="Y80" s="1244">
        <f>IF(W73,W87,IF(Y73,Y87,V80))</f>
        <v>1157.3958897894904</v>
      </c>
      <c r="Z80" s="1244"/>
      <c r="AA80" s="1244"/>
      <c r="AB80" s="1244">
        <f>IF(Z73,Z87,IF(AB73,AB87,Y80))</f>
        <v>1157.3958897894904</v>
      </c>
      <c r="AC80" s="1244"/>
      <c r="AD80" s="1244"/>
      <c r="AE80" s="1244">
        <f>IF(AC73,AC87,IF(AE73,AE87,AB80))</f>
        <v>1157.3958897894904</v>
      </c>
      <c r="AF80"/>
      <c r="AG80"/>
      <c r="AJ80"/>
      <c r="AL80"/>
      <c r="AM80"/>
      <c r="AN80"/>
      <c r="AO80"/>
      <c r="AT80" s="1239" t="str">
        <f>B80</f>
        <v>Foothills Vanessa</v>
      </c>
      <c r="AU80" s="1239">
        <f>AE80</f>
        <v>1157.3958897894904</v>
      </c>
      <c r="AW80" s="1243"/>
      <c r="BB80" s="1243"/>
    </row>
    <row r="81" spans="1:54" s="1239" customFormat="1" hidden="1" x14ac:dyDescent="0.2">
      <c r="A81" s="1244">
        <v>3</v>
      </c>
      <c r="B81" s="1244" t="str">
        <f>E12</f>
        <v>SC Midlands KP Garnet</v>
      </c>
      <c r="C81" s="1244">
        <f>VLOOKUP(B81,AU$3:AY$7,3,FALSE)</f>
        <v>1233.3466974331975</v>
      </c>
      <c r="D81" s="1244">
        <f>IF(B74,B87,IF(D74,D87,C81))</f>
        <v>1214.2342427400436</v>
      </c>
      <c r="E81" s="1244"/>
      <c r="F81" s="1244"/>
      <c r="G81" s="1244">
        <f>IF(E74,E87,IF(G74,G87,D81))</f>
        <v>1214.2342427400436</v>
      </c>
      <c r="H81" s="1244"/>
      <c r="I81" s="1244"/>
      <c r="J81" s="1244">
        <f>IF(H74,H87,IF(J74,J87,G81))</f>
        <v>1214.2342427400436</v>
      </c>
      <c r="K81" s="1244"/>
      <c r="L81" s="1244"/>
      <c r="M81" s="1244">
        <f>IF(K74,K87,IF(M74,M87,J81))</f>
        <v>1200.6392345528532</v>
      </c>
      <c r="N81" s="1244"/>
      <c r="O81" s="1244"/>
      <c r="P81" s="1244">
        <f>IF(N74,N87,IF(P74,P87,M81))</f>
        <v>1216.9982652053041</v>
      </c>
      <c r="Q81" s="1244"/>
      <c r="R81" s="1244"/>
      <c r="S81" s="1244">
        <f>IF(Q74,Q87,IF(S74,S87,P81))</f>
        <v>1216.9982652053041</v>
      </c>
      <c r="T81" s="1244"/>
      <c r="U81" s="1244"/>
      <c r="V81" s="1244">
        <f>IF(T74,T87,IF(V74,V87,S81))</f>
        <v>1216.9982652053041</v>
      </c>
      <c r="W81" s="1244"/>
      <c r="X81" s="1244"/>
      <c r="Y81" s="1244">
        <f>IF(W74,W87,IF(Y74,Y87,V81))</f>
        <v>1216.9982652053041</v>
      </c>
      <c r="Z81" s="1244"/>
      <c r="AA81" s="1244"/>
      <c r="AB81" s="1244">
        <f>IF(Z74,Z87,IF(AB74,AB87,Y81))</f>
        <v>1216.9982652053041</v>
      </c>
      <c r="AC81" s="1244"/>
      <c r="AD81" s="1244"/>
      <c r="AE81" s="1244">
        <f>IF(AC74,AC87,IF(AE74,AE87,AB81))</f>
        <v>1216.9982652053041</v>
      </c>
      <c r="AF81"/>
      <c r="AG81"/>
      <c r="AJ81"/>
      <c r="AL81"/>
      <c r="AM81"/>
      <c r="AN81"/>
      <c r="AO81"/>
      <c r="AT81" s="1239" t="str">
        <f>B81</f>
        <v>SC Midlands KP Garnet</v>
      </c>
      <c r="AU81" s="1239">
        <f>AE81</f>
        <v>1216.9982652053041</v>
      </c>
      <c r="AW81" s="1243"/>
      <c r="BB81" s="1243"/>
    </row>
    <row r="82" spans="1:54" s="1239" customFormat="1" hidden="1" x14ac:dyDescent="0.2">
      <c r="A82" s="1244">
        <v>4</v>
      </c>
      <c r="B82" s="1244" t="str">
        <f>E14</f>
        <v>SC Midlands KP White</v>
      </c>
      <c r="C82" s="1244">
        <f>VLOOKUP(B82,AU$3:AY$7,3,FALSE)</f>
        <v>1206.7266798132362</v>
      </c>
      <c r="D82" s="1244">
        <f>IF(B75,B87,IF(D75,D87,C82))</f>
        <v>1206.7266798132362</v>
      </c>
      <c r="E82" s="1244"/>
      <c r="F82" s="1244"/>
      <c r="G82" s="1244">
        <f>IF(E75,E87,IF(G75,G87,D82))</f>
        <v>1192.8439566018742</v>
      </c>
      <c r="H82" s="1244"/>
      <c r="I82" s="1244"/>
      <c r="J82" s="1244">
        <f>IF(H75,H87,IF(J75,J87,G82))</f>
        <v>1208.4367950500457</v>
      </c>
      <c r="K82" s="1244"/>
      <c r="L82" s="1244"/>
      <c r="M82" s="1244">
        <f>IF(K75,K87,IF(M75,M87,J82))</f>
        <v>1208.4367950500457</v>
      </c>
      <c r="N82" s="1244"/>
      <c r="O82" s="1244"/>
      <c r="P82" s="1244">
        <f>IF(N75,N87,IF(P75,P87,M82))</f>
        <v>1192.0777643975948</v>
      </c>
      <c r="Q82" s="1244"/>
      <c r="R82" s="1244"/>
      <c r="S82" s="1244">
        <f>IF(Q75,Q87,IF(S75,S87,P82))</f>
        <v>1192.0777643975948</v>
      </c>
      <c r="T82" s="1244"/>
      <c r="U82" s="1244"/>
      <c r="V82" s="1244">
        <f>IF(T75,T87,IF(V75,V87,S82))</f>
        <v>1192.0777643975948</v>
      </c>
      <c r="W82" s="1244"/>
      <c r="X82" s="1244"/>
      <c r="Y82" s="1244">
        <f>IF(W75,W87,IF(Y75,Y87,V82))</f>
        <v>1192.0777643975948</v>
      </c>
      <c r="Z82" s="1244"/>
      <c r="AA82" s="1244"/>
      <c r="AB82" s="1244">
        <f>IF(Z75,Z87,IF(AB75,AB87,Y82))</f>
        <v>1192.0777643975948</v>
      </c>
      <c r="AC82" s="1244"/>
      <c r="AD82" s="1244"/>
      <c r="AE82" s="1244">
        <f>IF(AC75,AC87,IF(AE75,AE87,AB82))</f>
        <v>1192.0777643975948</v>
      </c>
      <c r="AF82"/>
      <c r="AG82"/>
      <c r="AJ82"/>
      <c r="AL82"/>
      <c r="AM82"/>
      <c r="AN82"/>
      <c r="AO82"/>
      <c r="AT82" s="1239" t="str">
        <f>B82</f>
        <v>SC Midlands KP White</v>
      </c>
      <c r="AU82" s="1239">
        <f>AE82</f>
        <v>1192.0777643975948</v>
      </c>
      <c r="AW82" s="1243"/>
      <c r="BB82" s="1243"/>
    </row>
    <row r="83" spans="1:54" s="1239" customFormat="1" hidden="1" x14ac:dyDescent="0.2">
      <c r="A83" s="1244">
        <v>5</v>
      </c>
      <c r="B83" s="1244">
        <f>E16</f>
        <v>0</v>
      </c>
      <c r="C83" s="1244" t="e">
        <f>VLOOKUP(B83,AU$3:AY$7,3,FALSE)</f>
        <v>#N/A</v>
      </c>
      <c r="D83" s="1244" t="e">
        <f>IF(B76,B87,IF(D76,D87,C83))</f>
        <v>#N/A</v>
      </c>
      <c r="E83" s="1244"/>
      <c r="F83" s="1244"/>
      <c r="G83" s="1244" t="e">
        <f>IF(E76,E87,IF(G76,G87,D83))</f>
        <v>#N/A</v>
      </c>
      <c r="H83" s="1244"/>
      <c r="I83" s="1244"/>
      <c r="J83" s="1244" t="e">
        <f>IF(H76,H87,IF(J76,J87,G83))</f>
        <v>#N/A</v>
      </c>
      <c r="K83" s="1244"/>
      <c r="L83" s="1244"/>
      <c r="M83" s="1244" t="e">
        <f>IF(K76,K87,IF(M76,M87,J83))</f>
        <v>#N/A</v>
      </c>
      <c r="N83" s="1244"/>
      <c r="O83" s="1244"/>
      <c r="P83" s="1244" t="e">
        <f>IF(N76,N87,IF(P76,P87,M83))</f>
        <v>#N/A</v>
      </c>
      <c r="Q83" s="1244"/>
      <c r="R83" s="1244"/>
      <c r="S83" s="1244" t="e">
        <f>IF(Q76,Q87,IF(S76,S87,P83))</f>
        <v>#N/A</v>
      </c>
      <c r="T83" s="1244"/>
      <c r="U83" s="1244"/>
      <c r="V83" s="1244" t="e">
        <f>IF(T76,T87,IF(V76,V87,S83))</f>
        <v>#N/A</v>
      </c>
      <c r="W83" s="1244"/>
      <c r="X83" s="1244"/>
      <c r="Y83" s="1244" t="e">
        <f>IF(W76,W87,IF(Y76,Y87,V83))</f>
        <v>#N/A</v>
      </c>
      <c r="Z83" s="1244"/>
      <c r="AA83" s="1244"/>
      <c r="AB83" s="1244" t="e">
        <f>IF(Z76,Z87,IF(AB76,AB87,Y83))</f>
        <v>#N/A</v>
      </c>
      <c r="AC83" s="1244"/>
      <c r="AD83" s="1244"/>
      <c r="AE83" s="1244" t="e">
        <f>IF(AC76,AC87,IF(AE76,AE87,AB83))</f>
        <v>#N/A</v>
      </c>
      <c r="AF83"/>
      <c r="AG83"/>
      <c r="AJ83"/>
      <c r="AL83"/>
      <c r="AM83"/>
      <c r="AN83"/>
      <c r="AO83"/>
      <c r="AT83" s="1239">
        <f>B83</f>
        <v>0</v>
      </c>
      <c r="AU83" s="1239" t="e">
        <f>AE83</f>
        <v>#N/A</v>
      </c>
      <c r="AW83" s="1243"/>
      <c r="BB83" s="1243"/>
    </row>
    <row r="84" spans="1:54" s="1239" customFormat="1" hidden="1" x14ac:dyDescent="0.2">
      <c r="A84" s="1244"/>
      <c r="B84" s="1244"/>
      <c r="C84" s="1244"/>
      <c r="D84" s="1244"/>
      <c r="E84" s="1244"/>
      <c r="F84" s="1244"/>
      <c r="G84" s="1244"/>
      <c r="H84" s="1244"/>
      <c r="I84" s="1244"/>
      <c r="J84" s="1244"/>
      <c r="K84" s="1244"/>
      <c r="L84" s="1244"/>
      <c r="M84" s="1244"/>
      <c r="N84" s="1244"/>
      <c r="O84" s="1244"/>
      <c r="P84" s="1244"/>
      <c r="Q84" s="1244"/>
      <c r="R84" s="1244"/>
      <c r="S84" s="1244"/>
      <c r="T84" s="1244"/>
      <c r="U84" s="1244"/>
      <c r="V84" s="1244"/>
      <c r="W84" s="1244"/>
      <c r="X84" s="1244"/>
      <c r="Y84" s="1244"/>
      <c r="Z84" s="1244"/>
      <c r="AA84" s="1244"/>
      <c r="AB84" s="1244"/>
      <c r="AC84" s="1244"/>
      <c r="AD84" s="1244"/>
      <c r="AE84" s="1244"/>
      <c r="AF84"/>
      <c r="AG84"/>
      <c r="AJ84"/>
      <c r="AL84"/>
      <c r="AM84"/>
      <c r="AN84"/>
      <c r="AO84"/>
      <c r="AW84" s="1243"/>
      <c r="BB84" s="1243"/>
    </row>
    <row r="85" spans="1:54" s="1239" customFormat="1" hidden="1" x14ac:dyDescent="0.2">
      <c r="A85" s="1244" t="s">
        <v>89</v>
      </c>
      <c r="B85" s="1244">
        <f>VLOOKUP(B24,$A79:$AE83,3,FALSE)</f>
        <v>1164.88819190138</v>
      </c>
      <c r="C85" s="1244">
        <v>1</v>
      </c>
      <c r="D85" s="1244">
        <f>VLOOKUP(D24,$A79:$AE83,3,FALSE)</f>
        <v>1233.3466974331975</v>
      </c>
      <c r="E85" s="1244">
        <f>VLOOKUP(E24,$A79:$AE83,4,FALSE)</f>
        <v>1252.9739815801377</v>
      </c>
      <c r="F85" s="1244">
        <v>2</v>
      </c>
      <c r="G85" s="1244">
        <f>VLOOKUP(G24,$A79:$AE83,4,FALSE)</f>
        <v>1206.7266798132362</v>
      </c>
      <c r="H85" s="1244">
        <f>VLOOKUP(H24,$A79:$AE83,7,FALSE)</f>
        <v>1184.0006465945339</v>
      </c>
      <c r="I85" s="1244">
        <v>3</v>
      </c>
      <c r="J85" s="1244">
        <f>VLOOKUP(J24,$A79:$AE83,7,FALSE)</f>
        <v>1192.8439566018742</v>
      </c>
      <c r="K85" s="1244">
        <f>VLOOKUP(K24,$A79:$AE83,10,FALSE)</f>
        <v>1266.8567047914996</v>
      </c>
      <c r="L85" s="1244">
        <v>4</v>
      </c>
      <c r="M85" s="1244">
        <f>VLOOKUP(M24,$A79:$AE83,10,FALSE)</f>
        <v>1214.2342427400436</v>
      </c>
      <c r="N85" s="1244">
        <f>VLOOKUP(N24,$A79:$AE83,13,FALSE)</f>
        <v>1200.6392345528532</v>
      </c>
      <c r="O85" s="1244">
        <v>5</v>
      </c>
      <c r="P85" s="1244">
        <f>VLOOKUP(P24,$A79:$AE83,13,FALSE)</f>
        <v>1208.4367950500457</v>
      </c>
      <c r="Q85" s="1244">
        <f>VLOOKUP(Q24,$A79:$AE83,16,FALSE)</f>
        <v>1280.45171297869</v>
      </c>
      <c r="R85" s="1244">
        <v>6</v>
      </c>
      <c r="S85" s="1244">
        <f>VLOOKUP(S24,$A79:$AE83,16,FALSE)</f>
        <v>1168.4078081463624</v>
      </c>
      <c r="T85" s="1244" t="e">
        <f>VLOOKUP(T24,$A79:$AE83,19,FALSE)</f>
        <v>#N/A</v>
      </c>
      <c r="U85" s="1244">
        <v>7</v>
      </c>
      <c r="V85" s="1244" t="e">
        <f>VLOOKUP(V24,$A79:$AE83,19,FALSE)</f>
        <v>#N/A</v>
      </c>
      <c r="W85" s="1244" t="e">
        <f>VLOOKUP(W24,$A79:$AE83,22,FALSE)</f>
        <v>#N/A</v>
      </c>
      <c r="X85" s="1244">
        <v>8</v>
      </c>
      <c r="Y85" s="1244" t="e">
        <f>VLOOKUP(Y24,$A79:$AE83,22,FALSE)</f>
        <v>#N/A</v>
      </c>
      <c r="Z85" s="1244" t="e">
        <f>VLOOKUP(Z24,$A79:$AE83,25,FALSE)</f>
        <v>#N/A</v>
      </c>
      <c r="AA85" s="1244">
        <v>9</v>
      </c>
      <c r="AB85" s="1244" t="e">
        <f>VLOOKUP(AB24,$A79:$AE83,25,FALSE)</f>
        <v>#N/A</v>
      </c>
      <c r="AC85" s="1244" t="e">
        <f>VLOOKUP(AC24,$A79:$AE83,28,FALSE)</f>
        <v>#N/A</v>
      </c>
      <c r="AD85" s="1244">
        <v>10</v>
      </c>
      <c r="AE85" s="1244" t="e">
        <f>VLOOKUP(AE24,$A79:$AE83,28,FALSE)</f>
        <v>#N/A</v>
      </c>
      <c r="AF85"/>
      <c r="AG85" s="1237"/>
      <c r="AH85" s="1237"/>
      <c r="AI85" s="1237"/>
      <c r="AJ85" s="1237"/>
      <c r="AK85" s="1237"/>
      <c r="AL85" s="1237"/>
      <c r="AM85" s="1237"/>
      <c r="AN85" s="1238"/>
      <c r="AO85" s="1238"/>
      <c r="AP85" s="1238"/>
      <c r="AQ85" s="1238"/>
      <c r="AW85" s="1243"/>
      <c r="BB85" s="1243"/>
    </row>
    <row r="86" spans="1:54" s="1249" customFormat="1" hidden="1" x14ac:dyDescent="0.2">
      <c r="A86" s="1245" t="s">
        <v>90</v>
      </c>
      <c r="B86" s="1245">
        <f>1/(1+(10^-((B85-D85)/400)))*(B36+D36)</f>
        <v>0.4027357908389369</v>
      </c>
      <c r="C86" s="1245"/>
      <c r="D86" s="1245">
        <f>1/(1+(10^-((D85-B85)/400)))*(B36+D36)</f>
        <v>0.59726420916106315</v>
      </c>
      <c r="E86" s="1245">
        <f>1/(1+(10^-((E85-G85)/400)))*(E36+G36)</f>
        <v>0.56616489964493577</v>
      </c>
      <c r="F86" s="1245"/>
      <c r="G86" s="1245">
        <f>1/(1+(10^-((G85-E85)/400)))*(E36+G36)</f>
        <v>0.43383510035506412</v>
      </c>
      <c r="H86" s="1245">
        <f>1/(1+(10^-((H85-J85)/400)))*(H36+J36)</f>
        <v>0.4872762015053575</v>
      </c>
      <c r="I86" s="1245"/>
      <c r="J86" s="1245">
        <f>1/(1+(10^-((J85-H85)/400)))*(H36+J36)</f>
        <v>0.51272379849464256</v>
      </c>
      <c r="K86" s="1245">
        <f>1/(1+(10^-((K85-M85)/400)))*(K36+M36)</f>
        <v>0.57515599415030139</v>
      </c>
      <c r="L86" s="1245"/>
      <c r="M86" s="1245">
        <f>1/(1+(10^-((M85-K85)/400)))*(K36+M36)</f>
        <v>0.42484400584969861</v>
      </c>
      <c r="N86" s="1245">
        <f>1/(1+(10^-((N85-P85)/400)))*(N36+P36)</f>
        <v>0.4887802921109109</v>
      </c>
      <c r="O86" s="1245"/>
      <c r="P86" s="1245">
        <f>1/(1+(10^-((P85-N85)/400)))*(N36+P36)</f>
        <v>0.5112197078890891</v>
      </c>
      <c r="Q86" s="1245">
        <f>1/(1+(10^-((Q85-S85)/400)))*(Q36+S36)</f>
        <v>0.65587755134774972</v>
      </c>
      <c r="R86" s="1245"/>
      <c r="S86" s="1245">
        <f>1/(1+(10^-((S85-Q85)/400)))*(Q36+S36)</f>
        <v>0.34412244865225028</v>
      </c>
      <c r="T86" s="1245" t="e">
        <f>1/(1+(10^-((T85-V85)/400)))*(T36+V36)</f>
        <v>#N/A</v>
      </c>
      <c r="U86" s="1245"/>
      <c r="V86" s="1245" t="e">
        <f>1/(1+(10^-((V85-T85)/400)))*(T36+V36)</f>
        <v>#N/A</v>
      </c>
      <c r="W86" s="1245" t="e">
        <f>1/(1+(10^-((W85-Y85)/400)))*(W36+Y36)</f>
        <v>#N/A</v>
      </c>
      <c r="X86" s="1245"/>
      <c r="Y86" s="1245" t="e">
        <f>1/(1+(10^-((Y85-W85)/400)))*(W36+Y36)</f>
        <v>#N/A</v>
      </c>
      <c r="Z86" s="1245" t="e">
        <f>1/(1+(10^-((Z85-AB85)/400)))*(Z36+AB36)</f>
        <v>#N/A</v>
      </c>
      <c r="AA86" s="1245"/>
      <c r="AB86" s="1245" t="e">
        <f>1/(1+(10^-((AB85-Z85)/400)))*(Z36+AB36)</f>
        <v>#N/A</v>
      </c>
      <c r="AC86" s="1245" t="e">
        <f>1/(1+(10^-((AC85-AE85)/400)))*(AC36+AE36)</f>
        <v>#N/A</v>
      </c>
      <c r="AD86" s="1245"/>
      <c r="AE86" s="1245" t="e">
        <f>1/(1+(10^-((AE85-AC85)/400)))*(AC36+AE36)</f>
        <v>#N/A</v>
      </c>
      <c r="AF86" s="1246"/>
      <c r="AG86" s="1247"/>
      <c r="AH86" s="1247"/>
      <c r="AI86" s="1247"/>
      <c r="AJ86" s="1247"/>
      <c r="AK86" s="1247"/>
      <c r="AL86" s="1247"/>
      <c r="AM86" s="1247"/>
      <c r="AN86" s="1248"/>
      <c r="AO86" s="1248"/>
      <c r="AP86" s="1248"/>
      <c r="AQ86" s="1248"/>
      <c r="AW86" s="1250"/>
      <c r="BB86" s="1250"/>
    </row>
    <row r="87" spans="1:54" s="1255" customFormat="1" hidden="1" x14ac:dyDescent="0.2">
      <c r="A87" s="1251" t="s">
        <v>91</v>
      </c>
      <c r="B87" s="1251">
        <f>B85+(B36-B86)*$BA$1</f>
        <v>1184.0006465945339</v>
      </c>
      <c r="C87" s="1251"/>
      <c r="D87" s="1251">
        <f>D85+(D36-D86)*$BA$1</f>
        <v>1214.2342427400436</v>
      </c>
      <c r="E87" s="1251">
        <f>E85+(E36-E86)*$BA$1</f>
        <v>1266.8567047914996</v>
      </c>
      <c r="F87" s="1251"/>
      <c r="G87" s="1251">
        <f>G85+(G36-G86)*$BA$1</f>
        <v>1192.8439566018742</v>
      </c>
      <c r="H87" s="1251">
        <f>H85+(H36-H86)*$BA$1</f>
        <v>1168.4078081463624</v>
      </c>
      <c r="I87" s="1251"/>
      <c r="J87" s="1251">
        <f>J85+(J36-J86)*$BA$1</f>
        <v>1208.4367950500457</v>
      </c>
      <c r="K87" s="1251">
        <f>K85+(K36-K86)*$BA$1</f>
        <v>1280.45171297869</v>
      </c>
      <c r="L87" s="1251"/>
      <c r="M87" s="1251">
        <f>M85+(M36-M86)*$BA$1</f>
        <v>1200.6392345528532</v>
      </c>
      <c r="N87" s="1251">
        <f>N85+(N36-N86)*$BA$1</f>
        <v>1216.9982652053041</v>
      </c>
      <c r="O87" s="1251"/>
      <c r="P87" s="1251">
        <f>P85+(P36-P86)*$BA$1</f>
        <v>1192.0777643975948</v>
      </c>
      <c r="Q87" s="1251">
        <f>Q85+(Q36-Q86)*$BA$1</f>
        <v>1291.463631335562</v>
      </c>
      <c r="R87" s="1251"/>
      <c r="S87" s="1251">
        <f>S85+(S36-S86)*$BA$1</f>
        <v>1157.3958897894904</v>
      </c>
      <c r="T87" s="1251" t="e">
        <f>T85+(T36-T86)*$BA$1</f>
        <v>#N/A</v>
      </c>
      <c r="U87" s="1251"/>
      <c r="V87" s="1251" t="e">
        <f>V85+(V36-V86)*$BA$1</f>
        <v>#N/A</v>
      </c>
      <c r="W87" s="1251" t="e">
        <f>W85+(W36-W86)*$BA$1</f>
        <v>#N/A</v>
      </c>
      <c r="X87" s="1251"/>
      <c r="Y87" s="1251" t="e">
        <f>Y85+(Y36-Y86)*$BA$1</f>
        <v>#N/A</v>
      </c>
      <c r="Z87" s="1251" t="e">
        <f>Z85+(Z36-Z86)*$BA$1</f>
        <v>#N/A</v>
      </c>
      <c r="AA87" s="1251"/>
      <c r="AB87" s="1251" t="e">
        <f>AB85+(AB36-AB86)*$BA$1</f>
        <v>#N/A</v>
      </c>
      <c r="AC87" s="1251" t="e">
        <f>AC85+(AC36-AC86)*$BA$1</f>
        <v>#N/A</v>
      </c>
      <c r="AD87" s="1251"/>
      <c r="AE87" s="1251" t="e">
        <f>AE85+(AE36-AE86)*$BA$1</f>
        <v>#N/A</v>
      </c>
      <c r="AF87" s="1252"/>
      <c r="AG87" s="1253"/>
      <c r="AH87" s="1253"/>
      <c r="AI87" s="1253"/>
      <c r="AJ87" s="1253"/>
      <c r="AK87" s="1253"/>
      <c r="AL87" s="1253"/>
      <c r="AM87" s="1253"/>
      <c r="AN87" s="1254"/>
      <c r="AO87" s="1254"/>
      <c r="AP87" s="1254"/>
      <c r="AQ87" s="1254"/>
      <c r="AW87" s="1256"/>
      <c r="BB87" s="1256"/>
    </row>
    <row r="88" spans="1:54" s="1255" customFormat="1" hidden="1" x14ac:dyDescent="0.2">
      <c r="A88" s="1251"/>
      <c r="B88" s="1251"/>
      <c r="C88" s="1251"/>
      <c r="D88" s="1251"/>
      <c r="E88" s="1251"/>
      <c r="F88" s="1251"/>
      <c r="G88" s="1251"/>
      <c r="H88" s="1251"/>
      <c r="I88" s="1251"/>
      <c r="J88" s="1251"/>
      <c r="K88" s="1251"/>
      <c r="L88" s="1251"/>
      <c r="M88" s="1251"/>
      <c r="N88" s="1251"/>
      <c r="O88" s="1251"/>
      <c r="P88" s="1251"/>
      <c r="Q88" s="1251"/>
      <c r="R88" s="1251"/>
      <c r="S88" s="1251"/>
      <c r="T88" s="1251"/>
      <c r="U88" s="1251"/>
      <c r="V88" s="1251"/>
      <c r="W88" s="1251"/>
      <c r="X88" s="1251"/>
      <c r="Y88" s="1251"/>
      <c r="Z88" s="1251"/>
      <c r="AA88" s="1251"/>
      <c r="AB88" s="1251"/>
      <c r="AC88" s="1251"/>
      <c r="AD88" s="1251"/>
      <c r="AE88" s="1251"/>
      <c r="AF88" s="1252"/>
      <c r="AG88" s="1253"/>
      <c r="AH88" s="1253"/>
      <c r="AI88" s="1253"/>
      <c r="AJ88" s="1253"/>
      <c r="AK88" s="1253"/>
      <c r="AL88" s="1253"/>
      <c r="AM88" s="1253"/>
      <c r="AN88" s="1254"/>
      <c r="AO88" s="1254"/>
      <c r="AP88" s="1254"/>
      <c r="AQ88" s="1254"/>
      <c r="AW88" s="1256"/>
      <c r="BB88" s="1256"/>
    </row>
    <row r="89" spans="1:54" s="1239" customFormat="1" x14ac:dyDescent="0.2">
      <c r="A89" s="1257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89" s="1257"/>
      <c r="C89" s="1257"/>
      <c r="D89" s="1257"/>
      <c r="E89" s="1257"/>
      <c r="F89" s="1257"/>
      <c r="G89" s="1257"/>
      <c r="H89" s="1257"/>
      <c r="I89" s="1257"/>
      <c r="J89" s="1257"/>
      <c r="K89" s="1257"/>
      <c r="L89" s="1257"/>
      <c r="M89" s="1257"/>
      <c r="N89" s="1257"/>
      <c r="O89" s="1257"/>
      <c r="P89" s="1257"/>
      <c r="Q89" s="1257"/>
      <c r="R89" s="1257"/>
      <c r="S89" s="1257"/>
      <c r="T89" s="1257"/>
      <c r="U89" s="1257"/>
      <c r="V89" s="1257"/>
      <c r="W89" s="1257"/>
      <c r="X89" s="1257"/>
      <c r="Y89" s="1257"/>
      <c r="Z89" s="1257"/>
      <c r="AA89" s="1257"/>
      <c r="AB89" s="1257"/>
      <c r="AC89" s="1257"/>
      <c r="AD89" s="1257"/>
      <c r="AE89" s="1257"/>
      <c r="AF89" s="1257"/>
      <c r="AG89" s="1257"/>
      <c r="AH89" s="1257"/>
      <c r="AI89" s="1257"/>
      <c r="AJ89" s="1257"/>
      <c r="AK89" s="1257"/>
      <c r="AL89" s="1257"/>
      <c r="AM89" s="1258"/>
      <c r="AN89" s="1258"/>
      <c r="AO89" s="1258"/>
      <c r="AP89" s="1258"/>
    </row>
    <row r="90" spans="1:54" s="1239" customFormat="1" x14ac:dyDescent="0.2">
      <c r="A90" s="1259"/>
      <c r="B90" s="1259"/>
      <c r="C90" s="1259"/>
      <c r="D90" s="1259"/>
      <c r="E90" s="1259"/>
      <c r="F90" s="1259"/>
      <c r="G90" s="1259"/>
      <c r="H90" s="1259"/>
      <c r="I90" s="1259"/>
      <c r="J90" s="1259"/>
      <c r="K90" s="1259"/>
      <c r="L90" s="1259"/>
      <c r="M90" s="1259"/>
      <c r="N90" s="1259"/>
      <c r="O90" s="1259"/>
      <c r="P90" s="1259"/>
      <c r="Q90" s="1259"/>
      <c r="R90" s="1259"/>
      <c r="S90" s="1259"/>
      <c r="T90" s="1259"/>
      <c r="U90" s="1259"/>
      <c r="V90" s="1259"/>
      <c r="W90" s="1259"/>
      <c r="X90" s="1259"/>
      <c r="Y90" s="1259"/>
      <c r="Z90" s="1259"/>
      <c r="AA90" s="1259"/>
      <c r="AB90" s="1259"/>
      <c r="AC90" s="1259"/>
      <c r="AD90" s="1259"/>
      <c r="AE90" s="1259"/>
      <c r="AF90" s="1259"/>
      <c r="AG90" s="1259"/>
      <c r="AH90" s="1259"/>
      <c r="AI90" s="1259"/>
      <c r="AJ90" s="1259"/>
      <c r="AK90" s="1259"/>
      <c r="AL90" s="1259"/>
      <c r="AM90" s="1259"/>
      <c r="AN90" s="1259"/>
      <c r="AO90" s="1259"/>
      <c r="AP90" s="1259"/>
      <c r="AQ90" s="1259"/>
    </row>
    <row r="91" spans="1:54" ht="21" thickBot="1" x14ac:dyDescent="0.35">
      <c r="A91" s="1260" t="s">
        <v>93</v>
      </c>
      <c r="B91" s="1260"/>
      <c r="C91" s="1260"/>
      <c r="D91" s="1260"/>
      <c r="E91" s="1260"/>
      <c r="F91" s="1260"/>
      <c r="G91" s="1260"/>
      <c r="H91" s="1260"/>
      <c r="I91" s="1260"/>
      <c r="J91" s="1260"/>
      <c r="K91" s="1260"/>
      <c r="L91" s="1260"/>
      <c r="M91" s="1260"/>
      <c r="N91" s="1260"/>
      <c r="O91" s="1260"/>
      <c r="P91" s="1260"/>
      <c r="Q91" s="1260"/>
      <c r="R91" s="1260"/>
      <c r="S91" s="1260"/>
      <c r="T91" s="1260"/>
      <c r="U91" s="1260"/>
      <c r="V91" s="1260"/>
      <c r="W91" s="1260"/>
      <c r="X91" s="1260"/>
      <c r="Y91" s="1260"/>
      <c r="Z91" s="1260"/>
      <c r="AA91" s="1260"/>
      <c r="AB91" s="1260"/>
      <c r="AC91" s="1260"/>
      <c r="AD91" s="1260"/>
      <c r="AE91" s="1260"/>
      <c r="AF91" s="1260"/>
      <c r="AG91" s="1260"/>
      <c r="AH91" s="1260"/>
      <c r="AI91" s="1260"/>
      <c r="AJ91" s="1260"/>
      <c r="AK91" s="1260"/>
      <c r="AL91" s="1260"/>
      <c r="AM91" s="1260"/>
      <c r="AN91" s="1260"/>
      <c r="AO91" s="1260"/>
      <c r="AP91" s="1260"/>
      <c r="AQ91" s="1260"/>
    </row>
    <row r="92" spans="1:54" ht="13.5" thickBot="1" x14ac:dyDescent="0.25">
      <c r="A92" s="1261" t="s">
        <v>94</v>
      </c>
      <c r="B92" s="1262" t="s">
        <v>95</v>
      </c>
      <c r="C92" s="1263"/>
      <c r="D92" s="1263"/>
      <c r="E92" s="1263"/>
      <c r="F92" s="1263"/>
      <c r="G92" s="1263"/>
      <c r="H92" s="1263"/>
      <c r="I92" s="1263"/>
      <c r="J92" s="1263"/>
      <c r="K92" s="1264"/>
      <c r="L92" s="1262" t="s">
        <v>96</v>
      </c>
      <c r="M92" s="1263"/>
      <c r="N92" s="1263"/>
      <c r="O92" s="1263"/>
      <c r="P92" s="1263"/>
      <c r="Q92" s="1263"/>
      <c r="R92" s="1263"/>
      <c r="S92" s="1263"/>
      <c r="T92" s="1263"/>
      <c r="U92" s="1264"/>
      <c r="V92" s="1262" t="s">
        <v>97</v>
      </c>
      <c r="W92" s="1263"/>
      <c r="X92" s="1263"/>
      <c r="Y92" s="1263"/>
      <c r="Z92" s="1263"/>
      <c r="AA92" s="1263"/>
      <c r="AB92" s="1263"/>
      <c r="AC92" s="1263"/>
      <c r="AD92" s="1263"/>
      <c r="AE92" s="1264"/>
      <c r="AF92" s="1262" t="s">
        <v>98</v>
      </c>
      <c r="AG92" s="1263"/>
      <c r="AH92" s="1263"/>
      <c r="AI92" s="1263"/>
      <c r="AJ92" s="1263"/>
      <c r="AK92" s="1263"/>
      <c r="AL92" s="1263"/>
      <c r="AM92" s="1263"/>
      <c r="AN92" s="1263"/>
      <c r="AO92" s="1264"/>
    </row>
    <row r="93" spans="1:54" ht="13.5" thickBot="1" x14ac:dyDescent="0.25">
      <c r="A93" s="1265"/>
      <c r="B93" s="1266" t="s">
        <v>7</v>
      </c>
      <c r="C93" s="1267"/>
      <c r="D93" s="1267"/>
      <c r="E93" s="1267"/>
      <c r="F93" s="1267"/>
      <c r="G93" s="1268"/>
      <c r="H93" s="1266" t="s">
        <v>99</v>
      </c>
      <c r="I93" s="1267"/>
      <c r="J93" s="1267"/>
      <c r="K93" s="1268"/>
      <c r="L93" s="1266" t="s">
        <v>7</v>
      </c>
      <c r="M93" s="1267"/>
      <c r="N93" s="1267"/>
      <c r="O93" s="1267"/>
      <c r="P93" s="1267"/>
      <c r="Q93" s="1268"/>
      <c r="R93" s="1266" t="s">
        <v>99</v>
      </c>
      <c r="S93" s="1267"/>
      <c r="T93" s="1267"/>
      <c r="U93" s="1268"/>
      <c r="V93" s="1266" t="s">
        <v>7</v>
      </c>
      <c r="W93" s="1267"/>
      <c r="X93" s="1267"/>
      <c r="Y93" s="1267"/>
      <c r="Z93" s="1267"/>
      <c r="AA93" s="1268"/>
      <c r="AB93" s="1266" t="s">
        <v>99</v>
      </c>
      <c r="AC93" s="1267"/>
      <c r="AD93" s="1267"/>
      <c r="AE93" s="1268"/>
      <c r="AF93" s="1266" t="s">
        <v>7</v>
      </c>
      <c r="AG93" s="1267"/>
      <c r="AH93" s="1267"/>
      <c r="AI93" s="1267"/>
      <c r="AJ93" s="1267"/>
      <c r="AK93" s="1268"/>
      <c r="AL93" s="1266" t="s">
        <v>99</v>
      </c>
      <c r="AM93" s="1267"/>
      <c r="AN93" s="1267"/>
      <c r="AO93" s="1268"/>
    </row>
    <row r="94" spans="1:54" ht="13.5" thickBot="1" x14ac:dyDescent="0.25">
      <c r="A94" s="1269" t="s">
        <v>100</v>
      </c>
      <c r="B94" s="1270" t="str">
        <f>IF($AF$8=1,$E$8,IF($AF$10=1,$E$10,IF($AF$12=1,$E$12,IF($AF$14=1,$E$14,IF($AF$16=1,$E$16,"1st Place "&amp;$A94)))))</f>
        <v>Intense kids power col</v>
      </c>
      <c r="C94" s="1271"/>
      <c r="D94" s="1271"/>
      <c r="E94" s="1271"/>
      <c r="F94" s="1271"/>
      <c r="G94" s="1271"/>
      <c r="H94" s="1272" t="str">
        <f>IF($AF$8=1,$E$9,IF($AF$10=1,$E$11,IF($AF$12=1,$E$13,IF($AF$14=1,$E$15,IF($AF$16=1,$E$17,"1st Place "&amp;$A94)))))</f>
        <v>fj2inten3pm</v>
      </c>
      <c r="I94" s="1272"/>
      <c r="J94" s="1272"/>
      <c r="K94" s="1273"/>
      <c r="L94" s="1270" t="str">
        <f>IF($AF$8=2,$E$8,IF($AF$10=2,$E$10,IF($AF$12=2,$E$12,IF($AF$14=2,$E$14,IF($AF$16=2,$E$16,"2nd Place "&amp;$A94)))))</f>
        <v>SC Midlands KP White</v>
      </c>
      <c r="M94" s="1271"/>
      <c r="N94" s="1271"/>
      <c r="O94" s="1271"/>
      <c r="P94" s="1271"/>
      <c r="Q94" s="1271"/>
      <c r="R94" s="1272" t="str">
        <f>IF($AF$8=2,$E$9,IF($AF$10=2,$E$11,IF($AF$12=2,$E$13,IF($AF$14=2,$E$15,IF($AF$16=2,$E$17,"2nd Place "&amp;$A94)))))</f>
        <v>fj2scmid2pm</v>
      </c>
      <c r="S94" s="1272"/>
      <c r="T94" s="1272"/>
      <c r="U94" s="1273"/>
      <c r="V94" s="1270" t="str">
        <f>IF($AF$8=3,$E$8,IF($AF$10=3,$E$10,IF($AF$12=3,$E$12,IF($AF$14=3,$E$14,IF($AF$16=3,$E$16,"3rd Place "&amp;$A94)))))</f>
        <v>SC Midlands KP Garnet</v>
      </c>
      <c r="W94" s="1271"/>
      <c r="X94" s="1271"/>
      <c r="Y94" s="1271"/>
      <c r="Z94" s="1271"/>
      <c r="AA94" s="1271"/>
      <c r="AB94" s="1272" t="str">
        <f>IF($AF$8=3,$E$9,IF($AF$10=3,$E$11,IF($AF$12=3,$E$13,IF($AF$14=3,$E$15,IF($AF$16=3,$E$17,"3rd Place "&amp;$A94)))))</f>
        <v>fj1scmid2pm</v>
      </c>
      <c r="AC94" s="1272"/>
      <c r="AD94" s="1272"/>
      <c r="AE94" s="1273"/>
      <c r="AF94" s="1270" t="str">
        <f>IF($AF$8=4,$E$8,IF($AF$10=4,$E$10,IF($AF$12=4,$E$12,IF($AF$14=4,$E$14,IF($AF$16=4,$E$16,"4th Place "&amp;$A94)))))</f>
        <v>Foothills Vanessa</v>
      </c>
      <c r="AG94" s="1271"/>
      <c r="AH94" s="1271"/>
      <c r="AI94" s="1271"/>
      <c r="AJ94" s="1271"/>
      <c r="AK94" s="1271"/>
      <c r="AL94" s="1272" t="str">
        <f>IF($AF$8=4,$E$9,IF($AF$10=4,$E$11,IF($AF$12=4,$E$13,IF($AF$14=4,$E$15,IF($AF$16=4,$E$17,"4th Place "&amp;$A94)))))</f>
        <v>fj2footh2pm</v>
      </c>
      <c r="AM94" s="1272"/>
      <c r="AN94" s="1272"/>
      <c r="AO94" s="1273"/>
    </row>
    <row r="95" spans="1:54" s="1039" customFormat="1" x14ac:dyDescent="0.2">
      <c r="A95" s="1274"/>
      <c r="B95" s="1275"/>
      <c r="C95" s="1275"/>
      <c r="D95" s="1275"/>
      <c r="E95" s="1275"/>
      <c r="F95" s="1275"/>
      <c r="G95" s="1275"/>
      <c r="H95" s="1275"/>
      <c r="I95" s="1275"/>
      <c r="J95" s="1275"/>
      <c r="K95" s="1275"/>
      <c r="L95" s="1275"/>
      <c r="M95" s="1275"/>
      <c r="N95" s="1275"/>
      <c r="O95" s="1275"/>
      <c r="P95" s="1275"/>
      <c r="Q95" s="1275"/>
      <c r="R95" s="1275"/>
      <c r="S95" s="1275"/>
      <c r="T95" s="1275"/>
      <c r="U95" s="1275"/>
      <c r="V95" s="1275"/>
      <c r="W95" s="1275"/>
      <c r="X95" s="1275"/>
      <c r="Y95" s="1275"/>
      <c r="Z95" s="1275"/>
      <c r="AA95" s="1275"/>
      <c r="AB95" s="1275"/>
      <c r="AC95" s="1275"/>
      <c r="AD95" s="1275"/>
      <c r="AE95" s="1275"/>
      <c r="AF95" s="1275"/>
      <c r="AG95" s="1275"/>
      <c r="AH95" s="1275"/>
      <c r="AI95" s="1275"/>
      <c r="AJ95" s="1275"/>
      <c r="AK95" s="1275"/>
      <c r="AL95" s="1275"/>
      <c r="AM95" s="1275"/>
      <c r="AN95" s="1275"/>
      <c r="AO95" s="1275"/>
      <c r="AZ95"/>
      <c r="BA95"/>
    </row>
    <row r="96" spans="1:54" ht="15.75" x14ac:dyDescent="0.25">
      <c r="A96" s="1276" t="s">
        <v>102</v>
      </c>
      <c r="B96" s="1276"/>
      <c r="C96" s="1276"/>
      <c r="D96" s="1276"/>
      <c r="E96" s="1276"/>
      <c r="F96" s="1276"/>
      <c r="G96" s="1276"/>
      <c r="H96" s="1276"/>
      <c r="I96" s="1276"/>
      <c r="J96" s="1276"/>
      <c r="K96" s="1276"/>
      <c r="L96" s="1276"/>
      <c r="M96" s="1276"/>
      <c r="N96" s="1276"/>
      <c r="O96" s="1276"/>
      <c r="P96" s="1276"/>
      <c r="Q96" s="1276"/>
      <c r="R96" s="1276"/>
      <c r="S96" s="1276"/>
      <c r="T96" s="1276"/>
      <c r="U96" s="1276"/>
      <c r="V96" s="1276"/>
      <c r="W96" s="1276"/>
      <c r="X96" s="1276"/>
      <c r="Y96" s="1276"/>
      <c r="Z96" s="1276"/>
      <c r="AA96" s="1276"/>
      <c r="AB96" s="1276"/>
      <c r="AC96" s="1276"/>
      <c r="AD96" s="1276"/>
      <c r="AE96" s="1276"/>
      <c r="AF96" s="1276"/>
      <c r="AG96" s="1276"/>
      <c r="AH96" s="1276"/>
      <c r="AI96" s="1276"/>
      <c r="AJ96" s="1276"/>
      <c r="AK96" s="1276"/>
      <c r="AL96" s="1276"/>
      <c r="AM96" s="1276"/>
      <c r="AN96" s="1276"/>
      <c r="AO96" s="1276"/>
      <c r="AP96" s="1276"/>
      <c r="AQ96" s="1276"/>
      <c r="AT96" s="1277"/>
      <c r="AU96" s="1277"/>
      <c r="AV96" s="1277"/>
    </row>
    <row r="97" spans="1:50" ht="36" customHeight="1" x14ac:dyDescent="0.25">
      <c r="A97" s="1278" t="s">
        <v>1212</v>
      </c>
      <c r="B97" s="1422"/>
      <c r="C97" s="1422"/>
      <c r="D97" s="1422"/>
      <c r="E97" s="1422"/>
      <c r="F97" s="1422"/>
      <c r="G97" s="1422"/>
      <c r="H97" s="1422"/>
      <c r="I97" s="1422"/>
      <c r="J97" s="1422"/>
      <c r="K97" s="1422"/>
      <c r="L97" s="1422"/>
      <c r="M97" s="1422"/>
      <c r="N97" s="1422"/>
      <c r="O97" s="1422"/>
      <c r="P97" s="1422"/>
      <c r="Q97" s="1422"/>
      <c r="R97" s="1422"/>
      <c r="S97" s="1422"/>
      <c r="T97" s="1422"/>
      <c r="U97" s="1422"/>
      <c r="V97" s="1422"/>
      <c r="W97" s="1422"/>
      <c r="X97" s="1422"/>
      <c r="Y97" s="1422"/>
      <c r="Z97" s="1422"/>
      <c r="AA97" s="1422"/>
      <c r="AB97" s="1422"/>
      <c r="AC97" s="1422"/>
      <c r="AD97" s="1422"/>
      <c r="AE97" s="1422"/>
      <c r="AF97" s="1422"/>
      <c r="AG97" s="1422"/>
      <c r="AH97" s="1422"/>
      <c r="AI97" s="1422"/>
      <c r="AJ97" s="1422"/>
      <c r="AK97" s="1422"/>
      <c r="AL97" s="1422"/>
      <c r="AM97" s="1422"/>
      <c r="AN97" s="1422"/>
      <c r="AO97" s="1422"/>
      <c r="AP97" s="1422"/>
      <c r="AQ97" s="1422"/>
      <c r="AR97" s="1422"/>
    </row>
    <row r="98" spans="1:50" x14ac:dyDescent="0.2">
      <c r="A98" s="1280"/>
      <c r="B98" s="1280"/>
      <c r="C98" s="1280"/>
      <c r="D98" s="1280"/>
      <c r="E98" s="1280"/>
      <c r="F98" s="1280"/>
      <c r="G98" s="1280"/>
      <c r="H98" s="1280"/>
      <c r="I98" s="1280"/>
      <c r="J98" s="1280"/>
      <c r="K98" s="1280"/>
      <c r="L98" s="1280"/>
      <c r="M98" s="1280"/>
      <c r="N98" s="1280"/>
      <c r="O98" s="1280"/>
      <c r="P98" s="1280"/>
      <c r="Q98" s="1280"/>
      <c r="R98" s="1280"/>
      <c r="S98" s="1280"/>
      <c r="T98" s="1280"/>
      <c r="U98" s="1280"/>
      <c r="V98" s="1280"/>
      <c r="W98" s="1280"/>
      <c r="X98" s="1280"/>
      <c r="Y98" s="1280"/>
      <c r="Z98" s="1280"/>
      <c r="AA98" s="1280"/>
      <c r="AB98" s="1280"/>
      <c r="AC98" s="1280"/>
      <c r="AD98" s="1280"/>
      <c r="AE98" s="1280"/>
      <c r="AF98" s="1280"/>
      <c r="AG98" s="1280"/>
      <c r="AH98" s="1280"/>
      <c r="AI98" s="1280"/>
      <c r="AJ98" s="1280"/>
      <c r="AK98" s="1280"/>
      <c r="AL98" s="1280"/>
      <c r="AM98" s="1280"/>
      <c r="AN98" s="1280"/>
      <c r="AO98" s="1280"/>
      <c r="AP98" s="1280"/>
      <c r="AQ98" s="1280"/>
    </row>
    <row r="99" spans="1:50" x14ac:dyDescent="0.2">
      <c r="A99" s="1280"/>
      <c r="B99" s="1280"/>
      <c r="C99" s="1280"/>
      <c r="D99" s="1280"/>
      <c r="E99" s="1280"/>
      <c r="F99" s="1280"/>
      <c r="G99" s="1280"/>
      <c r="H99" s="1280"/>
      <c r="I99" s="1280"/>
      <c r="J99" s="1280"/>
      <c r="K99" s="1280"/>
      <c r="L99" s="1280"/>
      <c r="M99" s="1280"/>
      <c r="N99" s="1280"/>
      <c r="O99" s="1280"/>
      <c r="P99" s="1280"/>
      <c r="Q99" s="1280"/>
      <c r="R99" s="1280"/>
      <c r="S99" s="1280"/>
      <c r="T99" s="1280"/>
      <c r="U99" s="1280"/>
      <c r="V99" s="1280"/>
      <c r="W99" s="1280"/>
      <c r="X99" s="1280"/>
      <c r="Y99" s="1280"/>
      <c r="Z99" s="1280"/>
      <c r="AA99" s="1280"/>
      <c r="AB99" s="1280"/>
      <c r="AC99" s="1280"/>
      <c r="AD99" s="1280"/>
      <c r="AE99" s="1280"/>
      <c r="AF99" s="1280"/>
      <c r="AG99" s="1280"/>
      <c r="AH99" s="1280"/>
      <c r="AI99" s="1280"/>
      <c r="AJ99" s="1280"/>
      <c r="AK99" s="1280"/>
      <c r="AL99" s="1280"/>
      <c r="AM99" s="1280"/>
      <c r="AN99" s="1280"/>
      <c r="AO99" s="1280"/>
      <c r="AP99" s="1280"/>
      <c r="AQ99" s="1280"/>
    </row>
    <row r="100" spans="1:50" x14ac:dyDescent="0.2">
      <c r="A100" s="1281" t="s">
        <v>104</v>
      </c>
      <c r="B100" s="1281"/>
      <c r="C100" s="1281"/>
      <c r="D100" s="1281"/>
      <c r="E100" s="1281"/>
      <c r="F100" s="1281"/>
      <c r="G100" s="1281"/>
      <c r="H100" s="1281"/>
      <c r="I100" s="1281"/>
      <c r="J100" s="1281"/>
      <c r="K100" s="1281"/>
      <c r="L100" s="1282"/>
    </row>
    <row r="101" spans="1:50" x14ac:dyDescent="0.2">
      <c r="C101" s="1039"/>
      <c r="D101" s="1039"/>
      <c r="E101" s="1039"/>
      <c r="L101" s="1282"/>
    </row>
    <row r="102" spans="1:50" x14ac:dyDescent="0.2">
      <c r="A102" s="1258" t="s">
        <v>105</v>
      </c>
      <c r="B102" s="1258"/>
      <c r="C102" s="1258"/>
      <c r="D102" s="1258"/>
      <c r="E102" s="1258"/>
      <c r="F102" s="1258"/>
      <c r="G102" s="1258"/>
      <c r="H102" s="1258"/>
      <c r="I102" s="1258"/>
      <c r="J102" s="1258"/>
      <c r="K102" s="1258"/>
      <c r="L102" s="1258"/>
      <c r="M102" s="1258"/>
      <c r="N102" s="1258"/>
      <c r="O102" s="1258"/>
      <c r="P102" s="1240"/>
      <c r="R102" s="1285"/>
      <c r="S102" s="1285"/>
      <c r="T102" s="1285"/>
      <c r="U102" s="1285"/>
      <c r="V102" s="1285"/>
      <c r="W102" s="1285"/>
      <c r="X102" s="1285"/>
      <c r="Y102" s="1285"/>
      <c r="Z102" s="1285"/>
      <c r="AA102" s="1285"/>
      <c r="AB102" s="1285"/>
      <c r="AC102" s="1285"/>
      <c r="AD102" s="1285"/>
      <c r="AE102" s="1285"/>
      <c r="AF102" s="1285"/>
      <c r="AG102" s="1283"/>
      <c r="AH102" s="1283"/>
      <c r="AI102" s="1283"/>
      <c r="AJ102" s="1283"/>
      <c r="AK102" s="1283"/>
      <c r="AL102" s="1283"/>
      <c r="AM102" s="1283"/>
    </row>
    <row r="103" spans="1:50" x14ac:dyDescent="0.2">
      <c r="R103" s="1283"/>
      <c r="S103" s="1283"/>
      <c r="T103" s="1283"/>
      <c r="U103" s="1283"/>
      <c r="V103" s="1283"/>
      <c r="W103" s="1283"/>
      <c r="X103" s="1283"/>
      <c r="Y103" s="1283"/>
      <c r="Z103" s="1283"/>
      <c r="AA103" s="1283"/>
      <c r="AB103" s="1283"/>
      <c r="AC103" s="1283"/>
      <c r="AD103" s="1283"/>
      <c r="AE103" s="1283"/>
      <c r="AF103" s="1283"/>
      <c r="AG103" s="1283"/>
      <c r="AH103" s="1283"/>
      <c r="AI103" s="1283"/>
      <c r="AJ103" s="1283"/>
      <c r="AK103" s="1283"/>
      <c r="AL103" s="1283"/>
      <c r="AM103" s="1283"/>
    </row>
    <row r="104" spans="1:50" ht="13.5" thickBot="1" x14ac:dyDescent="0.25">
      <c r="A104" s="1286" t="str">
        <f>IF(B132=1,B124,IF(B132=2,B125,IF(B132=3,B126,IF(B132=4,B127,IF(OR(B132="B",B132="b"),"BYE","invalid")))))</f>
        <v>Intense kids power col</v>
      </c>
      <c r="B104" s="1286"/>
      <c r="C104" s="1286"/>
      <c r="D104" s="1286"/>
      <c r="E104" s="1286"/>
      <c r="F104" s="1287"/>
      <c r="G104" s="1287"/>
      <c r="H104" s="1287"/>
      <c r="I104" s="1287"/>
      <c r="J104" s="1287"/>
      <c r="K104" s="1287"/>
      <c r="L104" s="1287"/>
      <c r="M104" s="1287"/>
      <c r="N104" s="1287"/>
      <c r="R104" s="1283"/>
      <c r="S104" s="1289"/>
      <c r="T104" s="1289"/>
      <c r="U104" s="1284"/>
      <c r="V104" s="1284"/>
      <c r="W104" s="1284"/>
      <c r="X104" s="1284"/>
      <c r="Y104" s="1284"/>
      <c r="Z104" s="1284"/>
      <c r="AA104" s="1284"/>
      <c r="AB104" s="1283"/>
      <c r="AC104" s="1283"/>
      <c r="AD104" s="1283"/>
      <c r="AE104" s="1283"/>
      <c r="AF104" s="1283"/>
      <c r="AG104" s="1283"/>
      <c r="AH104" s="1283"/>
      <c r="AI104" s="1283"/>
      <c r="AJ104" s="1283"/>
      <c r="AK104" s="1283"/>
      <c r="AL104" s="1283"/>
      <c r="AM104" s="1283"/>
    </row>
    <row r="105" spans="1:50" x14ac:dyDescent="0.2">
      <c r="A105" s="1290" t="s">
        <v>1213</v>
      </c>
      <c r="B105" s="1290"/>
      <c r="C105" s="1290"/>
      <c r="D105" s="1290"/>
      <c r="E105" s="1290"/>
      <c r="F105" s="1291"/>
      <c r="G105" s="1287"/>
      <c r="H105" s="1287"/>
      <c r="I105" s="1287"/>
      <c r="J105" s="1287"/>
      <c r="K105" s="1287"/>
      <c r="L105" s="1287"/>
      <c r="M105" s="1287"/>
      <c r="N105" s="1287"/>
      <c r="R105" s="1283"/>
      <c r="S105" s="1293"/>
      <c r="T105" s="1293"/>
      <c r="U105" s="1294"/>
      <c r="V105" s="1294"/>
      <c r="W105" s="1294"/>
      <c r="X105" s="1294"/>
      <c r="Y105" s="1294"/>
      <c r="Z105" s="1294"/>
      <c r="AA105" s="1294"/>
      <c r="AB105" s="1283"/>
      <c r="AC105" s="1283"/>
      <c r="AD105" s="1283"/>
      <c r="AE105" s="1283"/>
      <c r="AF105" s="1283"/>
      <c r="AG105" s="1283"/>
      <c r="AH105" s="1283"/>
      <c r="AI105" s="1283"/>
      <c r="AJ105" s="1283"/>
      <c r="AK105" s="1283"/>
      <c r="AL105" s="1283"/>
      <c r="AM105" s="1283"/>
    </row>
    <row r="106" spans="1:50" x14ac:dyDescent="0.2">
      <c r="A106" s="1287"/>
      <c r="B106" s="1287"/>
      <c r="C106" s="1287"/>
      <c r="D106" s="1287"/>
      <c r="E106" s="1287"/>
      <c r="F106" s="1291"/>
      <c r="G106" s="1287"/>
      <c r="H106" s="1287"/>
      <c r="I106" s="1287"/>
      <c r="J106" s="1287"/>
      <c r="K106" s="1287"/>
      <c r="L106" s="1287"/>
      <c r="M106" s="1287"/>
      <c r="N106" s="1287"/>
      <c r="R106" s="1283"/>
      <c r="S106" s="1283"/>
      <c r="T106" s="1283"/>
      <c r="U106" s="1283"/>
      <c r="V106" s="1283"/>
      <c r="W106" s="1283"/>
      <c r="X106" s="1283"/>
      <c r="Y106" s="1283"/>
      <c r="Z106" s="1283"/>
      <c r="AA106" s="1283"/>
      <c r="AB106" s="1283"/>
      <c r="AC106" s="1283"/>
      <c r="AD106" s="1283"/>
      <c r="AE106" s="1283"/>
      <c r="AF106" s="1283"/>
      <c r="AG106" s="1283"/>
      <c r="AH106" s="1283"/>
      <c r="AI106" s="1283"/>
      <c r="AJ106" s="1283"/>
      <c r="AK106" s="1283"/>
      <c r="AL106" s="1283"/>
      <c r="AM106" s="1283"/>
    </row>
    <row r="107" spans="1:50" ht="13.5" thickBot="1" x14ac:dyDescent="0.25">
      <c r="A107" s="1423" t="str">
        <f>B126&amp;" ref"</f>
        <v>SC Midlands KP Garnet ref</v>
      </c>
      <c r="B107" s="1423"/>
      <c r="C107" s="1423"/>
      <c r="D107" s="1423"/>
      <c r="E107" s="1296"/>
      <c r="F107" s="1297" t="str">
        <f>IF(H132=1,B124,IF(H132=2,B125,IF(H132=3,B126,IF(H132=4,B127,"Winner Match 1"))))</f>
        <v>Winner Match 1</v>
      </c>
      <c r="G107" s="1298"/>
      <c r="H107" s="1298"/>
      <c r="I107" s="1298"/>
      <c r="J107" s="1298"/>
      <c r="K107" s="1298"/>
      <c r="L107" s="1298"/>
      <c r="M107" s="1298"/>
      <c r="N107" s="1287"/>
      <c r="P107" s="1299"/>
      <c r="Q107" s="1299"/>
      <c r="R107" s="1285"/>
      <c r="S107" s="1285"/>
      <c r="T107" s="1285"/>
      <c r="U107" s="1285"/>
      <c r="V107" s="1285"/>
      <c r="W107" s="1285"/>
      <c r="X107" s="1285"/>
      <c r="Y107" s="1285"/>
      <c r="Z107" s="1285"/>
      <c r="AA107" s="1283"/>
      <c r="AB107" s="1284"/>
      <c r="AC107" s="1284"/>
      <c r="AD107" s="1284"/>
      <c r="AE107" s="1284"/>
      <c r="AF107" s="1284"/>
      <c r="AG107" s="1284"/>
      <c r="AH107" s="1284"/>
      <c r="AI107" s="1283"/>
      <c r="AJ107" s="1283"/>
      <c r="AK107" s="1283"/>
      <c r="AL107" s="1283"/>
      <c r="AM107" s="1283"/>
    </row>
    <row r="108" spans="1:50" x14ac:dyDescent="0.2">
      <c r="A108" s="1300" t="s">
        <v>109</v>
      </c>
      <c r="B108" s="1300"/>
      <c r="C108" s="1300"/>
      <c r="D108" s="1300"/>
      <c r="E108" s="1300"/>
      <c r="F108" s="1424"/>
      <c r="G108" s="1425"/>
      <c r="H108" s="1425"/>
      <c r="I108" s="1426"/>
      <c r="J108" s="1427"/>
      <c r="K108" s="1428"/>
      <c r="L108" s="1428"/>
      <c r="M108" s="1428"/>
      <c r="N108" s="1287"/>
      <c r="O108" s="1287"/>
      <c r="P108" s="1296"/>
      <c r="Q108" s="355"/>
      <c r="R108" s="1317"/>
      <c r="S108" s="1317"/>
      <c r="T108" s="1307"/>
      <c r="U108" s="1307"/>
      <c r="V108" s="1307"/>
      <c r="W108" s="1307"/>
      <c r="X108" s="1307"/>
      <c r="Y108" s="1307"/>
      <c r="Z108" s="1307"/>
      <c r="AA108" s="1283"/>
      <c r="AB108" s="1285"/>
      <c r="AC108" s="1285"/>
      <c r="AD108" s="1285"/>
      <c r="AE108" s="1285"/>
      <c r="AF108" s="1285"/>
      <c r="AG108" s="1285"/>
      <c r="AH108" s="1285"/>
      <c r="AI108" s="1283"/>
      <c r="AJ108" s="1283"/>
      <c r="AK108" s="1283"/>
      <c r="AL108" s="1283"/>
      <c r="AM108" s="1283"/>
    </row>
    <row r="109" spans="1:50" ht="13.5" thickBot="1" x14ac:dyDescent="0.25">
      <c r="A109" s="1286" t="str">
        <f>IF(D132=1,B124,IF(D132=2,B125,IF(D132=3,B126,IF(D132=4,B127,IF(OR(D132="B",D132="b"),"BYE","invalid")))))</f>
        <v>Foothills Vanessa</v>
      </c>
      <c r="B109" s="1286"/>
      <c r="C109" s="1286"/>
      <c r="D109" s="1286"/>
      <c r="E109" s="1308"/>
      <c r="F109" s="1291"/>
      <c r="G109" s="1287"/>
      <c r="H109" s="1287"/>
      <c r="I109" s="1287"/>
      <c r="J109" s="1291"/>
      <c r="K109" s="1287"/>
      <c r="L109" s="1287"/>
      <c r="M109" s="1287"/>
      <c r="N109" s="1287"/>
      <c r="O109" s="1287"/>
      <c r="P109" s="1287"/>
      <c r="R109" s="1283"/>
      <c r="S109" s="1283"/>
      <c r="T109" s="1283"/>
      <c r="U109" s="1284"/>
      <c r="V109" s="1284"/>
      <c r="W109" s="1284"/>
      <c r="X109" s="1284"/>
      <c r="Y109" s="1284"/>
      <c r="Z109" s="1284"/>
      <c r="AA109" s="1284"/>
      <c r="AB109" s="1283"/>
      <c r="AC109" s="1283"/>
      <c r="AD109" s="1283"/>
      <c r="AE109" s="1283"/>
      <c r="AF109" s="1283"/>
      <c r="AG109" s="1283"/>
      <c r="AH109" s="1283"/>
      <c r="AI109" s="1283"/>
      <c r="AJ109" s="1283"/>
      <c r="AK109" s="1283"/>
      <c r="AL109" s="1283"/>
      <c r="AM109" s="1283"/>
    </row>
    <row r="110" spans="1:50" x14ac:dyDescent="0.2">
      <c r="A110" s="1290" t="s">
        <v>1214</v>
      </c>
      <c r="B110" s="1290"/>
      <c r="C110" s="1290"/>
      <c r="D110" s="1290"/>
      <c r="E110" s="1290"/>
      <c r="F110" s="1287"/>
      <c r="G110" s="1287"/>
      <c r="H110" s="1287"/>
      <c r="I110" s="1287"/>
      <c r="J110" s="1291"/>
      <c r="K110" s="1287"/>
      <c r="L110" s="1287"/>
      <c r="M110" s="1287"/>
      <c r="N110" s="1287"/>
      <c r="O110" s="1287"/>
      <c r="P110" s="1287"/>
      <c r="R110" s="1283"/>
      <c r="S110" s="1283"/>
      <c r="T110" s="1283"/>
      <c r="U110" s="1294"/>
      <c r="V110" s="1294"/>
      <c r="W110" s="1294"/>
      <c r="X110" s="1294"/>
      <c r="Y110" s="1294"/>
      <c r="Z110" s="1294"/>
      <c r="AA110" s="1294"/>
      <c r="AB110" s="1283"/>
      <c r="AC110" s="1283"/>
      <c r="AD110" s="1283"/>
      <c r="AE110" s="1283"/>
      <c r="AF110" s="1283"/>
      <c r="AG110" s="1283"/>
      <c r="AH110" s="1283"/>
      <c r="AI110" s="1283"/>
      <c r="AJ110" s="1283"/>
      <c r="AK110" s="1283"/>
      <c r="AL110" s="1283"/>
      <c r="AM110" s="1283"/>
      <c r="AQ110" s="1309"/>
      <c r="AR110" s="1309"/>
      <c r="AV110" s="1309"/>
      <c r="AW110" s="1309"/>
      <c r="AX110" s="1309"/>
    </row>
    <row r="111" spans="1:50" x14ac:dyDescent="0.2">
      <c r="A111" s="1287"/>
      <c r="B111" s="1287"/>
      <c r="C111" s="1287"/>
      <c r="D111" s="1287"/>
      <c r="E111" s="1287"/>
      <c r="F111" s="1310" t="s">
        <v>113</v>
      </c>
      <c r="G111" s="1310"/>
      <c r="H111" s="1310"/>
      <c r="I111" s="1311"/>
      <c r="J111" s="1291"/>
      <c r="K111" s="1287"/>
      <c r="L111" s="1287"/>
      <c r="M111" s="1287"/>
      <c r="N111" s="1287"/>
      <c r="O111" s="1287"/>
      <c r="P111" s="1287"/>
      <c r="R111" s="1283"/>
      <c r="S111" s="1283"/>
      <c r="T111" s="1283"/>
      <c r="U111" s="1283"/>
      <c r="V111" s="1283"/>
      <c r="W111" s="1285"/>
      <c r="X111" s="1285"/>
      <c r="Y111" s="1285"/>
      <c r="Z111" s="1283"/>
      <c r="AA111" s="1285"/>
      <c r="AB111" s="1285"/>
      <c r="AC111" s="1285"/>
      <c r="AD111" s="1285"/>
      <c r="AE111" s="1285"/>
      <c r="AF111" s="1283"/>
      <c r="AG111" s="1283"/>
      <c r="AH111" s="1283"/>
      <c r="AI111" s="1283"/>
      <c r="AJ111" s="1283"/>
      <c r="AK111" s="1283"/>
      <c r="AL111" s="1283"/>
      <c r="AM111" s="1283"/>
    </row>
    <row r="112" spans="1:50" ht="13.5" thickBot="1" x14ac:dyDescent="0.25">
      <c r="A112" s="1287"/>
      <c r="B112" s="1287"/>
      <c r="C112" s="1287"/>
      <c r="D112" s="1287"/>
      <c r="E112" s="1287"/>
      <c r="F112" s="1287"/>
      <c r="G112" s="1287"/>
      <c r="H112" s="1287"/>
      <c r="I112" s="1287"/>
      <c r="J112" s="1312" t="str">
        <f>IF(K137=1,B124,IF(K137=2,B125,IF(K137=3,B126,IF(K137=4,B127,"Division Winner"))))</f>
        <v>Division Winner</v>
      </c>
      <c r="K112" s="1313"/>
      <c r="L112" s="1313"/>
      <c r="M112" s="1313"/>
      <c r="N112" s="1313"/>
      <c r="O112" s="1313"/>
      <c r="P112" s="1313"/>
      <c r="Q112" s="1288"/>
      <c r="R112" s="1283"/>
      <c r="S112" s="1283"/>
      <c r="T112" s="1283"/>
      <c r="U112" s="1283"/>
      <c r="V112" s="1283"/>
      <c r="W112" s="1283"/>
      <c r="X112" s="1283"/>
      <c r="Y112" s="1283"/>
      <c r="Z112" s="1283"/>
      <c r="AA112" s="1284"/>
      <c r="AB112" s="1284"/>
      <c r="AC112" s="1284"/>
      <c r="AD112" s="1284"/>
      <c r="AE112" s="1284"/>
      <c r="AF112" s="1314"/>
      <c r="AG112" s="1314"/>
      <c r="AH112" s="1314"/>
      <c r="AI112" s="1314"/>
      <c r="AJ112" s="1314"/>
      <c r="AK112" s="1284"/>
      <c r="AL112" s="1283"/>
      <c r="AM112" s="1283"/>
    </row>
    <row r="113" spans="1:53" ht="13.5" thickBot="1" x14ac:dyDescent="0.25">
      <c r="A113" s="1286" t="str">
        <f>IF(E132=1,B124,IF(E132=2,B125,IF(E132=3,B126,IF(E132=4,B127,IF(OR(E132="B",E132="b"),"BYE","invalid")))))</f>
        <v>SC Midlands KP White</v>
      </c>
      <c r="B113" s="1286"/>
      <c r="C113" s="1286"/>
      <c r="D113" s="1286"/>
      <c r="E113" s="1286"/>
      <c r="F113" s="1300" t="s">
        <v>114</v>
      </c>
      <c r="G113" s="1300"/>
      <c r="H113" s="1300"/>
      <c r="I113" s="1300"/>
      <c r="J113" s="1315" t="s">
        <v>115</v>
      </c>
      <c r="K113" s="1310"/>
      <c r="L113" s="1310"/>
      <c r="M113" s="1310"/>
      <c r="N113" s="1310"/>
      <c r="O113" s="1310"/>
      <c r="P113" s="1310"/>
      <c r="R113" s="1284"/>
      <c r="S113" s="1284"/>
      <c r="T113" s="1284"/>
      <c r="U113" s="1284"/>
      <c r="V113" s="1284"/>
      <c r="W113" s="1284"/>
      <c r="X113" s="1284"/>
      <c r="Y113" s="1284"/>
      <c r="Z113" s="1284"/>
      <c r="AA113" s="1284"/>
      <c r="AB113" s="1317"/>
      <c r="AC113" s="1317"/>
      <c r="AD113" s="1317"/>
      <c r="AE113" s="1317"/>
      <c r="AF113" s="1285"/>
      <c r="AG113" s="1285"/>
      <c r="AH113" s="1285"/>
      <c r="AI113" s="1285"/>
      <c r="AJ113" s="1285"/>
      <c r="AK113" s="1283"/>
      <c r="AL113" s="1283"/>
      <c r="AM113" s="1283"/>
    </row>
    <row r="114" spans="1:53" x14ac:dyDescent="0.2">
      <c r="A114" s="1290" t="s">
        <v>1215</v>
      </c>
      <c r="B114" s="1290"/>
      <c r="C114" s="1290"/>
      <c r="D114" s="1290"/>
      <c r="E114" s="1290"/>
      <c r="F114" s="1291"/>
      <c r="G114" s="1287"/>
      <c r="H114" s="1287"/>
      <c r="I114" s="1287"/>
      <c r="J114" s="1315"/>
      <c r="K114" s="1310"/>
      <c r="L114" s="1310"/>
      <c r="M114" s="1310"/>
      <c r="N114" s="1310"/>
      <c r="O114" s="1310"/>
      <c r="P114" s="1310"/>
      <c r="Q114" s="1287"/>
      <c r="R114" s="1294"/>
      <c r="S114" s="1294"/>
      <c r="T114" s="1294"/>
      <c r="U114" s="1294"/>
      <c r="V114" s="1294"/>
      <c r="W114" s="1294"/>
      <c r="X114" s="1294"/>
      <c r="Y114" s="1294"/>
      <c r="Z114" s="1294"/>
      <c r="AA114" s="1294"/>
      <c r="AB114" s="1283"/>
      <c r="AC114" s="1283"/>
      <c r="AD114" s="1283"/>
      <c r="AE114" s="1283"/>
      <c r="AF114" s="1283"/>
      <c r="AG114" s="1283"/>
      <c r="AH114" s="1283"/>
      <c r="AI114" s="1283"/>
      <c r="AJ114" s="1283"/>
      <c r="AK114" s="1283"/>
      <c r="AL114" s="1283"/>
      <c r="AM114" s="1283"/>
    </row>
    <row r="115" spans="1:53" x14ac:dyDescent="0.2">
      <c r="A115" s="1287"/>
      <c r="B115" s="1287"/>
      <c r="C115" s="1287"/>
      <c r="D115" s="1287"/>
      <c r="E115" s="1287"/>
      <c r="F115" s="1291"/>
      <c r="G115" s="1287"/>
      <c r="H115" s="1287"/>
      <c r="I115" s="1287"/>
      <c r="J115" s="1291"/>
      <c r="K115" s="1287"/>
      <c r="L115" s="1287"/>
      <c r="M115" s="1287"/>
      <c r="N115" s="1287"/>
      <c r="P115" s="1287"/>
      <c r="Q115" s="1287"/>
      <c r="R115" s="1283"/>
      <c r="S115" s="1283"/>
      <c r="T115" s="1283"/>
      <c r="U115" s="1283"/>
      <c r="V115" s="1283"/>
      <c r="W115" s="1283"/>
      <c r="X115" s="1283"/>
      <c r="Y115" s="1283"/>
      <c r="Z115" s="1283"/>
      <c r="AA115" s="1283"/>
      <c r="AB115" s="1283"/>
      <c r="AC115" s="1283"/>
      <c r="AD115" s="1283"/>
      <c r="AE115" s="1283"/>
      <c r="AF115" s="1283"/>
      <c r="AG115" s="1283"/>
      <c r="AH115" s="1283"/>
      <c r="AI115" s="1283"/>
      <c r="AJ115" s="1283"/>
      <c r="AK115" s="1283"/>
      <c r="AL115" s="1283"/>
      <c r="AM115" s="1283"/>
    </row>
    <row r="116" spans="1:53" ht="13.5" thickBot="1" x14ac:dyDescent="0.25">
      <c r="A116" s="1310" t="s">
        <v>120</v>
      </c>
      <c r="B116" s="1310"/>
      <c r="C116" s="1310"/>
      <c r="D116" s="1310"/>
      <c r="E116" s="1296"/>
      <c r="F116" s="1318"/>
      <c r="G116" s="1319"/>
      <c r="H116" s="1319"/>
      <c r="I116" s="1320"/>
      <c r="J116" s="1304"/>
      <c r="K116" s="1305"/>
      <c r="L116" s="1305"/>
      <c r="M116" s="1305"/>
      <c r="N116" s="1287"/>
      <c r="Q116" s="1299"/>
      <c r="R116" s="1285"/>
      <c r="S116" s="1285"/>
      <c r="T116" s="1285"/>
      <c r="U116" s="1285"/>
      <c r="V116" s="1285"/>
      <c r="W116" s="1285"/>
      <c r="X116" s="1285"/>
      <c r="Y116" s="1285"/>
      <c r="Z116" s="1285"/>
      <c r="AA116" s="1283"/>
      <c r="AB116" s="1285"/>
      <c r="AC116" s="1285"/>
      <c r="AD116" s="1285"/>
      <c r="AE116" s="1285"/>
      <c r="AF116" s="1285"/>
      <c r="AG116" s="1285"/>
      <c r="AH116" s="1285"/>
      <c r="AI116" s="1283"/>
      <c r="AJ116" s="1283"/>
      <c r="AK116" s="1283"/>
      <c r="AL116" s="1283"/>
      <c r="AM116" s="1283"/>
      <c r="AZ116" s="1231"/>
      <c r="BA116" s="1231"/>
    </row>
    <row r="117" spans="1:53" x14ac:dyDescent="0.2">
      <c r="A117" s="1300" t="s">
        <v>109</v>
      </c>
      <c r="B117" s="1300"/>
      <c r="C117" s="1300"/>
      <c r="D117" s="1300"/>
      <c r="E117" s="1321"/>
      <c r="F117" s="1297" t="str">
        <f>IF(J132=1,B124,IF(J132=2,B125,IF(J132=3,B126,IF(J132=4,B127,"Winner Match 2"))))</f>
        <v>Winner Match 2</v>
      </c>
      <c r="G117" s="1298"/>
      <c r="H117" s="1298"/>
      <c r="I117" s="1298"/>
      <c r="J117" s="1298"/>
      <c r="K117" s="1298"/>
      <c r="L117" s="1298"/>
      <c r="M117" s="1298"/>
      <c r="N117" s="1287"/>
      <c r="P117" s="1296"/>
      <c r="Q117" s="1296"/>
      <c r="R117" s="1283"/>
      <c r="S117" s="1317"/>
      <c r="T117" s="1317"/>
      <c r="U117" s="1317"/>
      <c r="V117" s="1317"/>
      <c r="W117" s="1317"/>
      <c r="X117" s="1317"/>
      <c r="Y117" s="1317"/>
      <c r="Z117" s="1317"/>
      <c r="AA117" s="1283"/>
      <c r="AB117" s="1284"/>
      <c r="AC117" s="1284"/>
      <c r="AD117" s="1284"/>
      <c r="AE117" s="1284"/>
      <c r="AF117" s="1284"/>
      <c r="AG117" s="1284"/>
      <c r="AH117" s="1284"/>
      <c r="AI117" s="1283"/>
      <c r="AJ117" s="1283"/>
      <c r="AK117" s="1283"/>
      <c r="AL117" s="1283"/>
      <c r="AM117" s="1283"/>
      <c r="AZ117" s="1231"/>
      <c r="BA117" s="1231"/>
    </row>
    <row r="118" spans="1:53" ht="13.5" thickBot="1" x14ac:dyDescent="0.25">
      <c r="A118" s="1286" t="str">
        <f>IF(G132=1,B124,IF(G132=2,B125,IF(G132=3,B126,IF(G132=4,B127,IF(OR(G132="B",G132="b"),"BYE","invalid")))))</f>
        <v>SC Midlands KP Garnet</v>
      </c>
      <c r="B118" s="1286"/>
      <c r="C118" s="1286"/>
      <c r="D118" s="1286"/>
      <c r="E118" s="1308"/>
      <c r="F118" s="1291"/>
      <c r="G118" s="1287"/>
      <c r="H118" s="1287"/>
      <c r="I118" s="1287"/>
      <c r="J118" s="1287"/>
      <c r="K118" s="1287"/>
      <c r="L118" s="1287"/>
      <c r="M118" s="1287"/>
      <c r="N118" s="1287"/>
      <c r="P118" s="1287"/>
      <c r="Q118" s="1287"/>
      <c r="R118" s="1283"/>
      <c r="S118" s="1284"/>
      <c r="T118" s="1284"/>
      <c r="U118" s="1284"/>
      <c r="V118" s="1284"/>
      <c r="W118" s="1284"/>
      <c r="X118" s="1284"/>
      <c r="Y118" s="1284"/>
      <c r="Z118" s="1284"/>
      <c r="AA118" s="1284"/>
      <c r="AB118" s="1283"/>
      <c r="AC118" s="1283"/>
      <c r="AD118" s="1283"/>
      <c r="AE118" s="1283"/>
      <c r="AF118" s="1283"/>
      <c r="AG118" s="1283"/>
      <c r="AH118" s="1283"/>
      <c r="AI118" s="1283"/>
      <c r="AJ118" s="1283"/>
      <c r="AK118" s="1283"/>
      <c r="AL118" s="1283"/>
      <c r="AM118" s="1283"/>
      <c r="AZ118" s="1231"/>
      <c r="BA118" s="1231"/>
    </row>
    <row r="119" spans="1:53" x14ac:dyDescent="0.2">
      <c r="A119" s="1290" t="s">
        <v>1216</v>
      </c>
      <c r="B119" s="1290"/>
      <c r="C119" s="1290"/>
      <c r="D119" s="1290"/>
      <c r="E119" s="1290"/>
      <c r="R119" s="1283"/>
      <c r="S119" s="1294"/>
      <c r="T119" s="1294"/>
      <c r="U119" s="1294"/>
      <c r="V119" s="1294"/>
      <c r="W119" s="1294"/>
      <c r="X119" s="1294"/>
      <c r="Y119" s="1294"/>
      <c r="Z119" s="1294"/>
      <c r="AA119" s="1294"/>
      <c r="AB119" s="1283"/>
      <c r="AC119" s="1283"/>
      <c r="AD119" s="1283"/>
      <c r="AE119" s="1283"/>
      <c r="AF119" s="1283"/>
      <c r="AG119" s="1283"/>
      <c r="AH119" s="1283"/>
      <c r="AI119" s="1283"/>
      <c r="AJ119" s="1283"/>
      <c r="AK119" s="1283"/>
      <c r="AL119" s="1283"/>
      <c r="AM119" s="1283"/>
      <c r="AZ119" s="1231"/>
      <c r="BA119" s="1231"/>
    </row>
    <row r="120" spans="1:53" x14ac:dyDescent="0.2">
      <c r="R120" s="1283"/>
      <c r="S120" s="1283"/>
      <c r="T120" s="1283"/>
      <c r="U120" s="1283"/>
      <c r="V120" s="1283"/>
      <c r="W120" s="1283"/>
      <c r="X120" s="1283"/>
      <c r="Y120" s="1283"/>
      <c r="Z120" s="1283"/>
      <c r="AA120" s="1283"/>
      <c r="AB120" s="1283"/>
      <c r="AC120" s="1283"/>
      <c r="AD120" s="1283"/>
      <c r="AE120" s="1283"/>
      <c r="AF120" s="1283"/>
      <c r="AG120" s="1283"/>
      <c r="AH120" s="1283"/>
      <c r="AI120" s="1283"/>
      <c r="AJ120" s="1283"/>
      <c r="AK120" s="1283"/>
      <c r="AL120" s="1283"/>
      <c r="AM120" s="1283"/>
      <c r="AS120" s="1231"/>
      <c r="AT120" s="1231"/>
      <c r="AU120" s="1231"/>
      <c r="AZ120" s="1231"/>
      <c r="BA120" s="1231"/>
    </row>
    <row r="121" spans="1:53" x14ac:dyDescent="0.2">
      <c r="R121" s="1283"/>
      <c r="S121" s="1283"/>
      <c r="T121" s="1283"/>
      <c r="U121" s="1283"/>
      <c r="V121" s="1283"/>
      <c r="W121" s="1283"/>
      <c r="X121" s="1283"/>
      <c r="Y121" s="1283"/>
      <c r="Z121" s="1283"/>
      <c r="AA121" s="1283"/>
      <c r="AB121" s="1283"/>
      <c r="AC121" s="1283"/>
      <c r="AD121" s="1283"/>
      <c r="AE121" s="1283"/>
      <c r="AF121" s="1283"/>
      <c r="AG121" s="1283"/>
      <c r="AH121" s="1283"/>
      <c r="AI121" s="1283"/>
      <c r="AJ121" s="1283"/>
      <c r="AK121" s="1283"/>
      <c r="AL121" s="1283"/>
      <c r="AM121" s="1283"/>
      <c r="AS121" s="1231"/>
      <c r="AT121" s="1231"/>
      <c r="AU121" s="1231"/>
      <c r="AZ121" s="1231"/>
      <c r="BA121" s="1231"/>
    </row>
    <row r="122" spans="1:53" ht="16.5" thickBot="1" x14ac:dyDescent="0.3">
      <c r="A122" s="1322" t="s">
        <v>1217</v>
      </c>
      <c r="B122" s="1322"/>
      <c r="C122" s="1322"/>
      <c r="D122" s="1322"/>
      <c r="E122" s="1322"/>
      <c r="F122" s="1322"/>
      <c r="G122" s="1322"/>
      <c r="H122" s="1322"/>
      <c r="I122" s="1322"/>
      <c r="J122" s="1322"/>
      <c r="Q122" s="1323"/>
      <c r="R122" s="1429"/>
      <c r="S122" s="1429"/>
      <c r="T122" s="1324"/>
      <c r="U122" s="1324"/>
      <c r="V122" s="1324"/>
      <c r="W122" s="1324"/>
      <c r="X122" s="1324"/>
      <c r="Y122" s="1324"/>
      <c r="Z122" s="1324"/>
      <c r="AA122" s="1324"/>
      <c r="AB122" s="1324"/>
      <c r="AC122" s="1324"/>
      <c r="AD122" s="1324"/>
      <c r="AE122" s="1324"/>
      <c r="AF122" s="1283"/>
      <c r="AG122" s="1283"/>
      <c r="AH122" s="1283"/>
      <c r="AI122" s="1283"/>
      <c r="AJ122" s="1283"/>
      <c r="AK122" s="1283"/>
      <c r="AL122" s="1283"/>
      <c r="AM122" s="1283"/>
      <c r="AS122" s="1231"/>
      <c r="AT122" s="1231"/>
      <c r="AU122" s="1231"/>
      <c r="AZ122" s="1231"/>
      <c r="BA122" s="1231"/>
    </row>
    <row r="123" spans="1:53" ht="13.5" thickBot="1" x14ac:dyDescent="0.25">
      <c r="A123" s="1325" t="s">
        <v>125</v>
      </c>
      <c r="B123" s="1326" t="s">
        <v>126</v>
      </c>
      <c r="C123" s="1327"/>
      <c r="D123" s="1327"/>
      <c r="E123" s="1327"/>
      <c r="F123" s="1327"/>
      <c r="G123" s="1327"/>
      <c r="H123" s="1327"/>
      <c r="I123" s="1327"/>
      <c r="J123" s="1328"/>
      <c r="K123" s="1329" t="s">
        <v>127</v>
      </c>
      <c r="L123" s="1330"/>
      <c r="M123" s="1330"/>
      <c r="N123" s="1330"/>
      <c r="O123" s="1330"/>
      <c r="P123" s="1330"/>
      <c r="Q123" s="1331"/>
      <c r="R123" s="1283"/>
      <c r="S123" s="1283"/>
      <c r="T123" s="1284"/>
      <c r="U123" s="1284"/>
      <c r="V123" s="1284"/>
      <c r="W123" s="1284"/>
      <c r="X123" s="1283"/>
      <c r="Y123" s="1283"/>
      <c r="Z123" s="1283"/>
      <c r="AA123" s="1283"/>
      <c r="AB123" s="1283"/>
      <c r="AC123" s="1283"/>
      <c r="AD123" s="1283"/>
      <c r="AE123" s="1283"/>
      <c r="AF123" s="1283"/>
      <c r="AG123" s="1283"/>
      <c r="AH123" s="1283"/>
      <c r="AI123" s="1283"/>
      <c r="AJ123" s="1283"/>
      <c r="AK123" s="1283"/>
      <c r="AL123" s="1283"/>
      <c r="AM123" s="1283"/>
      <c r="AS123" s="1231"/>
      <c r="AT123" s="1231"/>
      <c r="AU123" s="1231"/>
      <c r="AZ123" s="1231"/>
      <c r="BA123" s="1231"/>
    </row>
    <row r="124" spans="1:53" ht="13.5" thickBot="1" x14ac:dyDescent="0.25">
      <c r="A124" s="1325">
        <v>1</v>
      </c>
      <c r="B124" s="1332" t="str">
        <f>B94</f>
        <v>Intense kids power col</v>
      </c>
      <c r="C124" s="1333"/>
      <c r="D124" s="1333"/>
      <c r="E124" s="1333"/>
      <c r="F124" s="1333"/>
      <c r="G124" s="1333"/>
      <c r="H124" s="1333"/>
      <c r="I124" s="1333"/>
      <c r="J124" s="1334"/>
      <c r="K124" s="1335" t="str">
        <f>H94</f>
        <v>fj2inten3pm</v>
      </c>
      <c r="L124" s="1336"/>
      <c r="M124" s="1336"/>
      <c r="N124" s="1336"/>
      <c r="O124" s="1336"/>
      <c r="P124" s="1336"/>
      <c r="Q124" s="1337"/>
      <c r="R124" s="1283"/>
      <c r="S124" s="1283"/>
      <c r="T124" s="1284"/>
      <c r="U124" s="1284"/>
      <c r="V124" s="1284"/>
      <c r="W124" s="1285"/>
      <c r="X124" s="1285"/>
      <c r="Y124" s="1285"/>
      <c r="Z124" s="1285"/>
      <c r="AA124" s="1285"/>
      <c r="AB124" s="1285"/>
      <c r="AC124" s="1285"/>
      <c r="AD124" s="1285"/>
      <c r="AE124" s="1285"/>
      <c r="AF124" s="1283"/>
      <c r="AG124" s="1283"/>
      <c r="AH124" s="1283"/>
      <c r="AI124" s="1283"/>
      <c r="AJ124" s="1283"/>
      <c r="AK124" s="1283"/>
      <c r="AL124" s="1283"/>
      <c r="AM124" s="1283"/>
      <c r="AS124" s="1231"/>
      <c r="AT124" s="1231"/>
      <c r="AU124" s="1231"/>
      <c r="AZ124" s="1231"/>
      <c r="BA124" s="1231"/>
    </row>
    <row r="125" spans="1:53" ht="13.5" thickBot="1" x14ac:dyDescent="0.25">
      <c r="A125" s="1325">
        <v>2</v>
      </c>
      <c r="B125" s="1332" t="str">
        <f>L94</f>
        <v>SC Midlands KP White</v>
      </c>
      <c r="C125" s="1333"/>
      <c r="D125" s="1333"/>
      <c r="E125" s="1333"/>
      <c r="F125" s="1333"/>
      <c r="G125" s="1333"/>
      <c r="H125" s="1333"/>
      <c r="I125" s="1333"/>
      <c r="J125" s="1334"/>
      <c r="K125" s="1335" t="str">
        <f>R94</f>
        <v>fj2scmid2pm</v>
      </c>
      <c r="L125" s="1336"/>
      <c r="M125" s="1336"/>
      <c r="N125" s="1336"/>
      <c r="O125" s="1336"/>
      <c r="P125" s="1336"/>
      <c r="Q125" s="1337"/>
      <c r="R125" s="1283"/>
      <c r="S125" s="1283"/>
      <c r="T125" s="1284"/>
      <c r="U125" s="1284"/>
      <c r="V125" s="1284"/>
      <c r="W125" s="1285"/>
      <c r="X125" s="1285"/>
      <c r="Y125" s="1285"/>
      <c r="Z125" s="1285"/>
      <c r="AA125" s="1285"/>
      <c r="AB125" s="1285"/>
      <c r="AC125" s="1285"/>
      <c r="AD125" s="1285"/>
      <c r="AE125" s="1285"/>
      <c r="AF125" s="1283"/>
      <c r="AG125" s="1283"/>
      <c r="AH125" s="1283"/>
      <c r="AI125" s="1283"/>
      <c r="AJ125" s="1283"/>
      <c r="AK125" s="1283"/>
      <c r="AL125" s="1283"/>
      <c r="AM125" s="1283"/>
      <c r="AS125" s="1231"/>
      <c r="AT125" s="1231"/>
      <c r="AU125" s="1231"/>
      <c r="AZ125" s="1231"/>
      <c r="BA125" s="1231"/>
    </row>
    <row r="126" spans="1:53" ht="13.5" thickBot="1" x14ac:dyDescent="0.25">
      <c r="A126" s="1325">
        <v>3</v>
      </c>
      <c r="B126" s="1332" t="str">
        <f>V94</f>
        <v>SC Midlands KP Garnet</v>
      </c>
      <c r="C126" s="1333"/>
      <c r="D126" s="1333"/>
      <c r="E126" s="1333"/>
      <c r="F126" s="1333"/>
      <c r="G126" s="1333"/>
      <c r="H126" s="1333"/>
      <c r="I126" s="1333"/>
      <c r="J126" s="1334"/>
      <c r="K126" s="1335" t="str">
        <f>AB94</f>
        <v>fj1scmid2pm</v>
      </c>
      <c r="L126" s="1336"/>
      <c r="M126" s="1336"/>
      <c r="N126" s="1336"/>
      <c r="O126" s="1336"/>
      <c r="P126" s="1336"/>
      <c r="Q126" s="1337"/>
      <c r="R126" s="1283"/>
      <c r="S126" s="1283"/>
      <c r="T126" s="1284"/>
      <c r="U126" s="1284"/>
      <c r="V126" s="1284"/>
      <c r="W126" s="1285"/>
      <c r="X126" s="1285"/>
      <c r="Y126" s="1285"/>
      <c r="Z126" s="1285"/>
      <c r="AA126" s="1285"/>
      <c r="AB126" s="1285"/>
      <c r="AC126" s="1285"/>
      <c r="AD126" s="1285"/>
      <c r="AE126" s="1285"/>
      <c r="AF126" s="1283"/>
      <c r="AG126" s="1283"/>
      <c r="AH126" s="1283"/>
      <c r="AI126" s="1283"/>
      <c r="AJ126" s="1283"/>
      <c r="AK126" s="1283"/>
      <c r="AL126" s="1283"/>
      <c r="AM126" s="1283"/>
      <c r="AS126" s="1231"/>
      <c r="AT126" s="1231"/>
      <c r="AU126" s="1231"/>
      <c r="AZ126" s="1231"/>
      <c r="BA126" s="1231"/>
    </row>
    <row r="127" spans="1:53" ht="13.5" thickBot="1" x14ac:dyDescent="0.25">
      <c r="A127" s="1325">
        <v>4</v>
      </c>
      <c r="B127" s="1338" t="str">
        <f>AF94</f>
        <v>Foothills Vanessa</v>
      </c>
      <c r="C127" s="1339"/>
      <c r="D127" s="1339"/>
      <c r="E127" s="1339"/>
      <c r="F127" s="1339"/>
      <c r="G127" s="1339"/>
      <c r="H127" s="1339"/>
      <c r="I127" s="1339"/>
      <c r="J127" s="1340"/>
      <c r="K127" s="1335" t="str">
        <f>AL94</f>
        <v>fj2footh2pm</v>
      </c>
      <c r="L127" s="1336"/>
      <c r="M127" s="1336"/>
      <c r="N127" s="1336"/>
      <c r="O127" s="1336"/>
      <c r="P127" s="1336"/>
      <c r="Q127" s="1337"/>
      <c r="R127" s="1283"/>
      <c r="S127" s="1283"/>
      <c r="T127" s="1284"/>
      <c r="U127" s="1284"/>
      <c r="V127" s="1284"/>
      <c r="W127" s="1285"/>
      <c r="X127" s="1285"/>
      <c r="Y127" s="1285"/>
      <c r="Z127" s="1285"/>
      <c r="AA127" s="1285"/>
      <c r="AB127" s="1285"/>
      <c r="AC127" s="1285"/>
      <c r="AD127" s="1285"/>
      <c r="AE127" s="1285"/>
      <c r="AF127" s="1283"/>
      <c r="AG127" s="1283"/>
      <c r="AH127" s="1283"/>
      <c r="AI127" s="1283"/>
      <c r="AJ127" s="1283"/>
      <c r="AK127" s="1283"/>
      <c r="AL127" s="1283"/>
      <c r="AM127" s="1283"/>
      <c r="AS127" s="1231"/>
      <c r="AT127" s="1231"/>
      <c r="AU127" s="1231"/>
      <c r="AZ127" s="1231"/>
      <c r="BA127" s="1231"/>
    </row>
    <row r="128" spans="1:53" ht="13.5" thickBot="1" x14ac:dyDescent="0.25">
      <c r="R128" s="1283"/>
      <c r="S128" s="1283"/>
      <c r="T128" s="1283"/>
      <c r="U128" s="1283"/>
      <c r="V128" s="1283"/>
      <c r="W128" s="1283"/>
      <c r="X128" s="1283"/>
      <c r="Y128" s="1283"/>
      <c r="Z128" s="1283"/>
      <c r="AA128" s="1283"/>
      <c r="AB128" s="1283"/>
      <c r="AC128" s="1283"/>
      <c r="AD128" s="1283"/>
      <c r="AE128" s="1283"/>
      <c r="AF128" s="1283"/>
      <c r="AG128" s="1283"/>
      <c r="AH128" s="1283"/>
      <c r="AI128" s="1283"/>
      <c r="AJ128" s="1283"/>
      <c r="AK128" s="1283"/>
      <c r="AL128" s="1283"/>
      <c r="AM128" s="1283"/>
      <c r="AN128" s="1283"/>
      <c r="AO128" s="1283"/>
      <c r="AP128" s="1283"/>
      <c r="AS128" s="1231"/>
      <c r="AT128" s="1231"/>
      <c r="AU128" s="1231"/>
      <c r="AZ128" s="1231"/>
      <c r="BA128" s="1231"/>
    </row>
    <row r="129" spans="1:77" x14ac:dyDescent="0.2">
      <c r="B129" s="1341" t="s">
        <v>128</v>
      </c>
      <c r="C129" s="1342"/>
      <c r="D129" s="1343"/>
      <c r="E129" s="1344" t="s">
        <v>128</v>
      </c>
      <c r="F129" s="1342"/>
      <c r="G129" s="1343"/>
      <c r="H129" s="1344" t="s">
        <v>11</v>
      </c>
      <c r="I129" s="1342"/>
      <c r="J129" s="1345"/>
      <c r="K129" s="1346" t="s">
        <v>129</v>
      </c>
      <c r="L129" s="1347"/>
      <c r="M129" s="1347"/>
      <c r="N129" s="1347"/>
      <c r="O129" s="1347"/>
      <c r="P129" s="1347"/>
      <c r="Q129" s="1348"/>
      <c r="R129" s="1283"/>
      <c r="S129" s="1283"/>
      <c r="T129" s="1283"/>
      <c r="U129" s="1283"/>
      <c r="V129" s="1283"/>
      <c r="W129" s="1349"/>
      <c r="X129" s="1285"/>
      <c r="Y129" s="1285"/>
      <c r="Z129" s="1349"/>
      <c r="AA129" s="1285"/>
      <c r="AB129" s="1285"/>
      <c r="AC129" s="1349"/>
      <c r="AD129" s="1285"/>
      <c r="AE129" s="1285"/>
      <c r="AF129" s="1285"/>
      <c r="AG129" s="1285"/>
      <c r="AH129" s="1283"/>
      <c r="AI129" s="1283"/>
      <c r="AJ129" s="1283"/>
      <c r="AK129" s="1283"/>
      <c r="AL129" s="1283"/>
      <c r="AM129" s="1283"/>
      <c r="AN129" s="1283"/>
      <c r="AO129" s="1283"/>
      <c r="AP129" s="1283"/>
      <c r="AZ129" s="1231"/>
      <c r="BA129" s="1231"/>
    </row>
    <row r="130" spans="1:77" x14ac:dyDescent="0.2">
      <c r="A130" s="1203" t="s">
        <v>130</v>
      </c>
      <c r="B130" s="1350">
        <v>3</v>
      </c>
      <c r="C130" s="1351"/>
      <c r="D130" s="1352"/>
      <c r="E130" s="1353" t="s">
        <v>131</v>
      </c>
      <c r="F130" s="1351"/>
      <c r="G130" s="1352"/>
      <c r="H130" s="1353" t="s">
        <v>132</v>
      </c>
      <c r="I130" s="1351"/>
      <c r="J130" s="1354"/>
      <c r="K130" s="1355"/>
      <c r="L130" s="1356"/>
      <c r="M130" s="1356"/>
      <c r="N130" s="1356"/>
      <c r="O130" s="1356"/>
      <c r="P130" s="1356"/>
      <c r="Q130" s="1357"/>
      <c r="R130" s="1283"/>
      <c r="S130" s="1283"/>
      <c r="T130" s="1358"/>
      <c r="U130" s="1358"/>
      <c r="V130" s="1358"/>
      <c r="W130" s="1359"/>
      <c r="X130" s="1359"/>
      <c r="Y130" s="1359"/>
      <c r="Z130" s="1359"/>
      <c r="AA130" s="1359"/>
      <c r="AB130" s="1359"/>
      <c r="AC130" s="1359"/>
      <c r="AD130" s="1359"/>
      <c r="AE130" s="1359"/>
      <c r="AF130" s="1283"/>
      <c r="AG130" s="1283"/>
      <c r="AH130" s="1283"/>
      <c r="AI130" s="1283"/>
      <c r="AJ130" s="1283"/>
      <c r="AK130" s="1283"/>
      <c r="AL130" s="1283"/>
      <c r="AM130" s="1283"/>
      <c r="AN130" s="1283"/>
      <c r="AO130" s="1283"/>
      <c r="AP130" s="1283"/>
      <c r="AZ130" s="1231"/>
      <c r="BA130" s="1231"/>
    </row>
    <row r="131" spans="1:77" ht="13.5" thickBot="1" x14ac:dyDescent="0.25">
      <c r="A131" s="1058"/>
      <c r="B131" s="1360" t="s">
        <v>43</v>
      </c>
      <c r="C131" s="1210"/>
      <c r="D131" s="1211"/>
      <c r="E131" s="1209" t="s">
        <v>133</v>
      </c>
      <c r="F131" s="1210"/>
      <c r="G131" s="1211"/>
      <c r="H131" s="1209" t="s">
        <v>134</v>
      </c>
      <c r="I131" s="1210"/>
      <c r="J131" s="1361"/>
      <c r="K131" s="1362"/>
      <c r="L131" s="1363"/>
      <c r="M131" s="1363"/>
      <c r="N131" s="1363"/>
      <c r="O131" s="1363"/>
      <c r="P131" s="1363"/>
      <c r="Q131" s="1364"/>
      <c r="R131" s="1283"/>
      <c r="S131" s="1283"/>
      <c r="T131" s="1284"/>
      <c r="U131" s="1284"/>
      <c r="V131" s="1284"/>
      <c r="W131" s="1365"/>
      <c r="X131" s="1365"/>
      <c r="Y131" s="1365"/>
      <c r="Z131" s="1365"/>
      <c r="AA131" s="1365"/>
      <c r="AB131" s="1365"/>
      <c r="AC131" s="1365"/>
      <c r="AD131" s="1365"/>
      <c r="AE131" s="1365"/>
      <c r="AF131" s="1283"/>
      <c r="AG131" s="1283"/>
      <c r="AH131" s="1283"/>
      <c r="AI131" s="1283"/>
      <c r="AJ131" s="1283"/>
      <c r="AK131" s="1283"/>
      <c r="AL131" s="1283"/>
      <c r="AM131" s="1283"/>
      <c r="AN131" s="1283"/>
      <c r="AO131" s="1283"/>
      <c r="AP131" s="1283"/>
      <c r="AZ131" s="1231"/>
      <c r="BA131" s="1231"/>
    </row>
    <row r="132" spans="1:77" ht="13.5" thickBot="1" x14ac:dyDescent="0.25">
      <c r="A132" s="1058"/>
      <c r="B132" s="1366">
        <v>1</v>
      </c>
      <c r="C132" s="1367" t="s">
        <v>51</v>
      </c>
      <c r="D132" s="1225">
        <v>4</v>
      </c>
      <c r="E132" s="1224">
        <v>2</v>
      </c>
      <c r="F132" s="1367" t="s">
        <v>51</v>
      </c>
      <c r="G132" s="1225">
        <v>3</v>
      </c>
      <c r="H132" s="1368" t="str">
        <f>IF(OR(AND(OR(B136&gt;0,D136&gt;0),B136&gt;D136),OR(D132="b",D132="B")),B132,IF(OR(AND(OR(B136&gt;0,D136&gt;0),D136&gt;B136),OR(B132="b",B132="B")),D132,"W1"))</f>
        <v>W1</v>
      </c>
      <c r="I132" s="1369" t="s">
        <v>51</v>
      </c>
      <c r="J132" s="1370" t="str">
        <f>IF(OR(AND(OR(E136&gt;0,G136&gt;0),E136&gt;G136),OR(G132="b",G132="B")),E132,IF(OR(AND(OR(E136&gt;0,G136&gt;0),G136&gt;E136),OR(E132="b",E132="B")),G132,"W2"))</f>
        <v>W2</v>
      </c>
      <c r="K132" s="1371" t="s">
        <v>135</v>
      </c>
      <c r="L132" s="1372"/>
      <c r="M132" s="1372"/>
      <c r="N132" s="1373"/>
      <c r="R132" s="1283"/>
      <c r="S132" s="1283"/>
      <c r="T132" s="1284"/>
      <c r="U132" s="1284"/>
      <c r="V132" s="1284"/>
      <c r="W132" s="1374"/>
      <c r="X132" s="1375"/>
      <c r="Y132" s="1376"/>
      <c r="Z132" s="1377"/>
      <c r="AA132" s="1375"/>
      <c r="AB132" s="1376"/>
      <c r="AC132" s="1378"/>
      <c r="AD132" s="1379"/>
      <c r="AE132" s="1380"/>
      <c r="AF132" s="1365"/>
      <c r="AG132" s="1365"/>
      <c r="AH132" s="1283"/>
      <c r="AI132" s="1283"/>
      <c r="AJ132" s="1283"/>
      <c r="AK132" s="1283"/>
      <c r="AL132" s="1283"/>
      <c r="AM132" s="1283"/>
      <c r="AN132" s="1283"/>
      <c r="AO132" s="1283"/>
      <c r="AP132" s="1283"/>
      <c r="AZ132" s="1231"/>
      <c r="BA132" s="1231"/>
    </row>
    <row r="133" spans="1:77" ht="13.5" hidden="1" customHeight="1" x14ac:dyDescent="0.2">
      <c r="A133" s="1058"/>
      <c r="B133" s="1381">
        <f>IF(B137&gt;D137,1,0)</f>
        <v>0</v>
      </c>
      <c r="C133" s="1382"/>
      <c r="D133" s="1383">
        <f>IF(D137&gt;B137,1,0)</f>
        <v>0</v>
      </c>
      <c r="E133" s="1381">
        <f>IF(E137&gt;G137,1,0)</f>
        <v>0</v>
      </c>
      <c r="F133" s="1382"/>
      <c r="G133" s="1383">
        <f>IF(G137&gt;E137,1,0)</f>
        <v>0</v>
      </c>
      <c r="H133" s="1381">
        <f>IF(H137&gt;J137,1,0)</f>
        <v>0</v>
      </c>
      <c r="I133" s="1382"/>
      <c r="J133" s="1383">
        <f>IF(J137&gt;H137,1,0)</f>
        <v>0</v>
      </c>
      <c r="K133" s="1384"/>
      <c r="L133" s="1385"/>
      <c r="M133" s="1385"/>
      <c r="N133" s="1386"/>
      <c r="R133" s="1283"/>
      <c r="S133" s="1283"/>
      <c r="T133" s="1284"/>
      <c r="U133" s="1284"/>
      <c r="V133" s="1284"/>
      <c r="W133" s="1374"/>
      <c r="X133" s="1375"/>
      <c r="Y133" s="1376"/>
      <c r="Z133" s="1374"/>
      <c r="AA133" s="1375"/>
      <c r="AB133" s="1376"/>
      <c r="AC133" s="1374"/>
      <c r="AD133" s="1375"/>
      <c r="AE133" s="1376"/>
      <c r="AF133" s="1375"/>
      <c r="AG133" s="1375"/>
      <c r="AH133" s="1283"/>
      <c r="AI133" s="1283"/>
      <c r="AJ133" s="1283"/>
      <c r="AK133" s="1283"/>
      <c r="AL133" s="1283"/>
      <c r="AM133" s="1283"/>
      <c r="AN133" s="1283"/>
      <c r="AO133" s="1283"/>
      <c r="AP133" s="1283"/>
      <c r="AZ133" s="1231"/>
      <c r="BA133" s="1231"/>
    </row>
    <row r="134" spans="1:77" ht="13.5" hidden="1" customHeight="1" x14ac:dyDescent="0.2">
      <c r="A134" s="1058"/>
      <c r="B134" s="1381">
        <f>IF(B138&gt;D138,1,0)</f>
        <v>0</v>
      </c>
      <c r="C134" s="1382"/>
      <c r="D134" s="1383">
        <f>IF(D138&gt;B138,1,0)</f>
        <v>0</v>
      </c>
      <c r="E134" s="1381">
        <f>IF(E138&gt;G138,1,0)</f>
        <v>0</v>
      </c>
      <c r="F134" s="1382"/>
      <c r="G134" s="1383">
        <f>IF(G138&gt;E138,1,0)</f>
        <v>0</v>
      </c>
      <c r="H134" s="1381">
        <f>IF(H138&gt;J138,1,0)</f>
        <v>0</v>
      </c>
      <c r="I134" s="1382"/>
      <c r="J134" s="1383">
        <f>IF(J138&gt;H138,1,0)</f>
        <v>0</v>
      </c>
      <c r="K134" s="1384"/>
      <c r="L134" s="1385"/>
      <c r="M134" s="1385"/>
      <c r="N134" s="1386"/>
      <c r="R134" s="1283"/>
      <c r="S134" s="1283"/>
      <c r="T134" s="1284"/>
      <c r="U134" s="1284"/>
      <c r="V134" s="1284"/>
      <c r="W134" s="1374"/>
      <c r="X134" s="1375"/>
      <c r="Y134" s="1376"/>
      <c r="Z134" s="1374"/>
      <c r="AA134" s="1375"/>
      <c r="AB134" s="1376"/>
      <c r="AC134" s="1374"/>
      <c r="AD134" s="1375"/>
      <c r="AE134" s="1376"/>
      <c r="AF134" s="1375"/>
      <c r="AG134" s="1375"/>
      <c r="AH134" s="1283"/>
      <c r="AI134" s="1283"/>
      <c r="AJ134" s="1283"/>
      <c r="AK134" s="1283"/>
      <c r="AL134" s="1283"/>
      <c r="AM134" s="1283"/>
      <c r="AN134" s="1283"/>
      <c r="AO134" s="1283"/>
      <c r="AP134" s="1283"/>
      <c r="AZ134" s="1231"/>
      <c r="BA134" s="1231"/>
    </row>
    <row r="135" spans="1:77" ht="13.5" hidden="1" customHeight="1" x14ac:dyDescent="0.2">
      <c r="A135" s="1058"/>
      <c r="B135" s="1381">
        <f>IF(B139&gt;D139,1,0)</f>
        <v>0</v>
      </c>
      <c r="C135" s="1382"/>
      <c r="D135" s="1383">
        <f>IF(D139&gt;B139,1,0)</f>
        <v>0</v>
      </c>
      <c r="E135" s="1381">
        <f>IF(E139&gt;G139,1,0)</f>
        <v>0</v>
      </c>
      <c r="F135" s="1382"/>
      <c r="G135" s="1383">
        <f>IF(G139&gt;E139,1,0)</f>
        <v>0</v>
      </c>
      <c r="H135" s="1381">
        <f>IF(H139&gt;J139,1,0)</f>
        <v>0</v>
      </c>
      <c r="I135" s="1382"/>
      <c r="J135" s="1383">
        <f>IF(J139&gt;H139,1,0)</f>
        <v>0</v>
      </c>
      <c r="K135" s="1384"/>
      <c r="L135" s="1385"/>
      <c r="M135" s="1385"/>
      <c r="N135" s="1386"/>
      <c r="R135" s="1283"/>
      <c r="S135" s="1283"/>
      <c r="T135" s="1284"/>
      <c r="U135" s="1284"/>
      <c r="V135" s="1284"/>
      <c r="W135" s="1374"/>
      <c r="X135" s="1375"/>
      <c r="Y135" s="1376"/>
      <c r="Z135" s="1374"/>
      <c r="AA135" s="1375"/>
      <c r="AB135" s="1376"/>
      <c r="AC135" s="1374"/>
      <c r="AD135" s="1375"/>
      <c r="AE135" s="1376"/>
      <c r="AF135" s="1375"/>
      <c r="AG135" s="1375"/>
      <c r="AH135" s="1283"/>
      <c r="AI135" s="1283"/>
      <c r="AJ135" s="1283"/>
      <c r="AK135" s="1283"/>
      <c r="AL135" s="1283"/>
      <c r="AM135" s="1283"/>
      <c r="AN135" s="1283"/>
      <c r="AO135" s="1283"/>
      <c r="AP135" s="1283"/>
      <c r="AZ135" s="1231"/>
      <c r="BA135" s="1231"/>
    </row>
    <row r="136" spans="1:77" ht="13.5" hidden="1" customHeight="1" x14ac:dyDescent="0.2">
      <c r="A136" s="1058"/>
      <c r="B136" s="1381">
        <f>SUM(B133:B135)</f>
        <v>0</v>
      </c>
      <c r="C136" s="1382"/>
      <c r="D136" s="1381">
        <f>SUM(D133:D135)</f>
        <v>0</v>
      </c>
      <c r="E136" s="1381">
        <f>SUM(E133:E135)</f>
        <v>0</v>
      </c>
      <c r="F136" s="1382"/>
      <c r="G136" s="1381">
        <f>SUM(G133:G135)</f>
        <v>0</v>
      </c>
      <c r="H136" s="1381">
        <f>SUM(H133:H135)</f>
        <v>0</v>
      </c>
      <c r="I136" s="1382"/>
      <c r="J136" s="1381">
        <f>SUM(J133:J135)</f>
        <v>0</v>
      </c>
      <c r="K136" s="1384"/>
      <c r="L136" s="1385"/>
      <c r="M136" s="1385"/>
      <c r="N136" s="1386"/>
      <c r="R136" s="1283"/>
      <c r="S136" s="1283"/>
      <c r="T136" s="1284"/>
      <c r="U136" s="1284"/>
      <c r="V136" s="1284"/>
      <c r="W136" s="1374"/>
      <c r="X136" s="1375"/>
      <c r="Y136" s="1374"/>
      <c r="Z136" s="1374"/>
      <c r="AA136" s="1375"/>
      <c r="AB136" s="1374"/>
      <c r="AC136" s="1374"/>
      <c r="AD136" s="1375"/>
      <c r="AE136" s="1374"/>
      <c r="AF136" s="1375"/>
      <c r="AG136" s="1375"/>
      <c r="AH136" s="1283"/>
      <c r="AI136" s="1283"/>
      <c r="AJ136" s="1283"/>
      <c r="AK136" s="1283"/>
      <c r="AL136" s="1283"/>
      <c r="AM136" s="1283"/>
      <c r="AN136" s="1283"/>
      <c r="AO136" s="1283"/>
      <c r="AP136" s="1283"/>
      <c r="AZ136" s="1231"/>
      <c r="BA136" s="1231"/>
    </row>
    <row r="137" spans="1:77" ht="12.75" customHeight="1" x14ac:dyDescent="0.2">
      <c r="A137" s="1046" t="s">
        <v>52</v>
      </c>
      <c r="B137" s="1387"/>
      <c r="C137" s="1228" t="s">
        <v>53</v>
      </c>
      <c r="D137" s="1388"/>
      <c r="E137" s="1389"/>
      <c r="F137" s="1228" t="s">
        <v>53</v>
      </c>
      <c r="G137" s="1388"/>
      <c r="H137" s="1389"/>
      <c r="I137" s="1228" t="s">
        <v>53</v>
      </c>
      <c r="J137" s="1390"/>
      <c r="K137" s="1391" t="str">
        <f>IF(AND(OR(H136&gt;0,J136&gt;0),AND(1&lt;=H132,H132&lt;=4),AND(1&lt;=J132,J132&lt;=4)),IF(H136&gt;J136,H132,IF(J136&gt;H136,J132,"")),"")</f>
        <v/>
      </c>
      <c r="L137" s="1392"/>
      <c r="M137" s="1392"/>
      <c r="N137" s="1393"/>
      <c r="R137" s="1283"/>
      <c r="S137" s="1283"/>
      <c r="T137" s="1284"/>
      <c r="U137" s="1284"/>
      <c r="V137" s="1394"/>
      <c r="W137" s="1395"/>
      <c r="X137" s="1289"/>
      <c r="Y137" s="1396"/>
      <c r="Z137" s="1395"/>
      <c r="AA137" s="1289"/>
      <c r="AB137" s="1396"/>
      <c r="AC137" s="1395"/>
      <c r="AD137" s="1289"/>
      <c r="AE137" s="1396"/>
      <c r="AF137" s="1397"/>
      <c r="AG137" s="1397"/>
      <c r="AH137" s="1283"/>
      <c r="AI137" s="1283"/>
      <c r="AJ137" s="1283"/>
      <c r="AK137" s="1283"/>
      <c r="AL137" s="1283"/>
      <c r="AM137" s="1283"/>
      <c r="AN137" s="1283"/>
      <c r="AO137" s="1283"/>
      <c r="AP137" s="1283"/>
      <c r="AZ137" s="1231"/>
      <c r="BA137" s="1231"/>
    </row>
    <row r="138" spans="1:77" ht="12.75" customHeight="1" x14ac:dyDescent="0.2">
      <c r="A138" s="1046" t="s">
        <v>136</v>
      </c>
      <c r="B138" s="1387"/>
      <c r="C138" s="1228" t="s">
        <v>53</v>
      </c>
      <c r="D138" s="1388"/>
      <c r="E138" s="1389"/>
      <c r="F138" s="1228" t="s">
        <v>53</v>
      </c>
      <c r="G138" s="1388"/>
      <c r="H138" s="1389"/>
      <c r="I138" s="1228" t="s">
        <v>53</v>
      </c>
      <c r="J138" s="1390"/>
      <c r="K138" s="1398"/>
      <c r="L138" s="1399"/>
      <c r="M138" s="1399"/>
      <c r="N138" s="1400"/>
      <c r="R138" s="1283"/>
      <c r="S138" s="1283"/>
      <c r="T138" s="1284"/>
      <c r="U138" s="1284"/>
      <c r="V138" s="1394"/>
      <c r="W138" s="1395"/>
      <c r="X138" s="1289"/>
      <c r="Y138" s="1396"/>
      <c r="Z138" s="1395"/>
      <c r="AA138" s="1289"/>
      <c r="AB138" s="1396"/>
      <c r="AC138" s="1395"/>
      <c r="AD138" s="1289"/>
      <c r="AE138" s="1396"/>
      <c r="AF138" s="1397"/>
      <c r="AG138" s="1397"/>
      <c r="AH138" s="1283"/>
      <c r="AI138" s="1283"/>
      <c r="AJ138" s="1283"/>
      <c r="AK138" s="1283"/>
      <c r="AL138" s="1283"/>
      <c r="AM138" s="1283"/>
      <c r="AN138" s="1283"/>
      <c r="AO138" s="1283"/>
      <c r="AP138" s="1283"/>
      <c r="AZ138" s="1231"/>
      <c r="BA138" s="1231"/>
    </row>
    <row r="139" spans="1:77" ht="13.5" customHeight="1" thickBot="1" x14ac:dyDescent="0.25">
      <c r="A139" s="1046" t="s">
        <v>137</v>
      </c>
      <c r="B139" s="1401"/>
      <c r="C139" s="1402" t="s">
        <v>53</v>
      </c>
      <c r="D139" s="1403"/>
      <c r="E139" s="1404"/>
      <c r="F139" s="1402" t="s">
        <v>53</v>
      </c>
      <c r="G139" s="1403"/>
      <c r="H139" s="1404"/>
      <c r="I139" s="1402" t="s">
        <v>53</v>
      </c>
      <c r="J139" s="1405"/>
      <c r="K139" s="1406"/>
      <c r="L139" s="1407"/>
      <c r="M139" s="1407"/>
      <c r="N139" s="1408"/>
      <c r="R139" s="1283"/>
      <c r="S139" s="1283"/>
      <c r="T139" s="1284"/>
      <c r="U139" s="1284"/>
      <c r="V139" s="1394"/>
      <c r="W139" s="1395"/>
      <c r="X139" s="1289"/>
      <c r="Y139" s="1396"/>
      <c r="Z139" s="1395"/>
      <c r="AA139" s="1289"/>
      <c r="AB139" s="1396"/>
      <c r="AC139" s="1395"/>
      <c r="AD139" s="1289"/>
      <c r="AE139" s="1396"/>
      <c r="AF139" s="1397"/>
      <c r="AG139" s="1397"/>
      <c r="AH139" s="1283"/>
      <c r="AI139" s="1283"/>
      <c r="AJ139" s="1283"/>
      <c r="AK139" s="1283"/>
      <c r="AL139" s="1283"/>
      <c r="AM139" s="1283"/>
      <c r="AN139" s="1283"/>
      <c r="AO139" s="1283"/>
      <c r="AP139" s="1283"/>
      <c r="AZ139" s="1231"/>
      <c r="BA139" s="1231"/>
    </row>
    <row r="140" spans="1:77" hidden="1" x14ac:dyDescent="0.2">
      <c r="B140" s="1039"/>
      <c r="C140" s="1289" t="s">
        <v>87</v>
      </c>
      <c r="D140" s="1039" t="s">
        <v>138</v>
      </c>
      <c r="E140" s="1039"/>
      <c r="F140" s="1289"/>
      <c r="G140" t="s">
        <v>139</v>
      </c>
      <c r="J140" t="s">
        <v>140</v>
      </c>
      <c r="T140" s="1395"/>
      <c r="U140" s="1395"/>
      <c r="V140" s="1395"/>
      <c r="W140" s="1395"/>
      <c r="X140" s="1395"/>
      <c r="Y140" s="1395"/>
      <c r="Z140" s="1395"/>
      <c r="AA140" s="1395"/>
      <c r="AB140" s="1395"/>
      <c r="AC140" s="1395"/>
      <c r="AD140" s="1395"/>
      <c r="AE140" s="1395"/>
      <c r="AT140" t="str">
        <f>B141</f>
        <v>Intense kids power col</v>
      </c>
      <c r="AU140">
        <f>J141</f>
        <v>1291.463631335562</v>
      </c>
      <c r="AW140" s="1409"/>
      <c r="AX140" s="1231"/>
      <c r="AY140" s="1231"/>
      <c r="AZ140" s="1231"/>
      <c r="BA140" s="1231"/>
      <c r="BB140" s="1409"/>
      <c r="BC140" s="1231"/>
      <c r="BD140" s="1231"/>
      <c r="BE140" s="1409"/>
      <c r="BF140" s="1231"/>
      <c r="BG140" s="1231"/>
      <c r="BH140" s="1409"/>
      <c r="BI140" s="1231"/>
      <c r="BJ140" s="1231"/>
      <c r="BK140" s="1409"/>
      <c r="BL140" s="1231"/>
      <c r="BM140" s="1231"/>
      <c r="BN140" s="1409"/>
      <c r="BO140" s="1231"/>
      <c r="BP140" s="1231"/>
      <c r="BQ140" s="1409"/>
      <c r="BR140" s="1231"/>
      <c r="BS140" s="1231"/>
      <c r="BT140" s="1409"/>
      <c r="BU140" s="1231"/>
      <c r="BV140" s="1231"/>
      <c r="BW140" s="1409"/>
      <c r="BX140" s="1231"/>
      <c r="BY140" s="1231"/>
    </row>
    <row r="141" spans="1:77" hidden="1" x14ac:dyDescent="0.2">
      <c r="A141">
        <v>1</v>
      </c>
      <c r="B141" t="str">
        <f>B124</f>
        <v>Intense kids power col</v>
      </c>
      <c r="C141">
        <f>VLOOKUP(B141,AU$2:AY$7,4,FALSE)</f>
        <v>1291.463631335562</v>
      </c>
      <c r="D141">
        <f>IF(A141=B132,B147,IF(A141=D132,D147,C141))</f>
        <v>1291.463631335562</v>
      </c>
      <c r="G141">
        <f>IF(A141=E132,E147,IF(A141=G132,G147,D141))</f>
        <v>1291.463631335562</v>
      </c>
      <c r="J141">
        <f>IF(A141=H132,H147,IF(A141=J132,J147,G141))</f>
        <v>1291.463631335562</v>
      </c>
      <c r="T141" s="1395"/>
      <c r="U141" s="1395"/>
      <c r="V141" s="1395"/>
      <c r="W141" s="1395"/>
      <c r="X141" s="1395"/>
      <c r="Y141" s="1395"/>
      <c r="Z141" s="1395"/>
      <c r="AA141" s="1395"/>
      <c r="AB141" s="1395"/>
      <c r="AC141" s="1395"/>
      <c r="AD141" s="1395"/>
      <c r="AE141" s="1395"/>
      <c r="AT141" t="str">
        <f>B142</f>
        <v>SC Midlands KP White</v>
      </c>
      <c r="AU141">
        <f>J142</f>
        <v>1192.0777643975948</v>
      </c>
      <c r="AW141" s="1409"/>
      <c r="AX141" s="1231"/>
      <c r="AY141" s="1231"/>
      <c r="AZ141" s="1231"/>
      <c r="BA141" s="1231"/>
      <c r="BB141" s="1409"/>
      <c r="BC141" s="1231"/>
      <c r="BD141" s="1231"/>
      <c r="BE141" s="1409"/>
      <c r="BF141" s="1231"/>
      <c r="BG141" s="1231"/>
      <c r="BH141" s="1409"/>
      <c r="BI141" s="1231"/>
      <c r="BJ141" s="1231"/>
      <c r="BK141" s="1409"/>
      <c r="BL141" s="1231"/>
      <c r="BM141" s="1231"/>
      <c r="BN141" s="1409"/>
      <c r="BO141" s="1231"/>
      <c r="BP141" s="1231"/>
      <c r="BQ141" s="1409"/>
      <c r="BR141" s="1231"/>
      <c r="BS141" s="1231"/>
      <c r="BT141" s="1409"/>
      <c r="BU141" s="1231"/>
      <c r="BV141" s="1231"/>
      <c r="BW141" s="1409"/>
      <c r="BX141" s="1231"/>
      <c r="BY141" s="1231"/>
    </row>
    <row r="142" spans="1:77" hidden="1" x14ac:dyDescent="0.2">
      <c r="A142">
        <v>2</v>
      </c>
      <c r="B142" t="str">
        <f>B125</f>
        <v>SC Midlands KP White</v>
      </c>
      <c r="C142">
        <f>VLOOKUP(B142,AU$2:AY$7,4,FALSE)</f>
        <v>1192.0777643975948</v>
      </c>
      <c r="D142">
        <f>IF(A142=B132,B147,IF(A142=D132,D147,C142))</f>
        <v>1192.0777643975948</v>
      </c>
      <c r="G142">
        <f>IF(A142=E132,E147,IF(A142=G132,G147,D142))</f>
        <v>1192.0777643975948</v>
      </c>
      <c r="J142">
        <f>IF(A142=H132,H147,IF(A142=J132,J147,G142))</f>
        <v>1192.0777643975948</v>
      </c>
      <c r="T142" s="1395"/>
      <c r="U142" s="1395"/>
      <c r="V142" s="1395"/>
      <c r="W142" s="1395"/>
      <c r="X142" s="1395"/>
      <c r="Y142" s="1395"/>
      <c r="Z142" s="1395"/>
      <c r="AA142" s="1395"/>
      <c r="AB142" s="1395"/>
      <c r="AC142" s="1395"/>
      <c r="AD142" s="1395"/>
      <c r="AE142" s="1395"/>
      <c r="AT142" t="str">
        <f>B143</f>
        <v>SC Midlands KP Garnet</v>
      </c>
      <c r="AU142">
        <f>J143</f>
        <v>1216.9982652053041</v>
      </c>
      <c r="AW142" s="1409"/>
      <c r="AX142" s="1231"/>
      <c r="AY142" s="1231"/>
      <c r="AZ142" s="1231"/>
      <c r="BA142" s="1231"/>
      <c r="BB142" s="1409"/>
      <c r="BC142" s="1231"/>
      <c r="BD142" s="1231"/>
      <c r="BE142" s="1409"/>
      <c r="BF142" s="1231"/>
      <c r="BG142" s="1231"/>
      <c r="BH142" s="1409"/>
      <c r="BI142" s="1231"/>
      <c r="BJ142" s="1231"/>
      <c r="BK142" s="1409"/>
      <c r="BL142" s="1231"/>
      <c r="BM142" s="1231"/>
      <c r="BN142" s="1409"/>
      <c r="BO142" s="1231"/>
      <c r="BP142" s="1231"/>
      <c r="BQ142" s="1409"/>
      <c r="BR142" s="1231"/>
      <c r="BS142" s="1231"/>
      <c r="BT142" s="1409"/>
      <c r="BU142" s="1231"/>
      <c r="BV142" s="1231"/>
      <c r="BW142" s="1409"/>
      <c r="BX142" s="1231"/>
      <c r="BY142" s="1231"/>
    </row>
    <row r="143" spans="1:77" hidden="1" x14ac:dyDescent="0.2">
      <c r="A143">
        <v>3</v>
      </c>
      <c r="B143" t="str">
        <f>B126</f>
        <v>SC Midlands KP Garnet</v>
      </c>
      <c r="C143">
        <f>VLOOKUP(B143,AU$2:AY$7,4,FALSE)</f>
        <v>1216.9982652053041</v>
      </c>
      <c r="D143">
        <f>IF(A143=B132,B147,IF(A143=D132,D147,C143))</f>
        <v>1216.9982652053041</v>
      </c>
      <c r="G143">
        <f>IF(A143=E132,E147,IF(A143=G132,G147,D143))</f>
        <v>1216.9982652053041</v>
      </c>
      <c r="J143">
        <f>IF(A143=H132,H147,IF(A143=J132,J147,G143))</f>
        <v>1216.9982652053041</v>
      </c>
      <c r="T143" s="1395"/>
      <c r="U143" s="1395"/>
      <c r="V143" s="1395"/>
      <c r="W143" s="1395"/>
      <c r="X143" s="1395"/>
      <c r="Y143" s="1395"/>
      <c r="Z143" s="1395"/>
      <c r="AA143" s="1395"/>
      <c r="AB143" s="1395"/>
      <c r="AC143" s="1395"/>
      <c r="AD143" s="1395"/>
      <c r="AE143" s="1395"/>
      <c r="AT143" t="str">
        <f>B144</f>
        <v>Foothills Vanessa</v>
      </c>
      <c r="AU143">
        <f>J144</f>
        <v>1157.3958897894904</v>
      </c>
      <c r="AW143" s="1409"/>
      <c r="AX143" s="1231"/>
      <c r="AY143" s="1231"/>
      <c r="AZ143" s="1231"/>
      <c r="BA143" s="1231"/>
      <c r="BB143" s="1409"/>
      <c r="BC143" s="1231"/>
      <c r="BD143" s="1231"/>
      <c r="BE143" s="1409"/>
      <c r="BF143" s="1231"/>
      <c r="BG143" s="1231"/>
      <c r="BH143" s="1409"/>
      <c r="BI143" s="1231"/>
      <c r="BJ143" s="1231"/>
      <c r="BK143" s="1409"/>
      <c r="BL143" s="1231"/>
      <c r="BM143" s="1231"/>
      <c r="BN143" s="1409"/>
      <c r="BO143" s="1231"/>
      <c r="BP143" s="1231"/>
      <c r="BQ143" s="1409"/>
      <c r="BR143" s="1231"/>
      <c r="BS143" s="1231"/>
      <c r="BT143" s="1409"/>
      <c r="BU143" s="1231"/>
      <c r="BV143" s="1231"/>
      <c r="BW143" s="1409"/>
      <c r="BX143" s="1231"/>
      <c r="BY143" s="1231"/>
    </row>
    <row r="144" spans="1:77" hidden="1" x14ac:dyDescent="0.2">
      <c r="A144">
        <v>4</v>
      </c>
      <c r="B144" t="str">
        <f>B127</f>
        <v>Foothills Vanessa</v>
      </c>
      <c r="C144">
        <f>VLOOKUP(B144,AU$2:AY$7,4,FALSE)</f>
        <v>1157.3958897894904</v>
      </c>
      <c r="D144">
        <f>IF(A144=B132,B147,IF(A144=D132,D147,C144))</f>
        <v>1157.3958897894904</v>
      </c>
      <c r="G144">
        <f>IF(A144=E132,E147,IF(A144=G132,G147,D144))</f>
        <v>1157.3958897894904</v>
      </c>
      <c r="J144">
        <f>IF(A144=H132,H147,IF(A144=J132,J147,G144))</f>
        <v>1157.3958897894904</v>
      </c>
      <c r="T144" s="1395"/>
      <c r="U144" s="1395"/>
      <c r="V144" s="1395"/>
      <c r="W144" s="1395"/>
      <c r="X144" s="1395"/>
      <c r="Y144" s="1395"/>
      <c r="Z144" s="1395"/>
      <c r="AA144" s="1395"/>
      <c r="AB144" s="1395"/>
      <c r="AC144" s="1395"/>
      <c r="AD144" s="1395"/>
      <c r="AE144" s="1395"/>
      <c r="AT144">
        <f>W141</f>
        <v>0</v>
      </c>
      <c r="AU144">
        <f>AE141</f>
        <v>0</v>
      </c>
      <c r="AW144" s="1409"/>
      <c r="AX144" s="1231"/>
      <c r="AY144" s="1231"/>
      <c r="AZ144" s="1231"/>
      <c r="BA144" s="1231"/>
      <c r="BB144" s="1409"/>
      <c r="BC144" s="1231"/>
      <c r="BD144" s="1231"/>
      <c r="BE144" s="1409"/>
      <c r="BF144" s="1231"/>
      <c r="BG144" s="1231"/>
      <c r="BH144" s="1409"/>
      <c r="BI144" s="1231"/>
      <c r="BJ144" s="1231"/>
      <c r="BK144" s="1409"/>
      <c r="BL144" s="1231"/>
      <c r="BM144" s="1231"/>
      <c r="BN144" s="1409"/>
      <c r="BO144" s="1231"/>
      <c r="BP144" s="1231"/>
      <c r="BQ144" s="1409"/>
      <c r="BR144" s="1231"/>
      <c r="BS144" s="1231"/>
      <c r="BT144" s="1409"/>
      <c r="BU144" s="1231"/>
      <c r="BV144" s="1231"/>
      <c r="BW144" s="1409"/>
      <c r="BX144" s="1231"/>
      <c r="BY144" s="1231"/>
    </row>
    <row r="145" spans="1:77" hidden="1" x14ac:dyDescent="0.2">
      <c r="A145" t="s">
        <v>89</v>
      </c>
      <c r="B145">
        <f>VLOOKUP(B132,$A141:$J144,3,FALSE)</f>
        <v>1291.463631335562</v>
      </c>
      <c r="D145">
        <f>VLOOKUP(D132,$A141:$J144,3,FALSE)</f>
        <v>1157.3958897894904</v>
      </c>
      <c r="E145">
        <f>VLOOKUP(E132,$A141:$J144,4,FALSE)</f>
        <v>1192.0777643975948</v>
      </c>
      <c r="G145">
        <f>VLOOKUP(G132,$A141:$J144,4,FALSE)</f>
        <v>1216.9982652053041</v>
      </c>
      <c r="H145" t="e">
        <f>VLOOKUP(H132,$A141:$J144,7,FALSE)</f>
        <v>#N/A</v>
      </c>
      <c r="J145" t="e">
        <f>VLOOKUP(J132,$A141:$J144,7,FALSE)</f>
        <v>#N/A</v>
      </c>
      <c r="T145" s="1395"/>
      <c r="U145" s="1395"/>
      <c r="V145" s="1395"/>
      <c r="W145" s="1395"/>
      <c r="X145" s="1395"/>
      <c r="Y145" s="1395"/>
      <c r="Z145" s="1395"/>
      <c r="AA145" s="1395"/>
      <c r="AB145" s="1395"/>
      <c r="AC145" s="1395"/>
      <c r="AD145" s="1395"/>
      <c r="AE145" s="1395"/>
      <c r="AT145">
        <f>W142</f>
        <v>0</v>
      </c>
      <c r="AU145">
        <f>AE142</f>
        <v>0</v>
      </c>
      <c r="AW145" s="1409"/>
      <c r="AX145" s="1231"/>
      <c r="AY145" s="1231"/>
      <c r="AZ145" s="1231"/>
      <c r="BA145" s="1231"/>
      <c r="BB145" s="1409"/>
      <c r="BC145" s="1231"/>
      <c r="BD145" s="1231"/>
      <c r="BE145" s="1409"/>
      <c r="BF145" s="1231"/>
      <c r="BG145" s="1231"/>
      <c r="BH145" s="1409"/>
      <c r="BI145" s="1231"/>
      <c r="BJ145" s="1231"/>
      <c r="BK145" s="1409"/>
      <c r="BL145" s="1231"/>
      <c r="BM145" s="1231"/>
      <c r="BN145" s="1409"/>
      <c r="BO145" s="1231"/>
      <c r="BP145" s="1231"/>
      <c r="BQ145" s="1409"/>
      <c r="BR145" s="1231"/>
      <c r="BS145" s="1231"/>
      <c r="BT145" s="1409"/>
      <c r="BU145" s="1231"/>
      <c r="BV145" s="1231"/>
      <c r="BW145" s="1409"/>
      <c r="BX145" s="1231"/>
      <c r="BY145" s="1231"/>
    </row>
    <row r="146" spans="1:77" hidden="1" x14ac:dyDescent="0.2">
      <c r="A146" s="1246" t="s">
        <v>90</v>
      </c>
      <c r="B146" s="1246">
        <f>IF(OR(B136&gt;0,D136&gt;0),1/(1+(10^-((B145-D145)/400)))*(B136+D136),0)</f>
        <v>0</v>
      </c>
      <c r="C146" s="1246"/>
      <c r="D146" s="1246">
        <f>IF(OR(B136&gt;0,D136&gt;0),1/(1+(10^-((D145-B145)/400)))*(B136+D136),0)</f>
        <v>0</v>
      </c>
      <c r="E146" s="1246">
        <f>IF(OR(E136&gt;0,G136&gt;0),1/(1+(10^-((E145-G145)/400)))*(E136+G136),0)</f>
        <v>0</v>
      </c>
      <c r="F146" s="1246"/>
      <c r="G146" s="1246">
        <f>IF(OR(E136&gt;0,G136&gt;0),1/(1+(10^-((G145-E145)/400)))*(E136+G136),0)</f>
        <v>0</v>
      </c>
      <c r="H146" s="1246">
        <f>IF(OR(H136&gt;0,J136&gt;0),1/(1+(10^-((H145-J145)/400)))*(H136+J136),0)</f>
        <v>0</v>
      </c>
      <c r="I146" s="1246"/>
      <c r="J146" s="1246">
        <f>IF(OR(H136&gt;0,J136&gt;0),1/(1+(10^-((J145-H145)/400)))*(H136+J136),0)</f>
        <v>0</v>
      </c>
      <c r="T146" s="1395"/>
      <c r="U146" s="1395"/>
      <c r="V146" s="1395"/>
      <c r="W146" s="1395"/>
      <c r="X146" s="1395"/>
      <c r="Y146" s="1395"/>
      <c r="Z146" s="1395"/>
      <c r="AA146" s="1395"/>
      <c r="AB146" s="1395"/>
      <c r="AC146" s="1395"/>
      <c r="AD146" s="1395"/>
      <c r="AE146" s="1395"/>
      <c r="AT146">
        <f>W143</f>
        <v>0</v>
      </c>
      <c r="AU146">
        <f>AE143</f>
        <v>0</v>
      </c>
      <c r="AW146" s="1409"/>
      <c r="AX146" s="1231"/>
      <c r="AY146" s="1231"/>
      <c r="AZ146" s="1231"/>
      <c r="BA146" s="1231"/>
      <c r="BB146" s="1409"/>
      <c r="BC146" s="1231"/>
      <c r="BD146" s="1231"/>
      <c r="BE146" s="1409"/>
      <c r="BF146" s="1231"/>
      <c r="BG146" s="1231"/>
      <c r="BH146" s="1409"/>
      <c r="BI146" s="1231"/>
      <c r="BJ146" s="1231"/>
      <c r="BK146" s="1409"/>
      <c r="BL146" s="1231"/>
      <c r="BM146" s="1231"/>
      <c r="BN146" s="1409"/>
      <c r="BO146" s="1231"/>
      <c r="BP146" s="1231"/>
      <c r="BQ146" s="1409"/>
      <c r="BR146" s="1231"/>
      <c r="BS146" s="1231"/>
      <c r="BT146" s="1409"/>
      <c r="BU146" s="1231"/>
      <c r="BV146" s="1231"/>
      <c r="BW146" s="1409"/>
      <c r="BX146" s="1231"/>
      <c r="BY146" s="1231"/>
    </row>
    <row r="147" spans="1:77" hidden="1" x14ac:dyDescent="0.2">
      <c r="A147" s="1252" t="s">
        <v>91</v>
      </c>
      <c r="B147" s="1252">
        <f>B145+(B136-B146)*$BA$2</f>
        <v>1291.463631335562</v>
      </c>
      <c r="C147" s="1252"/>
      <c r="D147" s="1252">
        <f>D145+(D136-D146)*$BA$2</f>
        <v>1157.3958897894904</v>
      </c>
      <c r="E147" s="1252">
        <f>E145+(E136-E146)*$BA$2</f>
        <v>1192.0777643975948</v>
      </c>
      <c r="G147" s="1252">
        <f>G145+(G136-G146)*$BA$2</f>
        <v>1216.9982652053041</v>
      </c>
      <c r="H147" s="1252" t="e">
        <f>H145+(H136-H146)*$BA$2</f>
        <v>#N/A</v>
      </c>
      <c r="J147" s="1252" t="e">
        <f>J145+(J136-J146)*$BA$2</f>
        <v>#N/A</v>
      </c>
      <c r="T147" s="1395"/>
      <c r="U147" s="1395"/>
      <c r="V147" s="1395"/>
      <c r="W147" s="1395"/>
      <c r="X147" s="1395"/>
      <c r="Y147" s="1395"/>
      <c r="Z147" s="1395"/>
      <c r="AA147" s="1395"/>
      <c r="AB147" s="1395"/>
      <c r="AC147" s="1395"/>
      <c r="AD147" s="1395"/>
      <c r="AE147" s="1395"/>
      <c r="AT147">
        <f>W144</f>
        <v>0</v>
      </c>
      <c r="AU147">
        <f>AE144</f>
        <v>0</v>
      </c>
      <c r="AW147" s="1409"/>
      <c r="AX147" s="1231"/>
      <c r="AY147" s="1231"/>
      <c r="AZ147" s="1231"/>
      <c r="BA147" s="1231"/>
      <c r="BB147" s="1409"/>
      <c r="BC147" s="1231"/>
      <c r="BD147" s="1231"/>
      <c r="BE147" s="1409"/>
      <c r="BF147" s="1231"/>
      <c r="BG147" s="1231"/>
      <c r="BH147" s="1409"/>
      <c r="BI147" s="1231"/>
      <c r="BJ147" s="1231"/>
      <c r="BK147" s="1409"/>
      <c r="BL147" s="1231"/>
      <c r="BM147" s="1231"/>
      <c r="BN147" s="1409"/>
      <c r="BO147" s="1231"/>
      <c r="BP147" s="1231"/>
      <c r="BQ147" s="1409"/>
      <c r="BR147" s="1231"/>
      <c r="BS147" s="1231"/>
      <c r="BT147" s="1409"/>
      <c r="BU147" s="1231"/>
      <c r="BV147" s="1231"/>
      <c r="BW147" s="1409"/>
      <c r="BX147" s="1231"/>
      <c r="BY147" s="1231"/>
    </row>
    <row r="148" spans="1:77" x14ac:dyDescent="0.2">
      <c r="A148" s="1410" t="s">
        <v>141</v>
      </c>
      <c r="B148" s="1410"/>
      <c r="C148" s="1410"/>
      <c r="D148" s="1410"/>
      <c r="E148" s="1410"/>
      <c r="F148" s="1410"/>
      <c r="G148" s="1410"/>
      <c r="H148" s="1410"/>
      <c r="I148" s="1410"/>
      <c r="J148" s="1410"/>
      <c r="K148" s="1410"/>
      <c r="L148" s="1410"/>
      <c r="M148" s="1410"/>
      <c r="R148" s="1283"/>
      <c r="S148" s="1283"/>
      <c r="T148" s="1284"/>
      <c r="U148" s="1284"/>
      <c r="V148" s="1284"/>
      <c r="W148" s="1284"/>
      <c r="X148" s="1284"/>
      <c r="Y148" s="1284"/>
      <c r="Z148" s="1284"/>
      <c r="AA148" s="1284"/>
      <c r="AB148" s="1284"/>
      <c r="AC148" s="1284"/>
      <c r="AD148" s="1284"/>
      <c r="AE148" s="1284"/>
      <c r="AF148" s="1284"/>
      <c r="AG148" s="1284"/>
      <c r="AH148" s="1283"/>
      <c r="AI148" s="1283"/>
      <c r="AJ148" s="1283"/>
      <c r="AK148" s="1283"/>
      <c r="AL148" s="1283"/>
      <c r="AM148" s="1283"/>
      <c r="AN148" s="1283"/>
      <c r="AO148" s="1283"/>
      <c r="AP148" s="1283"/>
      <c r="AZ148" s="1231"/>
      <c r="BA148" s="1231"/>
    </row>
    <row r="149" spans="1:77" x14ac:dyDescent="0.2">
      <c r="T149" s="1283"/>
      <c r="U149" s="1283"/>
      <c r="V149" s="1283"/>
      <c r="W149" s="1283"/>
      <c r="X149" s="1283"/>
      <c r="Y149" s="1283"/>
      <c r="Z149" s="1283"/>
      <c r="AA149" s="1283"/>
      <c r="AB149" s="1283"/>
      <c r="AC149" s="1283"/>
      <c r="AD149" s="1283"/>
      <c r="AE149" s="1283"/>
      <c r="AF149" s="1283"/>
      <c r="AG149" s="1283"/>
      <c r="AH149" s="1283"/>
      <c r="AI149" s="1283"/>
      <c r="AJ149" s="1283"/>
      <c r="AK149" s="1283"/>
      <c r="AL149" s="1283"/>
      <c r="AM149" s="1283"/>
      <c r="AN149" s="1283"/>
      <c r="AO149" s="1283"/>
      <c r="AP149" s="1283"/>
      <c r="AS149" s="1231"/>
      <c r="AT149" s="1231"/>
      <c r="AU149" s="1231"/>
      <c r="AZ149" s="1231"/>
      <c r="BA149" s="1231"/>
    </row>
    <row r="150" spans="1:77" x14ac:dyDescent="0.2">
      <c r="AS150" s="1231"/>
      <c r="AT150" s="1231"/>
      <c r="AU150" s="1231"/>
      <c r="AZ150" s="1231"/>
      <c r="BA150" s="1231"/>
    </row>
    <row r="151" spans="1:77" x14ac:dyDescent="0.2">
      <c r="AS151" s="1231"/>
      <c r="AT151" s="1231"/>
      <c r="AU151" s="1231"/>
      <c r="AZ151" s="1231"/>
      <c r="BA151" s="1231"/>
    </row>
    <row r="152" spans="1:77" x14ac:dyDescent="0.2">
      <c r="AS152" s="1231"/>
      <c r="AT152" s="1231"/>
      <c r="AU152" s="1231"/>
      <c r="AZ152" s="1231"/>
      <c r="BA152" s="1231"/>
    </row>
    <row r="153" spans="1:77" x14ac:dyDescent="0.2">
      <c r="AS153" s="1231"/>
      <c r="AT153" s="1231"/>
      <c r="AU153" s="1231"/>
      <c r="AZ153" s="1231"/>
      <c r="BA153" s="1231"/>
    </row>
    <row r="154" spans="1:77" x14ac:dyDescent="0.2">
      <c r="AS154" s="1231"/>
      <c r="AT154" s="1231"/>
      <c r="AU154" s="1231"/>
      <c r="AZ154" s="1231"/>
      <c r="BA154" s="1231"/>
    </row>
    <row r="155" spans="1:77" x14ac:dyDescent="0.2">
      <c r="AS155" s="1231"/>
      <c r="AT155" s="1231"/>
      <c r="AU155" s="1231"/>
      <c r="AZ155" s="1231"/>
      <c r="BA155" s="1231"/>
    </row>
    <row r="156" spans="1:77" x14ac:dyDescent="0.2">
      <c r="AS156" s="1231"/>
      <c r="AT156" s="1231"/>
      <c r="AU156" s="1231"/>
      <c r="AZ156" s="1231"/>
      <c r="BA156" s="1231"/>
    </row>
    <row r="157" spans="1:77" x14ac:dyDescent="0.2">
      <c r="AS157" s="1231"/>
      <c r="AT157" s="1231"/>
      <c r="AU157" s="1231"/>
      <c r="AZ157" s="1231"/>
      <c r="BA157" s="1231"/>
    </row>
    <row r="158" spans="1:77" x14ac:dyDescent="0.2">
      <c r="AS158" s="1231"/>
      <c r="AT158" s="1231"/>
      <c r="AU158" s="1231"/>
      <c r="AZ158" s="1231"/>
      <c r="BA158" s="1231"/>
    </row>
    <row r="159" spans="1:77" x14ac:dyDescent="0.2">
      <c r="AS159" s="1231"/>
      <c r="AT159" s="1231"/>
      <c r="AU159" s="1231"/>
      <c r="AZ159" s="1231"/>
      <c r="BA159" s="1231"/>
    </row>
    <row r="160" spans="1:77" x14ac:dyDescent="0.2">
      <c r="AS160" s="1231"/>
      <c r="AT160" s="1231"/>
      <c r="AU160" s="1231"/>
      <c r="AZ160" s="1231"/>
      <c r="BA160" s="1231"/>
    </row>
    <row r="161" spans="45:53" x14ac:dyDescent="0.2">
      <c r="AS161" s="1231"/>
      <c r="AT161" s="1231"/>
      <c r="AU161" s="1231"/>
      <c r="AZ161" s="1231"/>
      <c r="BA161" s="1231"/>
    </row>
    <row r="162" spans="45:53" x14ac:dyDescent="0.2">
      <c r="AS162" s="1231"/>
      <c r="AT162" s="1231"/>
      <c r="AU162" s="1231"/>
    </row>
    <row r="163" spans="45:53" x14ac:dyDescent="0.2">
      <c r="AS163" s="1231"/>
      <c r="AT163" s="1231"/>
      <c r="AU163" s="1231"/>
      <c r="AZ163" s="1239"/>
      <c r="BA163" s="1239"/>
    </row>
    <row r="164" spans="45:53" x14ac:dyDescent="0.2">
      <c r="AS164" s="1231"/>
      <c r="AT164" s="1231"/>
      <c r="AU164" s="1231"/>
      <c r="AZ164" s="1239"/>
      <c r="BA164" s="1239"/>
    </row>
    <row r="165" spans="45:53" x14ac:dyDescent="0.2">
      <c r="AS165" s="1231"/>
      <c r="AT165" s="1231"/>
      <c r="AU165" s="1231"/>
      <c r="AZ165" s="1239"/>
      <c r="BA165" s="1239"/>
    </row>
    <row r="166" spans="45:53" x14ac:dyDescent="0.2">
      <c r="AS166" s="1231"/>
      <c r="AT166" s="1231"/>
      <c r="AU166" s="1231"/>
      <c r="AZ166" s="1239"/>
      <c r="BA166" s="1239"/>
    </row>
    <row r="167" spans="45:53" x14ac:dyDescent="0.2">
      <c r="AS167" s="1231"/>
      <c r="AT167" s="1231"/>
      <c r="AU167" s="1231"/>
      <c r="AZ167" s="1239"/>
      <c r="BA167" s="1239"/>
    </row>
    <row r="168" spans="45:53" x14ac:dyDescent="0.2">
      <c r="AS168" s="1231"/>
      <c r="AT168" s="1231"/>
      <c r="AU168" s="1231"/>
      <c r="AZ168" s="1239"/>
      <c r="BA168" s="1239"/>
    </row>
    <row r="169" spans="45:53" x14ac:dyDescent="0.2">
      <c r="AS169" s="1231"/>
      <c r="AT169" s="1231"/>
      <c r="AU169" s="1231"/>
      <c r="AZ169" s="1239"/>
      <c r="BA169" s="1239"/>
    </row>
    <row r="170" spans="45:53" x14ac:dyDescent="0.2">
      <c r="AS170" s="1231"/>
      <c r="AT170" s="1231"/>
      <c r="AU170" s="1231"/>
      <c r="AZ170" s="1239"/>
      <c r="BA170" s="1239"/>
    </row>
    <row r="171" spans="45:53" x14ac:dyDescent="0.2">
      <c r="AS171" s="1231"/>
      <c r="AT171" s="1231"/>
      <c r="AU171" s="1231"/>
      <c r="AZ171" s="1249"/>
      <c r="BA171" s="1249"/>
    </row>
    <row r="172" spans="45:53" x14ac:dyDescent="0.2">
      <c r="AS172" s="1231"/>
      <c r="AT172" s="1231"/>
      <c r="AU172" s="1231"/>
      <c r="AZ172" s="1255"/>
      <c r="BA172" s="1255"/>
    </row>
    <row r="173" spans="45:53" x14ac:dyDescent="0.2">
      <c r="AS173" s="1231"/>
      <c r="AT173" s="1231"/>
      <c r="AU173" s="1231"/>
      <c r="AZ173" s="1255"/>
      <c r="BA173" s="1255"/>
    </row>
    <row r="174" spans="45:53" x14ac:dyDescent="0.2">
      <c r="AS174" s="1239"/>
      <c r="AT174" s="1239"/>
      <c r="AU174" s="1239"/>
      <c r="AZ174" s="1239"/>
      <c r="BA174" s="1239"/>
    </row>
    <row r="175" spans="45:53" x14ac:dyDescent="0.2">
      <c r="AS175" s="1239"/>
      <c r="AT175" s="1239"/>
      <c r="AU175" s="1239"/>
      <c r="AZ175" s="1239"/>
      <c r="BA175" s="1239"/>
    </row>
    <row r="200" spans="45:53" x14ac:dyDescent="0.2">
      <c r="AS200" s="1231"/>
      <c r="AT200" s="1231"/>
      <c r="AU200" s="1231"/>
    </row>
    <row r="201" spans="45:53" x14ac:dyDescent="0.2">
      <c r="AS201" s="1231"/>
      <c r="AT201" s="1231"/>
      <c r="AU201" s="1231"/>
      <c r="AZ201" s="1231"/>
      <c r="BA201" s="1231"/>
    </row>
    <row r="202" spans="45:53" x14ac:dyDescent="0.2">
      <c r="AS202" s="1231"/>
      <c r="AT202" s="1231"/>
      <c r="AU202" s="1231"/>
      <c r="AZ202" s="1231"/>
      <c r="BA202" s="1231"/>
    </row>
    <row r="203" spans="45:53" x14ac:dyDescent="0.2">
      <c r="AS203" s="1231"/>
      <c r="AT203" s="1231"/>
      <c r="AU203" s="1231"/>
      <c r="AZ203" s="1231"/>
      <c r="BA203" s="1231"/>
    </row>
    <row r="204" spans="45:53" x14ac:dyDescent="0.2">
      <c r="AS204" s="1231"/>
      <c r="AT204" s="1231"/>
      <c r="AU204" s="1231"/>
      <c r="AZ204" s="1231"/>
      <c r="BA204" s="1231"/>
    </row>
    <row r="205" spans="45:53" x14ac:dyDescent="0.2">
      <c r="AS205" s="1231"/>
      <c r="AT205" s="1231"/>
      <c r="AU205" s="1231"/>
      <c r="AZ205" s="1231"/>
      <c r="BA205" s="1231"/>
    </row>
    <row r="206" spans="45:53" x14ac:dyDescent="0.2">
      <c r="AS206" s="1231"/>
      <c r="AT206" s="1231"/>
      <c r="AU206" s="1231"/>
      <c r="AZ206" s="1231"/>
      <c r="BA206" s="1231"/>
    </row>
    <row r="207" spans="45:53" x14ac:dyDescent="0.2">
      <c r="AS207" s="1231"/>
      <c r="AT207" s="1231"/>
      <c r="AU207" s="1231"/>
      <c r="AZ207" s="1231"/>
      <c r="BA207" s="1231"/>
    </row>
    <row r="208" spans="45:53" x14ac:dyDescent="0.2">
      <c r="AS208" s="1231"/>
      <c r="AT208" s="1231"/>
      <c r="AU208" s="1231"/>
      <c r="AZ208" s="1231"/>
      <c r="BA208" s="1231"/>
    </row>
    <row r="209" spans="45:53" x14ac:dyDescent="0.2">
      <c r="AS209" s="1231"/>
      <c r="AT209" s="1231"/>
      <c r="AU209" s="1231"/>
      <c r="AZ209" s="1231"/>
      <c r="BA209" s="1231"/>
    </row>
    <row r="210" spans="45:53" x14ac:dyDescent="0.2">
      <c r="AS210" s="1231"/>
      <c r="AT210" s="1231"/>
      <c r="AU210" s="1231"/>
      <c r="AZ210" s="1231"/>
      <c r="BA210" s="1231"/>
    </row>
    <row r="211" spans="45:53" x14ac:dyDescent="0.2">
      <c r="AS211" s="1231"/>
      <c r="AT211" s="1231"/>
      <c r="AU211" s="1231"/>
      <c r="AZ211" s="1231"/>
      <c r="BA211" s="1231"/>
    </row>
    <row r="212" spans="45:53" x14ac:dyDescent="0.2">
      <c r="AS212" s="1231"/>
      <c r="AT212" s="1231"/>
      <c r="AU212" s="1231"/>
      <c r="AZ212" s="1231"/>
      <c r="BA212" s="1231"/>
    </row>
    <row r="213" spans="45:53" x14ac:dyDescent="0.2">
      <c r="AS213" s="1231"/>
      <c r="AT213" s="1231"/>
      <c r="AU213" s="1231"/>
      <c r="AZ213" s="1231"/>
      <c r="BA213" s="1231"/>
    </row>
    <row r="214" spans="45:53" x14ac:dyDescent="0.2">
      <c r="AS214" s="1231"/>
      <c r="AT214" s="1231"/>
      <c r="AU214" s="1231"/>
      <c r="AZ214" s="1231"/>
      <c r="BA214" s="1231"/>
    </row>
    <row r="215" spans="45:53" x14ac:dyDescent="0.2">
      <c r="AS215" s="1231"/>
      <c r="AT215" s="1231"/>
      <c r="AU215" s="1231"/>
      <c r="AZ215" s="1231"/>
      <c r="BA215" s="1231"/>
    </row>
    <row r="216" spans="45:53" x14ac:dyDescent="0.2">
      <c r="AS216" s="1231"/>
      <c r="AT216" s="1231"/>
      <c r="AU216" s="1231"/>
      <c r="AZ216" s="1231"/>
      <c r="BA216" s="1231"/>
    </row>
    <row r="217" spans="45:53" x14ac:dyDescent="0.2">
      <c r="AS217" s="1231"/>
      <c r="AT217" s="1231"/>
      <c r="AU217" s="1231"/>
      <c r="AZ217" s="1231"/>
      <c r="BA217" s="1231"/>
    </row>
    <row r="218" spans="45:53" x14ac:dyDescent="0.2">
      <c r="AS218" s="1231"/>
      <c r="AT218" s="1231"/>
      <c r="AU218" s="1231"/>
      <c r="AZ218" s="1231"/>
      <c r="BA218" s="1231"/>
    </row>
    <row r="219" spans="45:53" x14ac:dyDescent="0.2">
      <c r="AS219" s="1231"/>
      <c r="AT219" s="1231"/>
      <c r="AU219" s="1231"/>
      <c r="AZ219" s="1231"/>
      <c r="BA219" s="1231"/>
    </row>
    <row r="220" spans="45:53" x14ac:dyDescent="0.2">
      <c r="AS220" s="1231"/>
      <c r="AT220" s="1231"/>
      <c r="AU220" s="1231"/>
      <c r="AZ220" s="1231"/>
      <c r="BA220" s="1231"/>
    </row>
    <row r="221" spans="45:53" x14ac:dyDescent="0.2">
      <c r="AS221" s="1231"/>
      <c r="AT221" s="1231"/>
      <c r="AU221" s="1231"/>
      <c r="AZ221" s="1231"/>
      <c r="BA221" s="1231"/>
    </row>
    <row r="222" spans="45:53" x14ac:dyDescent="0.2">
      <c r="AS222" s="1231"/>
      <c r="AT222" s="1231"/>
      <c r="AU222" s="1231"/>
      <c r="AZ222" s="1231"/>
      <c r="BA222" s="1231"/>
    </row>
    <row r="223" spans="45:53" x14ac:dyDescent="0.2">
      <c r="AS223" s="1231"/>
      <c r="AT223" s="1231"/>
      <c r="AU223" s="1231"/>
      <c r="AZ223" s="1231"/>
      <c r="BA223" s="1231"/>
    </row>
    <row r="224" spans="45:53" x14ac:dyDescent="0.2">
      <c r="AS224" s="1231"/>
      <c r="AT224" s="1231"/>
      <c r="AU224" s="1231"/>
      <c r="AZ224" s="1231"/>
      <c r="BA224" s="1231"/>
    </row>
    <row r="225" spans="45:53" x14ac:dyDescent="0.2">
      <c r="AS225" s="1231"/>
      <c r="AT225" s="1231"/>
      <c r="AU225" s="1231"/>
      <c r="AZ225" s="1231"/>
      <c r="BA225" s="1231"/>
    </row>
    <row r="226" spans="45:53" x14ac:dyDescent="0.2">
      <c r="AS226" s="1231"/>
      <c r="AT226" s="1231"/>
      <c r="AU226" s="1231"/>
      <c r="AZ226" s="1231"/>
      <c r="BA226" s="1231"/>
    </row>
    <row r="227" spans="45:53" x14ac:dyDescent="0.2">
      <c r="AS227" s="1231"/>
      <c r="AT227" s="1231"/>
      <c r="AU227" s="1231"/>
      <c r="AZ227" s="1231"/>
      <c r="BA227" s="1231"/>
    </row>
    <row r="228" spans="45:53" x14ac:dyDescent="0.2">
      <c r="AS228" s="1231"/>
      <c r="AT228" s="1231"/>
      <c r="AU228" s="1231"/>
      <c r="AZ228" s="1231"/>
      <c r="BA228" s="1231"/>
    </row>
    <row r="229" spans="45:53" x14ac:dyDescent="0.2">
      <c r="AS229" s="1231"/>
      <c r="AT229" s="1231"/>
      <c r="AU229" s="1231"/>
      <c r="AZ229" s="1231"/>
      <c r="BA229" s="1231"/>
    </row>
    <row r="230" spans="45:53" x14ac:dyDescent="0.2">
      <c r="AS230" s="1231"/>
      <c r="AT230" s="1231"/>
      <c r="AU230" s="1231"/>
      <c r="AZ230" s="1231"/>
      <c r="BA230" s="1231"/>
    </row>
    <row r="231" spans="45:53" x14ac:dyDescent="0.2">
      <c r="AS231" s="1231"/>
      <c r="AT231" s="1231"/>
      <c r="AU231" s="1231"/>
      <c r="AZ231" s="1231"/>
      <c r="BA231" s="1231"/>
    </row>
    <row r="232" spans="45:53" x14ac:dyDescent="0.2">
      <c r="AS232" s="1231"/>
      <c r="AT232" s="1231"/>
      <c r="AU232" s="1231"/>
      <c r="AZ232" s="1231"/>
      <c r="BA232" s="1231"/>
    </row>
    <row r="233" spans="45:53" x14ac:dyDescent="0.2">
      <c r="AS233" s="1231"/>
      <c r="AT233" s="1231"/>
      <c r="AU233" s="1231"/>
      <c r="AZ233" s="1231"/>
      <c r="BA233" s="1231"/>
    </row>
    <row r="234" spans="45:53" x14ac:dyDescent="0.2">
      <c r="AS234" s="1231"/>
      <c r="AT234" s="1231"/>
      <c r="AU234" s="1231"/>
      <c r="AZ234" s="1231"/>
      <c r="BA234" s="1231"/>
    </row>
    <row r="235" spans="45:53" x14ac:dyDescent="0.2">
      <c r="AS235" s="1231"/>
      <c r="AT235" s="1231"/>
      <c r="AU235" s="1231"/>
      <c r="AZ235" s="1231"/>
      <c r="BA235" s="1231"/>
    </row>
    <row r="236" spans="45:53" x14ac:dyDescent="0.2">
      <c r="AS236" s="1231"/>
      <c r="AT236" s="1231"/>
      <c r="AU236" s="1231"/>
      <c r="AZ236" s="1231"/>
      <c r="BA236" s="1231"/>
    </row>
    <row r="237" spans="45:53" x14ac:dyDescent="0.2">
      <c r="AS237" s="1231"/>
      <c r="AT237" s="1231"/>
      <c r="AU237" s="1231"/>
      <c r="AZ237" s="1231"/>
      <c r="BA237" s="1231"/>
    </row>
    <row r="238" spans="45:53" x14ac:dyDescent="0.2">
      <c r="AS238" s="1231"/>
      <c r="AT238" s="1231"/>
      <c r="AU238" s="1231"/>
      <c r="AZ238" s="1231"/>
      <c r="BA238" s="1231"/>
    </row>
    <row r="239" spans="45:53" x14ac:dyDescent="0.2">
      <c r="AS239" s="1231"/>
      <c r="AT239" s="1231"/>
      <c r="AU239" s="1231"/>
      <c r="AZ239" s="1231"/>
      <c r="BA239" s="1231"/>
    </row>
    <row r="240" spans="45:53" x14ac:dyDescent="0.2">
      <c r="AS240" s="1231"/>
      <c r="AT240" s="1231"/>
      <c r="AU240" s="1231"/>
      <c r="AZ240" s="1231"/>
      <c r="BA240" s="1231"/>
    </row>
    <row r="241" spans="45:53" x14ac:dyDescent="0.2">
      <c r="AS241" s="1231"/>
      <c r="AT241" s="1231"/>
      <c r="AU241" s="1231"/>
      <c r="AZ241" s="1231"/>
      <c r="BA241" s="1231"/>
    </row>
    <row r="242" spans="45:53" x14ac:dyDescent="0.2">
      <c r="AS242" s="1231"/>
      <c r="AT242" s="1231"/>
      <c r="AU242" s="1231"/>
      <c r="AZ242" s="1231"/>
      <c r="BA242" s="1231"/>
    </row>
    <row r="243" spans="45:53" x14ac:dyDescent="0.2">
      <c r="AS243" s="1231"/>
      <c r="AT243" s="1231"/>
      <c r="AU243" s="1231"/>
      <c r="AZ243" s="1231"/>
      <c r="BA243" s="1231"/>
    </row>
    <row r="244" spans="45:53" x14ac:dyDescent="0.2">
      <c r="AS244" s="1231"/>
      <c r="AT244" s="1231"/>
      <c r="AU244" s="1231"/>
      <c r="AZ244" s="1231"/>
      <c r="BA244" s="1231"/>
    </row>
    <row r="245" spans="45:53" x14ac:dyDescent="0.2">
      <c r="AS245" s="1231"/>
      <c r="AT245" s="1231"/>
      <c r="AU245" s="1231"/>
      <c r="AZ245" s="1231"/>
      <c r="BA245" s="1231"/>
    </row>
    <row r="246" spans="45:53" x14ac:dyDescent="0.2">
      <c r="AS246" s="1239"/>
      <c r="AT246" s="1239"/>
      <c r="AU246" s="1239"/>
      <c r="AZ246" s="1231"/>
      <c r="BA246" s="1231"/>
    </row>
    <row r="247" spans="45:53" x14ac:dyDescent="0.2">
      <c r="AS247" s="1239"/>
      <c r="AT247" s="1239"/>
      <c r="AU247" s="1239"/>
    </row>
    <row r="248" spans="45:53" x14ac:dyDescent="0.2">
      <c r="AZ248" s="1239"/>
      <c r="BA248" s="1239"/>
    </row>
    <row r="249" spans="45:53" x14ac:dyDescent="0.2">
      <c r="AZ249" s="1239"/>
      <c r="BA249" s="1239"/>
    </row>
    <row r="250" spans="45:53" x14ac:dyDescent="0.2">
      <c r="AZ250" s="1239"/>
      <c r="BA250" s="1239"/>
    </row>
    <row r="251" spans="45:53" x14ac:dyDescent="0.2">
      <c r="AZ251" s="1239"/>
      <c r="BA251" s="1239"/>
    </row>
    <row r="252" spans="45:53" x14ac:dyDescent="0.2">
      <c r="AZ252" s="1239"/>
      <c r="BA252" s="1239"/>
    </row>
    <row r="253" spans="45:53" x14ac:dyDescent="0.2">
      <c r="AZ253" s="1239"/>
      <c r="BA253" s="1239"/>
    </row>
    <row r="254" spans="45:53" x14ac:dyDescent="0.2">
      <c r="AZ254" s="1239"/>
      <c r="BA254" s="1239"/>
    </row>
    <row r="255" spans="45:53" x14ac:dyDescent="0.2">
      <c r="AZ255" s="1239"/>
      <c r="BA255" s="1239"/>
    </row>
    <row r="256" spans="45:53" x14ac:dyDescent="0.2">
      <c r="AZ256" s="1249"/>
      <c r="BA256" s="1249"/>
    </row>
    <row r="257" spans="45:53" x14ac:dyDescent="0.2">
      <c r="AZ257" s="1255"/>
      <c r="BA257" s="1255"/>
    </row>
    <row r="258" spans="45:53" x14ac:dyDescent="0.2">
      <c r="AZ258" s="1255"/>
      <c r="BA258" s="1255"/>
    </row>
    <row r="259" spans="45:53" x14ac:dyDescent="0.2">
      <c r="AZ259" s="1239"/>
      <c r="BA259" s="1239"/>
    </row>
    <row r="260" spans="45:53" x14ac:dyDescent="0.2">
      <c r="AZ260" s="1239"/>
      <c r="BA260" s="1239"/>
    </row>
    <row r="272" spans="45:53" x14ac:dyDescent="0.2">
      <c r="AS272" s="1231"/>
      <c r="AT272" s="1231"/>
      <c r="AU272" s="1231"/>
    </row>
    <row r="273" spans="45:53" x14ac:dyDescent="0.2">
      <c r="AS273" s="1231"/>
      <c r="AT273" s="1231"/>
      <c r="AU273" s="1231"/>
    </row>
    <row r="274" spans="45:53" x14ac:dyDescent="0.2">
      <c r="AS274" s="1231"/>
      <c r="AT274" s="1231"/>
      <c r="AU274" s="1231"/>
    </row>
    <row r="275" spans="45:53" x14ac:dyDescent="0.2">
      <c r="AS275" s="1231"/>
      <c r="AT275" s="1231"/>
      <c r="AU275" s="1231"/>
    </row>
    <row r="276" spans="45:53" x14ac:dyDescent="0.2">
      <c r="AS276" s="1231"/>
      <c r="AT276" s="1231"/>
      <c r="AU276" s="1231"/>
    </row>
    <row r="277" spans="45:53" x14ac:dyDescent="0.2">
      <c r="AS277" s="1231"/>
      <c r="AT277" s="1231"/>
      <c r="AU277" s="1231"/>
    </row>
    <row r="278" spans="45:53" x14ac:dyDescent="0.2">
      <c r="AS278" s="1231"/>
      <c r="AT278" s="1231"/>
      <c r="AU278" s="1231"/>
    </row>
    <row r="279" spans="45:53" x14ac:dyDescent="0.2">
      <c r="AS279" s="1231"/>
      <c r="AT279" s="1231"/>
      <c r="AU279" s="1231"/>
    </row>
    <row r="280" spans="45:53" x14ac:dyDescent="0.2">
      <c r="AS280" s="1231"/>
      <c r="AT280" s="1231"/>
      <c r="AU280" s="1231"/>
    </row>
    <row r="281" spans="45:53" x14ac:dyDescent="0.2">
      <c r="AS281" s="1231"/>
      <c r="AT281" s="1231"/>
      <c r="AU281" s="1231"/>
    </row>
    <row r="282" spans="45:53" x14ac:dyDescent="0.2">
      <c r="AS282" s="1231"/>
      <c r="AT282" s="1231"/>
      <c r="AU282" s="1231"/>
    </row>
    <row r="283" spans="45:53" x14ac:dyDescent="0.2">
      <c r="AS283" s="1231"/>
      <c r="AT283" s="1231"/>
      <c r="AU283" s="1231"/>
    </row>
    <row r="284" spans="45:53" x14ac:dyDescent="0.2">
      <c r="AS284" s="1231"/>
      <c r="AT284" s="1231"/>
      <c r="AU284" s="1231"/>
    </row>
    <row r="285" spans="45:53" x14ac:dyDescent="0.2">
      <c r="AS285" s="1231"/>
      <c r="AT285" s="1231"/>
      <c r="AU285" s="1231"/>
    </row>
    <row r="286" spans="45:53" x14ac:dyDescent="0.2">
      <c r="AS286" s="1231"/>
      <c r="AT286" s="1231"/>
      <c r="AU286" s="1231"/>
      <c r="AZ286" s="1231"/>
      <c r="BA286" s="1231"/>
    </row>
    <row r="287" spans="45:53" x14ac:dyDescent="0.2">
      <c r="AS287" s="1231"/>
      <c r="AT287" s="1231"/>
      <c r="AU287" s="1231"/>
      <c r="AZ287" s="1231"/>
      <c r="BA287" s="1231"/>
    </row>
    <row r="288" spans="45:53" x14ac:dyDescent="0.2">
      <c r="AS288" s="1231"/>
      <c r="AT288" s="1231"/>
      <c r="AU288" s="1231"/>
      <c r="AZ288" s="1231"/>
      <c r="BA288" s="1231"/>
    </row>
    <row r="289" spans="45:53" x14ac:dyDescent="0.2">
      <c r="AS289" s="1231"/>
      <c r="AT289" s="1231"/>
      <c r="AU289" s="1231"/>
      <c r="AZ289" s="1231"/>
      <c r="BA289" s="1231"/>
    </row>
    <row r="290" spans="45:53" x14ac:dyDescent="0.2">
      <c r="AS290" s="1231"/>
      <c r="AT290" s="1231"/>
      <c r="AU290" s="1231"/>
      <c r="AZ290" s="1231"/>
      <c r="BA290" s="1231"/>
    </row>
    <row r="291" spans="45:53" x14ac:dyDescent="0.2">
      <c r="AS291" s="1231"/>
      <c r="AT291" s="1231"/>
      <c r="AU291" s="1231"/>
      <c r="AZ291" s="1231"/>
      <c r="BA291" s="1231"/>
    </row>
    <row r="292" spans="45:53" x14ac:dyDescent="0.2">
      <c r="AS292" s="1231"/>
      <c r="AT292" s="1231"/>
      <c r="AU292" s="1231"/>
      <c r="AZ292" s="1231"/>
      <c r="BA292" s="1231"/>
    </row>
    <row r="293" spans="45:53" x14ac:dyDescent="0.2">
      <c r="AS293" s="1231"/>
      <c r="AT293" s="1231"/>
      <c r="AU293" s="1231"/>
      <c r="AZ293" s="1231"/>
      <c r="BA293" s="1231"/>
    </row>
    <row r="294" spans="45:53" x14ac:dyDescent="0.2">
      <c r="AS294" s="1231"/>
      <c r="AT294" s="1231"/>
      <c r="AU294" s="1231"/>
      <c r="AZ294" s="1231"/>
      <c r="BA294" s="1231"/>
    </row>
    <row r="295" spans="45:53" x14ac:dyDescent="0.2">
      <c r="AS295" s="1231"/>
      <c r="AT295" s="1231"/>
      <c r="AU295" s="1231"/>
      <c r="AZ295" s="1231"/>
      <c r="BA295" s="1231"/>
    </row>
    <row r="296" spans="45:53" x14ac:dyDescent="0.2">
      <c r="AS296" s="1231"/>
      <c r="AT296" s="1231"/>
      <c r="AU296" s="1231"/>
      <c r="AZ296" s="1231"/>
      <c r="BA296" s="1231"/>
    </row>
    <row r="297" spans="45:53" x14ac:dyDescent="0.2">
      <c r="AS297" s="1231"/>
      <c r="AT297" s="1231"/>
      <c r="AU297" s="1231"/>
      <c r="AZ297" s="1231"/>
      <c r="BA297" s="1231"/>
    </row>
    <row r="298" spans="45:53" x14ac:dyDescent="0.2">
      <c r="AS298" s="1231"/>
      <c r="AT298" s="1231"/>
      <c r="AU298" s="1231"/>
      <c r="AZ298" s="1231"/>
      <c r="BA298" s="1231"/>
    </row>
    <row r="299" spans="45:53" x14ac:dyDescent="0.2">
      <c r="AS299" s="1231"/>
      <c r="AT299" s="1231"/>
      <c r="AU299" s="1231"/>
      <c r="AZ299" s="1231"/>
      <c r="BA299" s="1231"/>
    </row>
    <row r="300" spans="45:53" x14ac:dyDescent="0.2">
      <c r="AS300" s="1231"/>
      <c r="AT300" s="1231"/>
      <c r="AU300" s="1231"/>
      <c r="AZ300" s="1231"/>
      <c r="BA300" s="1231"/>
    </row>
    <row r="301" spans="45:53" x14ac:dyDescent="0.2">
      <c r="AS301" s="1231"/>
      <c r="AT301" s="1231"/>
      <c r="AU301" s="1231"/>
      <c r="AZ301" s="1231"/>
      <c r="BA301" s="1231"/>
    </row>
    <row r="302" spans="45:53" x14ac:dyDescent="0.2">
      <c r="AS302" s="1231"/>
      <c r="AT302" s="1231"/>
      <c r="AU302" s="1231"/>
      <c r="AZ302" s="1231"/>
      <c r="BA302" s="1231"/>
    </row>
    <row r="303" spans="45:53" x14ac:dyDescent="0.2">
      <c r="AS303" s="1231"/>
      <c r="AT303" s="1231"/>
      <c r="AU303" s="1231"/>
      <c r="AZ303" s="1231"/>
      <c r="BA303" s="1231"/>
    </row>
    <row r="304" spans="45:53" x14ac:dyDescent="0.2">
      <c r="AS304" s="1231"/>
      <c r="AT304" s="1231"/>
      <c r="AU304" s="1231"/>
      <c r="AZ304" s="1231"/>
      <c r="BA304" s="1231"/>
    </row>
    <row r="305" spans="45:53" x14ac:dyDescent="0.2">
      <c r="AS305" s="1231"/>
      <c r="AT305" s="1231"/>
      <c r="AU305" s="1231"/>
      <c r="AZ305" s="1231"/>
      <c r="BA305" s="1231"/>
    </row>
    <row r="306" spans="45:53" x14ac:dyDescent="0.2">
      <c r="AS306" s="1231"/>
      <c r="AT306" s="1231"/>
      <c r="AU306" s="1231"/>
      <c r="AZ306" s="1231"/>
      <c r="BA306" s="1231"/>
    </row>
    <row r="307" spans="45:53" x14ac:dyDescent="0.2">
      <c r="AS307" s="1231"/>
      <c r="AT307" s="1231"/>
      <c r="AU307" s="1231"/>
      <c r="AZ307" s="1231"/>
      <c r="BA307" s="1231"/>
    </row>
    <row r="308" spans="45:53" x14ac:dyDescent="0.2">
      <c r="AS308" s="1231"/>
      <c r="AT308" s="1231"/>
      <c r="AU308" s="1231"/>
      <c r="AZ308" s="1231"/>
      <c r="BA308" s="1231"/>
    </row>
    <row r="309" spans="45:53" x14ac:dyDescent="0.2">
      <c r="AS309" s="1231"/>
      <c r="AT309" s="1231"/>
      <c r="AU309" s="1231"/>
      <c r="AZ309" s="1231"/>
      <c r="BA309" s="1231"/>
    </row>
    <row r="310" spans="45:53" x14ac:dyDescent="0.2">
      <c r="AS310" s="1231"/>
      <c r="AT310" s="1231"/>
      <c r="AU310" s="1231"/>
      <c r="AZ310" s="1231"/>
      <c r="BA310" s="1231"/>
    </row>
    <row r="311" spans="45:53" x14ac:dyDescent="0.2">
      <c r="AS311" s="1231"/>
      <c r="AT311" s="1231"/>
      <c r="AU311" s="1231"/>
      <c r="AZ311" s="1231"/>
      <c r="BA311" s="1231"/>
    </row>
    <row r="312" spans="45:53" x14ac:dyDescent="0.2">
      <c r="AS312" s="1231"/>
      <c r="AT312" s="1231"/>
      <c r="AU312" s="1231"/>
      <c r="AZ312" s="1231"/>
      <c r="BA312" s="1231"/>
    </row>
    <row r="313" spans="45:53" x14ac:dyDescent="0.2">
      <c r="AS313" s="1231"/>
      <c r="AT313" s="1231"/>
      <c r="AU313" s="1231"/>
      <c r="AZ313" s="1231"/>
      <c r="BA313" s="1231"/>
    </row>
    <row r="314" spans="45:53" x14ac:dyDescent="0.2">
      <c r="AS314" s="1231"/>
      <c r="AT314" s="1231"/>
      <c r="AU314" s="1231"/>
      <c r="AZ314" s="1231"/>
      <c r="BA314" s="1231"/>
    </row>
    <row r="315" spans="45:53" x14ac:dyDescent="0.2">
      <c r="AS315" s="1231"/>
      <c r="AT315" s="1231"/>
      <c r="AU315" s="1231"/>
      <c r="AZ315" s="1231"/>
      <c r="BA315" s="1231"/>
    </row>
    <row r="316" spans="45:53" x14ac:dyDescent="0.2">
      <c r="AS316" s="1231"/>
      <c r="AT316" s="1231"/>
      <c r="AU316" s="1231"/>
      <c r="AZ316" s="1231"/>
      <c r="BA316" s="1231"/>
    </row>
    <row r="317" spans="45:53" x14ac:dyDescent="0.2">
      <c r="AS317" s="1231"/>
      <c r="AT317" s="1231"/>
      <c r="AU317" s="1231"/>
      <c r="AZ317" s="1231"/>
      <c r="BA317" s="1231"/>
    </row>
    <row r="318" spans="45:53" x14ac:dyDescent="0.2">
      <c r="AS318" s="1239"/>
      <c r="AT318" s="1239"/>
      <c r="AU318" s="1239"/>
      <c r="AZ318" s="1231"/>
      <c r="BA318" s="1231"/>
    </row>
    <row r="319" spans="45:53" x14ac:dyDescent="0.2">
      <c r="AS319" s="1239"/>
      <c r="AT319" s="1239"/>
      <c r="AU319" s="1239"/>
      <c r="AZ319" s="1231"/>
      <c r="BA319" s="1231"/>
    </row>
    <row r="320" spans="45:53" x14ac:dyDescent="0.2">
      <c r="AZ320" s="1231"/>
      <c r="BA320" s="1231"/>
    </row>
    <row r="321" spans="45:53" x14ac:dyDescent="0.2">
      <c r="AZ321" s="1231"/>
      <c r="BA321" s="1231"/>
    </row>
    <row r="322" spans="45:53" x14ac:dyDescent="0.2">
      <c r="AZ322" s="1231"/>
      <c r="BA322" s="1231"/>
    </row>
    <row r="323" spans="45:53" x14ac:dyDescent="0.2">
      <c r="AZ323" s="1231"/>
      <c r="BA323" s="1231"/>
    </row>
    <row r="324" spans="45:53" x14ac:dyDescent="0.2">
      <c r="AZ324" s="1231"/>
      <c r="BA324" s="1231"/>
    </row>
    <row r="325" spans="45:53" x14ac:dyDescent="0.2">
      <c r="AZ325" s="1231"/>
      <c r="BA325" s="1231"/>
    </row>
    <row r="326" spans="45:53" x14ac:dyDescent="0.2">
      <c r="AZ326" s="1231"/>
      <c r="BA326" s="1231"/>
    </row>
    <row r="327" spans="45:53" x14ac:dyDescent="0.2">
      <c r="AZ327" s="1231"/>
      <c r="BA327" s="1231"/>
    </row>
    <row r="328" spans="45:53" x14ac:dyDescent="0.2">
      <c r="AZ328" s="1231"/>
      <c r="BA328" s="1231"/>
    </row>
    <row r="329" spans="45:53" x14ac:dyDescent="0.2">
      <c r="AZ329" s="1231"/>
      <c r="BA329" s="1231"/>
    </row>
    <row r="330" spans="45:53" x14ac:dyDescent="0.2">
      <c r="AZ330" s="1231"/>
      <c r="BA330" s="1231"/>
    </row>
    <row r="331" spans="45:53" x14ac:dyDescent="0.2">
      <c r="AZ331" s="1231"/>
      <c r="BA331" s="1231"/>
    </row>
    <row r="333" spans="45:53" x14ac:dyDescent="0.2">
      <c r="AZ333" s="1239"/>
      <c r="BA333" s="1239"/>
    </row>
    <row r="334" spans="45:53" x14ac:dyDescent="0.2">
      <c r="AS334" s="1309"/>
      <c r="AT334" s="1309"/>
      <c r="AZ334" s="1239"/>
      <c r="BA334" s="1239"/>
    </row>
    <row r="335" spans="45:53" x14ac:dyDescent="0.2">
      <c r="AZ335" s="1239"/>
      <c r="BA335" s="1239"/>
    </row>
    <row r="336" spans="45:53" x14ac:dyDescent="0.2">
      <c r="AZ336" s="1239"/>
      <c r="BA336" s="1239"/>
    </row>
    <row r="337" spans="52:53" x14ac:dyDescent="0.2">
      <c r="AZ337" s="1239"/>
      <c r="BA337" s="1239"/>
    </row>
    <row r="338" spans="52:53" x14ac:dyDescent="0.2">
      <c r="AZ338" s="1239"/>
      <c r="BA338" s="1239"/>
    </row>
    <row r="339" spans="52:53" x14ac:dyDescent="0.2">
      <c r="AZ339" s="1239"/>
      <c r="BA339" s="1239"/>
    </row>
    <row r="340" spans="52:53" x14ac:dyDescent="0.2">
      <c r="AZ340" s="1239"/>
      <c r="BA340" s="1239"/>
    </row>
    <row r="341" spans="52:53" x14ac:dyDescent="0.2">
      <c r="AZ341" s="1249"/>
      <c r="BA341" s="1249"/>
    </row>
    <row r="342" spans="52:53" x14ac:dyDescent="0.2">
      <c r="AZ342" s="1255"/>
      <c r="BA342" s="1255"/>
    </row>
    <row r="343" spans="52:53" x14ac:dyDescent="0.2">
      <c r="AZ343" s="1255"/>
      <c r="BA343" s="1255"/>
    </row>
    <row r="344" spans="52:53" x14ac:dyDescent="0.2">
      <c r="AZ344" s="1239"/>
      <c r="BA344" s="1239"/>
    </row>
    <row r="345" spans="52:53" x14ac:dyDescent="0.2">
      <c r="AZ345" s="1239"/>
      <c r="BA345" s="1239"/>
    </row>
    <row r="370" spans="45:53" x14ac:dyDescent="0.2">
      <c r="AS370" s="1309"/>
      <c r="AT370" s="1309"/>
    </row>
    <row r="371" spans="45:53" x14ac:dyDescent="0.2">
      <c r="AZ371" s="1231"/>
      <c r="BA371" s="1231"/>
    </row>
    <row r="372" spans="45:53" x14ac:dyDescent="0.2">
      <c r="AZ372" s="1231"/>
      <c r="BA372" s="1231"/>
    </row>
    <row r="373" spans="45:53" x14ac:dyDescent="0.2">
      <c r="AZ373" s="1231"/>
      <c r="BA373" s="1231"/>
    </row>
    <row r="374" spans="45:53" x14ac:dyDescent="0.2">
      <c r="AZ374" s="1231"/>
      <c r="BA374" s="1231"/>
    </row>
    <row r="375" spans="45:53" x14ac:dyDescent="0.2">
      <c r="AZ375" s="1231"/>
      <c r="BA375" s="1231"/>
    </row>
    <row r="376" spans="45:53" x14ac:dyDescent="0.2">
      <c r="AZ376" s="1231"/>
      <c r="BA376" s="1231"/>
    </row>
    <row r="377" spans="45:53" x14ac:dyDescent="0.2">
      <c r="AZ377" s="1231"/>
      <c r="BA377" s="1231"/>
    </row>
    <row r="378" spans="45:53" x14ac:dyDescent="0.2">
      <c r="AZ378" s="1231"/>
      <c r="BA378" s="1231"/>
    </row>
    <row r="379" spans="45:53" x14ac:dyDescent="0.2">
      <c r="AZ379" s="1231"/>
      <c r="BA379" s="1231"/>
    </row>
    <row r="380" spans="45:53" x14ac:dyDescent="0.2">
      <c r="AZ380" s="1231"/>
      <c r="BA380" s="1231"/>
    </row>
    <row r="381" spans="45:53" x14ac:dyDescent="0.2">
      <c r="AZ381" s="1231"/>
      <c r="BA381" s="1231"/>
    </row>
    <row r="382" spans="45:53" x14ac:dyDescent="0.2">
      <c r="AZ382" s="1231"/>
      <c r="BA382" s="1231"/>
    </row>
    <row r="383" spans="45:53" x14ac:dyDescent="0.2">
      <c r="AZ383" s="1231"/>
      <c r="BA383" s="1231"/>
    </row>
    <row r="384" spans="45:53" x14ac:dyDescent="0.2">
      <c r="AZ384" s="1231"/>
      <c r="BA384" s="1231"/>
    </row>
    <row r="385" spans="52:53" x14ac:dyDescent="0.2">
      <c r="AZ385" s="1231"/>
      <c r="BA385" s="1231"/>
    </row>
    <row r="386" spans="52:53" x14ac:dyDescent="0.2">
      <c r="AZ386" s="1231"/>
      <c r="BA386" s="1231"/>
    </row>
    <row r="387" spans="52:53" x14ac:dyDescent="0.2">
      <c r="AZ387" s="1231"/>
      <c r="BA387" s="1231"/>
    </row>
    <row r="388" spans="52:53" x14ac:dyDescent="0.2">
      <c r="AZ388" s="1231"/>
      <c r="BA388" s="1231"/>
    </row>
    <row r="389" spans="52:53" x14ac:dyDescent="0.2">
      <c r="AZ389" s="1231"/>
      <c r="BA389" s="1231"/>
    </row>
    <row r="390" spans="52:53" x14ac:dyDescent="0.2">
      <c r="AZ390" s="1231"/>
      <c r="BA390" s="1231"/>
    </row>
    <row r="391" spans="52:53" x14ac:dyDescent="0.2">
      <c r="AZ391" s="1231"/>
      <c r="BA391" s="1231"/>
    </row>
    <row r="392" spans="52:53" x14ac:dyDescent="0.2">
      <c r="AZ392" s="1231"/>
      <c r="BA392" s="1231"/>
    </row>
    <row r="393" spans="52:53" x14ac:dyDescent="0.2">
      <c r="AZ393" s="1231"/>
      <c r="BA393" s="1231"/>
    </row>
    <row r="394" spans="52:53" x14ac:dyDescent="0.2">
      <c r="AZ394" s="1231"/>
      <c r="BA394" s="1231"/>
    </row>
    <row r="395" spans="52:53" x14ac:dyDescent="0.2">
      <c r="AZ395" s="1231"/>
      <c r="BA395" s="1231"/>
    </row>
    <row r="396" spans="52:53" x14ac:dyDescent="0.2">
      <c r="AZ396" s="1231"/>
      <c r="BA396" s="1231"/>
    </row>
    <row r="397" spans="52:53" x14ac:dyDescent="0.2">
      <c r="AZ397" s="1231"/>
      <c r="BA397" s="1231"/>
    </row>
    <row r="398" spans="52:53" x14ac:dyDescent="0.2">
      <c r="AZ398" s="1231"/>
      <c r="BA398" s="1231"/>
    </row>
    <row r="399" spans="52:53" x14ac:dyDescent="0.2">
      <c r="AZ399" s="1231"/>
      <c r="BA399" s="1231"/>
    </row>
    <row r="400" spans="52:53" x14ac:dyDescent="0.2">
      <c r="AZ400" s="1231"/>
      <c r="BA400" s="1231"/>
    </row>
    <row r="401" spans="52:53" x14ac:dyDescent="0.2">
      <c r="AZ401" s="1231"/>
      <c r="BA401" s="1231"/>
    </row>
    <row r="402" spans="52:53" x14ac:dyDescent="0.2">
      <c r="AZ402" s="1231"/>
      <c r="BA402" s="1231"/>
    </row>
    <row r="403" spans="52:53" x14ac:dyDescent="0.2">
      <c r="AZ403" s="1231"/>
      <c r="BA403" s="1231"/>
    </row>
    <row r="404" spans="52:53" x14ac:dyDescent="0.2">
      <c r="AZ404" s="1231"/>
      <c r="BA404" s="1231"/>
    </row>
    <row r="405" spans="52:53" x14ac:dyDescent="0.2">
      <c r="AZ405" s="1231"/>
      <c r="BA405" s="1231"/>
    </row>
    <row r="406" spans="52:53" x14ac:dyDescent="0.2">
      <c r="AZ406" s="1231"/>
      <c r="BA406" s="1231"/>
    </row>
    <row r="407" spans="52:53" x14ac:dyDescent="0.2">
      <c r="AZ407" s="1231"/>
      <c r="BA407" s="1231"/>
    </row>
    <row r="408" spans="52:53" x14ac:dyDescent="0.2">
      <c r="AZ408" s="1231"/>
      <c r="BA408" s="1231"/>
    </row>
    <row r="409" spans="52:53" x14ac:dyDescent="0.2">
      <c r="AZ409" s="1231"/>
      <c r="BA409" s="1231"/>
    </row>
    <row r="410" spans="52:53" x14ac:dyDescent="0.2">
      <c r="AZ410" s="1231"/>
      <c r="BA410" s="1231"/>
    </row>
    <row r="411" spans="52:53" x14ac:dyDescent="0.2">
      <c r="AZ411" s="1231"/>
      <c r="BA411" s="1231"/>
    </row>
    <row r="412" spans="52:53" x14ac:dyDescent="0.2">
      <c r="AZ412" s="1231"/>
      <c r="BA412" s="1231"/>
    </row>
    <row r="413" spans="52:53" x14ac:dyDescent="0.2">
      <c r="AZ413" s="1231"/>
      <c r="BA413" s="1231"/>
    </row>
    <row r="414" spans="52:53" x14ac:dyDescent="0.2">
      <c r="AZ414" s="1231"/>
      <c r="BA414" s="1231"/>
    </row>
    <row r="415" spans="52:53" x14ac:dyDescent="0.2">
      <c r="AZ415" s="1231"/>
      <c r="BA415" s="1231"/>
    </row>
    <row r="416" spans="52:53" x14ac:dyDescent="0.2">
      <c r="AZ416" s="1231"/>
      <c r="BA416" s="1231"/>
    </row>
    <row r="418" spans="52:53" x14ac:dyDescent="0.2">
      <c r="AZ418" s="1239"/>
      <c r="BA418" s="1239"/>
    </row>
    <row r="419" spans="52:53" x14ac:dyDescent="0.2">
      <c r="AZ419" s="1239"/>
      <c r="BA419" s="1239"/>
    </row>
    <row r="420" spans="52:53" x14ac:dyDescent="0.2">
      <c r="AZ420" s="1239"/>
      <c r="BA420" s="1239"/>
    </row>
    <row r="421" spans="52:53" x14ac:dyDescent="0.2">
      <c r="AZ421" s="1239"/>
      <c r="BA421" s="1239"/>
    </row>
    <row r="422" spans="52:53" x14ac:dyDescent="0.2">
      <c r="AZ422" s="1239"/>
      <c r="BA422" s="1239"/>
    </row>
    <row r="423" spans="52:53" x14ac:dyDescent="0.2">
      <c r="AZ423" s="1239"/>
      <c r="BA423" s="1239"/>
    </row>
    <row r="424" spans="52:53" x14ac:dyDescent="0.2">
      <c r="AZ424" s="1239"/>
      <c r="BA424" s="1239"/>
    </row>
    <row r="425" spans="52:53" x14ac:dyDescent="0.2">
      <c r="AZ425" s="1239"/>
      <c r="BA425" s="1239"/>
    </row>
    <row r="426" spans="52:53" x14ac:dyDescent="0.2">
      <c r="AZ426" s="1249"/>
      <c r="BA426" s="1249"/>
    </row>
    <row r="427" spans="52:53" x14ac:dyDescent="0.2">
      <c r="AZ427" s="1255"/>
      <c r="BA427" s="1255"/>
    </row>
    <row r="428" spans="52:53" x14ac:dyDescent="0.2">
      <c r="AZ428" s="1255"/>
      <c r="BA428" s="1255"/>
    </row>
    <row r="429" spans="52:53" x14ac:dyDescent="0.2">
      <c r="AZ429" s="1239"/>
      <c r="BA429" s="1239"/>
    </row>
    <row r="430" spans="52:53" x14ac:dyDescent="0.2">
      <c r="AZ430" s="1239"/>
      <c r="BA430" s="1239"/>
    </row>
  </sheetData>
  <sheetCalcPr fullCalcOnLoad="1"/>
  <sheetProtection formatCells="0" selectLockedCells="1"/>
  <mergeCells count="229">
    <mergeCell ref="K132:N132"/>
    <mergeCell ref="K137:N139"/>
    <mergeCell ref="A148:M148"/>
    <mergeCell ref="B129:D129"/>
    <mergeCell ref="E129:G129"/>
    <mergeCell ref="H129:J129"/>
    <mergeCell ref="K129:Q131"/>
    <mergeCell ref="B130:D130"/>
    <mergeCell ref="E130:G130"/>
    <mergeCell ref="H130:J130"/>
    <mergeCell ref="B131:D131"/>
    <mergeCell ref="E131:G131"/>
    <mergeCell ref="H131:J131"/>
    <mergeCell ref="B125:J125"/>
    <mergeCell ref="K125:Q125"/>
    <mergeCell ref="B126:J126"/>
    <mergeCell ref="K126:Q126"/>
    <mergeCell ref="B127:J127"/>
    <mergeCell ref="K127:Q127"/>
    <mergeCell ref="A119:E119"/>
    <mergeCell ref="A122:J122"/>
    <mergeCell ref="B123:J123"/>
    <mergeCell ref="K123:Q123"/>
    <mergeCell ref="B124:J124"/>
    <mergeCell ref="K124:Q124"/>
    <mergeCell ref="A116:D116"/>
    <mergeCell ref="F116:I116"/>
    <mergeCell ref="J116:M116"/>
    <mergeCell ref="A117:E117"/>
    <mergeCell ref="F117:M117"/>
    <mergeCell ref="A118:E118"/>
    <mergeCell ref="J112:P112"/>
    <mergeCell ref="A113:E113"/>
    <mergeCell ref="F113:I113"/>
    <mergeCell ref="J113:P113"/>
    <mergeCell ref="A114:E114"/>
    <mergeCell ref="J114:P114"/>
    <mergeCell ref="A108:E108"/>
    <mergeCell ref="F108:I108"/>
    <mergeCell ref="J108:M108"/>
    <mergeCell ref="A109:E109"/>
    <mergeCell ref="A110:E110"/>
    <mergeCell ref="F111:I111"/>
    <mergeCell ref="A100:K100"/>
    <mergeCell ref="A102:O102"/>
    <mergeCell ref="A104:E104"/>
    <mergeCell ref="A105:E105"/>
    <mergeCell ref="A107:D107"/>
    <mergeCell ref="F107:M107"/>
    <mergeCell ref="AF94:AK94"/>
    <mergeCell ref="AL94:AO94"/>
    <mergeCell ref="A96:AQ96"/>
    <mergeCell ref="A97:AR97"/>
    <mergeCell ref="A98:AQ98"/>
    <mergeCell ref="A99:AQ99"/>
    <mergeCell ref="V93:AA93"/>
    <mergeCell ref="AB93:AE93"/>
    <mergeCell ref="AF93:AK93"/>
    <mergeCell ref="AL93:AO93"/>
    <mergeCell ref="B94:G94"/>
    <mergeCell ref="H94:K94"/>
    <mergeCell ref="L94:Q94"/>
    <mergeCell ref="R94:U94"/>
    <mergeCell ref="V94:AA94"/>
    <mergeCell ref="AB94:AE94"/>
    <mergeCell ref="A91:AQ91"/>
    <mergeCell ref="A92:A93"/>
    <mergeCell ref="B92:K92"/>
    <mergeCell ref="L92:U92"/>
    <mergeCell ref="V92:AE92"/>
    <mergeCell ref="AF92:AO92"/>
    <mergeCell ref="B93:G93"/>
    <mergeCell ref="H93:K93"/>
    <mergeCell ref="L93:Q93"/>
    <mergeCell ref="R93:U93"/>
    <mergeCell ref="Z23:AB23"/>
    <mergeCell ref="AC23:AE23"/>
    <mergeCell ref="AG57:AK57"/>
    <mergeCell ref="A89:AL89"/>
    <mergeCell ref="AM89:AP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C8:AE9"/>
    <mergeCell ref="AF8:AF9"/>
    <mergeCell ref="AG8:AG9"/>
    <mergeCell ref="AH8:AI9"/>
    <mergeCell ref="AT8:AY9"/>
    <mergeCell ref="B9:D9"/>
    <mergeCell ref="E9:K9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1:AI1"/>
    <mergeCell ref="AT1:AV1"/>
    <mergeCell ref="AX1:AY1"/>
    <mergeCell ref="A2:I2"/>
    <mergeCell ref="J2:X2"/>
    <mergeCell ref="Y2:AC2"/>
    <mergeCell ref="AD2:AI2"/>
  </mergeCells>
  <conditionalFormatting sqref="A8">
    <cfRule type="expression" dxfId="3116" priority="11" stopIfTrue="1">
      <formula>IF(AK9&gt;0,0,1)</formula>
    </cfRule>
  </conditionalFormatting>
  <conditionalFormatting sqref="A10:A11">
    <cfRule type="expression" dxfId="3115" priority="12" stopIfTrue="1">
      <formula>IF(AK9&gt;1,0,1)</formula>
    </cfRule>
  </conditionalFormatting>
  <conditionalFormatting sqref="A12:A13">
    <cfRule type="expression" dxfId="3114" priority="13" stopIfTrue="1">
      <formula>IF(AK9&gt;2,0,1)</formula>
    </cfRule>
  </conditionalFormatting>
  <conditionalFormatting sqref="A14:A15">
    <cfRule type="expression" dxfId="3113" priority="14" stopIfTrue="1">
      <formula>IF(AK9&gt;3,0,1)</formula>
    </cfRule>
  </conditionalFormatting>
  <conditionalFormatting sqref="A16:A17">
    <cfRule type="expression" dxfId="3112" priority="15" stopIfTrue="1">
      <formula>IF(AK9&gt;4,0,1)</formula>
    </cfRule>
  </conditionalFormatting>
  <conditionalFormatting sqref="B8">
    <cfRule type="expression" dxfId="3111" priority="16" stopIfTrue="1">
      <formula>IF(AK9&gt;0,0,1)</formula>
    </cfRule>
  </conditionalFormatting>
  <conditionalFormatting sqref="B9">
    <cfRule type="expression" dxfId="3110" priority="17" stopIfTrue="1">
      <formula>IF(AK9&gt;0,0,1)</formula>
    </cfRule>
  </conditionalFormatting>
  <conditionalFormatting sqref="B10">
    <cfRule type="expression" dxfId="3109" priority="18" stopIfTrue="1">
      <formula>IF(AK9&gt;1,0,1)</formula>
    </cfRule>
  </conditionalFormatting>
  <conditionalFormatting sqref="B11:D11">
    <cfRule type="expression" dxfId="3108" priority="19" stopIfTrue="1">
      <formula>IF(AK9&gt;1,0,1)</formula>
    </cfRule>
  </conditionalFormatting>
  <conditionalFormatting sqref="B12:D12">
    <cfRule type="expression" dxfId="3107" priority="20" stopIfTrue="1">
      <formula>IF(AK9&gt;2,0,1)</formula>
    </cfRule>
  </conditionalFormatting>
  <conditionalFormatting sqref="B13:D13">
    <cfRule type="expression" dxfId="3106" priority="21" stopIfTrue="1">
      <formula>IF(AK9&gt;2,0,1)</formula>
    </cfRule>
  </conditionalFormatting>
  <conditionalFormatting sqref="B14:D14">
    <cfRule type="expression" dxfId="3105" priority="22" stopIfTrue="1">
      <formula>IF(AK9&gt;3,0,1)</formula>
    </cfRule>
  </conditionalFormatting>
  <conditionalFormatting sqref="B15:D15">
    <cfRule type="expression" dxfId="3104" priority="23" stopIfTrue="1">
      <formula>IF(AK9&gt;3,0,1)</formula>
    </cfRule>
  </conditionalFormatting>
  <conditionalFormatting sqref="B16:D16">
    <cfRule type="expression" dxfId="3103" priority="24" stopIfTrue="1">
      <formula>IF(AK9&gt;4,0,1)</formula>
    </cfRule>
  </conditionalFormatting>
  <conditionalFormatting sqref="B17:D17">
    <cfRule type="expression" dxfId="3102" priority="25" stopIfTrue="1">
      <formula>IF(AK9&gt;4,0,1)</formula>
    </cfRule>
  </conditionalFormatting>
  <conditionalFormatting sqref="E8">
    <cfRule type="expression" dxfId="3101" priority="26" stopIfTrue="1">
      <formula>IF(AK9&gt;0,0,1)</formula>
    </cfRule>
  </conditionalFormatting>
  <conditionalFormatting sqref="E9">
    <cfRule type="expression" dxfId="3100" priority="27" stopIfTrue="1">
      <formula>IF(AK9&gt;0,0,1)</formula>
    </cfRule>
  </conditionalFormatting>
  <conditionalFormatting sqref="E10">
    <cfRule type="expression" dxfId="3099" priority="28" stopIfTrue="1">
      <formula>IF(AK9&gt;1,0,1)</formula>
    </cfRule>
  </conditionalFormatting>
  <conditionalFormatting sqref="E11">
    <cfRule type="expression" dxfId="3098" priority="29" stopIfTrue="1">
      <formula>IF(AK9&gt;1,0,1)</formula>
    </cfRule>
  </conditionalFormatting>
  <conditionalFormatting sqref="E12">
    <cfRule type="expression" dxfId="3097" priority="30" stopIfTrue="1">
      <formula>IF(AK9&gt;2,0,1)</formula>
    </cfRule>
  </conditionalFormatting>
  <conditionalFormatting sqref="E13">
    <cfRule type="expression" dxfId="3096" priority="31" stopIfTrue="1">
      <formula>IF(AK9&gt;2,0,1)</formula>
    </cfRule>
  </conditionalFormatting>
  <conditionalFormatting sqref="E14">
    <cfRule type="expression" dxfId="3095" priority="32" stopIfTrue="1">
      <formula>IF(AK9&gt;3,0,1)</formula>
    </cfRule>
  </conditionalFormatting>
  <conditionalFormatting sqref="E15">
    <cfRule type="expression" dxfId="3094" priority="33" stopIfTrue="1">
      <formula>IF(AK9&gt;3,0,1)</formula>
    </cfRule>
  </conditionalFormatting>
  <conditionalFormatting sqref="E16">
    <cfRule type="expression" dxfId="3093" priority="34" stopIfTrue="1">
      <formula>IF(AK9&gt;4,0,1)</formula>
    </cfRule>
  </conditionalFormatting>
  <conditionalFormatting sqref="E17">
    <cfRule type="expression" dxfId="3092" priority="35" stopIfTrue="1">
      <formula>IF(AK9&gt;4,0,1)</formula>
    </cfRule>
  </conditionalFormatting>
  <conditionalFormatting sqref="AC8">
    <cfRule type="expression" dxfId="3091" priority="36" stopIfTrue="1">
      <formula>IF(AK11=1,IF(AK9&gt;0,0,1),1)</formula>
    </cfRule>
  </conditionalFormatting>
  <conditionalFormatting sqref="AC10:AE11">
    <cfRule type="expression" dxfId="3090" priority="37" stopIfTrue="1">
      <formula>IF(AK11=1,IF(AK9&gt;1,0,1),1)</formula>
    </cfRule>
  </conditionalFormatting>
  <conditionalFormatting sqref="AC12:AE13">
    <cfRule type="expression" dxfId="3089" priority="38" stopIfTrue="1">
      <formula>IF(AK11=1,IF(AK9&gt;2,0,1),1)</formula>
    </cfRule>
  </conditionalFormatting>
  <conditionalFormatting sqref="AC14:AE15">
    <cfRule type="expression" dxfId="3088" priority="39" stopIfTrue="1">
      <formula>IF(AK11=1,IF(AK9&gt;3,0,1),1)</formula>
    </cfRule>
  </conditionalFormatting>
  <conditionalFormatting sqref="AC16:AE17">
    <cfRule type="expression" dxfId="3087" priority="40" stopIfTrue="1">
      <formula>IF(AK11=1,IF(AK9&gt;4,0,1),1)</formula>
    </cfRule>
  </conditionalFormatting>
  <conditionalFormatting sqref="AH8">
    <cfRule type="expression" dxfId="3086" priority="41" stopIfTrue="1">
      <formula>IF(AK9&gt;0,0,1)</formula>
    </cfRule>
  </conditionalFormatting>
  <conditionalFormatting sqref="AH10:AI11">
    <cfRule type="expression" dxfId="3085" priority="42" stopIfTrue="1">
      <formula>IF(AK9&gt;1,0,1)</formula>
    </cfRule>
  </conditionalFormatting>
  <conditionalFormatting sqref="AH12:AI13">
    <cfRule type="expression" dxfId="3084" priority="43" stopIfTrue="1">
      <formula>IF(AK9&gt;2,0,1)</formula>
    </cfRule>
  </conditionalFormatting>
  <conditionalFormatting sqref="AH14:AI15">
    <cfRule type="expression" dxfId="3083" priority="44" stopIfTrue="1">
      <formula>IF(AK9&gt;3,0,1)</formula>
    </cfRule>
  </conditionalFormatting>
  <conditionalFormatting sqref="AH16:AI17">
    <cfRule type="expression" dxfId="3082" priority="45" stopIfTrue="1">
      <formula>IF(AK9&gt;4,0,1)</formula>
    </cfRule>
  </conditionalFormatting>
  <conditionalFormatting sqref="B19:D19">
    <cfRule type="expression" dxfId="3081" priority="46" stopIfTrue="1">
      <formula>IF(AK8&gt;0,0,1)</formula>
    </cfRule>
  </conditionalFormatting>
  <conditionalFormatting sqref="E19:G19">
    <cfRule type="expression" dxfId="3080" priority="47" stopIfTrue="1">
      <formula>IF(AK8&gt;1,0,1)</formula>
    </cfRule>
  </conditionalFormatting>
  <conditionalFormatting sqref="H19:J19">
    <cfRule type="expression" dxfId="3079" priority="48" stopIfTrue="1">
      <formula>IF(AK8&gt;2,0,1)</formula>
    </cfRule>
  </conditionalFormatting>
  <conditionalFormatting sqref="K19:M19">
    <cfRule type="expression" dxfId="3078" priority="49" stopIfTrue="1">
      <formula>IF(AK8&gt;3,0,1)</formula>
    </cfRule>
  </conditionalFormatting>
  <conditionalFormatting sqref="N19:P19">
    <cfRule type="expression" dxfId="3077" priority="50" stopIfTrue="1">
      <formula>IF(AK8&gt;4,0,1)</formula>
    </cfRule>
  </conditionalFormatting>
  <conditionalFormatting sqref="Q19:S19">
    <cfRule type="expression" dxfId="3076" priority="51" stopIfTrue="1">
      <formula>IF(AK8&gt;5,0,1)</formula>
    </cfRule>
  </conditionalFormatting>
  <conditionalFormatting sqref="T19:V19">
    <cfRule type="expression" dxfId="3075" priority="52" stopIfTrue="1">
      <formula>IF(AK8&gt;6,0,1)</formula>
    </cfRule>
  </conditionalFormatting>
  <conditionalFormatting sqref="W19:Y19">
    <cfRule type="expression" dxfId="3074" priority="53" stopIfTrue="1">
      <formula>IF(AK8&gt;7,0,1)</formula>
    </cfRule>
  </conditionalFormatting>
  <conditionalFormatting sqref="Z19:AB19">
    <cfRule type="expression" dxfId="3073" priority="54" stopIfTrue="1">
      <formula>IF(AK8&gt;8,0,1)</formula>
    </cfRule>
  </conditionalFormatting>
  <conditionalFormatting sqref="AC19:AE19">
    <cfRule type="expression" dxfId="3072" priority="55" stopIfTrue="1">
      <formula>IF(AK8&gt;9,0,1)</formula>
    </cfRule>
  </conditionalFormatting>
  <conditionalFormatting sqref="B20:D20">
    <cfRule type="expression" dxfId="3071" priority="56" stopIfTrue="1">
      <formula>IF(AK8&gt;0,0,1)</formula>
    </cfRule>
  </conditionalFormatting>
  <conditionalFormatting sqref="E20:G20">
    <cfRule type="expression" dxfId="3070" priority="57" stopIfTrue="1">
      <formula>IF(AK8&gt;1,0,1)</formula>
    </cfRule>
  </conditionalFormatting>
  <conditionalFormatting sqref="H20:J20">
    <cfRule type="expression" dxfId="3069" priority="58" stopIfTrue="1">
      <formula>IF(AK8&gt;2,0,1)</formula>
    </cfRule>
  </conditionalFormatting>
  <conditionalFormatting sqref="K20:M20">
    <cfRule type="expression" dxfId="3068" priority="59" stopIfTrue="1">
      <formula>IF(AK8&gt;3,0,1)</formula>
    </cfRule>
  </conditionalFormatting>
  <conditionalFormatting sqref="N20:P20">
    <cfRule type="expression" dxfId="3067" priority="60" stopIfTrue="1">
      <formula>IF(AK8&gt;4,0,1)</formula>
    </cfRule>
  </conditionalFormatting>
  <conditionalFormatting sqref="Q20:S20">
    <cfRule type="expression" dxfId="3066" priority="61" stopIfTrue="1">
      <formula>IF(AK8&gt;5,0,1)</formula>
    </cfRule>
  </conditionalFormatting>
  <conditionalFormatting sqref="T20:V20">
    <cfRule type="expression" dxfId="3065" priority="62" stopIfTrue="1">
      <formula>IF(AK8&gt;6,0,1)</formula>
    </cfRule>
  </conditionalFormatting>
  <conditionalFormatting sqref="W20:Y20">
    <cfRule type="expression" dxfId="3064" priority="63" stopIfTrue="1">
      <formula>IF(AK8&gt;7,0,1)</formula>
    </cfRule>
  </conditionalFormatting>
  <conditionalFormatting sqref="Z20:AB20">
    <cfRule type="expression" dxfId="3063" priority="64" stopIfTrue="1">
      <formula>IF(AK8&gt;8,0,1)</formula>
    </cfRule>
  </conditionalFormatting>
  <conditionalFormatting sqref="AC20:AE20">
    <cfRule type="expression" dxfId="3062" priority="65" stopIfTrue="1">
      <formula>IF(AK8&gt;9,0,1)</formula>
    </cfRule>
  </conditionalFormatting>
  <conditionalFormatting sqref="E22:G22">
    <cfRule type="expression" dxfId="3061" priority="66" stopIfTrue="1">
      <formula>IF(AK8&gt;1,0,1)</formula>
    </cfRule>
  </conditionalFormatting>
  <conditionalFormatting sqref="H22:J22">
    <cfRule type="expression" dxfId="3060" priority="67" stopIfTrue="1">
      <formula>IF(AK8&gt;2,0,1)</formula>
    </cfRule>
  </conditionalFormatting>
  <conditionalFormatting sqref="K22:M22">
    <cfRule type="expression" dxfId="3059" priority="68" stopIfTrue="1">
      <formula>IF(AK8&gt;3,0,1)</formula>
    </cfRule>
  </conditionalFormatting>
  <conditionalFormatting sqref="N22:P22">
    <cfRule type="expression" dxfId="3058" priority="69" stopIfTrue="1">
      <formula>IF(AK8&gt;4,0,1)</formula>
    </cfRule>
  </conditionalFormatting>
  <conditionalFormatting sqref="Q22:S22">
    <cfRule type="expression" dxfId="3057" priority="70" stopIfTrue="1">
      <formula>IF(AK8&gt;5,0,1)</formula>
    </cfRule>
  </conditionalFormatting>
  <conditionalFormatting sqref="T22:V22">
    <cfRule type="expression" dxfId="3056" priority="71" stopIfTrue="1">
      <formula>IF(AK8&gt;6,0,1)</formula>
    </cfRule>
  </conditionalFormatting>
  <conditionalFormatting sqref="W22:Y22">
    <cfRule type="expression" dxfId="3055" priority="72" stopIfTrue="1">
      <formula>IF(AK8&gt;7,0,1)</formula>
    </cfRule>
  </conditionalFormatting>
  <conditionalFormatting sqref="Z22:AB22">
    <cfRule type="expression" dxfId="3054" priority="73" stopIfTrue="1">
      <formula>IF(AK8&gt;8,0,1)</formula>
    </cfRule>
  </conditionalFormatting>
  <conditionalFormatting sqref="AC22:AE22">
    <cfRule type="expression" dxfId="3053" priority="74" stopIfTrue="1">
      <formula>IF(AK8&gt;9,0,1)</formula>
    </cfRule>
  </conditionalFormatting>
  <conditionalFormatting sqref="E23:G23">
    <cfRule type="expression" dxfId="3052" priority="75" stopIfTrue="1">
      <formula>IF(AK8&gt;1,0,1)</formula>
    </cfRule>
  </conditionalFormatting>
  <conditionalFormatting sqref="H23:J23">
    <cfRule type="expression" dxfId="3051" priority="76" stopIfTrue="1">
      <formula>IF(AK8&gt;2,0,1)</formula>
    </cfRule>
  </conditionalFormatting>
  <conditionalFormatting sqref="K23:M23">
    <cfRule type="expression" dxfId="3050" priority="77" stopIfTrue="1">
      <formula>IF(AK8&gt;3,0,1)</formula>
    </cfRule>
  </conditionalFormatting>
  <conditionalFormatting sqref="N23:P23">
    <cfRule type="expression" dxfId="3049" priority="78" stopIfTrue="1">
      <formula>IF(AK8&gt;4,0,1)</formula>
    </cfRule>
  </conditionalFormatting>
  <conditionalFormatting sqref="Q23:S23">
    <cfRule type="expression" dxfId="3048" priority="79" stopIfTrue="1">
      <formula>IF(AK8&gt;5,0,1)</formula>
    </cfRule>
  </conditionalFormatting>
  <conditionalFormatting sqref="T23:V23">
    <cfRule type="expression" dxfId="3047" priority="80" stopIfTrue="1">
      <formula>IF(AK8&gt;6,0,1)</formula>
    </cfRule>
  </conditionalFormatting>
  <conditionalFormatting sqref="W23:Y23">
    <cfRule type="expression" dxfId="3046" priority="81" stopIfTrue="1">
      <formula>IF(AK8&gt;7,0,1)</formula>
    </cfRule>
  </conditionalFormatting>
  <conditionalFormatting sqref="Z23:AB23">
    <cfRule type="expression" dxfId="3045" priority="82" stopIfTrue="1">
      <formula>IF(AK8&gt;8,0,1)</formula>
    </cfRule>
  </conditionalFormatting>
  <conditionalFormatting sqref="AC23:AE23">
    <cfRule type="expression" dxfId="3044" priority="83" stopIfTrue="1">
      <formula>IF(AK8&gt;9,0,1)</formula>
    </cfRule>
  </conditionalFormatting>
  <conditionalFormatting sqref="B24">
    <cfRule type="expression" dxfId="3043" priority="84" stopIfTrue="1">
      <formula>IF(AK8&gt;0,0,1)</formula>
    </cfRule>
  </conditionalFormatting>
  <conditionalFormatting sqref="C24">
    <cfRule type="expression" dxfId="3042" priority="85" stopIfTrue="1">
      <formula>IF(AK8&gt;0,0,1)</formula>
    </cfRule>
  </conditionalFormatting>
  <conditionalFormatting sqref="D24">
    <cfRule type="expression" dxfId="3041" priority="86" stopIfTrue="1">
      <formula>IF(AK8&gt;0,0,1)</formula>
    </cfRule>
  </conditionalFormatting>
  <conditionalFormatting sqref="E24">
    <cfRule type="expression" dxfId="3040" priority="87" stopIfTrue="1">
      <formula>IF(AK8&gt;1,0,1)</formula>
    </cfRule>
  </conditionalFormatting>
  <conditionalFormatting sqref="F24">
    <cfRule type="expression" dxfId="3039" priority="88" stopIfTrue="1">
      <formula>IF(AK8&gt;1,0,1)</formula>
    </cfRule>
  </conditionalFormatting>
  <conditionalFormatting sqref="G24">
    <cfRule type="expression" dxfId="3038" priority="89" stopIfTrue="1">
      <formula>IF(AK8&gt;1,0,1)</formula>
    </cfRule>
  </conditionalFormatting>
  <conditionalFormatting sqref="H24">
    <cfRule type="expression" dxfId="3037" priority="90" stopIfTrue="1">
      <formula>IF(AK8&gt;2,0,1)</formula>
    </cfRule>
  </conditionalFormatting>
  <conditionalFormatting sqref="I24">
    <cfRule type="expression" dxfId="3036" priority="91" stopIfTrue="1">
      <formula>IF(AK8&gt;2,0,1)</formula>
    </cfRule>
  </conditionalFormatting>
  <conditionalFormatting sqref="J24">
    <cfRule type="expression" dxfId="3035" priority="92" stopIfTrue="1">
      <formula>IF(AK8&gt;2,0,1)</formula>
    </cfRule>
  </conditionalFormatting>
  <conditionalFormatting sqref="K24">
    <cfRule type="expression" dxfId="3034" priority="93" stopIfTrue="1">
      <formula>IF(AK8&gt;3,0,1)</formula>
    </cfRule>
  </conditionalFormatting>
  <conditionalFormatting sqref="L24">
    <cfRule type="expression" dxfId="3033" priority="94" stopIfTrue="1">
      <formula>IF(AK8&gt;3,0,1)</formula>
    </cfRule>
  </conditionalFormatting>
  <conditionalFormatting sqref="M24">
    <cfRule type="expression" dxfId="3032" priority="95" stopIfTrue="1">
      <formula>IF(AK8&gt;3,0,1)</formula>
    </cfRule>
  </conditionalFormatting>
  <conditionalFormatting sqref="N24">
    <cfRule type="expression" dxfId="3031" priority="96" stopIfTrue="1">
      <formula>IF(AK8&gt;4,0,1)</formula>
    </cfRule>
  </conditionalFormatting>
  <conditionalFormatting sqref="O24">
    <cfRule type="expression" dxfId="3030" priority="97" stopIfTrue="1">
      <formula>IF(AK8&gt;4,0,1)</formula>
    </cfRule>
  </conditionalFormatting>
  <conditionalFormatting sqref="P24">
    <cfRule type="expression" dxfId="3029" priority="98" stopIfTrue="1">
      <formula>IF(AK8&gt;4,0,1)</formula>
    </cfRule>
  </conditionalFormatting>
  <conditionalFormatting sqref="Q24">
    <cfRule type="expression" dxfId="3028" priority="99" stopIfTrue="1">
      <formula>IF(AK8&gt;5,0,1)</formula>
    </cfRule>
  </conditionalFormatting>
  <conditionalFormatting sqref="R24">
    <cfRule type="expression" dxfId="3027" priority="100" stopIfTrue="1">
      <formula>IF(AK8&gt;5,0,1)</formula>
    </cfRule>
  </conditionalFormatting>
  <conditionalFormatting sqref="S24">
    <cfRule type="expression" dxfId="3026" priority="101" stopIfTrue="1">
      <formula>IF(AK8&gt;5,0,1)</formula>
    </cfRule>
  </conditionalFormatting>
  <conditionalFormatting sqref="T24">
    <cfRule type="expression" dxfId="3025" priority="102" stopIfTrue="1">
      <formula>IF(AK8&gt;6,0,1)</formula>
    </cfRule>
  </conditionalFormatting>
  <conditionalFormatting sqref="U24">
    <cfRule type="expression" dxfId="3024" priority="103" stopIfTrue="1">
      <formula>IF(AK8&gt;6,0,1)</formula>
    </cfRule>
  </conditionalFormatting>
  <conditionalFormatting sqref="V24">
    <cfRule type="expression" dxfId="3023" priority="104" stopIfTrue="1">
      <formula>IF(AK8&gt;6,0,1)</formula>
    </cfRule>
  </conditionalFormatting>
  <conditionalFormatting sqref="W24">
    <cfRule type="expression" dxfId="3022" priority="105" stopIfTrue="1">
      <formula>IF(AK8&gt;7,0,1)</formula>
    </cfRule>
  </conditionalFormatting>
  <conditionalFormatting sqref="X24">
    <cfRule type="expression" dxfId="3021" priority="106" stopIfTrue="1">
      <formula>IF(AK8&gt;7,0,1)</formula>
    </cfRule>
  </conditionalFormatting>
  <conditionalFormatting sqref="Y24">
    <cfRule type="expression" dxfId="3020" priority="107" stopIfTrue="1">
      <formula>IF(AK8&gt;7,0,1)</formula>
    </cfRule>
  </conditionalFormatting>
  <conditionalFormatting sqref="Z24">
    <cfRule type="expression" dxfId="3019" priority="108" stopIfTrue="1">
      <formula>IF(AK8&gt;8,0,1)</formula>
    </cfRule>
  </conditionalFormatting>
  <conditionalFormatting sqref="AA24">
    <cfRule type="expression" dxfId="3018" priority="109" stopIfTrue="1">
      <formula>IF(AK8&gt;8,0,1)</formula>
    </cfRule>
  </conditionalFormatting>
  <conditionalFormatting sqref="AB24">
    <cfRule type="expression" dxfId="3017" priority="110" stopIfTrue="1">
      <formula>IF(AK8&gt;8,0,1)</formula>
    </cfRule>
  </conditionalFormatting>
  <conditionalFormatting sqref="AC24">
    <cfRule type="expression" dxfId="3016" priority="111" stopIfTrue="1">
      <formula>IF(AK8&gt;9,0,1)</formula>
    </cfRule>
  </conditionalFormatting>
  <conditionalFormatting sqref="AD24">
    <cfRule type="expression" dxfId="3015" priority="112" stopIfTrue="1">
      <formula>IF(AK8&gt;9,0,1)</formula>
    </cfRule>
  </conditionalFormatting>
  <conditionalFormatting sqref="AE24">
    <cfRule type="expression" dxfId="3014" priority="113" stopIfTrue="1">
      <formula>IF(AK8&gt;9,0,1)</formula>
    </cfRule>
  </conditionalFormatting>
  <conditionalFormatting sqref="A26">
    <cfRule type="expression" dxfId="3013" priority="114" stopIfTrue="1">
      <formula>IF(AK7&gt;1,0,1)</formula>
    </cfRule>
  </conditionalFormatting>
  <conditionalFormatting sqref="A27">
    <cfRule type="expression" dxfId="3012" priority="115" stopIfTrue="1">
      <formula>IF(AK7&gt;2,0,1)</formula>
    </cfRule>
  </conditionalFormatting>
  <conditionalFormatting sqref="A28">
    <cfRule type="expression" dxfId="3011" priority="116" stopIfTrue="1">
      <formula>IF(AK7&gt;3,0,1)</formula>
    </cfRule>
  </conditionalFormatting>
  <conditionalFormatting sqref="A29">
    <cfRule type="expression" dxfId="3010" priority="117" stopIfTrue="1">
      <formula>IF(AK7&gt;4,0,1)</formula>
    </cfRule>
  </conditionalFormatting>
  <conditionalFormatting sqref="B26:D26">
    <cfRule type="expression" dxfId="3009" priority="118" stopIfTrue="1">
      <formula>IF($AK8&lt;1,1,IF($AK7&lt;2,1,0))</formula>
    </cfRule>
  </conditionalFormatting>
  <conditionalFormatting sqref="B27:D27">
    <cfRule type="expression" dxfId="3008" priority="119" stopIfTrue="1">
      <formula>IF($AK8&lt;1,1,IF($AK7&lt;3,1,0))</formula>
    </cfRule>
  </conditionalFormatting>
  <conditionalFormatting sqref="B28:D28">
    <cfRule type="expression" dxfId="3007" priority="120" stopIfTrue="1">
      <formula>IF($AK8&lt;1,1,IF($AK7&lt;4,1,0))</formula>
    </cfRule>
  </conditionalFormatting>
  <conditionalFormatting sqref="B29:D29">
    <cfRule type="expression" dxfId="3006" priority="121" stopIfTrue="1">
      <formula>IF($AK8&lt;1,1,IF($AK7&lt;5,1,0))</formula>
    </cfRule>
  </conditionalFormatting>
  <conditionalFormatting sqref="AG23">
    <cfRule type="expression" dxfId="3005" priority="122" stopIfTrue="1">
      <formula>IF($AK8&lt;1,1,0)</formula>
    </cfRule>
  </conditionalFormatting>
  <conditionalFormatting sqref="AH23">
    <cfRule type="expression" dxfId="3004" priority="123" stopIfTrue="1">
      <formula>IF($AK8&lt;2,1,0)</formula>
    </cfRule>
  </conditionalFormatting>
  <conditionalFormatting sqref="AI23">
    <cfRule type="expression" dxfId="3003" priority="124" stopIfTrue="1">
      <formula>IF($AK8&lt;3,1,0)</formula>
    </cfRule>
  </conditionalFormatting>
  <conditionalFormatting sqref="AJ23">
    <cfRule type="expression" dxfId="3002" priority="125" stopIfTrue="1">
      <formula>IF($AK8&lt;4,1,0)</formula>
    </cfRule>
  </conditionalFormatting>
  <conditionalFormatting sqref="AK23">
    <cfRule type="expression" dxfId="3001" priority="126" stopIfTrue="1">
      <formula>IF($AK8&lt;5,1,0)</formula>
    </cfRule>
  </conditionalFormatting>
  <conditionalFormatting sqref="AL23">
    <cfRule type="expression" dxfId="3000" priority="127" stopIfTrue="1">
      <formula>IF($AK8&lt;6,1,0)</formula>
    </cfRule>
  </conditionalFormatting>
  <conditionalFormatting sqref="AM23">
    <cfRule type="expression" dxfId="2999" priority="128" stopIfTrue="1">
      <formula>IF($AK8&lt;7,1,0)</formula>
    </cfRule>
  </conditionalFormatting>
  <conditionalFormatting sqref="AN23">
    <cfRule type="expression" dxfId="2998" priority="129" stopIfTrue="1">
      <formula>IF($AK8&lt;8,1,0)</formula>
    </cfRule>
  </conditionalFormatting>
  <conditionalFormatting sqref="AO23">
    <cfRule type="expression" dxfId="2997" priority="130" stopIfTrue="1">
      <formula>IF($AK8&lt;9,1,0)</formula>
    </cfRule>
  </conditionalFormatting>
  <conditionalFormatting sqref="AP23">
    <cfRule type="expression" dxfId="2996" priority="131" stopIfTrue="1">
      <formula>IF($AK8&lt;10,1,0)</formula>
    </cfRule>
  </conditionalFormatting>
  <conditionalFormatting sqref="AQ24">
    <cfRule type="expression" dxfId="2995" priority="132" stopIfTrue="1">
      <formula>IF($AK9&gt;0,0,1)</formula>
    </cfRule>
  </conditionalFormatting>
  <conditionalFormatting sqref="AQ25">
    <cfRule type="expression" dxfId="2994" priority="133" stopIfTrue="1">
      <formula>IF($AK9&gt;1,0,1)</formula>
    </cfRule>
  </conditionalFormatting>
  <conditionalFormatting sqref="AQ26">
    <cfRule type="expression" dxfId="2993" priority="134" stopIfTrue="1">
      <formula>IF($AK9&gt;2,0,1)</formula>
    </cfRule>
  </conditionalFormatting>
  <conditionalFormatting sqref="AQ27">
    <cfRule type="expression" dxfId="2992" priority="135" stopIfTrue="1">
      <formula>IF($AK9&gt;3,0,1)</formula>
    </cfRule>
  </conditionalFormatting>
  <conditionalFormatting sqref="AQ28">
    <cfRule type="expression" dxfId="2991" priority="136" stopIfTrue="1">
      <formula>IF($AK9&gt;4,0,1)</formula>
    </cfRule>
  </conditionalFormatting>
  <conditionalFormatting sqref="E26:G26">
    <cfRule type="expression" dxfId="2990" priority="137" stopIfTrue="1">
      <formula>IF($AK8&lt;2,1,IF($AK7&lt;2,1,0))</formula>
    </cfRule>
  </conditionalFormatting>
  <conditionalFormatting sqref="E27:G27">
    <cfRule type="expression" dxfId="2989" priority="138" stopIfTrue="1">
      <formula>IF($AK8&lt;2,1,IF($AK7&lt;3,1,0))</formula>
    </cfRule>
  </conditionalFormatting>
  <conditionalFormatting sqref="E28:G28">
    <cfRule type="expression" dxfId="2988" priority="139" stopIfTrue="1">
      <formula>IF($AK8&lt;2,1,IF($AK7&lt;4,1,0))</formula>
    </cfRule>
  </conditionalFormatting>
  <conditionalFormatting sqref="E29:G29">
    <cfRule type="expression" dxfId="2987" priority="140" stopIfTrue="1">
      <formula>IF($AK8&lt;2,1,IF($AK7&lt;5,1,0))</formula>
    </cfRule>
  </conditionalFormatting>
  <conditionalFormatting sqref="T25:V25">
    <cfRule type="expression" dxfId="2986" priority="141" stopIfTrue="1">
      <formula>IF($AK8&gt;6,0,1)</formula>
    </cfRule>
  </conditionalFormatting>
  <conditionalFormatting sqref="W25:Y25">
    <cfRule type="expression" dxfId="2985" priority="142" stopIfTrue="1">
      <formula>IF($AK8&gt;7,0,1)</formula>
    </cfRule>
  </conditionalFormatting>
  <conditionalFormatting sqref="Z25:AB25">
    <cfRule type="expression" dxfId="2984" priority="143" stopIfTrue="1">
      <formula>IF($AK8&gt;8,0,1)</formula>
    </cfRule>
  </conditionalFormatting>
  <conditionalFormatting sqref="AC25:AE25">
    <cfRule type="expression" dxfId="2983" priority="144" stopIfTrue="1">
      <formula>IF($AK8&gt;9,0,1)</formula>
    </cfRule>
  </conditionalFormatting>
  <conditionalFormatting sqref="H26:J26">
    <cfRule type="expression" dxfId="2982" priority="145" stopIfTrue="1">
      <formula>IF($AK8&lt;3,1,IF($AK7&lt;2,1,0))</formula>
    </cfRule>
  </conditionalFormatting>
  <conditionalFormatting sqref="K26:M26">
    <cfRule type="expression" dxfId="2981" priority="146" stopIfTrue="1">
      <formula>IF($AK8&lt;4,1,IF($AK7&lt;2,1,0))</formula>
    </cfRule>
  </conditionalFormatting>
  <conditionalFormatting sqref="N26:P26">
    <cfRule type="expression" dxfId="2980" priority="147" stopIfTrue="1">
      <formula>IF($AK8&lt;5,1,IF($AK7&lt;2,1,0))</formula>
    </cfRule>
  </conditionalFormatting>
  <conditionalFormatting sqref="Q26:S26">
    <cfRule type="expression" dxfId="2979" priority="148" stopIfTrue="1">
      <formula>IF($AK8&lt;6,1,IF($AK7&lt;2,1,0))</formula>
    </cfRule>
  </conditionalFormatting>
  <conditionalFormatting sqref="T26:V26">
    <cfRule type="expression" dxfId="2978" priority="149" stopIfTrue="1">
      <formula>IF($AK8&lt;7,1,IF($AK7&lt;2,1,0))</formula>
    </cfRule>
  </conditionalFormatting>
  <conditionalFormatting sqref="W26:Y26">
    <cfRule type="expression" dxfId="2977" priority="150" stopIfTrue="1">
      <formula>IF($AK8&lt;8,1,IF($AK7&lt;2,1,0))</formula>
    </cfRule>
  </conditionalFormatting>
  <conditionalFormatting sqref="Z26:AB26">
    <cfRule type="expression" dxfId="2976" priority="151" stopIfTrue="1">
      <formula>IF($AK8&lt;9,1,IF($AK7&lt;2,1,0))</formula>
    </cfRule>
  </conditionalFormatting>
  <conditionalFormatting sqref="AC26:AE26">
    <cfRule type="expression" dxfId="2975" priority="152" stopIfTrue="1">
      <formula>IF($AK8&lt;10,1,IF($AK7&lt;2,1,0))</formula>
    </cfRule>
  </conditionalFormatting>
  <conditionalFormatting sqref="H27:J27">
    <cfRule type="expression" dxfId="2974" priority="153" stopIfTrue="1">
      <formula>IF($AK8&lt;3,1,IF($AK7&lt;3,1,0))</formula>
    </cfRule>
  </conditionalFormatting>
  <conditionalFormatting sqref="K27:M27">
    <cfRule type="expression" dxfId="2973" priority="154" stopIfTrue="1">
      <formula>IF($AK8&lt;4,1,IF($AK7&lt;3,1,0))</formula>
    </cfRule>
  </conditionalFormatting>
  <conditionalFormatting sqref="N27:P27">
    <cfRule type="expression" dxfId="2972" priority="155" stopIfTrue="1">
      <formula>IF($AK8&lt;5,1,IF($AK7&lt;3,1,0))</formula>
    </cfRule>
  </conditionalFormatting>
  <conditionalFormatting sqref="Q27:S27">
    <cfRule type="expression" dxfId="2971" priority="156" stopIfTrue="1">
      <formula>IF($AK8&lt;6,1,IF($AK7&lt;3,1,0))</formula>
    </cfRule>
  </conditionalFormatting>
  <conditionalFormatting sqref="T27:V27">
    <cfRule type="expression" dxfId="2970" priority="157" stopIfTrue="1">
      <formula>IF($AK8&lt;7,1,IF($AK7&lt;3,1,0))</formula>
    </cfRule>
  </conditionalFormatting>
  <conditionalFormatting sqref="W27:Y27">
    <cfRule type="expression" dxfId="2969" priority="158" stopIfTrue="1">
      <formula>IF($AK8&lt;8,1,IF($AK7&lt;3,1,0))</formula>
    </cfRule>
  </conditionalFormatting>
  <conditionalFormatting sqref="Z27:AB27">
    <cfRule type="expression" dxfId="2968" priority="159" stopIfTrue="1">
      <formula>IF($AK8&lt;9,1,IF($AK7&lt;3,1,0))</formula>
    </cfRule>
  </conditionalFormatting>
  <conditionalFormatting sqref="AC27:AE27">
    <cfRule type="expression" dxfId="2967" priority="160" stopIfTrue="1">
      <formula>IF($AK8&lt;10,1,IF($AK7&lt;3,1,0))</formula>
    </cfRule>
  </conditionalFormatting>
  <conditionalFormatting sqref="H28:J28">
    <cfRule type="expression" dxfId="2966" priority="161" stopIfTrue="1">
      <formula>IF($AK8&lt;3,1,IF($AK7&lt;4,1,0))</formula>
    </cfRule>
  </conditionalFormatting>
  <conditionalFormatting sqref="K28:M28">
    <cfRule type="expression" dxfId="2965" priority="162" stopIfTrue="1">
      <formula>IF($AK8&lt;4,1,IF($AK7&lt;4,1,0))</formula>
    </cfRule>
  </conditionalFormatting>
  <conditionalFormatting sqref="N28:P28">
    <cfRule type="expression" dxfId="2964" priority="163" stopIfTrue="1">
      <formula>IF($AK8&lt;5,1,IF($AK7&lt;4,1,0))</formula>
    </cfRule>
  </conditionalFormatting>
  <conditionalFormatting sqref="Q28:S28">
    <cfRule type="expression" dxfId="2963" priority="164" stopIfTrue="1">
      <formula>IF($AK8&lt;6,1,IF($AK7&lt;4,1,0))</formula>
    </cfRule>
  </conditionalFormatting>
  <conditionalFormatting sqref="T28:V28">
    <cfRule type="expression" dxfId="2962" priority="165" stopIfTrue="1">
      <formula>IF($AK8&lt;7,1,IF($AK7&lt;4,1,0))</formula>
    </cfRule>
  </conditionalFormatting>
  <conditionalFormatting sqref="W28:Y28">
    <cfRule type="expression" dxfId="2961" priority="166" stopIfTrue="1">
      <formula>IF($AK8&lt;8,1,IF($AK7&lt;4,1,0))</formula>
    </cfRule>
  </conditionalFormatting>
  <conditionalFormatting sqref="Z28:AB28">
    <cfRule type="expression" dxfId="2960" priority="167" stopIfTrue="1">
      <formula>IF($AK8&lt;9,1,IF($AK7&lt;4,1,0))</formula>
    </cfRule>
  </conditionalFormatting>
  <conditionalFormatting sqref="AC28:AE28">
    <cfRule type="expression" dxfId="2959" priority="168" stopIfTrue="1">
      <formula>IF($AK8&lt;10,1,IF($AK7&lt;4,1,0))</formula>
    </cfRule>
  </conditionalFormatting>
  <conditionalFormatting sqref="H29:J29">
    <cfRule type="expression" dxfId="2958" priority="169" stopIfTrue="1">
      <formula>IF($AK8&lt;3,1,IF($AK7&lt;5,1,0))</formula>
    </cfRule>
  </conditionalFormatting>
  <conditionalFormatting sqref="K29:M29">
    <cfRule type="expression" dxfId="2957" priority="170" stopIfTrue="1">
      <formula>IF($AK8&lt;4,1,IF($AK7&lt;5,1,0))</formula>
    </cfRule>
  </conditionalFormatting>
  <conditionalFormatting sqref="N29:P29">
    <cfRule type="expression" dxfId="2956" priority="171" stopIfTrue="1">
      <formula>IF($AK8&lt;5,1,IF($AK7&lt;5,1,0))</formula>
    </cfRule>
  </conditionalFormatting>
  <conditionalFormatting sqref="Q29:S29">
    <cfRule type="expression" dxfId="2955" priority="172" stopIfTrue="1">
      <formula>IF($AK8&lt;6,1,IF($AK7&lt;5,1,0))</formula>
    </cfRule>
  </conditionalFormatting>
  <conditionalFormatting sqref="T29:V29">
    <cfRule type="expression" dxfId="2954" priority="173" stopIfTrue="1">
      <formula>IF($AK8&lt;7,1,IF($AK7&lt;5,1,0))</formula>
    </cfRule>
  </conditionalFormatting>
  <conditionalFormatting sqref="W29:Y29">
    <cfRule type="expression" dxfId="2953" priority="174" stopIfTrue="1">
      <formula>IF($AK8&lt;8,1,IF($AK7&lt;5,1,0))</formula>
    </cfRule>
  </conditionalFormatting>
  <conditionalFormatting sqref="Z29:AB29">
    <cfRule type="expression" dxfId="2952" priority="175" stopIfTrue="1">
      <formula>IF($AK8&lt;9,1,IF($AK7&lt;5,1,0))</formula>
    </cfRule>
  </conditionalFormatting>
  <conditionalFormatting sqref="AC29:AE29">
    <cfRule type="expression" dxfId="2951" priority="176" stopIfTrue="1">
      <formula>IF($AK8&lt;10,1,IF($AK7&lt;5,1,0))</formula>
    </cfRule>
  </conditionalFormatting>
  <conditionalFormatting sqref="R14:AB15 AF14:AF15 L14:P15 AG14">
    <cfRule type="expression" dxfId="2950" priority="177" stopIfTrue="1">
      <formula>IF($AK9&gt;3,0,1)</formula>
    </cfRule>
  </conditionalFormatting>
  <conditionalFormatting sqref="R16:AB17 AF16:AF17 L16:P17 AG16">
    <cfRule type="expression" dxfId="2949" priority="178" stopIfTrue="1">
      <formula>IF($AK9&gt;4,0,1)</formula>
    </cfRule>
  </conditionalFormatting>
  <conditionalFormatting sqref="R8:AB9 AF8:AF9 L8:P9 AG8">
    <cfRule type="expression" dxfId="2948" priority="179" stopIfTrue="1">
      <formula>IF($AK9&gt;0,0,1)</formula>
    </cfRule>
  </conditionalFormatting>
  <conditionalFormatting sqref="R10:AB11 AF10:AF11 L10:P11 AG10">
    <cfRule type="expression" dxfId="2947" priority="180" stopIfTrue="1">
      <formula>IF($AK9&gt;1,0,1)</formula>
    </cfRule>
  </conditionalFormatting>
  <conditionalFormatting sqref="R12:AB13 AF12:AF13 L12:P13 AG12">
    <cfRule type="expression" dxfId="2946" priority="181" stopIfTrue="1">
      <formula>IF($AK9&gt;2,0,1)</formula>
    </cfRule>
  </conditionalFormatting>
  <conditionalFormatting sqref="B21:D21">
    <cfRule type="expression" dxfId="2945" priority="182" stopIfTrue="1">
      <formula>IF(AK8&gt;0,0,1)</formula>
    </cfRule>
  </conditionalFormatting>
  <conditionalFormatting sqref="E21:G21">
    <cfRule type="expression" dxfId="2944" priority="183" stopIfTrue="1">
      <formula>IF(AK8&gt;1,0,1)</formula>
    </cfRule>
  </conditionalFormatting>
  <conditionalFormatting sqref="H21:J21">
    <cfRule type="expression" dxfId="2943" priority="184" stopIfTrue="1">
      <formula>IF(AK8&gt;2,0,1)</formula>
    </cfRule>
  </conditionalFormatting>
  <conditionalFormatting sqref="K21:M21">
    <cfRule type="expression" dxfId="2942" priority="185" stopIfTrue="1">
      <formula>IF(AK8&gt;3,0,1)</formula>
    </cfRule>
  </conditionalFormatting>
  <conditionalFormatting sqref="N21:P21">
    <cfRule type="expression" dxfId="2941" priority="186" stopIfTrue="1">
      <formula>IF(AK8&gt;4,0,1)</formula>
    </cfRule>
  </conditionalFormatting>
  <conditionalFormatting sqref="Q21:S21">
    <cfRule type="expression" dxfId="2940" priority="187" stopIfTrue="1">
      <formula>IF(AK8&gt;5,0,1)</formula>
    </cfRule>
  </conditionalFormatting>
  <conditionalFormatting sqref="T21:V21">
    <cfRule type="expression" dxfId="2939" priority="188" stopIfTrue="1">
      <formula>IF(AK8&gt;6,0,1)</formula>
    </cfRule>
  </conditionalFormatting>
  <conditionalFormatting sqref="W21:Y21">
    <cfRule type="expression" dxfId="2938" priority="189" stopIfTrue="1">
      <formula>IF(AK8&gt;7,0,1)</formula>
    </cfRule>
  </conditionalFormatting>
  <conditionalFormatting sqref="Z21:AB21">
    <cfRule type="expression" dxfId="2937" priority="190" stopIfTrue="1">
      <formula>IF(AK8&gt;8,0,1)</formula>
    </cfRule>
  </conditionalFormatting>
  <conditionalFormatting sqref="AC21:AE21">
    <cfRule type="expression" dxfId="2936" priority="191" stopIfTrue="1">
      <formula>IF(AK8&gt;9,0,1)</formula>
    </cfRule>
  </conditionalFormatting>
  <conditionalFormatting sqref="X138:X139 W129:W130 X129:Y129 W132:Y137 Z133:AE136 AA137:AA139 I137:I139 F137:F139 B129:B130 C129:D129 B132:D137 C138:C139 E133:J136 AD137:AD139">
    <cfRule type="expression" dxfId="2935" priority="192" stopIfTrue="1">
      <formula>IF(#REF!&gt;0,0,1)</formula>
    </cfRule>
  </conditionalFormatting>
  <conditionalFormatting sqref="AA129:AB129 AB137 AA132:AB132 Z137 Z129:Z132 F129:G129 G137 F132:G132 E137 E129:E132 T140:AE147">
    <cfRule type="expression" dxfId="2934" priority="193" stopIfTrue="1">
      <formula>IF(#REF!&gt;1,0,1)</formula>
    </cfRule>
  </conditionalFormatting>
  <conditionalFormatting sqref="AC129:AC132 AD129:AE129 AE137 AD132:AE132 AC137 H137 H129:H132 I129:J129 I132:J132 J137">
    <cfRule type="expression" dxfId="2933" priority="194" stopIfTrue="1">
      <formula>IF(#REF!&gt;2,0,1)</formula>
    </cfRule>
  </conditionalFormatting>
  <conditionalFormatting sqref="W138 Y138 B138 D138">
    <cfRule type="expression" dxfId="2932" priority="195" stopIfTrue="1">
      <formula>IF(#REF!&lt;1,1,IF(#REF!&lt;2,1,0))</formula>
    </cfRule>
  </conditionalFormatting>
  <conditionalFormatting sqref="Z138 AB138 E138 G138">
    <cfRule type="expression" dxfId="2931" priority="196" stopIfTrue="1">
      <formula>IF(#REF!&lt;2,1,IF(#REF!&lt;2,1,0))</formula>
    </cfRule>
  </conditionalFormatting>
  <conditionalFormatting sqref="AC138 AE138 H138 J138">
    <cfRule type="expression" dxfId="2930" priority="197" stopIfTrue="1">
      <formula>IF(#REF!&lt;3,1,IF(#REF!&lt;2,1,0))</formula>
    </cfRule>
  </conditionalFormatting>
  <conditionalFormatting sqref="Y139 B139 D139 W139">
    <cfRule type="expression" dxfId="2929" priority="198" stopIfTrue="1">
      <formula>IF(#REF!&lt;1,1,IF(#REF!&lt;3,1,0))</formula>
    </cfRule>
  </conditionalFormatting>
  <conditionalFormatting sqref="AB139 E139 G139 Z139">
    <cfRule type="expression" dxfId="2928" priority="199" stopIfTrue="1">
      <formula>IF(#REF!&lt;2,1,IF(#REF!&lt;3,1,0))</formula>
    </cfRule>
  </conditionalFormatting>
  <conditionalFormatting sqref="AE139 H139 J139 AC139">
    <cfRule type="expression" dxfId="2927" priority="200" stopIfTrue="1">
      <formula>IF(#REF!&lt;3,1,IF(#REF!&lt;3,1,0))</formula>
    </cfRule>
  </conditionalFormatting>
  <conditionalFormatting sqref="AG24:AP28">
    <cfRule type="cellIs" dxfId="2926" priority="201" stopIfTrue="1" operator="notBetween">
      <formula>-9999</formula>
      <formula>9999</formula>
    </cfRule>
  </conditionalFormatting>
  <conditionalFormatting sqref="AC7">
    <cfRule type="expression" dxfId="2925" priority="202" stopIfTrue="1">
      <formula>IF($AK$11=0,1,0)</formula>
    </cfRule>
  </conditionalFormatting>
  <conditionalFormatting sqref="B18">
    <cfRule type="expression" dxfId="2924" priority="203" stopIfTrue="1">
      <formula>IF($AK$9&gt;0,0,1)</formula>
    </cfRule>
  </conditionalFormatting>
  <conditionalFormatting sqref="B22:D23">
    <cfRule type="cellIs" dxfId="2923" priority="204" stopIfTrue="1" operator="equal">
      <formula>99</formula>
    </cfRule>
  </conditionalFormatting>
  <conditionalFormatting sqref="C140 F140">
    <cfRule type="expression" dxfId="2922" priority="205" stopIfTrue="1">
      <formula>IF(#REF!&gt;0,0,1)</formula>
    </cfRule>
  </conditionalFormatting>
  <conditionalFormatting sqref="K129">
    <cfRule type="expression" dxfId="2921" priority="10" stopIfTrue="1">
      <formula>IF(#REF!&gt;2,0,1)</formula>
    </cfRule>
  </conditionalFormatting>
  <conditionalFormatting sqref="K129">
    <cfRule type="expression" dxfId="2920" priority="9" stopIfTrue="1">
      <formula>IF(#REF!&gt;2,0,1)</formula>
    </cfRule>
  </conditionalFormatting>
  <conditionalFormatting sqref="K129">
    <cfRule type="expression" dxfId="2919" priority="8" stopIfTrue="1">
      <formula>IF(#REF!&gt;2,0,1)</formula>
    </cfRule>
  </conditionalFormatting>
  <conditionalFormatting sqref="K129">
    <cfRule type="expression" dxfId="2918" priority="7" stopIfTrue="1">
      <formula>IF(ISNUMBER(K137),0,1)</formula>
    </cfRule>
  </conditionalFormatting>
  <conditionalFormatting sqref="B25:D25">
    <cfRule type="expression" dxfId="2917" priority="1" stopIfTrue="1">
      <formula>IF($AK8&gt;0,0,1)</formula>
    </cfRule>
  </conditionalFormatting>
  <conditionalFormatting sqref="H25:J25">
    <cfRule type="expression" dxfId="2916" priority="2" stopIfTrue="1">
      <formula>IF($AK8&gt;2,0,1)</formula>
    </cfRule>
  </conditionalFormatting>
  <conditionalFormatting sqref="E25:G25">
    <cfRule type="expression" dxfId="2915" priority="3" stopIfTrue="1">
      <formula>IF($AK8&gt;1,0,1)</formula>
    </cfRule>
  </conditionalFormatting>
  <conditionalFormatting sqref="K25:M25">
    <cfRule type="expression" dxfId="2914" priority="4" stopIfTrue="1">
      <formula>IF($AK8&gt;3,0,1)</formula>
    </cfRule>
  </conditionalFormatting>
  <conditionalFormatting sqref="N25:P25">
    <cfRule type="expression" dxfId="2913" priority="5" stopIfTrue="1">
      <formula>IF($AK8&gt;4,0,1)</formula>
    </cfRule>
  </conditionalFormatting>
  <conditionalFormatting sqref="Q25:S25">
    <cfRule type="expression" dxfId="2912" priority="6" stopIfTrue="1">
      <formula>IF($AK8&gt;5,0,1)</formula>
    </cfRule>
  </conditionalFormatting>
  <pageMargins left="0.25" right="0.25" top="0.25" bottom="0.25" header="0" footer="0"/>
  <pageSetup scale="78" fitToHeight="2" orientation="landscape" r:id="rId1"/>
  <headerFooter alignWithMargins="0"/>
  <rowBreaks count="1" manualBreakCount="1">
    <brk id="95" max="16383" man="1"/>
  </rowBreaks>
  <drawing r:id="rId2"/>
  <legacyDrawing r:id="rId3"/>
  <controls>
    <mc:AlternateContent xmlns:mc="http://schemas.openxmlformats.org/markup-compatibility/2006">
      <mc:Choice Requires="x14">
        <control shapeId="40961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40961" r:id="rId4" name="Pool1RecalcFinish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indexed="11"/>
  </sheetPr>
  <dimension ref="A1:BY430"/>
  <sheetViews>
    <sheetView topLeftCell="T1" zoomScale="70" zoomScaleNormal="70" workbookViewId="0">
      <selection activeCell="AU21" sqref="AU21"/>
    </sheetView>
  </sheetViews>
  <sheetFormatPr defaultRowHeight="12.75" x14ac:dyDescent="0.2"/>
  <cols>
    <col min="2" max="2" width="3.7109375" customWidth="1"/>
    <col min="3" max="3" width="2.28515625" customWidth="1"/>
    <col min="4" max="5" width="3.7109375" customWidth="1"/>
    <col min="6" max="6" width="2.28515625" customWidth="1"/>
    <col min="7" max="8" width="3.7109375" customWidth="1"/>
    <col min="9" max="9" width="2.28515625" customWidth="1"/>
    <col min="10" max="11" width="3.7109375" customWidth="1"/>
    <col min="12" max="12" width="2.28515625" customWidth="1"/>
    <col min="13" max="14" width="3.7109375" customWidth="1"/>
    <col min="15" max="15" width="2.28515625" customWidth="1"/>
    <col min="16" max="17" width="3.7109375" customWidth="1"/>
    <col min="18" max="18" width="2.28515625" customWidth="1"/>
    <col min="19" max="20" width="3.7109375" customWidth="1"/>
    <col min="21" max="21" width="2.28515625" customWidth="1"/>
    <col min="22" max="23" width="3.7109375" customWidth="1"/>
    <col min="24" max="24" width="2.28515625" customWidth="1"/>
    <col min="25" max="26" width="3.7109375" customWidth="1"/>
    <col min="27" max="27" width="2.28515625" customWidth="1"/>
    <col min="28" max="29" width="3.7109375" customWidth="1"/>
    <col min="30" max="30" width="2.28515625" customWidth="1"/>
    <col min="31" max="31" width="3.7109375" customWidth="1"/>
    <col min="32" max="32" width="9.7109375" customWidth="1"/>
    <col min="33" max="42" width="3.7109375" customWidth="1"/>
    <col min="43" max="43" width="11" customWidth="1"/>
    <col min="47" max="47" width="21" customWidth="1"/>
    <col min="48" max="48" width="24.42578125" customWidth="1"/>
    <col min="49" max="49" width="14.28515625" bestFit="1" customWidth="1"/>
    <col min="50" max="50" width="10" customWidth="1"/>
    <col min="51" max="51" width="10.42578125" customWidth="1"/>
    <col min="52" max="52" width="25" customWidth="1"/>
    <col min="53" max="53" width="6" customWidth="1"/>
  </cols>
  <sheetData>
    <row r="1" spans="1:53" ht="13.5" thickBot="1" x14ac:dyDescent="0.25">
      <c r="A1" s="1036" t="s">
        <v>0</v>
      </c>
      <c r="B1" s="1036"/>
      <c r="C1" s="1036"/>
      <c r="D1" s="1036"/>
      <c r="E1" s="1036"/>
      <c r="F1" s="1036"/>
      <c r="G1" s="1036"/>
      <c r="H1" s="1036"/>
      <c r="I1" s="1036"/>
      <c r="J1" s="1036"/>
      <c r="K1" s="1036"/>
      <c r="L1" s="1036"/>
      <c r="M1" s="1036"/>
      <c r="N1" s="1036"/>
      <c r="O1" s="1036"/>
      <c r="P1" s="1036"/>
      <c r="Q1" s="1036"/>
      <c r="R1" s="1036"/>
      <c r="S1" s="1036"/>
      <c r="T1" s="1036"/>
      <c r="U1" s="1036"/>
      <c r="V1" s="1036"/>
      <c r="W1" s="1036"/>
      <c r="X1" s="1036"/>
      <c r="Y1" s="1036"/>
      <c r="Z1" s="1036"/>
      <c r="AA1" s="1036"/>
      <c r="AB1" s="1036"/>
      <c r="AC1" s="1036"/>
      <c r="AD1" s="1036"/>
      <c r="AE1" s="1036"/>
      <c r="AF1" s="1036"/>
      <c r="AG1" s="1036"/>
      <c r="AH1" s="1036"/>
      <c r="AI1" s="1036"/>
      <c r="AJ1" s="1037"/>
      <c r="AK1" s="1037"/>
      <c r="AL1" s="1037"/>
      <c r="AM1" s="1037"/>
      <c r="AN1" s="1037"/>
      <c r="AO1" s="1037"/>
      <c r="AP1" s="1037"/>
      <c r="AQ1" s="1038" t="s">
        <v>349</v>
      </c>
      <c r="AR1" s="1039"/>
      <c r="AT1" s="1040" t="s">
        <v>1</v>
      </c>
      <c r="AU1" s="1041"/>
      <c r="AV1" s="1042"/>
      <c r="AW1" s="1043"/>
      <c r="AX1" s="1044" t="s">
        <v>2</v>
      </c>
      <c r="AY1" s="1045"/>
      <c r="AZ1" s="1046" t="s">
        <v>3</v>
      </c>
      <c r="BA1" s="355">
        <v>32</v>
      </c>
    </row>
    <row r="2" spans="1:53" ht="18.75" customHeight="1" thickBot="1" x14ac:dyDescent="0.3">
      <c r="A2" s="1047" t="s">
        <v>4</v>
      </c>
      <c r="B2" s="1048"/>
      <c r="C2" s="1048"/>
      <c r="D2" s="1048"/>
      <c r="E2" s="1048"/>
      <c r="F2" s="1048"/>
      <c r="G2" s="1048"/>
      <c r="H2" s="1048"/>
      <c r="I2" s="1049"/>
      <c r="J2" s="1050"/>
      <c r="K2" s="1051"/>
      <c r="L2" s="1051"/>
      <c r="M2" s="1051"/>
      <c r="N2" s="1051"/>
      <c r="O2" s="1051"/>
      <c r="P2" s="1051"/>
      <c r="Q2" s="1051"/>
      <c r="R2" s="1051"/>
      <c r="S2" s="1051"/>
      <c r="T2" s="1051"/>
      <c r="U2" s="1051"/>
      <c r="V2" s="1051"/>
      <c r="W2" s="1051"/>
      <c r="X2" s="1052"/>
      <c r="Y2" s="1053" t="s">
        <v>5</v>
      </c>
      <c r="Z2" s="1054"/>
      <c r="AA2" s="1054"/>
      <c r="AB2" s="1054"/>
      <c r="AC2" s="1055"/>
      <c r="AD2" s="1056"/>
      <c r="AE2" s="1056"/>
      <c r="AF2" s="1056"/>
      <c r="AG2" s="1056"/>
      <c r="AH2" s="1056"/>
      <c r="AI2" s="1057"/>
      <c r="AJ2" s="1058"/>
      <c r="AK2" s="1058"/>
      <c r="AL2" s="1058"/>
      <c r="AM2" s="1058"/>
      <c r="AN2" s="1058"/>
      <c r="AO2" s="1058"/>
      <c r="AP2" s="1058"/>
      <c r="AQ2" s="1058"/>
      <c r="AR2" s="1039"/>
      <c r="AT2" s="1059" t="s">
        <v>6</v>
      </c>
      <c r="AU2" s="1060" t="s">
        <v>7</v>
      </c>
      <c r="AV2" s="1061" t="s">
        <v>8</v>
      </c>
      <c r="AW2" s="1062" t="s">
        <v>9</v>
      </c>
      <c r="AX2" s="1063" t="s">
        <v>10</v>
      </c>
      <c r="AY2" s="1062" t="s">
        <v>11</v>
      </c>
      <c r="AZ2" s="1046" t="s">
        <v>12</v>
      </c>
      <c r="BA2" s="355">
        <v>16</v>
      </c>
    </row>
    <row r="3" spans="1:53" ht="18.75" customHeight="1" thickBot="1" x14ac:dyDescent="0.3">
      <c r="A3" s="1064" t="s">
        <v>13</v>
      </c>
      <c r="B3" s="1065"/>
      <c r="C3" s="1066"/>
      <c r="D3" s="1066"/>
      <c r="E3" s="1066"/>
      <c r="F3" s="1066"/>
      <c r="G3" s="1066"/>
      <c r="H3" s="1066"/>
      <c r="I3" s="1066"/>
      <c r="J3" s="1066"/>
      <c r="K3" s="1066"/>
      <c r="L3" s="1066"/>
      <c r="M3" s="1066"/>
      <c r="N3" s="1066"/>
      <c r="O3" s="1067"/>
      <c r="P3" s="1068" t="s">
        <v>14</v>
      </c>
      <c r="Q3" s="1069"/>
      <c r="R3" s="1069"/>
      <c r="S3" s="1070"/>
      <c r="T3" s="1071"/>
      <c r="U3" s="1071"/>
      <c r="V3" s="1071"/>
      <c r="W3" s="1071"/>
      <c r="X3" s="1072"/>
      <c r="Y3" s="1073" t="s">
        <v>15</v>
      </c>
      <c r="Z3" s="1074"/>
      <c r="AA3" s="1074"/>
      <c r="AB3" s="1074"/>
      <c r="AC3" s="1074"/>
      <c r="AD3" s="1075"/>
      <c r="AE3" s="1076" t="s">
        <v>16</v>
      </c>
      <c r="AF3" s="1077"/>
      <c r="AG3" s="1077" t="s">
        <v>17</v>
      </c>
      <c r="AH3" s="1077"/>
      <c r="AI3" s="1078"/>
      <c r="AJ3" s="1058"/>
      <c r="AK3" s="1058"/>
      <c r="AL3" s="1058"/>
      <c r="AM3" s="1058"/>
      <c r="AN3" s="1058"/>
      <c r="AO3" s="1058"/>
      <c r="AP3" s="1058"/>
      <c r="AQ3" s="1058"/>
      <c r="AR3" s="1039"/>
      <c r="AT3" s="1079">
        <v>1</v>
      </c>
      <c r="AU3" s="167" t="s">
        <v>619</v>
      </c>
      <c r="AV3" s="167" t="s">
        <v>618</v>
      </c>
      <c r="AW3" s="16">
        <f>VLOOKUP(AV3,Initial!G:K,5,FALSE)</f>
        <v>1293.6267294435881</v>
      </c>
      <c r="AX3" s="1081">
        <f>VLOOKUP(AU3,AT$79:AU$83,2,FALSE)</f>
        <v>1300.5249802000656</v>
      </c>
      <c r="AY3" s="1082">
        <f>IF(ISNA(VLOOKUP(AU3,AT$96:AU$148,2,FALSE)),AX3,VLOOKUP(AU3,AT$96:AU$148,2,FALSE))</f>
        <v>1300.5249802000656</v>
      </c>
    </row>
    <row r="4" spans="1:53" ht="24" customHeight="1" thickBot="1" x14ac:dyDescent="0.25">
      <c r="A4" s="1083" t="s">
        <v>18</v>
      </c>
      <c r="B4" s="1084"/>
      <c r="C4" s="1084"/>
      <c r="D4" s="1085"/>
      <c r="E4" s="1086"/>
      <c r="F4" s="1087"/>
      <c r="G4" s="1087"/>
      <c r="H4" s="1087"/>
      <c r="I4" s="1087"/>
      <c r="J4" s="1087"/>
      <c r="K4" s="1087"/>
      <c r="L4" s="1087"/>
      <c r="M4" s="1088"/>
      <c r="N4" s="1083" t="s">
        <v>19</v>
      </c>
      <c r="O4" s="1084"/>
      <c r="P4" s="1084"/>
      <c r="Q4" s="1085"/>
      <c r="R4" s="1089"/>
      <c r="S4" s="1056"/>
      <c r="T4" s="1056"/>
      <c r="U4" s="1056"/>
      <c r="V4" s="1056"/>
      <c r="W4" s="1056"/>
      <c r="X4" s="1056"/>
      <c r="Y4" s="1056"/>
      <c r="Z4" s="1056"/>
      <c r="AA4" s="1057"/>
      <c r="AB4" s="1083" t="s">
        <v>20</v>
      </c>
      <c r="AC4" s="1084"/>
      <c r="AD4" s="1084"/>
      <c r="AE4" s="1085"/>
      <c r="AF4" s="1089"/>
      <c r="AG4" s="1056"/>
      <c r="AH4" s="1056"/>
      <c r="AI4" s="1057"/>
      <c r="AJ4" s="1058"/>
      <c r="AK4" s="1058"/>
      <c r="AL4" s="1058"/>
      <c r="AM4" s="1058"/>
      <c r="AN4" s="1058"/>
      <c r="AO4" s="1058"/>
      <c r="AP4" s="1058"/>
      <c r="AQ4" s="1058"/>
      <c r="AR4" s="1039"/>
      <c r="AT4" s="1090">
        <v>2</v>
      </c>
      <c r="AU4" s="167" t="s">
        <v>632</v>
      </c>
      <c r="AV4" s="167" t="s">
        <v>631</v>
      </c>
      <c r="AW4" s="16">
        <f>VLOOKUP(AV4,Initial!G:K,5,FALSE)</f>
        <v>1141.2104363370433</v>
      </c>
      <c r="AX4" s="1091">
        <f>VLOOKUP(AU4,AT$79:AU$83,2,FALSE)</f>
        <v>1119.6481618996331</v>
      </c>
      <c r="AY4" s="1092">
        <f>IF(ISNA(VLOOKUP(AU4,AT$96:AU$148,2,FALSE)),AX4,VLOOKUP(AU4,AT$96:AU$148,2,FALSE))</f>
        <v>1119.6481618996331</v>
      </c>
    </row>
    <row r="5" spans="1:53" ht="15.75" thickBot="1" x14ac:dyDescent="0.25">
      <c r="A5" s="1037" t="s">
        <v>21</v>
      </c>
      <c r="B5" s="1093" t="s">
        <v>21</v>
      </c>
      <c r="C5" s="1094"/>
      <c r="D5" s="1094"/>
      <c r="E5" s="1094"/>
      <c r="F5" s="1094"/>
      <c r="G5" s="1094"/>
      <c r="H5" s="1094"/>
      <c r="I5" s="1094"/>
      <c r="J5" s="1094"/>
      <c r="K5" s="1095" t="s">
        <v>21</v>
      </c>
      <c r="L5" s="1095"/>
      <c r="M5" s="1095"/>
      <c r="N5" s="1095"/>
      <c r="O5" s="1095"/>
      <c r="P5" s="1095"/>
      <c r="Q5" s="1095"/>
      <c r="R5" s="1095"/>
      <c r="S5" s="1095"/>
      <c r="T5" s="1095"/>
      <c r="U5" s="1095"/>
      <c r="V5" s="1095"/>
      <c r="W5" s="1095"/>
      <c r="X5" s="1095"/>
      <c r="Y5" s="1095"/>
      <c r="Z5" s="1095"/>
      <c r="AA5" s="1095"/>
      <c r="AB5" s="1095"/>
      <c r="AC5" s="1095"/>
      <c r="AD5" s="1095"/>
      <c r="AE5" s="1095"/>
      <c r="AF5" s="1037"/>
      <c r="AG5" s="1037"/>
      <c r="AH5" s="1037"/>
      <c r="AI5" s="1037"/>
      <c r="AJ5" s="1037"/>
      <c r="AK5" s="1037"/>
      <c r="AL5" s="1037"/>
      <c r="AM5" s="1037"/>
      <c r="AN5" s="1037"/>
      <c r="AO5" s="1037"/>
      <c r="AP5" s="1037"/>
      <c r="AQ5" s="1037"/>
      <c r="AR5" s="1039"/>
      <c r="AT5" s="1090">
        <v>3</v>
      </c>
      <c r="AU5" s="167" t="s">
        <v>564</v>
      </c>
      <c r="AV5" s="167" t="s">
        <v>563</v>
      </c>
      <c r="AW5" s="16">
        <f>VLOOKUP(AV5,Initial!G:K,5,FALSE)</f>
        <v>1199.3436780073632</v>
      </c>
      <c r="AX5" s="1091">
        <f>VLOOKUP(AU5,AT$79:AU$83,2,FALSE)</f>
        <v>1218.5956854627798</v>
      </c>
      <c r="AY5" s="1092">
        <f>IF(ISNA(VLOOKUP(AU5,AT$96:AU$148,2,FALSE)),AX5,VLOOKUP(AU5,AT$96:AU$148,2,FALSE))</f>
        <v>1218.5956854627798</v>
      </c>
    </row>
    <row r="6" spans="1:53" ht="24" customHeight="1" thickBot="1" x14ac:dyDescent="0.25">
      <c r="A6" s="1096" t="s">
        <v>22</v>
      </c>
      <c r="B6" s="1097" t="s">
        <v>23</v>
      </c>
      <c r="C6" s="1098" t="s">
        <v>24</v>
      </c>
      <c r="D6" s="1099"/>
      <c r="E6" s="1099"/>
      <c r="F6" s="1099"/>
      <c r="G6" s="1099"/>
      <c r="H6" s="1100"/>
      <c r="I6" s="1101">
        <v>1</v>
      </c>
      <c r="J6" s="1102"/>
      <c r="K6" s="1103" t="str">
        <f>"Pool "&amp;B6&amp;" - Round 1 - Court "&amp;I6</f>
        <v>Pool A - Round 1 - Court 1</v>
      </c>
      <c r="L6" s="1104"/>
      <c r="M6" s="1104"/>
      <c r="N6" s="1104"/>
      <c r="O6" s="1104"/>
      <c r="P6" s="1104"/>
      <c r="Q6" s="1104"/>
      <c r="R6" s="1104"/>
      <c r="S6" s="1104"/>
      <c r="T6" s="1104"/>
      <c r="U6" s="1104"/>
      <c r="V6" s="1104"/>
      <c r="W6" s="1104"/>
      <c r="X6" s="1104"/>
      <c r="Y6" s="1104"/>
      <c r="Z6" s="1104"/>
      <c r="AA6" s="1104"/>
      <c r="AB6" s="1104"/>
      <c r="AC6" s="1104"/>
      <c r="AD6" s="1104"/>
      <c r="AE6" s="1104"/>
      <c r="AF6" s="1104"/>
      <c r="AG6" s="1104"/>
      <c r="AH6" s="1104"/>
      <c r="AI6" s="1105"/>
      <c r="AJ6" s="1058"/>
      <c r="AK6" s="1058"/>
      <c r="AL6" s="1058"/>
      <c r="AM6" s="1058"/>
      <c r="AN6" s="1058"/>
      <c r="AO6" s="1058"/>
      <c r="AP6" s="1058"/>
      <c r="AQ6" s="1058"/>
      <c r="AT6" s="1090">
        <v>4</v>
      </c>
      <c r="AU6" s="167" t="s">
        <v>568</v>
      </c>
      <c r="AV6" s="167" t="s">
        <v>567</v>
      </c>
      <c r="AW6" s="16">
        <f>VLOOKUP(AV6,Initial!G:K,5,FALSE)</f>
        <v>1230.6391901737691</v>
      </c>
      <c r="AX6" s="1091">
        <f>VLOOKUP(AU6,AT$79:AU$83,2,FALSE)</f>
        <v>1190.9295575057661</v>
      </c>
      <c r="AY6" s="1092">
        <f>IF(ISNA(VLOOKUP(AU6,AT$96:AU$148,2,FALSE)),AX6,VLOOKUP(AU6,AT$96:AU$148,2,FALSE))</f>
        <v>1190.9295575057661</v>
      </c>
    </row>
    <row r="7" spans="1:53" ht="27" customHeight="1" thickBot="1" x14ac:dyDescent="0.25">
      <c r="A7" s="1106" t="s">
        <v>25</v>
      </c>
      <c r="B7" s="1107" t="s">
        <v>7</v>
      </c>
      <c r="C7" s="1108"/>
      <c r="D7" s="1108"/>
      <c r="E7" s="1108"/>
      <c r="F7" s="1108"/>
      <c r="G7" s="1108"/>
      <c r="H7" s="1108"/>
      <c r="I7" s="1108"/>
      <c r="J7" s="1108"/>
      <c r="K7" s="1108"/>
      <c r="L7" s="1107" t="str">
        <f>IF($AK10=0,"Games Won","Matches Won")</f>
        <v>Games Won</v>
      </c>
      <c r="M7" s="1108"/>
      <c r="N7" s="1108"/>
      <c r="O7" s="1108"/>
      <c r="P7" s="1108"/>
      <c r="Q7" s="1109"/>
      <c r="R7" s="1107" t="str">
        <f>IF($AK10=0,"Games Lost","Matches Lost")</f>
        <v>Games Lost</v>
      </c>
      <c r="S7" s="1110"/>
      <c r="T7" s="1110"/>
      <c r="U7" s="1110"/>
      <c r="V7" s="1111"/>
      <c r="W7" s="1112" t="s">
        <v>26</v>
      </c>
      <c r="X7" s="1113"/>
      <c r="Y7" s="1114"/>
      <c r="Z7" s="1112" t="s">
        <v>27</v>
      </c>
      <c r="AA7" s="1113"/>
      <c r="AB7" s="1114"/>
      <c r="AC7" s="1115" t="s">
        <v>28</v>
      </c>
      <c r="AD7" s="1116"/>
      <c r="AE7" s="1117"/>
      <c r="AF7" s="1118" t="s">
        <v>29</v>
      </c>
      <c r="AG7" s="1119" t="s">
        <v>6</v>
      </c>
      <c r="AH7" s="1120" t="s">
        <v>30</v>
      </c>
      <c r="AI7" s="1121"/>
      <c r="AJ7" s="1122"/>
      <c r="AK7" s="1123">
        <v>1</v>
      </c>
      <c r="AL7" s="1124" t="s">
        <v>31</v>
      </c>
      <c r="AM7" s="1124"/>
      <c r="AN7" s="1124"/>
      <c r="AO7" s="1124"/>
      <c r="AP7" s="1124"/>
      <c r="AQ7" s="1124"/>
      <c r="AR7" s="1125"/>
      <c r="AT7" s="1126">
        <v>5</v>
      </c>
      <c r="AU7" s="167" t="s">
        <v>628</v>
      </c>
      <c r="AV7" s="167" t="s">
        <v>627</v>
      </c>
      <c r="AW7" s="16">
        <f>VLOOKUP(AV7,Initial!G:K,5,FALSE)</f>
        <v>1332.4149795123046</v>
      </c>
      <c r="AX7" s="1127">
        <f>VLOOKUP(AU7,AT$79:AU$83,2,FALSE)</f>
        <v>1367.5366284058239</v>
      </c>
      <c r="AY7" s="1128">
        <f>IF(ISNA(VLOOKUP(AU7,AT$96:AU$148,2,FALSE)),AX7,VLOOKUP(AU7,AT$96:AU$148,2,FALSE))</f>
        <v>1367.5366284058239</v>
      </c>
    </row>
    <row r="8" spans="1:53" ht="18.75" customHeight="1" x14ac:dyDescent="0.2">
      <c r="A8" s="1129" t="str">
        <f>IF($AK9&gt;0,"1","")</f>
        <v>1</v>
      </c>
      <c r="B8" s="1130" t="s">
        <v>7</v>
      </c>
      <c r="C8" s="1131"/>
      <c r="D8" s="1132"/>
      <c r="E8" s="1133" t="str">
        <f>AU3</f>
        <v>Intense Kids power Gvl</v>
      </c>
      <c r="F8" s="1134"/>
      <c r="G8" s="1134"/>
      <c r="H8" s="1134"/>
      <c r="I8" s="1134"/>
      <c r="J8" s="1134"/>
      <c r="K8" s="1135"/>
      <c r="L8" s="1136">
        <f>IF($AK10=0,AF64,AF46)</f>
        <v>2</v>
      </c>
      <c r="M8" s="1137"/>
      <c r="N8" s="1137"/>
      <c r="O8" s="1137"/>
      <c r="P8" s="1137"/>
      <c r="Q8" s="1109"/>
      <c r="R8" s="1136">
        <f>IF($AK10=0,AG64,AG46)</f>
        <v>1</v>
      </c>
      <c r="S8" s="1137"/>
      <c r="T8" s="1137"/>
      <c r="U8" s="1137"/>
      <c r="V8" s="1137"/>
      <c r="W8" s="1136">
        <f>AQ24</f>
        <v>18</v>
      </c>
      <c r="X8" s="1137"/>
      <c r="Y8" s="1137"/>
      <c r="Z8" s="1138">
        <f>IF(AF58&gt;0,(AQ24/AF58),0)</f>
        <v>0.21686746987951808</v>
      </c>
      <c r="AA8" s="1139"/>
      <c r="AB8" s="1139"/>
      <c r="AC8" s="1140">
        <f>IF(AF72=0,0,(AF64/AF72))</f>
        <v>0.66666666666666663</v>
      </c>
      <c r="AD8" s="1141"/>
      <c r="AE8" s="1142"/>
      <c r="AF8" s="1143"/>
      <c r="AG8" s="1143"/>
      <c r="AH8" s="1144"/>
      <c r="AI8" s="1145"/>
      <c r="AJ8" s="1122"/>
      <c r="AK8" s="1123">
        <v>7</v>
      </c>
      <c r="AL8" s="1124" t="s">
        <v>32</v>
      </c>
      <c r="AM8" s="1124"/>
      <c r="AN8" s="1124"/>
      <c r="AO8" s="1124"/>
      <c r="AP8" s="1124"/>
      <c r="AQ8" s="1124"/>
      <c r="AR8" s="1125"/>
      <c r="AT8" s="1146" t="s">
        <v>37</v>
      </c>
      <c r="AU8" s="1147"/>
      <c r="AV8" s="1147"/>
      <c r="AW8" s="1147"/>
      <c r="AX8" s="1147"/>
      <c r="AY8" s="1148"/>
    </row>
    <row r="9" spans="1:53" ht="18.75" customHeight="1" thickBot="1" x14ac:dyDescent="0.25">
      <c r="A9" s="1149"/>
      <c r="B9" s="1150" t="s">
        <v>8</v>
      </c>
      <c r="C9" s="1151"/>
      <c r="D9" s="1152"/>
      <c r="E9" s="1153" t="str">
        <f>AV3</f>
        <v>fj2inten2pm</v>
      </c>
      <c r="F9" s="1154"/>
      <c r="G9" s="1154"/>
      <c r="H9" s="1154"/>
      <c r="I9" s="1154"/>
      <c r="J9" s="1154"/>
      <c r="K9" s="1154"/>
      <c r="L9" s="1155"/>
      <c r="M9" s="1156"/>
      <c r="N9" s="1156"/>
      <c r="O9" s="1156"/>
      <c r="P9" s="1156"/>
      <c r="Q9" s="1109"/>
      <c r="R9" s="1155"/>
      <c r="S9" s="1156"/>
      <c r="T9" s="1156"/>
      <c r="U9" s="1156"/>
      <c r="V9" s="1156"/>
      <c r="W9" s="1155"/>
      <c r="X9" s="1156"/>
      <c r="Y9" s="1156"/>
      <c r="Z9" s="1157"/>
      <c r="AA9" s="1158"/>
      <c r="AB9" s="1158"/>
      <c r="AC9" s="1159"/>
      <c r="AD9" s="1160"/>
      <c r="AE9" s="1161"/>
      <c r="AF9" s="1162"/>
      <c r="AG9" s="1162"/>
      <c r="AH9" s="1163"/>
      <c r="AI9" s="1164"/>
      <c r="AJ9" s="1122"/>
      <c r="AK9" s="1123">
        <v>5</v>
      </c>
      <c r="AL9" s="1124" t="s">
        <v>33</v>
      </c>
      <c r="AM9" s="1122"/>
      <c r="AN9" s="1122"/>
      <c r="AO9" s="1122"/>
      <c r="AP9" s="1122"/>
      <c r="AQ9" s="1122"/>
      <c r="AR9" s="1039"/>
      <c r="AT9" s="1165"/>
      <c r="AU9" s="1166"/>
      <c r="AV9" s="1166"/>
      <c r="AW9" s="1166"/>
      <c r="AX9" s="1166"/>
      <c r="AY9" s="1167"/>
    </row>
    <row r="10" spans="1:53" ht="18.75" customHeight="1" x14ac:dyDescent="0.2">
      <c r="A10" s="1129" t="str">
        <f>IF($AK9&gt;1,"2","")</f>
        <v>2</v>
      </c>
      <c r="B10" s="1130" t="s">
        <v>7</v>
      </c>
      <c r="C10" s="1131"/>
      <c r="D10" s="1132"/>
      <c r="E10" s="1133" t="str">
        <f>AU4</f>
        <v>Columbia SC Starlings 12</v>
      </c>
      <c r="F10" s="1134"/>
      <c r="G10" s="1134"/>
      <c r="H10" s="1134"/>
      <c r="I10" s="1134"/>
      <c r="J10" s="1134"/>
      <c r="K10" s="1135"/>
      <c r="L10" s="1136">
        <f>IF($AK10=0,AF65,AF47)</f>
        <v>0</v>
      </c>
      <c r="M10" s="1137"/>
      <c r="N10" s="1137"/>
      <c r="O10" s="1137"/>
      <c r="P10" s="1137"/>
      <c r="Q10" s="1109"/>
      <c r="R10" s="1136">
        <f>IF($AK10=0,AG65,AG47)</f>
        <v>2</v>
      </c>
      <c r="S10" s="1137"/>
      <c r="T10" s="1137"/>
      <c r="U10" s="1137"/>
      <c r="V10" s="1137"/>
      <c r="W10" s="1136">
        <f>AQ25</f>
        <v>-31</v>
      </c>
      <c r="X10" s="1137"/>
      <c r="Y10" s="1137"/>
      <c r="Z10" s="1138">
        <f>IF(AF59&gt;0,(AQ25/AF59),0)</f>
        <v>-0.46969696969696972</v>
      </c>
      <c r="AA10" s="1139"/>
      <c r="AB10" s="1139"/>
      <c r="AC10" s="1140">
        <f>IF(AF73=0,0,(AF65/AF73))</f>
        <v>0</v>
      </c>
      <c r="AD10" s="1141"/>
      <c r="AE10" s="1142"/>
      <c r="AF10" s="1143"/>
      <c r="AG10" s="1143"/>
      <c r="AH10" s="1144"/>
      <c r="AI10" s="1145"/>
      <c r="AJ10" s="1122"/>
      <c r="AK10" s="1123">
        <v>0</v>
      </c>
      <c r="AL10" s="1124" t="s">
        <v>34</v>
      </c>
      <c r="AM10" s="1124"/>
      <c r="AN10" s="1124"/>
      <c r="AO10" s="1124"/>
      <c r="AP10" s="1124"/>
      <c r="AQ10" s="1124"/>
      <c r="AR10" s="1125"/>
    </row>
    <row r="11" spans="1:53" ht="18.75" customHeight="1" thickBot="1" x14ac:dyDescent="0.25">
      <c r="A11" s="1149"/>
      <c r="B11" s="1168" t="s">
        <v>8</v>
      </c>
      <c r="C11" s="1169"/>
      <c r="D11" s="1169"/>
      <c r="E11" s="1153" t="str">
        <f>AV4</f>
        <v>fj2starl1pm</v>
      </c>
      <c r="F11" s="1154"/>
      <c r="G11" s="1154"/>
      <c r="H11" s="1154"/>
      <c r="I11" s="1154"/>
      <c r="J11" s="1154"/>
      <c r="K11" s="1154"/>
      <c r="L11" s="1155"/>
      <c r="M11" s="1156"/>
      <c r="N11" s="1156"/>
      <c r="O11" s="1156"/>
      <c r="P11" s="1156"/>
      <c r="Q11" s="1109"/>
      <c r="R11" s="1155"/>
      <c r="S11" s="1156"/>
      <c r="T11" s="1156"/>
      <c r="U11" s="1156"/>
      <c r="V11" s="1156"/>
      <c r="W11" s="1155"/>
      <c r="X11" s="1156"/>
      <c r="Y11" s="1156"/>
      <c r="Z11" s="1157"/>
      <c r="AA11" s="1158"/>
      <c r="AB11" s="1158"/>
      <c r="AC11" s="1159"/>
      <c r="AD11" s="1160"/>
      <c r="AE11" s="1161"/>
      <c r="AF11" s="1162"/>
      <c r="AG11" s="1162"/>
      <c r="AH11" s="1163"/>
      <c r="AI11" s="1164"/>
      <c r="AJ11" s="1122"/>
      <c r="AK11" s="1123">
        <v>1</v>
      </c>
      <c r="AL11" s="1124" t="s">
        <v>35</v>
      </c>
      <c r="AM11" s="1122"/>
      <c r="AN11" s="1122"/>
      <c r="AO11" s="1122"/>
      <c r="AP11" s="1122"/>
      <c r="AQ11" s="1122"/>
      <c r="AR11" s="1039"/>
      <c r="AT11" s="1170"/>
      <c r="AU11" s="1208" t="str">
        <f>'4 Tm Rd 1'!AU3</f>
        <v>Intense kids power col</v>
      </c>
      <c r="AV11" s="1208" t="str">
        <f>'4 Tm Rd 1'!AV3</f>
        <v>fj2inten3pm</v>
      </c>
      <c r="AW11" s="1208">
        <f>'4 Tm Rd 1'!AW3</f>
        <v>1252.9739815801377</v>
      </c>
      <c r="AX11" s="1208">
        <f>'4 Tm Rd 1'!AX3</f>
        <v>1291.463631335562</v>
      </c>
      <c r="AY11" s="1208">
        <f>'4 Tm Rd 1'!AY3</f>
        <v>1291.463631335562</v>
      </c>
    </row>
    <row r="12" spans="1:53" ht="18.75" customHeight="1" x14ac:dyDescent="0.2">
      <c r="A12" s="1129" t="str">
        <f>IF($AK9&gt;2,"3","")</f>
        <v>3</v>
      </c>
      <c r="B12" s="1171" t="s">
        <v>7</v>
      </c>
      <c r="C12" s="1172"/>
      <c r="D12" s="1172"/>
      <c r="E12" s="1133" t="str">
        <f>AU5</f>
        <v>SC Midlands KP Black</v>
      </c>
      <c r="F12" s="1134"/>
      <c r="G12" s="1134"/>
      <c r="H12" s="1134"/>
      <c r="I12" s="1134"/>
      <c r="J12" s="1134"/>
      <c r="K12" s="1135"/>
      <c r="L12" s="1136">
        <f>IF($AK10=0,AF66,AF48)</f>
        <v>2</v>
      </c>
      <c r="M12" s="1137"/>
      <c r="N12" s="1137"/>
      <c r="O12" s="1137"/>
      <c r="P12" s="1137"/>
      <c r="Q12" s="1109"/>
      <c r="R12" s="1136">
        <f>IF($AK10=0,AG66,AG48)</f>
        <v>1</v>
      </c>
      <c r="S12" s="1137"/>
      <c r="T12" s="1137"/>
      <c r="U12" s="1137"/>
      <c r="V12" s="1137"/>
      <c r="W12" s="1136">
        <f>AQ26</f>
        <v>2</v>
      </c>
      <c r="X12" s="1137"/>
      <c r="Y12" s="1137"/>
      <c r="Z12" s="1138">
        <f>IF(AF60&gt;0,(AQ26/AF60),0)</f>
        <v>2.4691358024691357E-2</v>
      </c>
      <c r="AA12" s="1139"/>
      <c r="AB12" s="1139"/>
      <c r="AC12" s="1140">
        <f>IF(AF74=0,0,(AF66/AF74))</f>
        <v>0.66666666666666663</v>
      </c>
      <c r="AD12" s="1141"/>
      <c r="AE12" s="1142"/>
      <c r="AF12" s="1143"/>
      <c r="AG12" s="1143"/>
      <c r="AH12" s="1144"/>
      <c r="AI12" s="1145"/>
      <c r="AJ12" s="1173"/>
      <c r="AK12" s="1123">
        <v>8</v>
      </c>
      <c r="AL12" s="1174" t="s">
        <v>36</v>
      </c>
      <c r="AM12" s="1124"/>
      <c r="AN12" s="1124"/>
      <c r="AO12" s="1124"/>
      <c r="AP12" s="1124"/>
      <c r="AQ12" s="1124"/>
      <c r="AR12" s="1125"/>
      <c r="AT12" s="1170"/>
      <c r="AU12" s="1208" t="str">
        <f>'4 Tm Rd 1'!AU4</f>
        <v>Foothills Vanessa</v>
      </c>
      <c r="AV12" s="1208" t="str">
        <f>'4 Tm Rd 1'!AV4</f>
        <v>fj2footh2pm</v>
      </c>
      <c r="AW12" s="1208">
        <f>'4 Tm Rd 1'!AW4</f>
        <v>1164.88819190138</v>
      </c>
      <c r="AX12" s="1208">
        <f>'4 Tm Rd 1'!AX4</f>
        <v>1157.3958897894904</v>
      </c>
      <c r="AY12" s="1208">
        <f>'4 Tm Rd 1'!AY4</f>
        <v>1157.3958897894904</v>
      </c>
    </row>
    <row r="13" spans="1:53" ht="18.75" customHeight="1" thickBot="1" x14ac:dyDescent="0.25">
      <c r="A13" s="1149"/>
      <c r="B13" s="1168" t="s">
        <v>8</v>
      </c>
      <c r="C13" s="1169"/>
      <c r="D13" s="1169"/>
      <c r="E13" s="1153" t="str">
        <f>AV5</f>
        <v>fj1scmid1pm</v>
      </c>
      <c r="F13" s="1154"/>
      <c r="G13" s="1154"/>
      <c r="H13" s="1154"/>
      <c r="I13" s="1154"/>
      <c r="J13" s="1154"/>
      <c r="K13" s="1154"/>
      <c r="L13" s="1155"/>
      <c r="M13" s="1156"/>
      <c r="N13" s="1156"/>
      <c r="O13" s="1156"/>
      <c r="P13" s="1156"/>
      <c r="Q13" s="1109"/>
      <c r="R13" s="1155"/>
      <c r="S13" s="1156"/>
      <c r="T13" s="1156"/>
      <c r="U13" s="1156"/>
      <c r="V13" s="1156"/>
      <c r="W13" s="1155"/>
      <c r="X13" s="1156"/>
      <c r="Y13" s="1156"/>
      <c r="Z13" s="1157"/>
      <c r="AA13" s="1158"/>
      <c r="AB13" s="1158"/>
      <c r="AC13" s="1159"/>
      <c r="AD13" s="1160"/>
      <c r="AE13" s="1161"/>
      <c r="AF13" s="1162"/>
      <c r="AG13" s="1162"/>
      <c r="AH13" s="1163"/>
      <c r="AI13" s="1164"/>
      <c r="AJ13" s="1173"/>
      <c r="AK13" s="1175"/>
      <c r="AL13" s="1176"/>
      <c r="AM13" s="1176"/>
      <c r="AN13" s="1176"/>
      <c r="AO13" s="1176"/>
      <c r="AP13" s="1176"/>
      <c r="AQ13" s="1122"/>
      <c r="AR13" s="1039"/>
      <c r="AT13" s="1170"/>
      <c r="AU13" s="1208" t="str">
        <f>'4 Tm Rd 1'!AU5</f>
        <v>SC Midlands KP Garnet</v>
      </c>
      <c r="AV13" s="1208" t="str">
        <f>'4 Tm Rd 1'!AV5</f>
        <v>fj1scmid2pm</v>
      </c>
      <c r="AW13" s="1208">
        <f>'4 Tm Rd 1'!AW5</f>
        <v>1233.3466974331975</v>
      </c>
      <c r="AX13" s="1208">
        <f>'4 Tm Rd 1'!AX5</f>
        <v>1216.9982652053041</v>
      </c>
      <c r="AY13" s="1208">
        <f>'4 Tm Rd 1'!AY5</f>
        <v>1216.9982652053041</v>
      </c>
    </row>
    <row r="14" spans="1:53" ht="18.75" customHeight="1" x14ac:dyDescent="0.2">
      <c r="A14" s="1129" t="str">
        <f>IF($AK9&gt;3,"4","")</f>
        <v>4</v>
      </c>
      <c r="B14" s="1171" t="s">
        <v>7</v>
      </c>
      <c r="C14" s="1172"/>
      <c r="D14" s="1172"/>
      <c r="E14" s="1133" t="str">
        <f>AU6</f>
        <v>SC Midlands KP Silver</v>
      </c>
      <c r="F14" s="1134"/>
      <c r="G14" s="1134"/>
      <c r="H14" s="1134"/>
      <c r="I14" s="1134"/>
      <c r="J14" s="1134"/>
      <c r="K14" s="1135"/>
      <c r="L14" s="1136">
        <f>IF($AK10=0,AF67,AF49)</f>
        <v>0</v>
      </c>
      <c r="M14" s="1137"/>
      <c r="N14" s="1137"/>
      <c r="O14" s="1137"/>
      <c r="P14" s="1137"/>
      <c r="Q14" s="1109"/>
      <c r="R14" s="1136">
        <f>IF($AK10=0,AG67,AG49)</f>
        <v>3</v>
      </c>
      <c r="S14" s="1137"/>
      <c r="T14" s="1137"/>
      <c r="U14" s="1137"/>
      <c r="V14" s="1137"/>
      <c r="W14" s="1136">
        <f>AQ27</f>
        <v>-34</v>
      </c>
      <c r="X14" s="1137"/>
      <c r="Y14" s="1137"/>
      <c r="Z14" s="1138">
        <f>IF(AF61&gt;0,(AQ27/AF61),0)</f>
        <v>-0.40476190476190477</v>
      </c>
      <c r="AA14" s="1139"/>
      <c r="AB14" s="1139"/>
      <c r="AC14" s="1140">
        <f>IF(AF75=0,0,(AF67/AF75))</f>
        <v>0</v>
      </c>
      <c r="AD14" s="1141"/>
      <c r="AE14" s="1142"/>
      <c r="AF14" s="1143"/>
      <c r="AG14" s="1143"/>
      <c r="AH14" s="1144"/>
      <c r="AI14" s="1145"/>
      <c r="AJ14" s="1058"/>
      <c r="AK14" s="1176"/>
      <c r="AL14" s="1176"/>
      <c r="AM14" s="1176"/>
      <c r="AN14" s="1176"/>
      <c r="AO14" s="1176"/>
      <c r="AP14" s="1176"/>
      <c r="AQ14" s="1124"/>
      <c r="AR14" s="1125"/>
      <c r="AT14" s="1170"/>
      <c r="AU14" s="1208" t="str">
        <f>'4 Tm Rd 1'!AU6</f>
        <v>SC Midlands KP White</v>
      </c>
      <c r="AV14" s="1208" t="str">
        <f>'4 Tm Rd 1'!AV6</f>
        <v>fj2scmid2pm</v>
      </c>
      <c r="AW14" s="1208">
        <f>'4 Tm Rd 1'!AW6</f>
        <v>1206.7266798132362</v>
      </c>
      <c r="AX14" s="1208">
        <f>'4 Tm Rd 1'!AX6</f>
        <v>1192.0777643975948</v>
      </c>
      <c r="AY14" s="1208">
        <f>'4 Tm Rd 1'!AY6</f>
        <v>1192.0777643975948</v>
      </c>
    </row>
    <row r="15" spans="1:53" ht="18.75" customHeight="1" thickBot="1" x14ac:dyDescent="0.25">
      <c r="A15" s="1149"/>
      <c r="B15" s="1168" t="s">
        <v>8</v>
      </c>
      <c r="C15" s="1169"/>
      <c r="D15" s="1169"/>
      <c r="E15" s="1153" t="str">
        <f>AV6</f>
        <v>fj1scmid4pm</v>
      </c>
      <c r="F15" s="1154"/>
      <c r="G15" s="1154"/>
      <c r="H15" s="1154"/>
      <c r="I15" s="1154"/>
      <c r="J15" s="1154"/>
      <c r="K15" s="1154"/>
      <c r="L15" s="1155"/>
      <c r="M15" s="1156"/>
      <c r="N15" s="1156"/>
      <c r="O15" s="1156"/>
      <c r="P15" s="1156"/>
      <c r="Q15" s="1109"/>
      <c r="R15" s="1155"/>
      <c r="S15" s="1156"/>
      <c r="T15" s="1156"/>
      <c r="U15" s="1156"/>
      <c r="V15" s="1156"/>
      <c r="W15" s="1155"/>
      <c r="X15" s="1156"/>
      <c r="Y15" s="1156"/>
      <c r="Z15" s="1157"/>
      <c r="AA15" s="1158"/>
      <c r="AB15" s="1158"/>
      <c r="AC15" s="1159"/>
      <c r="AD15" s="1160"/>
      <c r="AE15" s="1161"/>
      <c r="AF15" s="1162"/>
      <c r="AG15" s="1162"/>
      <c r="AH15" s="1163"/>
      <c r="AI15" s="1164"/>
      <c r="AJ15" s="1058"/>
      <c r="AK15" s="1176"/>
      <c r="AL15" s="1176"/>
      <c r="AM15" s="1176"/>
      <c r="AN15" s="1176"/>
      <c r="AO15" s="1176"/>
      <c r="AP15" s="1176"/>
      <c r="AQ15" s="1058"/>
      <c r="AR15" s="1039"/>
      <c r="AT15" s="1170"/>
      <c r="AU15" s="1208"/>
      <c r="AV15" s="1208"/>
    </row>
    <row r="16" spans="1:53" ht="18.75" customHeight="1" x14ac:dyDescent="0.2">
      <c r="A16" s="1129" t="str">
        <f>IF($AK9&gt;4,"5","")</f>
        <v>5</v>
      </c>
      <c r="B16" s="1171" t="s">
        <v>7</v>
      </c>
      <c r="C16" s="1172"/>
      <c r="D16" s="1172"/>
      <c r="E16" s="1133" t="str">
        <f>AU7</f>
        <v>SC Midlands KP Boys</v>
      </c>
      <c r="F16" s="1134"/>
      <c r="G16" s="1134"/>
      <c r="H16" s="1134"/>
      <c r="I16" s="1134"/>
      <c r="J16" s="1134"/>
      <c r="K16" s="1135"/>
      <c r="L16" s="1136">
        <f>IF($AK10=0,AF68,AF50)</f>
        <v>3</v>
      </c>
      <c r="M16" s="1137"/>
      <c r="N16" s="1137"/>
      <c r="O16" s="1137"/>
      <c r="P16" s="1137"/>
      <c r="Q16" s="1109"/>
      <c r="R16" s="1136">
        <f>IF($AK10=0,AG68,AG50)</f>
        <v>0</v>
      </c>
      <c r="S16" s="1137"/>
      <c r="T16" s="1137"/>
      <c r="U16" s="1137"/>
      <c r="V16" s="1137"/>
      <c r="W16" s="1136">
        <f>AQ28</f>
        <v>45</v>
      </c>
      <c r="X16" s="1137"/>
      <c r="Y16" s="1137"/>
      <c r="Z16" s="1138">
        <f>IF(AF62&gt;0,(AQ28/AF62),0)</f>
        <v>0.52325581395348841</v>
      </c>
      <c r="AA16" s="1139"/>
      <c r="AB16" s="1139"/>
      <c r="AC16" s="1140">
        <f>IF(AF76=0,0,(AF68/AF76))</f>
        <v>1</v>
      </c>
      <c r="AD16" s="1141"/>
      <c r="AE16" s="1142"/>
      <c r="AF16" s="1143"/>
      <c r="AG16" s="1143"/>
      <c r="AH16" s="1144"/>
      <c r="AI16" s="1145"/>
      <c r="AJ16" s="1058"/>
      <c r="AK16" s="1176"/>
      <c r="AL16" s="1176"/>
      <c r="AM16" s="1176"/>
      <c r="AN16" s="1176"/>
      <c r="AO16" s="1176"/>
      <c r="AP16" s="1176"/>
      <c r="AQ16" s="1058"/>
      <c r="AR16" s="1039"/>
      <c r="AT16" s="1170"/>
      <c r="AU16" s="1208"/>
      <c r="AV16" s="1208"/>
    </row>
    <row r="17" spans="1:48" ht="18.75" customHeight="1" thickBot="1" x14ac:dyDescent="0.25">
      <c r="A17" s="1149"/>
      <c r="B17" s="1177" t="s">
        <v>8</v>
      </c>
      <c r="C17" s="1178"/>
      <c r="D17" s="1178"/>
      <c r="E17" s="1179" t="str">
        <f>AV7</f>
        <v>fj2scmid3pm</v>
      </c>
      <c r="F17" s="1180"/>
      <c r="G17" s="1180"/>
      <c r="H17" s="1180"/>
      <c r="I17" s="1180"/>
      <c r="J17" s="1180"/>
      <c r="K17" s="1180"/>
      <c r="L17" s="1181"/>
      <c r="M17" s="1182"/>
      <c r="N17" s="1182"/>
      <c r="O17" s="1182"/>
      <c r="P17" s="1182"/>
      <c r="Q17" s="1109"/>
      <c r="R17" s="1181"/>
      <c r="S17" s="1182"/>
      <c r="T17" s="1182"/>
      <c r="U17" s="1182"/>
      <c r="V17" s="1182"/>
      <c r="W17" s="1181"/>
      <c r="X17" s="1182"/>
      <c r="Y17" s="1182"/>
      <c r="Z17" s="1183"/>
      <c r="AA17" s="1184"/>
      <c r="AB17" s="1184"/>
      <c r="AC17" s="1185"/>
      <c r="AD17" s="1186"/>
      <c r="AE17" s="1187"/>
      <c r="AF17" s="1188"/>
      <c r="AG17" s="1188"/>
      <c r="AH17" s="1189"/>
      <c r="AI17" s="1190"/>
      <c r="AJ17" s="1058"/>
      <c r="AK17" s="1176"/>
      <c r="AL17" s="1176"/>
      <c r="AM17" s="1176"/>
      <c r="AN17" s="1176"/>
      <c r="AO17" s="1176"/>
      <c r="AP17" s="1176"/>
      <c r="AQ17" s="1058"/>
      <c r="AR17" s="1039"/>
      <c r="AT17" s="1191"/>
      <c r="AU17" s="1208"/>
      <c r="AV17" s="1208"/>
    </row>
    <row r="18" spans="1:48" ht="21" customHeight="1" thickTop="1" thickBot="1" x14ac:dyDescent="0.25">
      <c r="A18" s="1192"/>
      <c r="B18" s="1193" t="s">
        <v>1205</v>
      </c>
      <c r="C18" s="1194"/>
      <c r="D18" s="1194"/>
      <c r="E18" s="1194"/>
      <c r="F18" s="1194"/>
      <c r="G18" s="1194"/>
      <c r="H18" s="1194"/>
      <c r="I18" s="1194"/>
      <c r="J18" s="1194"/>
      <c r="K18" s="1194"/>
      <c r="L18" s="1194"/>
      <c r="M18" s="1194"/>
      <c r="N18" s="1194"/>
      <c r="O18" s="1194"/>
      <c r="P18" s="1194"/>
      <c r="Q18" s="1194"/>
      <c r="R18" s="1194"/>
      <c r="S18" s="1194"/>
      <c r="T18" s="1194"/>
      <c r="U18" s="1194"/>
      <c r="V18" s="1194"/>
      <c r="W18" s="1194"/>
      <c r="X18" s="1194"/>
      <c r="Y18" s="1194"/>
      <c r="Z18" s="1194"/>
      <c r="AA18" s="1194"/>
      <c r="AB18" s="1194"/>
      <c r="AC18" s="1194"/>
      <c r="AD18" s="1194"/>
      <c r="AE18" s="1194"/>
      <c r="AF18" s="1194"/>
      <c r="AG18" s="1194"/>
      <c r="AH18" s="1194"/>
      <c r="AI18" s="1195"/>
      <c r="AJ18" s="1058"/>
      <c r="AK18" s="1176"/>
      <c r="AL18" s="1176"/>
      <c r="AM18" s="1176"/>
      <c r="AN18" s="1176"/>
      <c r="AO18" s="1176"/>
      <c r="AP18" s="1176"/>
      <c r="AQ18" s="1058"/>
      <c r="AR18" s="1039"/>
      <c r="AT18" s="1191"/>
      <c r="AU18" s="1208"/>
      <c r="AV18" s="1208"/>
    </row>
    <row r="19" spans="1:48" ht="13.5" thickTop="1" x14ac:dyDescent="0.2">
      <c r="A19" t="s">
        <v>39</v>
      </c>
      <c r="B19" s="1196">
        <v>0.35416666666666669</v>
      </c>
      <c r="C19" s="1197"/>
      <c r="D19" s="1198"/>
      <c r="E19" s="1196">
        <v>0.38541666666666669</v>
      </c>
      <c r="F19" s="1197"/>
      <c r="G19" s="1198"/>
      <c r="H19" s="1196">
        <v>0.41666666666666669</v>
      </c>
      <c r="I19" s="1197"/>
      <c r="J19" s="1198"/>
      <c r="K19" s="1196">
        <v>0.44791666666666669</v>
      </c>
      <c r="L19" s="1197"/>
      <c r="M19" s="1198"/>
      <c r="N19" s="1196">
        <v>0.47916666666666669</v>
      </c>
      <c r="O19" s="1197"/>
      <c r="P19" s="1198"/>
      <c r="Q19" s="1196">
        <v>0.51041666666666663</v>
      </c>
      <c r="R19" s="1197"/>
      <c r="S19" s="1198"/>
      <c r="T19" s="1196">
        <v>4.1666666666666664E-2</v>
      </c>
      <c r="U19" s="1197"/>
      <c r="V19" s="1198"/>
      <c r="W19" s="1196">
        <v>7.2916666666666671E-2</v>
      </c>
      <c r="X19" s="1197"/>
      <c r="Y19" s="1198"/>
      <c r="Z19" s="1196">
        <v>0.10416666666666667</v>
      </c>
      <c r="AA19" s="1197"/>
      <c r="AB19" s="1198"/>
      <c r="AC19" s="1196">
        <v>0.13541666666666666</v>
      </c>
      <c r="AD19" s="1197"/>
      <c r="AE19" s="1198"/>
      <c r="AF19" s="1199" t="s">
        <v>40</v>
      </c>
      <c r="AG19" s="1200"/>
      <c r="AH19" s="1200"/>
      <c r="AI19" s="1200"/>
      <c r="AJ19" s="1201"/>
      <c r="AK19" s="1201"/>
      <c r="AL19" s="1201"/>
      <c r="AM19" s="1201"/>
      <c r="AN19" s="1201"/>
      <c r="AO19" s="1201"/>
      <c r="AP19" s="1201"/>
      <c r="AQ19" s="1202"/>
      <c r="AT19" s="1191"/>
      <c r="AU19" s="1208"/>
      <c r="AV19" s="1208"/>
    </row>
    <row r="20" spans="1:48" x14ac:dyDescent="0.2">
      <c r="A20" s="1203" t="s">
        <v>41</v>
      </c>
      <c r="B20" s="1204"/>
      <c r="C20" s="1205"/>
      <c r="D20" s="1206"/>
      <c r="E20" s="1204"/>
      <c r="F20" s="1205"/>
      <c r="G20" s="1206"/>
      <c r="H20" s="1204"/>
      <c r="I20" s="1205"/>
      <c r="J20" s="1206"/>
      <c r="K20" s="1204"/>
      <c r="L20" s="1205"/>
      <c r="M20" s="1206"/>
      <c r="N20" s="1204"/>
      <c r="O20" s="1205"/>
      <c r="P20" s="1206"/>
      <c r="Q20" s="1204"/>
      <c r="R20" s="1205"/>
      <c r="S20" s="1206"/>
      <c r="T20" s="1204"/>
      <c r="U20" s="1205"/>
      <c r="V20" s="1206"/>
      <c r="W20" s="1204"/>
      <c r="X20" s="1205"/>
      <c r="Y20" s="1206"/>
      <c r="Z20" s="1204"/>
      <c r="AA20" s="1205"/>
      <c r="AB20" s="1206"/>
      <c r="AC20" s="1204"/>
      <c r="AD20" s="1205"/>
      <c r="AE20" s="1206"/>
      <c r="AF20" s="1199"/>
      <c r="AG20" s="1200"/>
      <c r="AH20" s="1200"/>
      <c r="AI20" s="1200"/>
      <c r="AJ20" s="1200"/>
      <c r="AK20" s="1200"/>
      <c r="AL20" s="1200"/>
      <c r="AM20" s="1200"/>
      <c r="AN20" s="1200"/>
      <c r="AO20" s="1200"/>
      <c r="AP20" s="1200"/>
      <c r="AQ20" s="1207"/>
      <c r="AT20" s="1191"/>
      <c r="AU20" s="1208"/>
      <c r="AV20" s="1208"/>
    </row>
    <row r="21" spans="1:48" x14ac:dyDescent="0.2">
      <c r="A21" s="1203" t="s">
        <v>42</v>
      </c>
      <c r="B21" s="1204"/>
      <c r="C21" s="1205"/>
      <c r="D21" s="1206"/>
      <c r="E21" s="1204"/>
      <c r="F21" s="1205"/>
      <c r="G21" s="1206"/>
      <c r="H21" s="1204"/>
      <c r="I21" s="1205"/>
      <c r="J21" s="1206"/>
      <c r="K21" s="1204"/>
      <c r="L21" s="1205"/>
      <c r="M21" s="1206"/>
      <c r="N21" s="1204"/>
      <c r="O21" s="1205"/>
      <c r="P21" s="1206"/>
      <c r="Q21" s="1204"/>
      <c r="R21" s="1205"/>
      <c r="S21" s="1206"/>
      <c r="T21" s="1204"/>
      <c r="U21" s="1205"/>
      <c r="V21" s="1206"/>
      <c r="W21" s="1204"/>
      <c r="X21" s="1205"/>
      <c r="Y21" s="1206"/>
      <c r="Z21" s="1204"/>
      <c r="AA21" s="1205"/>
      <c r="AB21" s="1206"/>
      <c r="AC21" s="1204"/>
      <c r="AD21" s="1205"/>
      <c r="AE21" s="1206"/>
      <c r="AF21" s="1199"/>
      <c r="AG21" s="1200"/>
      <c r="AH21" s="1200"/>
      <c r="AI21" s="1200"/>
      <c r="AJ21" s="1200"/>
      <c r="AK21" s="1200"/>
      <c r="AL21" s="1200"/>
      <c r="AM21" s="1200"/>
      <c r="AN21" s="1200"/>
      <c r="AO21" s="1200"/>
      <c r="AP21" s="1200"/>
      <c r="AQ21" s="1207"/>
    </row>
    <row r="22" spans="1:48" ht="13.5" thickBot="1" x14ac:dyDescent="0.25">
      <c r="A22" s="1058"/>
      <c r="B22" s="1209" t="s">
        <v>43</v>
      </c>
      <c r="C22" s="1210"/>
      <c r="D22" s="1211"/>
      <c r="E22" s="1209" t="str">
        <f>IF(AK8&gt;1,"Match 2","")</f>
        <v>Match 2</v>
      </c>
      <c r="F22" s="1210"/>
      <c r="G22" s="1211"/>
      <c r="H22" s="1209" t="str">
        <f>IF(AK8&gt;2,"Match 3","")</f>
        <v>Match 3</v>
      </c>
      <c r="I22" s="1210"/>
      <c r="J22" s="1211"/>
      <c r="K22" s="1209" t="str">
        <f>IF(AK8&gt;3,"Match 4","")</f>
        <v>Match 4</v>
      </c>
      <c r="L22" s="1210"/>
      <c r="M22" s="1211"/>
      <c r="N22" s="1209" t="str">
        <f>IF(AK8&gt;4,"Match 5","")</f>
        <v>Match 5</v>
      </c>
      <c r="O22" s="1210"/>
      <c r="P22" s="1211"/>
      <c r="Q22" s="1209" t="str">
        <f>IF(AK8&gt;5,"Match 6","")</f>
        <v>Match 6</v>
      </c>
      <c r="R22" s="1210"/>
      <c r="S22" s="1211"/>
      <c r="T22" s="1209" t="str">
        <f>IF(AK8&gt;6,"Match 7","")</f>
        <v>Match 7</v>
      </c>
      <c r="U22" s="1210"/>
      <c r="V22" s="1211"/>
      <c r="W22" s="1209" t="str">
        <f>IF(AK8&gt;7,"Match 8","")</f>
        <v/>
      </c>
      <c r="X22" s="1210"/>
      <c r="Y22" s="1211"/>
      <c r="Z22" s="1209" t="str">
        <f>IF(AK8&gt;8,"Match 9","")</f>
        <v/>
      </c>
      <c r="AA22" s="1210"/>
      <c r="AB22" s="1211"/>
      <c r="AC22" s="1209" t="str">
        <f>IF(AK8&gt;9,"Match 10","")</f>
        <v/>
      </c>
      <c r="AD22" s="1210"/>
      <c r="AE22" s="1211"/>
      <c r="AF22" s="1212"/>
      <c r="AG22" s="1213"/>
      <c r="AH22" s="1213"/>
      <c r="AI22" s="1213"/>
      <c r="AJ22" s="1213"/>
      <c r="AK22" s="1213"/>
      <c r="AL22" s="1213"/>
      <c r="AM22" s="1213"/>
      <c r="AN22" s="1213"/>
      <c r="AO22" s="1213"/>
      <c r="AP22" s="1213"/>
      <c r="AQ22" s="1214"/>
      <c r="AT22" s="1191"/>
      <c r="AU22" s="1208"/>
      <c r="AV22" s="1208"/>
    </row>
    <row r="23" spans="1:48" ht="15.75" x14ac:dyDescent="0.25">
      <c r="A23" s="1058"/>
      <c r="B23" s="1215" t="s">
        <v>44</v>
      </c>
      <c r="C23" s="1216"/>
      <c r="D23" s="1217"/>
      <c r="E23" s="1215" t="s">
        <v>45</v>
      </c>
      <c r="F23" s="1216"/>
      <c r="G23" s="1217"/>
      <c r="H23" s="1215" t="s">
        <v>46</v>
      </c>
      <c r="I23" s="1216"/>
      <c r="J23" s="1217"/>
      <c r="K23" s="1215" t="s">
        <v>47</v>
      </c>
      <c r="L23" s="1216"/>
      <c r="M23" s="1217"/>
      <c r="N23" s="1215" t="s">
        <v>48</v>
      </c>
      <c r="O23" s="1216"/>
      <c r="P23" s="1217"/>
      <c r="Q23" s="1215" t="s">
        <v>46</v>
      </c>
      <c r="R23" s="1216"/>
      <c r="S23" s="1217"/>
      <c r="T23" s="1215" t="s">
        <v>44</v>
      </c>
      <c r="U23" s="1216"/>
      <c r="V23" s="1217"/>
      <c r="W23" s="1215" t="s">
        <v>48</v>
      </c>
      <c r="X23" s="1216"/>
      <c r="Y23" s="1217"/>
      <c r="Z23" s="1215" t="s">
        <v>47</v>
      </c>
      <c r="AA23" s="1216"/>
      <c r="AB23" s="1217"/>
      <c r="AC23" s="1215" t="s">
        <v>45</v>
      </c>
      <c r="AD23" s="1216"/>
      <c r="AE23" s="1217"/>
      <c r="AF23" s="1218" t="s">
        <v>49</v>
      </c>
      <c r="AG23" s="1219">
        <v>1</v>
      </c>
      <c r="AH23" s="1219">
        <v>2</v>
      </c>
      <c r="AI23" s="1219">
        <v>3</v>
      </c>
      <c r="AJ23" s="1219">
        <v>4</v>
      </c>
      <c r="AK23" s="1219">
        <v>5</v>
      </c>
      <c r="AL23" s="1219">
        <v>6</v>
      </c>
      <c r="AM23" s="1219">
        <v>7</v>
      </c>
      <c r="AN23" s="1219">
        <v>8</v>
      </c>
      <c r="AO23" s="1219">
        <v>9</v>
      </c>
      <c r="AP23" s="1219">
        <v>10</v>
      </c>
      <c r="AQ23" s="1220" t="s">
        <v>50</v>
      </c>
      <c r="AT23" s="1191"/>
      <c r="AU23" s="1208"/>
      <c r="AV23" s="1208"/>
    </row>
    <row r="24" spans="1:48" ht="15.75" x14ac:dyDescent="0.25">
      <c r="A24" s="1058"/>
      <c r="B24" s="1221">
        <v>1</v>
      </c>
      <c r="C24" s="1222" t="s">
        <v>51</v>
      </c>
      <c r="D24" s="1223">
        <v>2</v>
      </c>
      <c r="E24" s="1221">
        <v>3</v>
      </c>
      <c r="F24" s="1222" t="str">
        <f>IF(AK8&gt;1,"v","")</f>
        <v>v</v>
      </c>
      <c r="G24" s="1223">
        <v>4</v>
      </c>
      <c r="H24" s="1221">
        <v>1</v>
      </c>
      <c r="I24" s="1222" t="str">
        <f>IF(AK8&gt;2,"v","")</f>
        <v>v</v>
      </c>
      <c r="J24" s="1223">
        <v>5</v>
      </c>
      <c r="K24" s="1221">
        <v>2</v>
      </c>
      <c r="L24" s="1222" t="str">
        <f>IF(AK8&gt;3,"v","")</f>
        <v>v</v>
      </c>
      <c r="M24" s="1223">
        <v>3</v>
      </c>
      <c r="N24" s="1221">
        <v>4</v>
      </c>
      <c r="O24" s="1222" t="str">
        <f>IF(AK8&gt;4,"v","")</f>
        <v>v</v>
      </c>
      <c r="P24" s="1223">
        <v>5</v>
      </c>
      <c r="Q24" s="1224">
        <v>5</v>
      </c>
      <c r="R24" s="1222" t="str">
        <f>IF(AK8&gt;5,"v","")</f>
        <v>v</v>
      </c>
      <c r="S24" s="1225">
        <v>3</v>
      </c>
      <c r="T24" s="1224">
        <v>1</v>
      </c>
      <c r="U24" s="1222" t="str">
        <f>IF(AK8&gt;6,"v","")</f>
        <v>v</v>
      </c>
      <c r="V24" s="1225">
        <v>4</v>
      </c>
      <c r="W24" s="1221"/>
      <c r="X24" s="1222" t="str">
        <f>IF(AK8&gt;7,"v","")</f>
        <v/>
      </c>
      <c r="Y24" s="1223"/>
      <c r="Z24" s="1221"/>
      <c r="AA24" s="1222" t="str">
        <f>IF(AK8&gt;8,"v","")</f>
        <v/>
      </c>
      <c r="AB24" s="1223"/>
      <c r="AC24" s="1221"/>
      <c r="AD24" s="1222" t="str">
        <f>IF(AK8&gt;9,"v","")</f>
        <v/>
      </c>
      <c r="AE24" s="1223"/>
      <c r="AF24" s="1218" t="str">
        <f>IF(AK9&gt;0,"Team 1","")</f>
        <v>Team 1</v>
      </c>
      <c r="AG24" s="1226">
        <f>IF(AK9&lt;1,"",IF(AK8&lt;1,"",IF(B24=1,B30-D30,IF(D24=1,D30-B30,""))))</f>
        <v>16</v>
      </c>
      <c r="AH24" s="1226" t="str">
        <f>IF(AK9&lt;1,"",IF(AK8&lt;2,"",IF(E24=1,E30-G30,IF(G24=1,G30-E30,""))))</f>
        <v/>
      </c>
      <c r="AI24" s="1226">
        <f>IF(AK9&lt;1,"",IF(AK8&lt;3,"",IF(H24=1,H30-J30,IF(J24=1,J30-H30,""))))</f>
        <v>-9</v>
      </c>
      <c r="AJ24" s="1226" t="str">
        <f>IF(AK9&lt;1,"",IF(AK8&lt;4,"",IF(K24=1,K30-M30,IF(M24=1,M30-K30,""))))</f>
        <v/>
      </c>
      <c r="AK24" s="1226" t="str">
        <f>IF(AK9&lt;1,"",IF(AK8&lt;5,"",IF(N24=1,N30-P30,IF(P24=1,P30-N30,""))))</f>
        <v/>
      </c>
      <c r="AL24" s="1226" t="str">
        <f>IF(AK9&lt;1,"",IF(AK8&lt;6,"",IF(Q24=1,Q30-S30,IF(S24=1,S30-Q30,""))))</f>
        <v/>
      </c>
      <c r="AM24" s="1226">
        <f>IF(AK9&lt;1,"",IF(AK8&lt;7,"",IF(T24=1,T30-V30,IF(V24=1,V30-T30,""))))</f>
        <v>11</v>
      </c>
      <c r="AN24" s="1226" t="str">
        <f>IF(AK9&lt;1,"",IF(AK8&lt;8,"",IF(W24=1,W30-Y30,IF(Y24=1,Y30-W30,""))))</f>
        <v/>
      </c>
      <c r="AO24" s="1226" t="str">
        <f>IF(AK9&lt;1,"",IF(AK8&lt;9,"",IF(Z24=1,Z30-AB30,IF(AB24=1,AB30-Z30,""))))</f>
        <v/>
      </c>
      <c r="AP24" s="1226" t="str">
        <f>IF(AK9&lt;1,"",IF(AK8&lt;10,"",IF(AC24=1,AC30-AE30,IF(AE24=1,AE30-AC30,""))))</f>
        <v/>
      </c>
      <c r="AQ24" s="1220">
        <f>SUM(AG24:AP24)</f>
        <v>18</v>
      </c>
      <c r="AT24" s="1191"/>
      <c r="AU24" s="1208"/>
      <c r="AV24" s="1208"/>
    </row>
    <row r="25" spans="1:48" ht="15" x14ac:dyDescent="0.2">
      <c r="A25" t="s">
        <v>52</v>
      </c>
      <c r="B25" s="1227">
        <v>35</v>
      </c>
      <c r="C25" s="1228" t="s">
        <v>53</v>
      </c>
      <c r="D25" s="1229">
        <v>19</v>
      </c>
      <c r="E25" s="1227">
        <v>29</v>
      </c>
      <c r="F25" s="1228" t="str">
        <f>IF(AK8&gt;1,"/","")</f>
        <v>/</v>
      </c>
      <c r="G25" s="1229">
        <v>24</v>
      </c>
      <c r="H25" s="1227">
        <v>20</v>
      </c>
      <c r="I25" s="1228" t="str">
        <f>IF(AK8&gt;2,"/","")</f>
        <v>/</v>
      </c>
      <c r="J25" s="1229">
        <v>29</v>
      </c>
      <c r="K25" s="1227">
        <v>16</v>
      </c>
      <c r="L25" s="1228" t="str">
        <f>IF(AK8&gt;3,"/","")</f>
        <v>/</v>
      </c>
      <c r="M25" s="1229">
        <v>31</v>
      </c>
      <c r="N25" s="1227">
        <v>18</v>
      </c>
      <c r="O25" s="1228" t="str">
        <f>IF(AK8&gt;4,"/","")</f>
        <v>/</v>
      </c>
      <c r="P25" s="1229">
        <v>36</v>
      </c>
      <c r="Q25" s="1227">
        <v>21</v>
      </c>
      <c r="R25" s="1228" t="str">
        <f>IF(AK8&gt;5,"/","")</f>
        <v>/</v>
      </c>
      <c r="S25" s="1229">
        <v>3</v>
      </c>
      <c r="T25" s="1227">
        <v>19</v>
      </c>
      <c r="U25" s="1228" t="str">
        <f>IF(AK8&gt;6,"/","")</f>
        <v>/</v>
      </c>
      <c r="V25" s="1229">
        <v>8</v>
      </c>
      <c r="W25" s="1227"/>
      <c r="X25" s="1228" t="str">
        <f>IF(AK8&gt;7,"/","")</f>
        <v/>
      </c>
      <c r="Y25" s="1229"/>
      <c r="Z25" s="1227"/>
      <c r="AA25" s="1228" t="str">
        <f>IF(AK8&gt;8,"/","")</f>
        <v/>
      </c>
      <c r="AB25" s="1229"/>
      <c r="AC25" s="1227"/>
      <c r="AD25" s="1228" t="str">
        <f>IF(AK8&gt;9,"/","")</f>
        <v/>
      </c>
      <c r="AE25" s="1229"/>
      <c r="AF25" s="1218" t="str">
        <f>IF(AK9&gt;1,"Team 2","")</f>
        <v>Team 2</v>
      </c>
      <c r="AG25" s="1226">
        <f>IF(AK9&lt;2,"",IF(AK8&lt;1,"",IF(B24=2,B30-D30,IF(D24=2,D30-B30,""))))</f>
        <v>-16</v>
      </c>
      <c r="AH25" s="1226" t="str">
        <f>IF(AK9&lt;2,"",IF(AK8&lt;2,"",IF(E24=2,E30-G30,IF(G24=2,G30-E30,""))))</f>
        <v/>
      </c>
      <c r="AI25" s="1226" t="str">
        <f>IF(AK9&lt;2,"",IF(AK8&lt;3,"",IF(H24=2,H30-J30,IF(J24=2,J30-H30,""))))</f>
        <v/>
      </c>
      <c r="AJ25" s="1226">
        <f>IF(AK9&lt;2,"",IF(AK8&lt;4,"",IF(K24=2,K30-M30,IF(M24=2,M30-K30,""))))</f>
        <v>-15</v>
      </c>
      <c r="AK25" s="1226" t="str">
        <f>IF(AK9&lt;2,"",IF(AK8&lt;5,"",IF(N24=2,N30-P30,IF(P24=2,P30-N30,""))))</f>
        <v/>
      </c>
      <c r="AL25" s="1226" t="str">
        <f>IF(AK9&lt;2,"",IF(AK8&lt;6,"",IF(Q24=2,Q30-S30,IF(S24=2,S30-Q30,""))))</f>
        <v/>
      </c>
      <c r="AM25" s="1226" t="str">
        <f>IF(AK9&lt;2,"",IF(AK8&lt;7,"",IF(T24=2,T30-V30,IF(V24=2,V30-T30,""))))</f>
        <v/>
      </c>
      <c r="AN25" s="1226" t="str">
        <f>IF(AK9&lt;2,"",IF(AK8&lt;8,"",IF(W24=2,W30-Y30,IF(Y24=2,Y30-W30,""))))</f>
        <v/>
      </c>
      <c r="AO25" s="1226" t="str">
        <f>IF(AK9&lt;2,"",IF(AK8&lt;9,"",IF(Z24=2,Z30-AB30,IF(AB24=2,AB30-Z30,""))))</f>
        <v/>
      </c>
      <c r="AP25" s="1226" t="str">
        <f>IF(AK9&lt;2,"",IF(AK8&lt;10,"",IF(AC24=2,AC30-AE30,IF(AE24=2,AE30-AC30,""))))</f>
        <v/>
      </c>
      <c r="AQ25" s="1220">
        <f>SUM(AG25:AP25)</f>
        <v>-31</v>
      </c>
    </row>
    <row r="26" spans="1:48" ht="15" x14ac:dyDescent="0.2">
      <c r="A26" s="1039" t="str">
        <f>IF(AK7&gt;1,"Game 2","")</f>
        <v/>
      </c>
      <c r="B26" s="1227"/>
      <c r="C26" s="1228" t="s">
        <v>53</v>
      </c>
      <c r="D26" s="1229"/>
      <c r="E26" s="1227"/>
      <c r="F26" s="1228" t="str">
        <f>IF(AK8&gt;1,IF(AK7&gt;1,"/",""),"")</f>
        <v/>
      </c>
      <c r="G26" s="1229"/>
      <c r="H26" s="1227"/>
      <c r="I26" s="1228" t="str">
        <f>IF(AK8&gt;2,IF(AK7&gt;1,"/",""),"")</f>
        <v/>
      </c>
      <c r="J26" s="1229"/>
      <c r="K26" s="1227"/>
      <c r="L26" s="1228" t="str">
        <f>IF(AK8&gt;3,IF(AK7&gt;1,"/",""),"")</f>
        <v/>
      </c>
      <c r="M26" s="1229"/>
      <c r="N26" s="1227"/>
      <c r="O26" s="1228" t="str">
        <f>IF(AK8&gt;4,IF(AK7&gt;1,"/",""),"")</f>
        <v/>
      </c>
      <c r="P26" s="1229"/>
      <c r="Q26" s="1227"/>
      <c r="R26" s="1228" t="str">
        <f>IF(AK8&gt;5,IF(AK7&gt;1,"/",""),"")</f>
        <v/>
      </c>
      <c r="S26" s="1229"/>
      <c r="T26" s="1227"/>
      <c r="U26" s="1228" t="str">
        <f>IF(AK8&gt;6,IF(AK7&gt;1,"/",""),"")</f>
        <v/>
      </c>
      <c r="V26" s="1229"/>
      <c r="W26" s="1227"/>
      <c r="X26" s="1228" t="str">
        <f>IF(AK8&gt;7,IF(AK7&gt;1,"/",""),"")</f>
        <v/>
      </c>
      <c r="Y26" s="1229"/>
      <c r="Z26" s="1227"/>
      <c r="AA26" s="1228" t="str">
        <f>IF(AK8&gt;8,IF(AK7&gt;1,"/",""),"")</f>
        <v/>
      </c>
      <c r="AB26" s="1229"/>
      <c r="AC26" s="1227"/>
      <c r="AD26" s="1228" t="str">
        <f>IF(AK8&gt;9,IF(AK7&gt;1,"/",""),"")</f>
        <v/>
      </c>
      <c r="AE26" s="1229"/>
      <c r="AF26" s="1218" t="str">
        <f>IF(AK9&gt;2,"Team 3","")</f>
        <v>Team 3</v>
      </c>
      <c r="AG26" s="1226" t="str">
        <f>IF(AK9&lt;3,"",IF(AK8&lt;1,"",IF(B24=3,B30-D30,IF(D24=3,D30-B30,""))))</f>
        <v/>
      </c>
      <c r="AH26" s="1226">
        <f>IF(AK9&lt;3,"",IF(AK8&lt;2,"",IF(E24=3,E30-G30,IF(G24=3,G30-E30,""))))</f>
        <v>5</v>
      </c>
      <c r="AI26" s="1226" t="str">
        <f>IF(AK9&lt;3,"",IF(AK8&lt;3,"",IF(H24=3,H30-J30,IF(J24=3,J30-H30,""))))</f>
        <v/>
      </c>
      <c r="AJ26" s="1226">
        <f>IF(AK9&lt;3,"",IF(AK8&lt;4,"",IF(K24=3,K30-M30,IF(M24=3,M30-K30,""))))</f>
        <v>15</v>
      </c>
      <c r="AK26" s="1226" t="str">
        <f>IF(AK9&lt;3,"",IF(AK8&lt;5,"",IF(N24=3,N30-P30,IF(P24=3,P30-N30,""))))</f>
        <v/>
      </c>
      <c r="AL26" s="1226">
        <f>IF(AK9&lt;3,"",IF(AK8&lt;6,"",IF(Q24=3,Q30-S30,IF(S24=3,S30-Q30,""))))</f>
        <v>-18</v>
      </c>
      <c r="AM26" s="1226" t="str">
        <f>IF(AK9&lt;3,"",IF(AK8&lt;7,"",IF(T24=3,T30-V30,IF(V24=3,V30-T30,""))))</f>
        <v/>
      </c>
      <c r="AN26" s="1226" t="str">
        <f>IF(AK9&lt;3,"",IF(AK8&lt;8,"",IF(W24=3,W30-Y30,IF(Y24=3,Y30-W30,""))))</f>
        <v/>
      </c>
      <c r="AO26" s="1226" t="str">
        <f>IF(AK9&lt;3,"",IF(AK8&lt;9,"",IF(Z24=3,Z30-AB30,IF(AB24=3,AB30-Z30,""))))</f>
        <v/>
      </c>
      <c r="AP26" s="1226" t="str">
        <f>IF(AK9&lt;3,"",IF(AK8&lt;9,"",IF(AC24=3,AC30-AE30,IF(AE24=3,AE30-AC30,""))))</f>
        <v/>
      </c>
      <c r="AQ26" s="1220">
        <f>SUM(AG26:AP26)</f>
        <v>2</v>
      </c>
    </row>
    <row r="27" spans="1:48" ht="15" x14ac:dyDescent="0.2">
      <c r="A27" s="1039" t="str">
        <f>IF(AK7&gt;2,"Game 3","")</f>
        <v/>
      </c>
      <c r="B27" s="1227"/>
      <c r="C27" s="1228" t="s">
        <v>53</v>
      </c>
      <c r="D27" s="1229"/>
      <c r="E27" s="1227"/>
      <c r="F27" s="1228" t="str">
        <f>IF(AK8&gt;1,IF(AK7&gt;2,"/",""),"")</f>
        <v/>
      </c>
      <c r="G27" s="1229"/>
      <c r="H27" s="1227"/>
      <c r="I27" s="1228" t="str">
        <f>IF(AK8&gt;2,IF(AK7&gt;2,"/",""),"")</f>
        <v/>
      </c>
      <c r="J27" s="1229"/>
      <c r="K27" s="1227"/>
      <c r="L27" s="1228" t="str">
        <f>IF(AK8&gt;3,IF(AK7&gt;2,"/",""),"")</f>
        <v/>
      </c>
      <c r="M27" s="1229"/>
      <c r="N27" s="1227"/>
      <c r="O27" s="1228" t="str">
        <f>IF(AK8&gt;4,IF(AK7&gt;2,"/",""),"")</f>
        <v/>
      </c>
      <c r="P27" s="1229"/>
      <c r="Q27" s="1227"/>
      <c r="R27" s="1228" t="str">
        <f>IF(AK8&gt;5,IF(AK7&gt;2,"/",""),"")</f>
        <v/>
      </c>
      <c r="S27" s="1229"/>
      <c r="T27" s="1227"/>
      <c r="U27" s="1228" t="str">
        <f>IF(AK8&gt;6,IF(AK7&gt;2,"/",""),"")</f>
        <v/>
      </c>
      <c r="V27" s="1229"/>
      <c r="W27" s="1227"/>
      <c r="X27" s="1228" t="str">
        <f>IF(AK8&gt;7,IF(AK7&gt;2,"/",""),"")</f>
        <v/>
      </c>
      <c r="Y27" s="1229"/>
      <c r="Z27" s="1227"/>
      <c r="AA27" s="1228" t="str">
        <f>IF(AK8&gt;8,IF(AK7&gt;2,"/",""),"")</f>
        <v/>
      </c>
      <c r="AB27" s="1229"/>
      <c r="AC27" s="1227"/>
      <c r="AD27" s="1228" t="str">
        <f>IF(AK8&gt;9,IF(AK7&gt;2,"/",""),"")</f>
        <v/>
      </c>
      <c r="AE27" s="1229"/>
      <c r="AF27" s="1218" t="str">
        <f>IF(AK9&gt;3,"Team 4","")</f>
        <v>Team 4</v>
      </c>
      <c r="AG27" s="1226" t="str">
        <f>IF(AK9&lt;4,"",IF(AK8&lt;1,"",IF(B24=4,B30-D30,IF(D24=4,D30-B30,""))))</f>
        <v/>
      </c>
      <c r="AH27" s="1226">
        <f>IF(AK9&lt;4,"",IF(AK8&lt;2,"",IF(E24=4,E30-G30,IF(G24=4,G30-E30,""))))</f>
        <v>-5</v>
      </c>
      <c r="AI27" s="1226" t="str">
        <f>IF(AK9&lt;4,"",IF(AK8&lt;3,"",IF(H24=4,H30-J30,IF(J24=4,J30-H30,""))))</f>
        <v/>
      </c>
      <c r="AJ27" s="1226" t="str">
        <f>IF(AK9&lt;4,"",IF(AK8&lt;4,"",IF(K24=4,K30-M30,IF(M24=4,M30-K30,""))))</f>
        <v/>
      </c>
      <c r="AK27" s="1226">
        <f>IF(AK9&lt;4,"",IF(AK8&lt;5,"",IF(N24=4,N30-P30,IF(P24=4,P30-N30,""))))</f>
        <v>-18</v>
      </c>
      <c r="AL27" s="1226" t="str">
        <f>IF(AK9&lt;4,"",IF(AK8&lt;6,"",IF(Q24=4,Q30-S30,IF(S24=4,S30-Q30,""))))</f>
        <v/>
      </c>
      <c r="AM27" s="1226">
        <f>IF(AK9&lt;4,"",IF(AK8&lt;7,"",IF(T24=4,T30-V30,IF(V24=4,V30-T30,""))))</f>
        <v>-11</v>
      </c>
      <c r="AN27" s="1226" t="str">
        <f>IF(AK9&lt;4,"",IF(AK8&lt;8,"",IF(W24=4,W30-Y30,IF(Y24=4,Y30-W30,""))))</f>
        <v/>
      </c>
      <c r="AO27" s="1226" t="str">
        <f>IF(AK9&lt;4,"",IF(AK8&lt;9,"",IF(Z24=4,Z30-AB30,IF(AB24=4,AB30-Z30,""))))</f>
        <v/>
      </c>
      <c r="AP27" s="1226" t="str">
        <f>IF(AK9&lt;4,"",IF(AK8&lt;10,"",IF(AC24=4,AC30-AE30,IF(AE24=4,AE30-AC30,""))))</f>
        <v/>
      </c>
      <c r="AQ27" s="1220">
        <f>SUM(AG27:AP27)</f>
        <v>-34</v>
      </c>
    </row>
    <row r="28" spans="1:48" ht="15" x14ac:dyDescent="0.2">
      <c r="A28" s="1039" t="str">
        <f>IF(AK7&gt;3,"Game 4","")</f>
        <v/>
      </c>
      <c r="B28" s="1227"/>
      <c r="C28" s="1228" t="s">
        <v>53</v>
      </c>
      <c r="D28" s="1229"/>
      <c r="E28" s="1227"/>
      <c r="F28" s="1228" t="str">
        <f>IF(AK8&gt;1,IF(AK7&gt;3,"/",""),"")</f>
        <v/>
      </c>
      <c r="G28" s="1229"/>
      <c r="H28" s="1227"/>
      <c r="I28" s="1228" t="str">
        <f>IF(AK8&gt;2,IF(AK7&gt;3,"/",""),"")</f>
        <v/>
      </c>
      <c r="J28" s="1229"/>
      <c r="K28" s="1227"/>
      <c r="L28" s="1228" t="str">
        <f>IF(AK8&gt;3,IF(AK7&gt;3,"/",""),"")</f>
        <v/>
      </c>
      <c r="M28" s="1229"/>
      <c r="N28" s="1227"/>
      <c r="O28" s="1228" t="str">
        <f>IF(AK8&gt;4,IF(AK7&gt;3,"/",""),"")</f>
        <v/>
      </c>
      <c r="P28" s="1229"/>
      <c r="Q28" s="1227"/>
      <c r="R28" s="1228" t="str">
        <f>IF(AK8&gt;5,IF(AK7&gt;3,"/",""),"")</f>
        <v/>
      </c>
      <c r="S28" s="1229"/>
      <c r="T28" s="1227"/>
      <c r="U28" s="1228" t="str">
        <f>IF(AK8&gt;6,IF(AK7&gt;3,"/",""),"")</f>
        <v/>
      </c>
      <c r="V28" s="1229"/>
      <c r="W28" s="1227"/>
      <c r="X28" s="1228" t="str">
        <f>IF(AK8&gt;7,IF(AK7&gt;3,"/",""),"")</f>
        <v/>
      </c>
      <c r="Y28" s="1229"/>
      <c r="Z28" s="1227"/>
      <c r="AA28" s="1228" t="str">
        <f>IF(AK8&gt;8,IF(AK7&gt;3,"/",""),"")</f>
        <v/>
      </c>
      <c r="AB28" s="1229"/>
      <c r="AC28" s="1227"/>
      <c r="AD28" s="1228" t="str">
        <f>IF(AK8&gt;9,IF(AK7&gt;3,"/",""),"")</f>
        <v/>
      </c>
      <c r="AE28" s="1229"/>
      <c r="AF28" s="1218" t="str">
        <f>IF(AK9&gt;4,"Team 5","")</f>
        <v>Team 5</v>
      </c>
      <c r="AG28" s="1230" t="str">
        <f>IF(AK9&lt;5,"",IF(AK8&lt;1,"",IF(B24=5,B30-D30,IF(D24=5,D30-B30,""))))</f>
        <v/>
      </c>
      <c r="AH28" s="1226" t="str">
        <f>IF(AK9&lt;5,"",IF(AK8&lt;2,"",IF(E24=5,E30-G30,IF(G24=5,G30-E30,""))))</f>
        <v/>
      </c>
      <c r="AI28" s="1226">
        <f>IF(AK9&lt;5,"",IF(AK8&lt;3,"",IF(H24=5,H30-J30,IF(J24=5,J30-H30,""))))</f>
        <v>9</v>
      </c>
      <c r="AJ28" s="1226" t="str">
        <f>IF(AK9&lt;5,"",IF(AK8&lt;4,"",IF(K24=5,K30-M30,IF(M24=5,M30-K30,""))))</f>
        <v/>
      </c>
      <c r="AK28" s="1226">
        <f>IF(AK9&lt;5,"",IF(AK8&lt;5,"",IF(N24=5,N30-P30,IF(P24=5,P30-N30,""))))</f>
        <v>18</v>
      </c>
      <c r="AL28" s="1226">
        <f>IF(AK9&lt;5,"",IF(AK8&lt;6,"",IF(Q24=5,Q30-S30,IF(S24=5,S30-Q30,""))))</f>
        <v>18</v>
      </c>
      <c r="AM28" s="1226" t="str">
        <f>IF(AK9&lt;5,"",IF(AK8&lt;7,"",IF(T24=5,T30-V30,IF(V24=5,V30-T30,""))))</f>
        <v/>
      </c>
      <c r="AN28" s="1226" t="str">
        <f>IF(AK9&lt;5,"",IF(AK8&lt;8,"",IF(W24=5,W30-Y30,IF(Y24=5,Y30-W30,""))))</f>
        <v/>
      </c>
      <c r="AO28" s="1226" t="str">
        <f>IF(AK9&lt;5,"",IF(AK8&lt;9,"",IF(Z24=5,Z30-AB30,IF(AB24=5,AB30-Z30,""))))</f>
        <v/>
      </c>
      <c r="AP28" s="1226" t="str">
        <f>IF(AK9&lt;5,"",IF(AK8&lt;10,"",IF(AC24=5,AC30-AE30,IF(AE24=5,AE30-AC30,""))))</f>
        <v/>
      </c>
      <c r="AQ28" s="1220">
        <f>SUM(AG28:AP28)</f>
        <v>45</v>
      </c>
    </row>
    <row r="29" spans="1:48" ht="15" x14ac:dyDescent="0.2">
      <c r="A29" s="1039" t="str">
        <f>IF(AK7&gt;4,"Game 5","")</f>
        <v/>
      </c>
      <c r="B29" s="1227"/>
      <c r="C29" s="1228" t="s">
        <v>53</v>
      </c>
      <c r="D29" s="1229"/>
      <c r="E29" s="1227"/>
      <c r="F29" s="1228" t="str">
        <f>IF(AK8&gt;1,IF(AK7&gt;4,"/",""),"")</f>
        <v/>
      </c>
      <c r="G29" s="1229"/>
      <c r="H29" s="1227"/>
      <c r="I29" s="1228" t="str">
        <f>IF(AK8&gt;2,IF(AK7&gt;4,"/",""),"")</f>
        <v/>
      </c>
      <c r="J29" s="1229"/>
      <c r="K29" s="1227"/>
      <c r="L29" s="1228" t="str">
        <f>IF(AK8&gt;3,IF(AK7&gt;4,"/",""),"")</f>
        <v/>
      </c>
      <c r="M29" s="1229"/>
      <c r="N29" s="1227"/>
      <c r="O29" s="1228" t="str">
        <f>IF(AK8&gt;4,IF(AK7&gt;4,"/",""),"")</f>
        <v/>
      </c>
      <c r="P29" s="1229"/>
      <c r="Q29" s="1227"/>
      <c r="R29" s="1228" t="str">
        <f>IF(AK8&gt;5,IF(AK7&gt;4,"/",""),"")</f>
        <v/>
      </c>
      <c r="S29" s="1229"/>
      <c r="T29" s="1227"/>
      <c r="U29" s="1228" t="str">
        <f>IF(AK8&gt;6,IF(AK7&gt;4,"/",""),"")</f>
        <v/>
      </c>
      <c r="V29" s="1229"/>
      <c r="W29" s="1227"/>
      <c r="X29" s="1228" t="str">
        <f>IF(AK8&gt;7,IF(AK7&gt;4,"/",""),"")</f>
        <v/>
      </c>
      <c r="Y29" s="1229"/>
      <c r="Z29" s="1227"/>
      <c r="AA29" s="1228" t="str">
        <f>IF(AK8&gt;8,IF(AK7&gt;4,"/",""),"")</f>
        <v/>
      </c>
      <c r="AB29" s="1229"/>
      <c r="AC29" s="1227"/>
      <c r="AD29" s="1228" t="str">
        <f>IF(AK8&gt;9,IF(AK7&gt;4,"/",""),"")</f>
        <v/>
      </c>
      <c r="AE29" s="1229"/>
      <c r="AF29" s="1058"/>
      <c r="AG29" s="1058"/>
      <c r="AH29" s="1058"/>
      <c r="AI29" s="1058"/>
      <c r="AJ29" s="1058"/>
      <c r="AK29" s="1058"/>
      <c r="AL29" s="1058"/>
      <c r="AM29" s="1058"/>
      <c r="AN29" s="1058"/>
      <c r="AO29" s="1058"/>
      <c r="AP29" s="1058"/>
      <c r="AQ29" s="1058"/>
    </row>
    <row r="30" spans="1:48" hidden="1" x14ac:dyDescent="0.2">
      <c r="A30" s="1028"/>
      <c r="B30" s="1028">
        <f>IF($AK7=5,SUM(B25:B29),IF($AK7=4,SUM(B25:B28),IF($AK7=3,SUM(B25:B27),IF($AK7=2,SUM(B25:B26),B25))))</f>
        <v>35</v>
      </c>
      <c r="C30" s="1028"/>
      <c r="D30" s="1028">
        <f>IF($AK7=5,SUM(D25:D29),IF($AK7=4,SUM(D25:D28),IF($AK7=3,SUM(D25:D27),IF($AK7=2,SUM(D25:D26),D25))))</f>
        <v>19</v>
      </c>
      <c r="E30" s="1028">
        <f>IF($AK7=5,SUM(E25:E29),IF($AK7=4,SUM(E25:E28),IF($AK7=3,SUM(E25:E27),IF($AK7=2,SUM(E25:E26),E25))))</f>
        <v>29</v>
      </c>
      <c r="F30" s="1028"/>
      <c r="G30" s="1028">
        <f>IF($AK7=5,SUM(G25:G29),IF($AK7=4,SUM(G25:G28),IF($AK7=3,SUM(G25:G27),IF($AK7=2,SUM(G25:G26),G25))))</f>
        <v>24</v>
      </c>
      <c r="H30" s="1028">
        <f>IF($AK7=5,SUM(H25:H29),IF($AK7=4,SUM(H25:H28),IF($AK7=3,SUM(H25:H27),IF($AK7=2,SUM(H25:H26),H25))))</f>
        <v>20</v>
      </c>
      <c r="I30" s="1028"/>
      <c r="J30" s="1028">
        <f>IF($AK7=5,SUM(J25:J29),IF($AK7=4,SUM(J25:J28),IF($AK7=3,SUM(J25:J27),IF($AK7=2,SUM(J25:J26),J25))))</f>
        <v>29</v>
      </c>
      <c r="K30" s="1028">
        <f>IF($AK7=5,SUM(K25:K29),IF($AK7=4,SUM(K25:K28),IF($AK7=3,SUM(K25:K27),IF($AK7=2,SUM(K25:K26),K25))))</f>
        <v>16</v>
      </c>
      <c r="L30" s="1028"/>
      <c r="M30" s="1028">
        <f>IF($AK7=5,SUM(M25:M29),IF($AK7=4,SUM(M25:M28),IF($AK7=3,SUM(M25:M27),IF($AK7=2,SUM(M25:M26),M25))))</f>
        <v>31</v>
      </c>
      <c r="N30" s="1028">
        <f>IF($AK7=5,SUM(N25:N29),IF($AK7=4,SUM(N25:N28),IF($AK7=3,SUM(N25:N27),IF($AK7=2,SUM(N25:N26),N25))))</f>
        <v>18</v>
      </c>
      <c r="O30" s="1028"/>
      <c r="P30" s="1028">
        <f>IF($AK7=5,SUM(P25:P29),IF($AK7=4,SUM(P25:P28),IF($AK7=3,SUM(P25:P27),IF($AK7=2,SUM(P25:P26),P25))))</f>
        <v>36</v>
      </c>
      <c r="Q30" s="1028">
        <f>IF($AK7=5,SUM(Q25:Q29),IF($AK7=4,SUM(Q25:Q28),IF($AK7=3,SUM(Q25:Q27),IF($AK7=2,SUM(Q25:Q26),Q25))))</f>
        <v>21</v>
      </c>
      <c r="R30" s="1028"/>
      <c r="S30" s="1028">
        <f>IF($AK7=5,SUM(S25:S29),IF($AK7=4,SUM(S25:S28),IF($AK7=3,SUM(S25:S27),IF($AK7=2,SUM(S25:S26),S25))))</f>
        <v>3</v>
      </c>
      <c r="T30" s="1028">
        <f>IF($AK7=5,SUM(T25:T29),IF($AK7=4,SUM(T25:T28),IF($AK7=3,SUM(T25:T27),IF($AK7=2,SUM(T25:T26),T25))))</f>
        <v>19</v>
      </c>
      <c r="U30" s="1028"/>
      <c r="V30" s="1028">
        <f>IF($AK7=5,SUM(V25:V29),IF($AK7=4,SUM(V25:V28),IF($AK7=3,SUM(V25:V27),IF($AK7=2,SUM(V25:V26),V25))))</f>
        <v>8</v>
      </c>
      <c r="W30" s="1028">
        <f>IF($AK7=5,SUM(W25:W29),IF($AK7=4,SUM(W25:W28),IF($AK7=3,SUM(W25:W27),IF($AK7=2,SUM(W25:W26),W25))))</f>
        <v>0</v>
      </c>
      <c r="X30" s="1028"/>
      <c r="Y30" s="1028">
        <f>IF($AK7=5,SUM(Y25:Y29),IF($AK7=4,SUM(Y25:Y28),IF($AK7=3,SUM(Y25:Y27),IF($AK7=2,SUM(Y25:Y26),Y25))))</f>
        <v>0</v>
      </c>
      <c r="Z30" s="1028">
        <f>IF($AK7=5,SUM(Z25:Z29),IF($AK7=4,SUM(Z25:Z28),IF($AK7=3,SUM(Z25:Z27),IF($AK7=2,SUM(Z25:Z26),Z25))))</f>
        <v>0</v>
      </c>
      <c r="AA30" s="1028"/>
      <c r="AB30" s="1028">
        <f>IF($AK7=5,SUM(AB25:AB29),IF($AK7=4,SUM(AB25:AB28),IF($AK7=3,SUM(AB25:AB27),IF($AK7=2,SUM(AB25:AB26),AB25))))</f>
        <v>0</v>
      </c>
      <c r="AC30" s="1028">
        <f>IF($AK7=5,SUM(AC25:AC29),IF($AK7=4,SUM(AC25:AC28),IF($AK7=3,SUM(AC25:AC27),IF($AK7=2,SUM(AC25:AC26),AC25))))</f>
        <v>0</v>
      </c>
      <c r="AD30" s="1028"/>
      <c r="AE30" s="1028">
        <f>IF($AK7=5,SUM(AE25:AE29),IF($AK7=4,SUM(AE25:AE28),IF($AK7=3,SUM(AE25:AE27),IF($AK7=2,SUM(AE25:AE26),AE25))))</f>
        <v>0</v>
      </c>
      <c r="AF30" s="1058"/>
      <c r="AG30" s="1058"/>
      <c r="AH30" s="1058"/>
      <c r="AI30" s="1058"/>
      <c r="AJ30" s="1058"/>
      <c r="AK30" s="1058"/>
      <c r="AL30" s="1058"/>
      <c r="AM30" s="1058"/>
      <c r="AN30" s="1058"/>
      <c r="AO30" s="1058"/>
      <c r="AP30" s="1058"/>
      <c r="AQ30" s="1058"/>
    </row>
    <row r="31" spans="1:48" s="1231" customFormat="1" ht="12.75" hidden="1" customHeight="1" x14ac:dyDescent="0.2">
      <c r="A31" s="1231" t="s">
        <v>54</v>
      </c>
      <c r="B31" s="1232">
        <f>IF(AND(B25&gt;D25,$AK8&gt;0,ISNUMBER(B25),ISNUMBER(D25)),1,0)</f>
        <v>1</v>
      </c>
      <c r="C31" s="1232"/>
      <c r="D31" s="1233">
        <f>IF(AND(D25&gt;B25,$AK8&gt;0,ISNUMBER(B25),ISNUMBER(D25)),1,0)</f>
        <v>0</v>
      </c>
      <c r="E31" s="1232">
        <f>IF(AND(E25&gt;G25,$AK8&gt;1,ISNUMBER(E25),ISNUMBER(G25)),1,0)</f>
        <v>1</v>
      </c>
      <c r="F31" s="1232"/>
      <c r="G31" s="1233">
        <f>IF(AND(G25&gt;E25,$AK8&gt;1,ISNUMBER(E25),ISNUMBER(G25)),1,0)</f>
        <v>0</v>
      </c>
      <c r="H31" s="1232">
        <f>IF(AND(H25&gt;J25,$AK8&gt;2,ISNUMBER(H25),ISNUMBER(J25)),1,0)</f>
        <v>0</v>
      </c>
      <c r="I31" s="1232"/>
      <c r="J31" s="1233">
        <f>IF(AND(J25&gt;H25,$AK8&gt;2,ISNUMBER(H25),ISNUMBER(J25)),1,0)</f>
        <v>1</v>
      </c>
      <c r="K31" s="1232">
        <f>IF(AND(K25&gt;M25,$AK8&gt;3,ISNUMBER(K25),ISNUMBER(M25)),1,0)</f>
        <v>0</v>
      </c>
      <c r="L31" s="1232"/>
      <c r="M31" s="1233">
        <f>IF(AND(M25&gt;K25,$AK8&gt;3,ISNUMBER(K25),ISNUMBER(M25)),1,0)</f>
        <v>1</v>
      </c>
      <c r="N31" s="1232">
        <f>IF(AND(N25&gt;P25,$AK8&gt;4,ISNUMBER(N25),ISNUMBER(P25)),1,0)</f>
        <v>0</v>
      </c>
      <c r="O31" s="1232"/>
      <c r="P31" s="1233">
        <f>IF(AND(P25&gt;N25,$AK8&gt;4,ISNUMBER(N25),ISNUMBER(P25)),1,0)</f>
        <v>1</v>
      </c>
      <c r="Q31" s="1232">
        <f>IF(AND(Q25&gt;S25,$AK8&gt;5,ISNUMBER(Q25),ISNUMBER(S25)),1,0)</f>
        <v>1</v>
      </c>
      <c r="R31" s="1232"/>
      <c r="S31" s="1233">
        <f>IF(AND(S25&gt;Q25,$AK8&gt;5,ISNUMBER(Q25),ISNUMBER(S25)),1,0)</f>
        <v>0</v>
      </c>
      <c r="T31" s="1232">
        <f>IF(AND(T25&gt;V25,$AK8&gt;6,ISNUMBER(T25),ISNUMBER(V25)),1,0)</f>
        <v>1</v>
      </c>
      <c r="U31" s="1232"/>
      <c r="V31" s="1233">
        <f>IF(AND(V25&gt;T25,$AK8&gt;6,ISNUMBER(T25),ISNUMBER(V25)),1,0)</f>
        <v>0</v>
      </c>
      <c r="W31" s="1232">
        <f>IF(AND(W25&gt;Y25,$AK8&gt;7,ISNUMBER(W25),ISNUMBER(Y25)),1,0)</f>
        <v>0</v>
      </c>
      <c r="X31" s="1232"/>
      <c r="Y31" s="1233">
        <f>IF(AND(Y25&gt;W25,$AK8&gt;7,ISNUMBER(W25),ISNUMBER(Y25)),1,0)</f>
        <v>0</v>
      </c>
      <c r="Z31" s="1232">
        <f>IF(AND(Z25&gt;AB25,$AK8&gt;8,ISNUMBER(Z25),ISNUMBER(AB25)),1,0)</f>
        <v>0</v>
      </c>
      <c r="AA31" s="1232"/>
      <c r="AB31" s="1233">
        <f>IF(AND(AB25&gt;Z25,$AK8&gt;8,ISNUMBER(Z25),ISNUMBER(AB25)),1,0)</f>
        <v>0</v>
      </c>
      <c r="AC31" s="1232">
        <f>IF(AND(AC25&gt;AE25,$AK8&gt;9,ISNUMBER(AC25),ISNUMBER(AE25)),1,0)</f>
        <v>0</v>
      </c>
      <c r="AD31" s="1232"/>
      <c r="AE31" s="1233">
        <f>IF(AND(AE25&gt;AC25,$AK8&gt;9,ISNUMBER(AC25),ISNUMBER(AE25)),1,0)</f>
        <v>0</v>
      </c>
    </row>
    <row r="32" spans="1:48" s="1231" customFormat="1" ht="12.75" hidden="1" customHeight="1" x14ac:dyDescent="0.2">
      <c r="A32" s="1231" t="s">
        <v>55</v>
      </c>
      <c r="B32" s="1232">
        <f>IF(AND(B26&gt;D26,$AK8&gt;0,$AK7&gt;1,ISNUMBER(B26),ISNUMBER(D26)),1,0)</f>
        <v>0</v>
      </c>
      <c r="C32" s="1232"/>
      <c r="D32" s="1233">
        <f>IF(AND(D26&gt;B26,$AK8&gt;0,$AK7&gt;1,ISNUMBER(B26),ISNUMBER(D26)),1,0)</f>
        <v>0</v>
      </c>
      <c r="E32" s="1232">
        <f>IF(AND(E26&gt;G26,$AK8&gt;1,$AK7&gt;1,ISNUMBER(E26),ISNUMBER(G26)),1,0)</f>
        <v>0</v>
      </c>
      <c r="F32" s="1232"/>
      <c r="G32" s="1233">
        <f>IF(AND(G26&gt;E26,$AK8&gt;1,$AK7&gt;1,ISNUMBER(E26),ISNUMBER(G26)),1,0)</f>
        <v>0</v>
      </c>
      <c r="H32" s="1232">
        <f>IF(AND(H26&gt;J26,$AK8&gt;2,$AK7&gt;1,ISNUMBER(H26),ISNUMBER(J26)),1,0)</f>
        <v>0</v>
      </c>
      <c r="I32" s="1232"/>
      <c r="J32" s="1233">
        <f>IF(AND(J26&gt;H26,$AK8&gt;2,$AK7&gt;1,ISNUMBER(H26),ISNUMBER(J26)),1,0)</f>
        <v>0</v>
      </c>
      <c r="K32" s="1232">
        <f>IF(AND(K26&gt;M26,$AK8&gt;3,$AK7&gt;1,ISNUMBER(K26),ISNUMBER(M26)),1,0)</f>
        <v>0</v>
      </c>
      <c r="L32" s="1232"/>
      <c r="M32" s="1233">
        <f>IF(AND(M26&gt;K26,$AK8&gt;3,$AK7&gt;1,ISNUMBER(K26),ISNUMBER(M26)),1,0)</f>
        <v>0</v>
      </c>
      <c r="N32" s="1232">
        <f>IF(AND(N26&gt;P26,$AK8&gt;4,$AK7&gt;1,ISNUMBER(N26),ISNUMBER(P26)),1,0)</f>
        <v>0</v>
      </c>
      <c r="O32" s="1232"/>
      <c r="P32" s="1233">
        <f>IF(AND(P26&gt;N26,$AK8&gt;4,$AK7&gt;1,ISNUMBER(N26),ISNUMBER(P26)),1,0)</f>
        <v>0</v>
      </c>
      <c r="Q32" s="1232">
        <f>IF(AND(Q26&gt;S26,$AK8&gt;5,$AK7&gt;1,ISNUMBER(Q26),ISNUMBER(S26)),1,0)</f>
        <v>0</v>
      </c>
      <c r="R32" s="1232"/>
      <c r="S32" s="1233">
        <f>IF(AND(S26&gt;Q26,$AK8&gt;5,$AK7&gt;1,ISNUMBER(Q26),ISNUMBER(S26)),1,0)</f>
        <v>0</v>
      </c>
      <c r="T32" s="1232">
        <f>IF(AND(T26&gt;V26,$AK8&gt;6,$AK7&gt;1,ISNUMBER(T26),ISNUMBER(V26)),1,0)</f>
        <v>0</v>
      </c>
      <c r="U32" s="1232"/>
      <c r="V32" s="1233">
        <f>IF(AND(V26&gt;T26,$AK8&gt;6,$AK7&gt;1,ISNUMBER(T26),ISNUMBER(V26)),1,0)</f>
        <v>0</v>
      </c>
      <c r="W32" s="1232">
        <f>IF(AND(W26&gt;Y26,$AK8&gt;7,$AK7&gt;1,ISNUMBER(W26),ISNUMBER(Y26)),1,0)</f>
        <v>0</v>
      </c>
      <c r="X32" s="1232"/>
      <c r="Y32" s="1233">
        <f>IF(AND(Y26&gt;W26,$AK8&gt;7,$AK7&gt;1,ISNUMBER(W26),ISNUMBER(Y26)),1,0)</f>
        <v>0</v>
      </c>
      <c r="Z32" s="1232">
        <f>IF(AND(Z26&gt;AB26,$AK8&gt;8,$AK7&gt;1,ISNUMBER(Z26),ISNUMBER(AB26)),1,0)</f>
        <v>0</v>
      </c>
      <c r="AA32" s="1232"/>
      <c r="AB32" s="1233">
        <f>IF(AND(AB26&gt;Z26,$AK8&gt;8,$AK7&gt;1,ISNUMBER(Z26),ISNUMBER(AB26)),1,0)</f>
        <v>0</v>
      </c>
      <c r="AC32" s="1232">
        <f>IF(AND(AC26&gt;AE26,$AK8&gt;9,$AK7&gt;1,ISNUMBER(AC26),ISNUMBER(AE26)),1,0)</f>
        <v>0</v>
      </c>
      <c r="AD32" s="1232"/>
      <c r="AE32" s="1233">
        <f>IF(AND(AE26&gt;AC26,$AK8&gt;9,$AK7&gt;1,ISNUMBER(AC26),ISNUMBER(AE26)),1,0)</f>
        <v>0</v>
      </c>
    </row>
    <row r="33" spans="1:33" s="1231" customFormat="1" ht="12.75" hidden="1" customHeight="1" x14ac:dyDescent="0.2">
      <c r="A33" s="1231" t="s">
        <v>56</v>
      </c>
      <c r="B33" s="1232">
        <f>IF(AND(B27&gt;D27,$AK8&gt;0,$AK7&gt;2,ISNUMBER(B27),ISNUMBER(D27)),1,0)</f>
        <v>0</v>
      </c>
      <c r="C33" s="1232"/>
      <c r="D33" s="1233">
        <f>IF(AND(D27&gt;B27,$AK8&gt;0,$AK7&gt;2,ISNUMBER(B27),ISNUMBER(D27)),1,0)</f>
        <v>0</v>
      </c>
      <c r="E33" s="1232">
        <f>IF(AND(E27&gt;G27,$AK8&gt;1,$AK7&gt;2,ISNUMBER(E27),ISNUMBER(G27)),1,0)</f>
        <v>0</v>
      </c>
      <c r="F33" s="1232"/>
      <c r="G33" s="1233">
        <f>IF(AND(G27&gt;E27,$AK8&gt;1,$AK7&gt;2,ISNUMBER(E27),ISNUMBER(G27)),1,0)</f>
        <v>0</v>
      </c>
      <c r="H33" s="1232">
        <f>IF(AND(H27&gt;J27,$AK8&gt;2,$AK7&gt;2,ISNUMBER(H27),ISNUMBER(J27)),1,0)</f>
        <v>0</v>
      </c>
      <c r="I33" s="1232"/>
      <c r="J33" s="1233">
        <f>IF(AND(J27&gt;H27,$AK8&gt;2,$AK7&gt;2,ISNUMBER(H27),ISNUMBER(J27)),1,0)</f>
        <v>0</v>
      </c>
      <c r="K33" s="1232">
        <f>IF(AND(K27&gt;M27,$AK8&gt;3,$AK7&gt;2,ISNUMBER(K27),ISNUMBER(M27)),1,0)</f>
        <v>0</v>
      </c>
      <c r="L33" s="1232"/>
      <c r="M33" s="1233">
        <f>IF(AND(M27&gt;K27,$AK8&gt;3,$AK7&gt;2,ISNUMBER(K27),ISNUMBER(M27)),1,0)</f>
        <v>0</v>
      </c>
      <c r="N33" s="1232">
        <f>IF(AND(N27&gt;P27,$AK8&gt;4,$AK7&gt;2,ISNUMBER(N27),ISNUMBER(P27)),1,0)</f>
        <v>0</v>
      </c>
      <c r="O33" s="1232"/>
      <c r="P33" s="1233">
        <f>IF(AND(P27&gt;N27,$AK8&gt;4,$AK7&gt;2,ISNUMBER(N27),ISNUMBER(P27)),1,0)</f>
        <v>0</v>
      </c>
      <c r="Q33" s="1232">
        <f>IF(AND(Q27&gt;S27,$AK8&gt;5,$AK7&gt;2,ISNUMBER(Q27),ISNUMBER(S27)),1,0)</f>
        <v>0</v>
      </c>
      <c r="R33" s="1232"/>
      <c r="S33" s="1233">
        <f>IF(AND(S27&gt;Q27,$AK8&gt;5,$AK7&gt;2,ISNUMBER(Q27),ISNUMBER(S27)),1,0)</f>
        <v>0</v>
      </c>
      <c r="T33" s="1232">
        <f>IF(AND(T27&gt;V27,$AK8&gt;6,$AK7&gt;2,ISNUMBER(T27),ISNUMBER(V27)),1,0)</f>
        <v>0</v>
      </c>
      <c r="U33" s="1232"/>
      <c r="V33" s="1233">
        <f>IF(AND(V27&gt;T27,$AK8&gt;6,$AK7&gt;2,ISNUMBER(T27),ISNUMBER(V27)),1,0)</f>
        <v>0</v>
      </c>
      <c r="W33" s="1232">
        <f>IF(AND(W27&gt;Y27,$AK8&gt;7,$AK7&gt;2,ISNUMBER(W27),ISNUMBER(Y27)),1,0)</f>
        <v>0</v>
      </c>
      <c r="X33" s="1232"/>
      <c r="Y33" s="1233">
        <f>IF(AND(Y27&gt;W27,$AK8&gt;7,$AK7&gt;2,ISNUMBER(W27),ISNUMBER(Y27)),1,0)</f>
        <v>0</v>
      </c>
      <c r="Z33" s="1232">
        <f>IF(AND(Z27&gt;AB27,$AK8&gt;8,$AK7&gt;2,ISNUMBER(Z27),ISNUMBER(AB27)),1,0)</f>
        <v>0</v>
      </c>
      <c r="AA33" s="1232"/>
      <c r="AB33" s="1233">
        <f>IF(AND(AB27&gt;Z27,$AK8&gt;8,$AK7&gt;2,ISNUMBER(Z27),ISNUMBER(AB27)),1,0)</f>
        <v>0</v>
      </c>
      <c r="AC33" s="1232">
        <f>IF(AND(AC27&gt;AE27,$AK8&gt;9,$AK7&gt;2,ISNUMBER(AC27),ISNUMBER(AE27)),1,0)</f>
        <v>0</v>
      </c>
      <c r="AD33" s="1232"/>
      <c r="AE33" s="1233">
        <f>IF(AND(AE27&gt;AC27,$AK8&gt;9,$AK7&gt;2,ISNUMBER(AC27),ISNUMBER(AE27)),1,0)</f>
        <v>0</v>
      </c>
    </row>
    <row r="34" spans="1:33" s="1231" customFormat="1" ht="12.75" hidden="1" customHeight="1" x14ac:dyDescent="0.2">
      <c r="A34" s="1231" t="s">
        <v>57</v>
      </c>
      <c r="B34" s="1232">
        <f>IF(AND(B28&gt;D28,$AK8&gt;0,$AK7&gt;3,ISNUMBER(B28),ISNUMBER(D28)),1,0)</f>
        <v>0</v>
      </c>
      <c r="C34" s="1232"/>
      <c r="D34" s="1233">
        <f>IF(AND(D28&gt;B28,$AK8&gt;0,$AK7&gt;3,ISNUMBER(B28),ISNUMBER(D28)),1,0)</f>
        <v>0</v>
      </c>
      <c r="E34" s="1232">
        <f>IF(AND(E28&gt;G28,$AK8&gt;1,$AK7&gt;3,ISNUMBER(E28),ISNUMBER(G28)),1,0)</f>
        <v>0</v>
      </c>
      <c r="F34" s="1232"/>
      <c r="G34" s="1233">
        <f>IF(AND(G28&gt;E28,$AK8&gt;1,$AK7&gt;3,ISNUMBER(E28),ISNUMBER(G28)),1,0)</f>
        <v>0</v>
      </c>
      <c r="H34" s="1232">
        <f>IF(AND(H28&gt;J28,$AK8&gt;2,$AK7&gt;3,ISNUMBER(H28),ISNUMBER(J28)),1,0)</f>
        <v>0</v>
      </c>
      <c r="I34" s="1232"/>
      <c r="J34" s="1233">
        <f>IF(AND(J28&gt;H28,$AK8&gt;2,$AK7&gt;3,ISNUMBER(H28),ISNUMBER(J28)),1,0)</f>
        <v>0</v>
      </c>
      <c r="K34" s="1232">
        <f>IF(AND(K28&gt;M28,$AK8&gt;3,$AK7&gt;3,ISNUMBER(K28),ISNUMBER(M28)),1,0)</f>
        <v>0</v>
      </c>
      <c r="L34" s="1232"/>
      <c r="M34" s="1233">
        <f>IF(AND(M28&gt;K28,$AK8&gt;3,$AK7&gt;3,ISNUMBER(K28),ISNUMBER(M28)),1,0)</f>
        <v>0</v>
      </c>
      <c r="N34" s="1232">
        <f>IF(AND(N28&gt;P28,$AK8&gt;4,$AK7&gt;3,ISNUMBER(N28),ISNUMBER(P28)),1,0)</f>
        <v>0</v>
      </c>
      <c r="O34" s="1232"/>
      <c r="P34" s="1233">
        <f>IF(AND(P28&gt;N28,$AK8&gt;4,$AK7&gt;3,ISNUMBER(N28),ISNUMBER(P28)),1,0)</f>
        <v>0</v>
      </c>
      <c r="Q34" s="1232">
        <f>IF(AND(Q28&gt;S28,$AK8&gt;5,$AK7&gt;3,ISNUMBER(Q28),ISNUMBER(S28)),1,0)</f>
        <v>0</v>
      </c>
      <c r="R34" s="1232"/>
      <c r="S34" s="1233">
        <f>IF(AND(S28&gt;Q28,$AK8&gt;5,$AK7&gt;3,ISNUMBER(Q28),ISNUMBER(S28)),1,0)</f>
        <v>0</v>
      </c>
      <c r="T34" s="1232">
        <f>IF(AND(T28&gt;V28,$AK8&gt;6,$AK7&gt;3,ISNUMBER(T28),ISNUMBER(V28)),1,0)</f>
        <v>0</v>
      </c>
      <c r="U34" s="1232"/>
      <c r="V34" s="1233">
        <f>IF(AND(V28&gt;T28,$AK8&gt;6,$AK7&gt;3,ISNUMBER(T28),ISNUMBER(V28)),1,0)</f>
        <v>0</v>
      </c>
      <c r="W34" s="1232">
        <f>IF(AND(W28&gt;Y28,$AK8&gt;7,$AK7&gt;3,ISNUMBER(W28),ISNUMBER(Y28)),1,0)</f>
        <v>0</v>
      </c>
      <c r="X34" s="1232"/>
      <c r="Y34" s="1233">
        <f>IF(AND(Y28&gt;W28,$AK8&gt;7,$AK7&gt;3,ISNUMBER(W28),ISNUMBER(Y28)),1,0)</f>
        <v>0</v>
      </c>
      <c r="Z34" s="1232">
        <f>IF(AND(Z28&gt;AB28,$AK8&gt;8,$AK7&gt;3,ISNUMBER(Z28),ISNUMBER(AB28)),1,0)</f>
        <v>0</v>
      </c>
      <c r="AA34" s="1232"/>
      <c r="AB34" s="1233">
        <f>IF(AND(AB28&gt;Z28,$AK8&gt;8,$AK7&gt;3,ISNUMBER(Z28),ISNUMBER(AB28)),1,0)</f>
        <v>0</v>
      </c>
      <c r="AC34" s="1232">
        <f>IF(AND(AC28&gt;AE28,$AK8&gt;9,$AK7&gt;3,ISNUMBER(AC28),ISNUMBER(AE28)),1,0)</f>
        <v>0</v>
      </c>
      <c r="AD34" s="1232"/>
      <c r="AE34" s="1233">
        <f>IF(AND(AE28&gt;AC28,$AK8&gt;9,$AK7&gt;3,ISNUMBER(AC28),ISNUMBER(AE28)),1,0)</f>
        <v>0</v>
      </c>
    </row>
    <row r="35" spans="1:33" s="1231" customFormat="1" ht="12.75" hidden="1" customHeight="1" x14ac:dyDescent="0.2">
      <c r="A35" s="1231" t="s">
        <v>58</v>
      </c>
      <c r="B35" s="1232">
        <f>IF(AND(B29&gt;D29,$AK8&gt;0,$AK7&gt;4,ISNUMBER(B29),ISNUMBER(D29)),1,0)</f>
        <v>0</v>
      </c>
      <c r="C35" s="1232"/>
      <c r="D35" s="1233">
        <f>IF(AND(D29&gt;B29,$AK8&gt;0,$AK7&gt;4,ISNUMBER(B29),ISNUMBER(D29)),1,0)</f>
        <v>0</v>
      </c>
      <c r="E35" s="1232">
        <f>IF(AND(E29&gt;G29,$AK8&gt;1,$AK7&gt;4,ISNUMBER(E29),ISNUMBER(G29)),1,0)</f>
        <v>0</v>
      </c>
      <c r="F35" s="1232"/>
      <c r="G35" s="1233">
        <f>IF(AND(G29&gt;E29,$AK8&gt;1,$AK7&gt;4,ISNUMBER(E29),ISNUMBER(G29)),1,0)</f>
        <v>0</v>
      </c>
      <c r="H35" s="1232">
        <f>IF(AND(H29&gt;J29,$AK8&gt;2,$AK7&gt;4,ISNUMBER(H29),ISNUMBER(J29)),1,0)</f>
        <v>0</v>
      </c>
      <c r="I35" s="1232"/>
      <c r="J35" s="1233">
        <f>IF(AND(J29&gt;H29,$AK8&gt;2,$AK7&gt;4,ISNUMBER(H29),ISNUMBER(J29)),1,0)</f>
        <v>0</v>
      </c>
      <c r="K35" s="1232">
        <f>IF(AND(K29&gt;M29,$AK8&gt;3,$AK7&gt;4,ISNUMBER(K29),ISNUMBER(M29)),1,0)</f>
        <v>0</v>
      </c>
      <c r="L35" s="1232"/>
      <c r="M35" s="1233">
        <f>IF(AND(M29&gt;K29,$AK8&gt;3,$AK7&gt;4,ISNUMBER(K29),ISNUMBER(M29)),1,0)</f>
        <v>0</v>
      </c>
      <c r="N35" s="1232">
        <f>IF(AND(N29&gt;P29,$AK8&gt;4,$AK7&gt;4,ISNUMBER(N29),ISNUMBER(P29)),1,0)</f>
        <v>0</v>
      </c>
      <c r="O35" s="1232"/>
      <c r="P35" s="1233">
        <f>IF(AND(P29&gt;N29,$AK8&gt;4,$AK7&gt;4,ISNUMBER(N29),ISNUMBER(P29)),1,0)</f>
        <v>0</v>
      </c>
      <c r="Q35" s="1232">
        <f>IF(AND(Q29&gt;S29,$AK8&gt;5,$AK7&gt;4,ISNUMBER(Q29),ISNUMBER(S29)),1,0)</f>
        <v>0</v>
      </c>
      <c r="R35" s="1232"/>
      <c r="S35" s="1233">
        <f>IF(AND(S29&gt;Q29,$AK8&gt;5,$AK7&gt;4,ISNUMBER(Q29),ISNUMBER(S29)),1,0)</f>
        <v>0</v>
      </c>
      <c r="T35" s="1232">
        <f>IF(AND(T29&gt;V29,$AK8&gt;6,$AK7&gt;4,ISNUMBER(T29),ISNUMBER(V29)),1,0)</f>
        <v>0</v>
      </c>
      <c r="U35" s="1232"/>
      <c r="V35" s="1233">
        <f>IF(AND(V29&gt;T29,$AK8&gt;6,$AK7&gt;4,ISNUMBER(T29),ISNUMBER(V29)),1,0)</f>
        <v>0</v>
      </c>
      <c r="W35" s="1232">
        <f>IF(AND(W29&gt;Y29,$AK8&gt;7,$AK7&gt;4,ISNUMBER(W29),ISNUMBER(Y29)),1,0)</f>
        <v>0</v>
      </c>
      <c r="X35" s="1232"/>
      <c r="Y35" s="1233">
        <f>IF(AND(Y29&gt;W29,$AK8&gt;7,$AK7&gt;4,ISNUMBER(W29),ISNUMBER(Y29)),1,0)</f>
        <v>0</v>
      </c>
      <c r="Z35" s="1232">
        <f>IF(AND(Z29&gt;AB29,$AK8&gt;8,$AK7&gt;4,ISNUMBER(Z29),ISNUMBER(AB29)),1,0)</f>
        <v>0</v>
      </c>
      <c r="AA35" s="1232"/>
      <c r="AB35" s="1233">
        <f>IF(AND(AB29&gt;Z29,$AK8&gt;8,$AK7&gt;4,ISNUMBER(Z29),ISNUMBER(AB29)),1,0)</f>
        <v>0</v>
      </c>
      <c r="AC35" s="1232">
        <f>IF(AND(AC29&gt;AE29,$AK8&gt;9,$AK7&gt;4,ISNUMBER(AC29),ISNUMBER(AE29)),1,0)</f>
        <v>0</v>
      </c>
      <c r="AD35" s="1232"/>
      <c r="AE35" s="1233">
        <f>IF(AND(AE29&gt;AC29,$AK8&gt;9,$AK7&gt;4,ISNUMBER(AC29),ISNUMBER(AE29)),1,0)</f>
        <v>0</v>
      </c>
    </row>
    <row r="36" spans="1:33" s="1231" customFormat="1" ht="38.25" hidden="1" customHeight="1" x14ac:dyDescent="0.2">
      <c r="A36" s="1234" t="s">
        <v>59</v>
      </c>
      <c r="B36" s="1231">
        <f>SUM(B31:B35)</f>
        <v>1</v>
      </c>
      <c r="D36" s="1235">
        <f>SUM(D31:D35)</f>
        <v>0</v>
      </c>
      <c r="E36" s="1231">
        <f>SUM(E31:E35)</f>
        <v>1</v>
      </c>
      <c r="G36" s="1235">
        <f>SUM(G31:G35)</f>
        <v>0</v>
      </c>
      <c r="H36" s="1231">
        <f>SUM(H31:H35)</f>
        <v>0</v>
      </c>
      <c r="J36" s="1235">
        <f>SUM(J31:J35)</f>
        <v>1</v>
      </c>
      <c r="K36" s="1231">
        <f>SUM(K31:K35)</f>
        <v>0</v>
      </c>
      <c r="M36" s="1235">
        <f>SUM(M31:M35)</f>
        <v>1</v>
      </c>
      <c r="N36" s="1231">
        <f>SUM(N31:N35)</f>
        <v>0</v>
      </c>
      <c r="P36" s="1235">
        <f>SUM(P31:P35)</f>
        <v>1</v>
      </c>
      <c r="Q36" s="1231">
        <f>SUM(Q31:Q35)</f>
        <v>1</v>
      </c>
      <c r="S36" s="1235">
        <f>SUM(S31:S35)</f>
        <v>0</v>
      </c>
      <c r="T36" s="1231">
        <f>SUM(T31:T35)</f>
        <v>1</v>
      </c>
      <c r="V36" s="1235">
        <f>SUM(V31:V35)</f>
        <v>0</v>
      </c>
      <c r="W36" s="1231">
        <f>SUM(W31:W35)</f>
        <v>0</v>
      </c>
      <c r="Y36" s="1235">
        <f>SUM(Y31:Y35)</f>
        <v>0</v>
      </c>
      <c r="Z36" s="1231">
        <f>SUM(Z31:Z35)</f>
        <v>0</v>
      </c>
      <c r="AB36" s="1235">
        <f>SUM(AB31:AB35)</f>
        <v>0</v>
      </c>
      <c r="AC36" s="1231">
        <f>SUM(AC31:AC35)</f>
        <v>0</v>
      </c>
      <c r="AE36" s="1235">
        <f>SUM(AE31:AE35)</f>
        <v>0</v>
      </c>
    </row>
    <row r="37" spans="1:33" s="1231" customFormat="1" ht="25.5" hidden="1" customHeight="1" x14ac:dyDescent="0.2">
      <c r="A37" s="1234" t="s">
        <v>60</v>
      </c>
      <c r="B37" s="1231">
        <f>IF(B36&gt;D36,IF(C71=AK7,1,IF(C71=AK7-1,1,0)),0)</f>
        <v>1</v>
      </c>
      <c r="C37" s="1231">
        <f>B37+D37</f>
        <v>1</v>
      </c>
      <c r="D37" s="1235">
        <f>IF(D36&gt;B36,IF(C71=AK7,1,IF(C71=AK7-1,1,0)),0)</f>
        <v>0</v>
      </c>
      <c r="E37" s="1231">
        <f>IF(E36&gt;G36,IF(F71=AK7,1,IF(F71=AK7-1,1,0)),0)</f>
        <v>1</v>
      </c>
      <c r="F37" s="1231">
        <f>E37+G37</f>
        <v>1</v>
      </c>
      <c r="G37" s="1235">
        <f>IF(G36&gt;E36,IF(F71=AK7,1,IF(F71=AK7-1,1,0)),0)</f>
        <v>0</v>
      </c>
      <c r="H37" s="1231">
        <f>IF(H36&gt;J36,IF(I71=AK7,1,IF(I71=AK7-1,1,0)),0)</f>
        <v>0</v>
      </c>
      <c r="I37" s="1231">
        <f>H37+J37</f>
        <v>1</v>
      </c>
      <c r="J37" s="1235">
        <f>IF(J36&gt;H36,IF(I71=AK7,1,IF(I71=AK7-1,1,0)),0)</f>
        <v>1</v>
      </c>
      <c r="K37" s="1231">
        <f>IF(K36&gt;M36,IF(L71=AK7,1,IF(L71=AK7-1,1,0)),0)</f>
        <v>0</v>
      </c>
      <c r="L37" s="1231">
        <f>K37+M37</f>
        <v>1</v>
      </c>
      <c r="M37" s="1235">
        <f>IF(M36&gt;K36,IF(L71=AK7,1,IF(L71=AK7-1,1,0)),0)</f>
        <v>1</v>
      </c>
      <c r="N37" s="1231">
        <f>IF(N36&gt;P36,IF(O71=AK7,1,IF(O71=AK7-1,1,0)),0)</f>
        <v>0</v>
      </c>
      <c r="O37" s="1231">
        <f>N37+P37</f>
        <v>1</v>
      </c>
      <c r="P37" s="1235">
        <f>IF(P36&gt;N36,IF(O71=AK7,1,IF(O71=AK7-1,1,0)),0)</f>
        <v>1</v>
      </c>
      <c r="Q37" s="1231">
        <f>IF(Q36&gt;S36,IF(R71=AK7,1,IF(R71=AK7-1,1,0)),0)</f>
        <v>1</v>
      </c>
      <c r="R37" s="1231">
        <f>Q37+S37</f>
        <v>1</v>
      </c>
      <c r="S37" s="1235">
        <f>IF(S36&gt;Q36,IF(R71=AK7,1,IF(R71=AK7-1,1,0)),0)</f>
        <v>0</v>
      </c>
      <c r="T37" s="1231">
        <f>IF(T36&gt;V36,IF(U71=AK7,1,IF(U71=AK7-1,1,0)),0)</f>
        <v>1</v>
      </c>
      <c r="U37" s="1231">
        <f>T37+V37</f>
        <v>1</v>
      </c>
      <c r="V37" s="1235">
        <f>IF(V36&gt;T36,IF(U71=AK7,1,IF(U71=AK7-1,1,0)),0)</f>
        <v>0</v>
      </c>
      <c r="W37" s="1231">
        <f>IF(W36&gt;Y36,IF(X71=AK7,1,IF(X71=AK7-1,1,0)),0)</f>
        <v>0</v>
      </c>
      <c r="X37" s="1231">
        <f>W37+Y37</f>
        <v>0</v>
      </c>
      <c r="Y37" s="1235">
        <f>IF(Y36&gt;W36,IF(X71=AK7,1,IF(X71=AK7-1,1,0)),0)</f>
        <v>0</v>
      </c>
      <c r="Z37" s="1231">
        <f>IF(Z36&gt;AB36,IF(AA71=AK7,1,IF(AA71=AK7-1,1,0)),0)</f>
        <v>0</v>
      </c>
      <c r="AA37" s="1231">
        <f>Z37+AB37</f>
        <v>0</v>
      </c>
      <c r="AB37" s="1235">
        <f>IF(AB36&gt;Z36,IF(AA71=AK7,1,IF(AA71=AK7-1,1,0)),0)</f>
        <v>0</v>
      </c>
      <c r="AC37" s="1231">
        <f>IF(AC36&gt;AE36,IF(AD71=AK7,1,IF(AD71=AK7-1,1,0)),0)</f>
        <v>0</v>
      </c>
      <c r="AD37" s="1231">
        <f>AC37+AE37</f>
        <v>0</v>
      </c>
      <c r="AE37" s="1235">
        <f>IF(AE36&gt;AC36,IF(AD71=AK7,1,IF(AD71=AK7-1,1,0)),0)</f>
        <v>0</v>
      </c>
    </row>
    <row r="38" spans="1:33" s="1231" customFormat="1" ht="25.5" hidden="1" customHeight="1" x14ac:dyDescent="0.2">
      <c r="A38" s="1234"/>
      <c r="D38" s="1235"/>
      <c r="G38" s="1235"/>
      <c r="J38" s="1235"/>
      <c r="M38" s="1235"/>
      <c r="P38" s="1235"/>
      <c r="S38" s="1235"/>
      <c r="V38" s="1235"/>
      <c r="Y38" s="1235"/>
      <c r="AB38" s="1235"/>
      <c r="AE38" s="1235"/>
    </row>
    <row r="39" spans="1:33" s="1231" customFormat="1" ht="12.75" hidden="1" customHeight="1" x14ac:dyDescent="0.2">
      <c r="A39" s="1231" t="s">
        <v>61</v>
      </c>
      <c r="B39" s="1231">
        <f>IF(B31=1,B25,0)</f>
        <v>35</v>
      </c>
      <c r="D39" s="1235">
        <f t="shared" ref="D39:E43" si="0">IF(D31=1,D25,0)</f>
        <v>0</v>
      </c>
      <c r="E39" s="1231">
        <f t="shared" si="0"/>
        <v>29</v>
      </c>
      <c r="G39" s="1235">
        <f t="shared" ref="G39:H43" si="1">IF(G31=1,G25,0)</f>
        <v>0</v>
      </c>
      <c r="H39" s="1231">
        <f t="shared" si="1"/>
        <v>0</v>
      </c>
      <c r="J39" s="1235">
        <f t="shared" ref="J39:K43" si="2">IF(J31=1,J25,0)</f>
        <v>29</v>
      </c>
      <c r="K39" s="1231">
        <f t="shared" si="2"/>
        <v>0</v>
      </c>
      <c r="M39" s="1235">
        <f t="shared" ref="M39:N43" si="3">IF(M31=1,M25,0)</f>
        <v>31</v>
      </c>
      <c r="N39" s="1231">
        <f t="shared" si="3"/>
        <v>0</v>
      </c>
      <c r="P39" s="1235">
        <f t="shared" ref="P39:Q43" si="4">IF(P31=1,P25,0)</f>
        <v>36</v>
      </c>
      <c r="Q39" s="1231">
        <f t="shared" si="4"/>
        <v>21</v>
      </c>
      <c r="S39" s="1235">
        <f t="shared" ref="S39:T43" si="5">IF(S31=1,S25,0)</f>
        <v>0</v>
      </c>
      <c r="T39" s="1231">
        <f t="shared" si="5"/>
        <v>19</v>
      </c>
      <c r="V39" s="1235">
        <f t="shared" ref="V39:W43" si="6">IF(V31=1,V25,0)</f>
        <v>0</v>
      </c>
      <c r="W39" s="1231">
        <f t="shared" si="6"/>
        <v>0</v>
      </c>
      <c r="Y39" s="1235">
        <f t="shared" ref="Y39:Z43" si="7">IF(Y31=1,Y25,0)</f>
        <v>0</v>
      </c>
      <c r="Z39" s="1231">
        <f t="shared" si="7"/>
        <v>0</v>
      </c>
      <c r="AB39" s="1235">
        <f t="shared" ref="AB39:AC43" si="8">IF(AB31=1,AB25,0)</f>
        <v>0</v>
      </c>
      <c r="AC39" s="1231">
        <f t="shared" si="8"/>
        <v>0</v>
      </c>
      <c r="AE39" s="1235">
        <f>IF(AE31=1,AE25,0)</f>
        <v>0</v>
      </c>
    </row>
    <row r="40" spans="1:33" s="1231" customFormat="1" ht="12.75" hidden="1" customHeight="1" x14ac:dyDescent="0.2">
      <c r="A40" s="1231" t="s">
        <v>62</v>
      </c>
      <c r="B40" s="1231">
        <f>IF(B32=1,B26,0)</f>
        <v>0</v>
      </c>
      <c r="D40" s="1235">
        <f t="shared" si="0"/>
        <v>0</v>
      </c>
      <c r="E40" s="1231">
        <f t="shared" si="0"/>
        <v>0</v>
      </c>
      <c r="G40" s="1235">
        <f t="shared" si="1"/>
        <v>0</v>
      </c>
      <c r="H40" s="1231">
        <f t="shared" si="1"/>
        <v>0</v>
      </c>
      <c r="J40" s="1235">
        <f t="shared" si="2"/>
        <v>0</v>
      </c>
      <c r="K40" s="1231">
        <f t="shared" si="2"/>
        <v>0</v>
      </c>
      <c r="M40" s="1235">
        <f t="shared" si="3"/>
        <v>0</v>
      </c>
      <c r="N40" s="1231">
        <f t="shared" si="3"/>
        <v>0</v>
      </c>
      <c r="P40" s="1235">
        <f t="shared" si="4"/>
        <v>0</v>
      </c>
      <c r="Q40" s="1231">
        <f t="shared" si="4"/>
        <v>0</v>
      </c>
      <c r="S40" s="1235">
        <f t="shared" si="5"/>
        <v>0</v>
      </c>
      <c r="T40" s="1231">
        <f t="shared" si="5"/>
        <v>0</v>
      </c>
      <c r="V40" s="1235">
        <f t="shared" si="6"/>
        <v>0</v>
      </c>
      <c r="W40" s="1231">
        <f t="shared" si="6"/>
        <v>0</v>
      </c>
      <c r="Y40" s="1235">
        <f t="shared" si="7"/>
        <v>0</v>
      </c>
      <c r="Z40" s="1231">
        <f t="shared" si="7"/>
        <v>0</v>
      </c>
      <c r="AB40" s="1235">
        <f t="shared" si="8"/>
        <v>0</v>
      </c>
      <c r="AC40" s="1231">
        <f t="shared" si="8"/>
        <v>0</v>
      </c>
      <c r="AE40" s="1235">
        <f>IF(AE32=1,AE26,0)</f>
        <v>0</v>
      </c>
    </row>
    <row r="41" spans="1:33" s="1231" customFormat="1" ht="12.75" hidden="1" customHeight="1" x14ac:dyDescent="0.2">
      <c r="A41" s="1231" t="s">
        <v>63</v>
      </c>
      <c r="B41" s="1231">
        <f>IF(B33=1,B27,0)</f>
        <v>0</v>
      </c>
      <c r="D41" s="1235">
        <f t="shared" si="0"/>
        <v>0</v>
      </c>
      <c r="E41" s="1231">
        <f t="shared" si="0"/>
        <v>0</v>
      </c>
      <c r="G41" s="1235">
        <f t="shared" si="1"/>
        <v>0</v>
      </c>
      <c r="H41" s="1231">
        <f t="shared" si="1"/>
        <v>0</v>
      </c>
      <c r="J41" s="1235">
        <f t="shared" si="2"/>
        <v>0</v>
      </c>
      <c r="K41" s="1231">
        <f t="shared" si="2"/>
        <v>0</v>
      </c>
      <c r="M41" s="1235">
        <f t="shared" si="3"/>
        <v>0</v>
      </c>
      <c r="N41" s="1231">
        <f t="shared" si="3"/>
        <v>0</v>
      </c>
      <c r="P41" s="1235">
        <f t="shared" si="4"/>
        <v>0</v>
      </c>
      <c r="Q41" s="1231">
        <f t="shared" si="4"/>
        <v>0</v>
      </c>
      <c r="S41" s="1235">
        <f t="shared" si="5"/>
        <v>0</v>
      </c>
      <c r="T41" s="1231">
        <f t="shared" si="5"/>
        <v>0</v>
      </c>
      <c r="V41" s="1235">
        <f t="shared" si="6"/>
        <v>0</v>
      </c>
      <c r="W41" s="1231">
        <f t="shared" si="6"/>
        <v>0</v>
      </c>
      <c r="Y41" s="1235">
        <f t="shared" si="7"/>
        <v>0</v>
      </c>
      <c r="Z41" s="1231">
        <f t="shared" si="7"/>
        <v>0</v>
      </c>
      <c r="AB41" s="1235">
        <f t="shared" si="8"/>
        <v>0</v>
      </c>
      <c r="AC41" s="1231">
        <f t="shared" si="8"/>
        <v>0</v>
      </c>
      <c r="AE41" s="1235">
        <f>IF(AE33=1,AE27,0)</f>
        <v>0</v>
      </c>
    </row>
    <row r="42" spans="1:33" s="1231" customFormat="1" ht="12.75" hidden="1" customHeight="1" x14ac:dyDescent="0.2">
      <c r="A42" s="1231" t="s">
        <v>64</v>
      </c>
      <c r="B42" s="1231">
        <f>IF(B34=1,B28,0)</f>
        <v>0</v>
      </c>
      <c r="D42" s="1235">
        <f t="shared" si="0"/>
        <v>0</v>
      </c>
      <c r="E42" s="1231">
        <f t="shared" si="0"/>
        <v>0</v>
      </c>
      <c r="G42" s="1235">
        <f t="shared" si="1"/>
        <v>0</v>
      </c>
      <c r="H42" s="1231">
        <f t="shared" si="1"/>
        <v>0</v>
      </c>
      <c r="J42" s="1235">
        <f t="shared" si="2"/>
        <v>0</v>
      </c>
      <c r="K42" s="1231">
        <f t="shared" si="2"/>
        <v>0</v>
      </c>
      <c r="M42" s="1235">
        <f t="shared" si="3"/>
        <v>0</v>
      </c>
      <c r="N42" s="1231">
        <f t="shared" si="3"/>
        <v>0</v>
      </c>
      <c r="P42" s="1235">
        <f t="shared" si="4"/>
        <v>0</v>
      </c>
      <c r="Q42" s="1231">
        <f t="shared" si="4"/>
        <v>0</v>
      </c>
      <c r="S42" s="1235">
        <f t="shared" si="5"/>
        <v>0</v>
      </c>
      <c r="T42" s="1231">
        <f t="shared" si="5"/>
        <v>0</v>
      </c>
      <c r="V42" s="1235">
        <f t="shared" si="6"/>
        <v>0</v>
      </c>
      <c r="W42" s="1231">
        <f t="shared" si="6"/>
        <v>0</v>
      </c>
      <c r="Y42" s="1235">
        <f t="shared" si="7"/>
        <v>0</v>
      </c>
      <c r="Z42" s="1231">
        <f t="shared" si="7"/>
        <v>0</v>
      </c>
      <c r="AB42" s="1235">
        <f t="shared" si="8"/>
        <v>0</v>
      </c>
      <c r="AC42" s="1231">
        <f t="shared" si="8"/>
        <v>0</v>
      </c>
      <c r="AE42" s="1235">
        <f>IF(AE34=1,AE28,0)</f>
        <v>0</v>
      </c>
    </row>
    <row r="43" spans="1:33" s="1231" customFormat="1" ht="12.75" hidden="1" customHeight="1" x14ac:dyDescent="0.2">
      <c r="A43" s="1231" t="s">
        <v>65</v>
      </c>
      <c r="B43" s="1231">
        <f>IF(B35=1,B29,0)</f>
        <v>0</v>
      </c>
      <c r="D43" s="1235">
        <f t="shared" si="0"/>
        <v>0</v>
      </c>
      <c r="E43" s="1231">
        <f t="shared" si="0"/>
        <v>0</v>
      </c>
      <c r="G43" s="1235">
        <f t="shared" si="1"/>
        <v>0</v>
      </c>
      <c r="H43" s="1231">
        <f t="shared" si="1"/>
        <v>0</v>
      </c>
      <c r="J43" s="1235">
        <f t="shared" si="2"/>
        <v>0</v>
      </c>
      <c r="K43" s="1231">
        <f t="shared" si="2"/>
        <v>0</v>
      </c>
      <c r="M43" s="1235">
        <f t="shared" si="3"/>
        <v>0</v>
      </c>
      <c r="N43" s="1231">
        <f t="shared" si="3"/>
        <v>0</v>
      </c>
      <c r="P43" s="1235">
        <f t="shared" si="4"/>
        <v>0</v>
      </c>
      <c r="Q43" s="1231">
        <f t="shared" si="4"/>
        <v>0</v>
      </c>
      <c r="S43" s="1235">
        <f t="shared" si="5"/>
        <v>0</v>
      </c>
      <c r="T43" s="1231">
        <f t="shared" si="5"/>
        <v>0</v>
      </c>
      <c r="V43" s="1235">
        <f t="shared" si="6"/>
        <v>0</v>
      </c>
      <c r="W43" s="1231">
        <f t="shared" si="6"/>
        <v>0</v>
      </c>
      <c r="Y43" s="1235">
        <f t="shared" si="7"/>
        <v>0</v>
      </c>
      <c r="Z43" s="1231">
        <f t="shared" si="7"/>
        <v>0</v>
      </c>
      <c r="AB43" s="1235">
        <f t="shared" si="8"/>
        <v>0</v>
      </c>
      <c r="AC43" s="1231">
        <f t="shared" si="8"/>
        <v>0</v>
      </c>
      <c r="AE43" s="1235">
        <f>IF(AE35=1,AE29,0)</f>
        <v>0</v>
      </c>
    </row>
    <row r="44" spans="1:33" s="1231" customFormat="1" ht="38.25" hidden="1" customHeight="1" x14ac:dyDescent="0.2">
      <c r="A44" s="1234" t="s">
        <v>66</v>
      </c>
      <c r="B44" s="1231">
        <f>SUM(B39:D43)</f>
        <v>35</v>
      </c>
      <c r="D44" s="1235"/>
      <c r="E44" s="1231">
        <f>SUM(E39:G43)</f>
        <v>29</v>
      </c>
      <c r="G44" s="1235"/>
      <c r="H44" s="1231">
        <f>SUM(H39:J43)</f>
        <v>29</v>
      </c>
      <c r="J44" s="1235"/>
      <c r="K44" s="1231">
        <f>SUM(K39:M43)</f>
        <v>31</v>
      </c>
      <c r="M44" s="1235"/>
      <c r="N44" s="1231">
        <f>SUM(N39:P43)</f>
        <v>36</v>
      </c>
      <c r="P44" s="1235"/>
      <c r="Q44" s="1231">
        <f>SUM(Q39:S43)</f>
        <v>21</v>
      </c>
      <c r="S44" s="1235"/>
      <c r="T44" s="1231">
        <f>SUM(T39:V43)</f>
        <v>19</v>
      </c>
      <c r="V44" s="1235"/>
      <c r="W44" s="1231">
        <f>SUM(W39:Y43)</f>
        <v>0</v>
      </c>
      <c r="Y44" s="1235"/>
      <c r="Z44" s="1231">
        <f>SUM(Z39:AB43)</f>
        <v>0</v>
      </c>
      <c r="AB44" s="1235"/>
      <c r="AC44" s="1231">
        <f>SUM(AC39:AE43)</f>
        <v>0</v>
      </c>
      <c r="AE44" s="1235"/>
    </row>
    <row r="45" spans="1:33" s="1231" customFormat="1" ht="38.25" hidden="1" customHeight="1" x14ac:dyDescent="0.2">
      <c r="A45" s="1231" t="s">
        <v>67</v>
      </c>
      <c r="D45" s="1235"/>
      <c r="G45" s="1235"/>
      <c r="J45" s="1235"/>
      <c r="M45" s="1235"/>
      <c r="P45" s="1235"/>
      <c r="S45" s="1235"/>
      <c r="V45" s="1235"/>
      <c r="Y45" s="1235"/>
      <c r="AB45" s="1235"/>
      <c r="AE45" s="1235"/>
      <c r="AF45" s="1234" t="s">
        <v>68</v>
      </c>
      <c r="AG45" s="1231" t="s">
        <v>69</v>
      </c>
    </row>
    <row r="46" spans="1:33" s="1231" customFormat="1" ht="12.75" hidden="1" customHeight="1" x14ac:dyDescent="0.2">
      <c r="A46" s="1231" t="s">
        <v>70</v>
      </c>
      <c r="B46" s="1231">
        <f>IF(B24=1,IF(B37=1,1,0),0)</f>
        <v>1</v>
      </c>
      <c r="D46" s="1235">
        <f>IF(D24=1,IF(D37=1,1,0),0)</f>
        <v>0</v>
      </c>
      <c r="E46" s="1231">
        <f>IF(E24=1,IF(E37=1,1,0),0)</f>
        <v>0</v>
      </c>
      <c r="G46" s="1235">
        <f>IF(G24=1,IF(G37=1,1,0),0)</f>
        <v>0</v>
      </c>
      <c r="H46" s="1231">
        <f>IF(H24=1,IF(H37=1,1,0),0)</f>
        <v>0</v>
      </c>
      <c r="J46" s="1235">
        <f>IF(J24=1,IF(J37=1,1,0),0)</f>
        <v>0</v>
      </c>
      <c r="K46" s="1231">
        <f>IF(K24=1,IF(K37=1,1,0),0)</f>
        <v>0</v>
      </c>
      <c r="M46" s="1235">
        <f>IF(M24=1,IF(M37=1,1,0),0)</f>
        <v>0</v>
      </c>
      <c r="N46" s="1231">
        <f>IF(N24=1,IF(N37=1,1,0),0)</f>
        <v>0</v>
      </c>
      <c r="P46" s="1235">
        <f>IF(P24=1,IF(P37=1,1,0),0)</f>
        <v>0</v>
      </c>
      <c r="Q46" s="1231">
        <f>IF(Q24=1,IF(Q37=1,1,0),0)</f>
        <v>0</v>
      </c>
      <c r="S46" s="1235">
        <f>IF(S24=1,IF(S37=1,1,0),0)</f>
        <v>0</v>
      </c>
      <c r="T46" s="1231">
        <f>IF(T24=1,IF(T37=1,1,0),0)</f>
        <v>1</v>
      </c>
      <c r="V46" s="1235">
        <f>IF(V24=1,IF(V37=1,1,0),0)</f>
        <v>0</v>
      </c>
      <c r="W46" s="1231">
        <f>IF(W24=1,IF(W37=1,1,0),0)</f>
        <v>0</v>
      </c>
      <c r="Y46" s="1235">
        <f>IF(Y24=1,IF(Y37=1,1,0),0)</f>
        <v>0</v>
      </c>
      <c r="Z46" s="1231">
        <f>IF(Z24=1,IF(Z37=1,1,0),0)</f>
        <v>0</v>
      </c>
      <c r="AB46" s="1235">
        <f>IF(AB24=1,IF(AB37=1,1,0),0)</f>
        <v>0</v>
      </c>
      <c r="AC46" s="1231">
        <f>IF(AC24=1,IF(AC37=1,1,0),0)</f>
        <v>0</v>
      </c>
      <c r="AE46" s="1235">
        <f>IF(AE24=1,IF(AE37=1,1,0),0)</f>
        <v>0</v>
      </c>
      <c r="AF46" s="1231">
        <f>SUM(B46:AE46)</f>
        <v>2</v>
      </c>
      <c r="AG46" s="1231">
        <f>AF52-AF46</f>
        <v>1</v>
      </c>
    </row>
    <row r="47" spans="1:33" s="1231" customFormat="1" ht="12.75" hidden="1" customHeight="1" x14ac:dyDescent="0.2">
      <c r="A47" s="1231" t="s">
        <v>71</v>
      </c>
      <c r="B47" s="1231">
        <f>IF(B24=2,IF(B37=1,1,0),0)</f>
        <v>0</v>
      </c>
      <c r="D47" s="1235">
        <f>IF(D24=2,IF(D37=1,1,0),0)</f>
        <v>0</v>
      </c>
      <c r="E47" s="1231">
        <f>IF(E24=2,IF(E37=1,1,0),0)</f>
        <v>0</v>
      </c>
      <c r="G47" s="1235">
        <f>IF(G24=2,IF(G37=1,1,0),0)</f>
        <v>0</v>
      </c>
      <c r="H47" s="1231">
        <f>IF(H24=2,IF(H37=1,1,0),0)</f>
        <v>0</v>
      </c>
      <c r="J47" s="1235">
        <f>IF(J24=2,IF(J37=1,1,0),0)</f>
        <v>0</v>
      </c>
      <c r="K47" s="1231">
        <f>IF(K24=2,IF(K37=1,1,0),0)</f>
        <v>0</v>
      </c>
      <c r="M47" s="1235">
        <f>IF(M24=2,IF(M37=1,1,0),0)</f>
        <v>0</v>
      </c>
      <c r="N47" s="1231">
        <f>IF(N24=2,IF(N37=1,1,0),0)</f>
        <v>0</v>
      </c>
      <c r="P47" s="1235">
        <f>IF(P24=2,IF(P37=1,1,0),0)</f>
        <v>0</v>
      </c>
      <c r="Q47" s="1231">
        <f>IF(Q24=2,IF(Q37=1,1,0),0)</f>
        <v>0</v>
      </c>
      <c r="S47" s="1235">
        <f>IF(S24=2,IF(S37=1,1,0),0)</f>
        <v>0</v>
      </c>
      <c r="T47" s="1231">
        <f>IF(T24=2,IF(T37=1,1,0),0)</f>
        <v>0</v>
      </c>
      <c r="V47" s="1235">
        <f>IF(V24=2,IF(V37=1,1,0),0)</f>
        <v>0</v>
      </c>
      <c r="W47" s="1231">
        <f>IF(W24=2,IF(W37=1,1,0),0)</f>
        <v>0</v>
      </c>
      <c r="Y47" s="1235">
        <f>IF(Y24=2,IF(Y37=1,1,0),0)</f>
        <v>0</v>
      </c>
      <c r="Z47" s="1231">
        <f>IF(Z24=2,IF(Z37=1,1,0),0)</f>
        <v>0</v>
      </c>
      <c r="AB47" s="1235">
        <f>IF(AB24=2,IF(AB37=1,1,0),0)</f>
        <v>0</v>
      </c>
      <c r="AC47" s="1231">
        <f>IF(AC24=2,IF(AC37=1,1,0),0)</f>
        <v>0</v>
      </c>
      <c r="AE47" s="1235">
        <f>IF(AE24=2,IF(AE37=1,1,0),0)</f>
        <v>0</v>
      </c>
      <c r="AF47" s="1231">
        <f>SUM(B47:AE47)</f>
        <v>0</v>
      </c>
      <c r="AG47" s="1231">
        <f>AF53-AF47</f>
        <v>2</v>
      </c>
    </row>
    <row r="48" spans="1:33" s="1231" customFormat="1" ht="12.75" hidden="1" customHeight="1" x14ac:dyDescent="0.2">
      <c r="A48" s="1231" t="s">
        <v>72</v>
      </c>
      <c r="B48" s="1231">
        <f>IF(B24=3,IF(B37=1,1,0),0)</f>
        <v>0</v>
      </c>
      <c r="D48" s="1235">
        <f>IF(D24=3,IF(D37=1,1,0),0)</f>
        <v>0</v>
      </c>
      <c r="E48" s="1231">
        <f>IF(E24=3,IF(E37=1,1,0),0)</f>
        <v>1</v>
      </c>
      <c r="G48" s="1235">
        <f>IF(G24=3,IF(G37=1,1,0),0)</f>
        <v>0</v>
      </c>
      <c r="H48" s="1231">
        <f>IF(H24=3,IF(H37=1,1,0),0)</f>
        <v>0</v>
      </c>
      <c r="J48" s="1235">
        <f>IF(J24=3,IF(J37=1,1,0),0)</f>
        <v>0</v>
      </c>
      <c r="K48" s="1231">
        <f>IF(K24=3,IF(K37=1,1,0),0)</f>
        <v>0</v>
      </c>
      <c r="M48" s="1235">
        <f>IF(M24=3,IF(M37=1,1,0),0)</f>
        <v>1</v>
      </c>
      <c r="N48" s="1231">
        <f>IF(N24=3,IF(N37=1,1,0),0)</f>
        <v>0</v>
      </c>
      <c r="P48" s="1235">
        <f>IF(P24=3,IF(P37=1,1,0),0)</f>
        <v>0</v>
      </c>
      <c r="Q48" s="1231">
        <f>IF(Q24=3,IF(Q37=1,1,0),0)</f>
        <v>0</v>
      </c>
      <c r="S48" s="1235">
        <f>IF(S24=3,IF(S37=1,1,0),0)</f>
        <v>0</v>
      </c>
      <c r="T48" s="1231">
        <f>IF(T24=3,IF(T37=1,1,0),0)</f>
        <v>0</v>
      </c>
      <c r="V48" s="1235">
        <f>IF(V24=3,IF(V37=1,1,0),0)</f>
        <v>0</v>
      </c>
      <c r="W48" s="1231">
        <f>IF(W24=3,IF(W37=1,1,0),0)</f>
        <v>0</v>
      </c>
      <c r="Y48" s="1235">
        <f>IF(Y24=3,IF(Y37=1,1,0),0)</f>
        <v>0</v>
      </c>
      <c r="Z48" s="1231">
        <f>IF(Z24=3,IF(Z37=1,1,0),0)</f>
        <v>0</v>
      </c>
      <c r="AB48" s="1235">
        <f>IF(AB24=3,IF(AB37=1,1,0),0)</f>
        <v>0</v>
      </c>
      <c r="AC48" s="1231">
        <f>IF(AC24=3,IF(AC37=1,1,0),0)</f>
        <v>0</v>
      </c>
      <c r="AE48" s="1235">
        <f>IF(AE24=3,IF(AE37=1,1,0),0)</f>
        <v>0</v>
      </c>
      <c r="AF48" s="1231">
        <f>SUM(B48:AE48)</f>
        <v>2</v>
      </c>
      <c r="AG48" s="1231">
        <f>AF54-AF48</f>
        <v>1</v>
      </c>
    </row>
    <row r="49" spans="1:37" s="1231" customFormat="1" ht="12.75" hidden="1" customHeight="1" x14ac:dyDescent="0.2">
      <c r="A49" s="1231" t="s">
        <v>73</v>
      </c>
      <c r="B49" s="1231">
        <f>IF(B24=4,IF(B37=1,1,0),0)</f>
        <v>0</v>
      </c>
      <c r="D49" s="1235">
        <f>IF(D24=4,IF(D37=1,1,0),0)</f>
        <v>0</v>
      </c>
      <c r="E49" s="1231">
        <f>IF(E24=4,IF(E37=1,1,0),0)</f>
        <v>0</v>
      </c>
      <c r="G49" s="1235">
        <f>IF(G24=4,IF(G37=1,1,0),0)</f>
        <v>0</v>
      </c>
      <c r="H49" s="1231">
        <f>IF(H24=4,IF(H37=1,1,0),0)</f>
        <v>0</v>
      </c>
      <c r="J49" s="1235">
        <f>IF(J24=4,IF(J37=1,1,0),0)</f>
        <v>0</v>
      </c>
      <c r="K49" s="1231">
        <f>IF(K24=4,IF(K37=1,1,0),0)</f>
        <v>0</v>
      </c>
      <c r="M49" s="1235">
        <f>IF(M24=4,IF(M37=1,1,0),0)</f>
        <v>0</v>
      </c>
      <c r="N49" s="1231">
        <f>IF(N24=4,IF(N37=1,1,0),0)</f>
        <v>0</v>
      </c>
      <c r="P49" s="1235">
        <f>IF(P24=4,IF(P37=1,1,0),0)</f>
        <v>0</v>
      </c>
      <c r="Q49" s="1231">
        <f>IF(Q24=4,IF(Q37=1,1,0),0)</f>
        <v>0</v>
      </c>
      <c r="S49" s="1235">
        <f>IF(S24=4,IF(S37=1,1,0),0)</f>
        <v>0</v>
      </c>
      <c r="T49" s="1231">
        <f>IF(T24=4,IF(T37=1,1,0),0)</f>
        <v>0</v>
      </c>
      <c r="V49" s="1235">
        <f>IF(V24=4,IF(V37=1,1,0),0)</f>
        <v>0</v>
      </c>
      <c r="W49" s="1231">
        <f>IF(W24=4,IF(W37=1,1,0),0)</f>
        <v>0</v>
      </c>
      <c r="Y49" s="1235">
        <f>IF(Y24=4,IF(Y37=1,1,0),0)</f>
        <v>0</v>
      </c>
      <c r="Z49" s="1231">
        <f>IF(Z24=4,IF(Z37=1,1,0),0)</f>
        <v>0</v>
      </c>
      <c r="AB49" s="1235">
        <f>IF(AB24=4,IF(AB37=1,1,0),0)</f>
        <v>0</v>
      </c>
      <c r="AC49" s="1231">
        <f>IF(AC24=4,IF(AC37=1,1,0),0)</f>
        <v>0</v>
      </c>
      <c r="AE49" s="1235">
        <f>IF(AE24=4,IF(AE37=1,1,0),0)</f>
        <v>0</v>
      </c>
      <c r="AF49" s="1231">
        <f>SUM(B49:AE49)</f>
        <v>0</v>
      </c>
      <c r="AG49" s="1231">
        <f>AF55-AF49</f>
        <v>3</v>
      </c>
    </row>
    <row r="50" spans="1:37" s="1231" customFormat="1" ht="12.75" hidden="1" customHeight="1" x14ac:dyDescent="0.2">
      <c r="A50" s="1231" t="s">
        <v>74</v>
      </c>
      <c r="B50" s="1231">
        <f>IF(B24=5,IF(B37=1,1,0),0)</f>
        <v>0</v>
      </c>
      <c r="D50" s="1235">
        <f>IF(D24=5,IF(D37=1,1,0),0)</f>
        <v>0</v>
      </c>
      <c r="E50" s="1231">
        <f>IF(E24=5,IF(E37=1,1,0),0)</f>
        <v>0</v>
      </c>
      <c r="G50" s="1235">
        <f>IF(G24=5,IF(G37=1,1,0),0)</f>
        <v>0</v>
      </c>
      <c r="H50" s="1231">
        <f>IF(H24=5,IF(H37=1,1,0),0)</f>
        <v>0</v>
      </c>
      <c r="J50" s="1235">
        <f>IF(J24=5,IF(J37=1,1,0),0)</f>
        <v>1</v>
      </c>
      <c r="K50" s="1231">
        <f>IF(K24=5,IF(K37=1,1,0),0)</f>
        <v>0</v>
      </c>
      <c r="M50" s="1235">
        <f>IF(M24=5,IF(M37=1,1,0),0)</f>
        <v>0</v>
      </c>
      <c r="N50" s="1231">
        <f>IF(N24=5,IF(N37=1,1,0),0)</f>
        <v>0</v>
      </c>
      <c r="P50" s="1235">
        <f>IF(P24=5,IF(P37=1,1,0),0)</f>
        <v>1</v>
      </c>
      <c r="Q50" s="1231">
        <f>IF(Q24=5,IF(Q37=1,1,0),0)</f>
        <v>1</v>
      </c>
      <c r="S50" s="1235">
        <f>IF(S24=5,IF(S37=1,1,0),0)</f>
        <v>0</v>
      </c>
      <c r="T50" s="1231">
        <f>IF(T24=5,IF(T37=1,1,0),0)</f>
        <v>0</v>
      </c>
      <c r="V50" s="1235">
        <f>IF(V24=5,IF(V37=1,1,0),0)</f>
        <v>0</v>
      </c>
      <c r="W50" s="1231">
        <f>IF(W24=5,IF(W37=1,1,0),0)</f>
        <v>0</v>
      </c>
      <c r="Y50" s="1235">
        <f>IF(Y24=5,IF(Y37=1,1,0),0)</f>
        <v>0</v>
      </c>
      <c r="Z50" s="1231">
        <f>IF(Z24=5,IF(Z37=1,1,0),0)</f>
        <v>0</v>
      </c>
      <c r="AB50" s="1235">
        <f>IF(AB24=5,IF(AB37=1,1,0),0)</f>
        <v>0</v>
      </c>
      <c r="AC50" s="1231">
        <f>IF(AC24=5,IF(AC37=1,1,0),0)</f>
        <v>0</v>
      </c>
      <c r="AE50" s="1235">
        <f>IF(AE24=5,IF(AE37=1,1,0),0)</f>
        <v>0</v>
      </c>
      <c r="AF50" s="1231">
        <f>SUM(B50:AE50)</f>
        <v>3</v>
      </c>
      <c r="AG50" s="1231">
        <f>AF56-AF50</f>
        <v>0</v>
      </c>
    </row>
    <row r="51" spans="1:37" s="1231" customFormat="1" ht="38.25" hidden="1" customHeight="1" x14ac:dyDescent="0.2">
      <c r="A51" s="1234"/>
      <c r="D51" s="1235"/>
      <c r="G51" s="1235"/>
      <c r="J51" s="1235"/>
      <c r="M51" s="1235"/>
      <c r="P51" s="1235"/>
      <c r="S51" s="1235"/>
      <c r="V51" s="1235"/>
      <c r="Y51" s="1235"/>
      <c r="AB51" s="1235"/>
      <c r="AE51" s="1235"/>
      <c r="AF51" s="1234" t="s">
        <v>75</v>
      </c>
    </row>
    <row r="52" spans="1:37" s="1231" customFormat="1" ht="12.75" hidden="1" customHeight="1" x14ac:dyDescent="0.2">
      <c r="A52" s="1231" t="s">
        <v>76</v>
      </c>
      <c r="B52" s="1231">
        <f>IF(B24=1,IF(C37=1,1,0),0)</f>
        <v>1</v>
      </c>
      <c r="D52" s="1235">
        <f>IF(D24=1,IF(C37=1,1,0),0)</f>
        <v>0</v>
      </c>
      <c r="E52" s="1231">
        <f>IF(E24=1,IF(F37=1,1,0),0)</f>
        <v>0</v>
      </c>
      <c r="G52" s="1235">
        <f>IF(G24=1,IF(F37=1,1,0),0)</f>
        <v>0</v>
      </c>
      <c r="H52" s="1231">
        <f>IF(H24=1,IF(I37=1,1,0),0)</f>
        <v>1</v>
      </c>
      <c r="J52" s="1235">
        <f>IF(J24=1,IF(I37=1,1,0),0)</f>
        <v>0</v>
      </c>
      <c r="K52" s="1231">
        <f>IF(K24=1,IF(L37=1,1,0),0)</f>
        <v>0</v>
      </c>
      <c r="M52" s="1235">
        <f>IF(M24=1,IF(L37=1,1,0),0)</f>
        <v>0</v>
      </c>
      <c r="N52" s="1231">
        <f>IF(N24=1,IF(O37=1,1,0),0)</f>
        <v>0</v>
      </c>
      <c r="P52" s="1235">
        <f>IF(P24=1,IF(O37=1,1,0),0)</f>
        <v>0</v>
      </c>
      <c r="Q52" s="1231">
        <f>IF(Q24=1,IF(R37=1,1,0),0)</f>
        <v>0</v>
      </c>
      <c r="S52" s="1235">
        <f>IF(S24=1,IF(R37=1,1,0),0)</f>
        <v>0</v>
      </c>
      <c r="T52" s="1231">
        <f>IF(T24=1,IF(U37=1,1,0),0)</f>
        <v>1</v>
      </c>
      <c r="V52" s="1235">
        <f>IF(V24=1,IF(U37=1,1,0),0)</f>
        <v>0</v>
      </c>
      <c r="W52" s="1231">
        <f>IF(W24=1,IF(X37=1,1,0),0)</f>
        <v>0</v>
      </c>
      <c r="Y52" s="1235">
        <f>IF(Y24=1,IF(X37=1,1,0),0)</f>
        <v>0</v>
      </c>
      <c r="Z52" s="1231">
        <f>IF(Z24=1,IF(AA37=1,1,0),0)</f>
        <v>0</v>
      </c>
      <c r="AB52" s="1235">
        <f>IF(AB24=1,IF(AA37=1,1,0),0)</f>
        <v>0</v>
      </c>
      <c r="AC52" s="1231">
        <f>IF(AC24=1,IF(AD37=1,1,0),0)</f>
        <v>0</v>
      </c>
      <c r="AE52" s="1235">
        <f>IF(AE24=1,IF(AD37=1,1,0),0)</f>
        <v>0</v>
      </c>
      <c r="AF52" s="1231">
        <f>SUM(B52:AE52)</f>
        <v>3</v>
      </c>
    </row>
    <row r="53" spans="1:37" s="1231" customFormat="1" ht="12.75" hidden="1" customHeight="1" x14ac:dyDescent="0.2">
      <c r="A53" s="1231" t="s">
        <v>77</v>
      </c>
      <c r="B53" s="1231">
        <f>IF(B24=2,IF(C37=1,1,0),0)</f>
        <v>0</v>
      </c>
      <c r="D53" s="1235">
        <f>IF(D24=2,IF(C37=1,1,0),0)</f>
        <v>1</v>
      </c>
      <c r="E53" s="1231">
        <f>IF(E24=2,IF(F37=1,1,0),0)</f>
        <v>0</v>
      </c>
      <c r="G53" s="1235">
        <f>IF(G24=2,IF(F37=1,1,0),0)</f>
        <v>0</v>
      </c>
      <c r="H53" s="1231">
        <f>IF(H24=2,IF(I37=1,1,0),0)</f>
        <v>0</v>
      </c>
      <c r="J53" s="1235">
        <f>IF(J24=2,IF(I37=1,1,0),0)</f>
        <v>0</v>
      </c>
      <c r="K53" s="1231">
        <f>IF(K24=2,IF(L37=1,1,0),0)</f>
        <v>1</v>
      </c>
      <c r="M53" s="1235">
        <f>IF(M24=2,IF(L37=1,1,0),0)</f>
        <v>0</v>
      </c>
      <c r="N53" s="1231">
        <f>IF(N24=2,IF(O37=1,1,0),0)</f>
        <v>0</v>
      </c>
      <c r="P53" s="1235">
        <f>IF(P24=2,IF(O37=1,1,0),0)</f>
        <v>0</v>
      </c>
      <c r="Q53" s="1231">
        <f>IF(Q24=2,IF(R37=1,1,0),0)</f>
        <v>0</v>
      </c>
      <c r="S53" s="1235">
        <f>IF(S24=2,IF(R37=1,1,0),0)</f>
        <v>0</v>
      </c>
      <c r="T53" s="1231">
        <f>IF(T24=2,IF(U37=1,1,0),0)</f>
        <v>0</v>
      </c>
      <c r="V53" s="1235">
        <f>IF(V24=2,IF(U37=1,1,0),0)</f>
        <v>0</v>
      </c>
      <c r="W53" s="1231">
        <f>IF(W24=2,IF(X37=1,1,0),0)</f>
        <v>0</v>
      </c>
      <c r="Y53" s="1235">
        <f>IF(Y24=2,IF(X37=1,1,0),0)</f>
        <v>0</v>
      </c>
      <c r="Z53" s="1231">
        <f>IF(Z24=2,IF(AA37=1,1,0),0)</f>
        <v>0</v>
      </c>
      <c r="AB53" s="1235">
        <f>IF(AB24=2,IF(AA37=1,1,0),0)</f>
        <v>0</v>
      </c>
      <c r="AC53" s="1231">
        <f>IF(AC24=2,IF(AD37=1,1,0),0)</f>
        <v>0</v>
      </c>
      <c r="AE53" s="1235">
        <f>IF(AE24=2,IF(AD37=1,1,0),0)</f>
        <v>0</v>
      </c>
      <c r="AF53" s="1231">
        <f>SUM(B53:AE53)</f>
        <v>2</v>
      </c>
    </row>
    <row r="54" spans="1:37" s="1231" customFormat="1" ht="12.75" hidden="1" customHeight="1" x14ac:dyDescent="0.2">
      <c r="A54" s="1231" t="s">
        <v>78</v>
      </c>
      <c r="B54" s="1231">
        <f>IF(B24=3,IF(C37=1,1,0),0)</f>
        <v>0</v>
      </c>
      <c r="D54" s="1235">
        <f>IF(D24=3,IF(C37=1,1,0),0)</f>
        <v>0</v>
      </c>
      <c r="E54" s="1231">
        <f>IF(E24=3,IF(F37=1,1,0),0)</f>
        <v>1</v>
      </c>
      <c r="G54" s="1235">
        <f>IF(G24=3,IF(F37=1,1,0),0)</f>
        <v>0</v>
      </c>
      <c r="H54" s="1231">
        <f>IF(H24=3,IF(I37=1,1,0),0)</f>
        <v>0</v>
      </c>
      <c r="J54" s="1235">
        <f>IF(J24=3,IF(I37=1,1,0),0)</f>
        <v>0</v>
      </c>
      <c r="K54" s="1231">
        <f>IF(K24=3,IF(L37=1,1,0),0)</f>
        <v>0</v>
      </c>
      <c r="M54" s="1235">
        <f>IF(M24=3,IF(L37=1,1,0),0)</f>
        <v>1</v>
      </c>
      <c r="N54" s="1231">
        <f>IF(N24=3,IF(O37=1,1,0),0)</f>
        <v>0</v>
      </c>
      <c r="P54" s="1235">
        <f>IF(P24=3,IF(O37=1,1,0),0)</f>
        <v>0</v>
      </c>
      <c r="Q54" s="1231">
        <f>IF(Q24=3,IF(R37=1,1,0),0)</f>
        <v>0</v>
      </c>
      <c r="S54" s="1235">
        <f>IF(S24=3,IF(R37=1,1,0),0)</f>
        <v>1</v>
      </c>
      <c r="T54" s="1231">
        <f>IF(T24=3,IF(U37=1,1,0),0)</f>
        <v>0</v>
      </c>
      <c r="V54" s="1235">
        <f>IF(V24=3,IF(U37=1,1,0),0)</f>
        <v>0</v>
      </c>
      <c r="W54" s="1231">
        <f>IF(W24=3,IF(X37=1,1,0),0)</f>
        <v>0</v>
      </c>
      <c r="Y54" s="1235">
        <f>IF(Y24=3,IF(X37=1,1,0),0)</f>
        <v>0</v>
      </c>
      <c r="Z54" s="1231">
        <f>IF(Z24=3,IF(AA37=1,1,0),0)</f>
        <v>0</v>
      </c>
      <c r="AB54" s="1235">
        <f>IF(AB24=3,IF(AA37=1,1,0),0)</f>
        <v>0</v>
      </c>
      <c r="AC54" s="1231">
        <f>IF(AC24=3,IF(AD37=1,1,0),0)</f>
        <v>0</v>
      </c>
      <c r="AE54" s="1235">
        <f>IF(AE24=3,IF(AD37=1,1,0),0)</f>
        <v>0</v>
      </c>
      <c r="AF54" s="1231">
        <f>SUM(B54:AE54)</f>
        <v>3</v>
      </c>
    </row>
    <row r="55" spans="1:37" s="1231" customFormat="1" ht="12.75" hidden="1" customHeight="1" x14ac:dyDescent="0.2">
      <c r="A55" s="1231" t="s">
        <v>79</v>
      </c>
      <c r="B55" s="1231">
        <f>IF(B24=4,IF(C37=1,1,0),0)</f>
        <v>0</v>
      </c>
      <c r="D55" s="1235">
        <f>IF(D24=4,IF(C37=1,1,0),0)</f>
        <v>0</v>
      </c>
      <c r="E55" s="1231">
        <f>IF(E24=4,IF(F37=1,1,0),0)</f>
        <v>0</v>
      </c>
      <c r="G55" s="1235">
        <f>IF(G24=4,IF(F37=1,1,0),0)</f>
        <v>1</v>
      </c>
      <c r="H55" s="1231">
        <f>IF(H24=4,IF(I37=1,1,0),0)</f>
        <v>0</v>
      </c>
      <c r="J55" s="1235">
        <f>IF(J24=4,IF(I37=1,1,0),0)</f>
        <v>0</v>
      </c>
      <c r="K55" s="1231">
        <f>IF(K24=4,IF(L37=1,1,0),0)</f>
        <v>0</v>
      </c>
      <c r="M55" s="1235">
        <f>IF(M24=4,IF(L37=1,1,0),0)</f>
        <v>0</v>
      </c>
      <c r="N55" s="1231">
        <f>IF(N24=4,IF(O37=1,1,0),0)</f>
        <v>1</v>
      </c>
      <c r="P55" s="1235">
        <f>IF(P24=4,IF(O37=1,1,0),0)</f>
        <v>0</v>
      </c>
      <c r="Q55" s="1231">
        <f>IF(Q24=4,IF(R37=1,1,0),0)</f>
        <v>0</v>
      </c>
      <c r="S55" s="1235">
        <f>IF(S24=4,IF(R37=1,1,0),0)</f>
        <v>0</v>
      </c>
      <c r="T55" s="1231">
        <f>IF(T24=4,IF(U37=1,1,0),0)</f>
        <v>0</v>
      </c>
      <c r="V55" s="1235">
        <f>IF(V24=4,IF(U37=1,1,0),0)</f>
        <v>1</v>
      </c>
      <c r="W55" s="1231">
        <f>IF(W24=4,IF(X37=1,1,0),0)</f>
        <v>0</v>
      </c>
      <c r="Y55" s="1235">
        <f>IF(Y24=4,IF(X37=1,1,0),0)</f>
        <v>0</v>
      </c>
      <c r="Z55" s="1231">
        <f>IF(Z24=4,IF(AA37=1,1,0),0)</f>
        <v>0</v>
      </c>
      <c r="AB55" s="1235">
        <f>IF(AB24=4,IF(AA37=1,1,0),0)</f>
        <v>0</v>
      </c>
      <c r="AC55" s="1231">
        <f>IF(AC24=4,IF(AD37=1,1,0),0)</f>
        <v>0</v>
      </c>
      <c r="AE55" s="1235">
        <f>IF(AE24=4,IF(AD37=1,1,0),0)</f>
        <v>0</v>
      </c>
      <c r="AF55" s="1231">
        <f>SUM(B55:AE55)</f>
        <v>3</v>
      </c>
    </row>
    <row r="56" spans="1:37" s="1231" customFormat="1" ht="12.75" hidden="1" customHeight="1" x14ac:dyDescent="0.2">
      <c r="A56" s="1231" t="s">
        <v>80</v>
      </c>
      <c r="B56" s="1231">
        <f>IF(B24=5,IF(C37=1,1,0),0)</f>
        <v>0</v>
      </c>
      <c r="D56" s="1235">
        <f>IF(D24=5,IF(C37=1,1,0),0)</f>
        <v>0</v>
      </c>
      <c r="E56" s="1231">
        <f>IF(E24=5,IF(F37=1,1,0),0)</f>
        <v>0</v>
      </c>
      <c r="G56" s="1235">
        <f>IF(G24=5,IF(F37=1,1,0),0)</f>
        <v>0</v>
      </c>
      <c r="H56" s="1231">
        <f>IF(H24=5,IF(I37=1,1,0),0)</f>
        <v>0</v>
      </c>
      <c r="J56" s="1235">
        <f>IF(J24=5,IF(I37=1,1,0),0)</f>
        <v>1</v>
      </c>
      <c r="K56" s="1231">
        <f>IF(K24=5,IF(L37=1,1,0),0)</f>
        <v>0</v>
      </c>
      <c r="M56" s="1235">
        <f>IF(M24=5,IF(L37=1,1,0),0)</f>
        <v>0</v>
      </c>
      <c r="N56" s="1231">
        <f>IF(N24=5,IF(O37=1,1,0),0)</f>
        <v>0</v>
      </c>
      <c r="P56" s="1235">
        <f>IF(P24=5,IF(O37=1,1,0),0)</f>
        <v>1</v>
      </c>
      <c r="Q56" s="1231">
        <f>IF(Q24=5,IF(R37=1,1,0),0)</f>
        <v>1</v>
      </c>
      <c r="S56" s="1235">
        <f>IF(S24=5,IF(R37=1,1,0),0)</f>
        <v>0</v>
      </c>
      <c r="T56" s="1231">
        <f>IF(T24=5,IF(U37=1,1,0),0)</f>
        <v>0</v>
      </c>
      <c r="V56" s="1235">
        <f>IF(V24=5,IF(U37=1,1,0),0)</f>
        <v>0</v>
      </c>
      <c r="W56" s="1231">
        <f>IF(W24=5,IF(X37=1,1,0),0)</f>
        <v>0</v>
      </c>
      <c r="Y56" s="1235">
        <f>IF(Y24=5,IF(X37=1,1,0),0)</f>
        <v>0</v>
      </c>
      <c r="Z56" s="1231">
        <f>IF(Z24=5,IF(AA37=1,1,0),0)</f>
        <v>0</v>
      </c>
      <c r="AB56" s="1235">
        <f>IF(AB24=5,IF(AA37=1,1,0),0)</f>
        <v>0</v>
      </c>
      <c r="AC56" s="1231">
        <f>IF(AC24=5,IF(AD37=1,1,0),0)</f>
        <v>0</v>
      </c>
      <c r="AE56" s="1235">
        <f>IF(AE24=5,IF(AD37=1,1,0),0)</f>
        <v>0</v>
      </c>
      <c r="AF56" s="1231">
        <f>SUM(B56:AE56)</f>
        <v>3</v>
      </c>
    </row>
    <row r="57" spans="1:37" s="1231" customFormat="1" ht="38.25" hidden="1" customHeight="1" x14ac:dyDescent="0.2">
      <c r="A57" s="1234"/>
      <c r="D57" s="1235"/>
      <c r="G57" s="1235"/>
      <c r="J57" s="1235"/>
      <c r="M57" s="1235"/>
      <c r="P57" s="1235"/>
      <c r="S57" s="1235"/>
      <c r="V57" s="1235"/>
      <c r="Y57" s="1235"/>
      <c r="AB57" s="1235"/>
      <c r="AE57" s="1235"/>
      <c r="AF57" s="1234" t="s">
        <v>81</v>
      </c>
      <c r="AG57" s="1236"/>
      <c r="AH57" s="1236"/>
      <c r="AI57" s="1236"/>
      <c r="AJ57" s="1236"/>
      <c r="AK57" s="1236"/>
    </row>
    <row r="58" spans="1:37" s="1231" customFormat="1" ht="12.75" hidden="1" customHeight="1" x14ac:dyDescent="0.2">
      <c r="A58" s="1231" t="s">
        <v>76</v>
      </c>
      <c r="B58" s="1231">
        <f>IF(B24=1,B44,0)</f>
        <v>35</v>
      </c>
      <c r="D58" s="1235">
        <f>IF(D24=1,B44,0)</f>
        <v>0</v>
      </c>
      <c r="E58" s="1231">
        <f>IF(E24=1,E44,0)</f>
        <v>0</v>
      </c>
      <c r="G58" s="1235">
        <f>IF(G24=1,E44,0)</f>
        <v>0</v>
      </c>
      <c r="H58" s="1231">
        <f>IF(H24=1,H44,0)</f>
        <v>29</v>
      </c>
      <c r="J58" s="1235">
        <f>IF(J24=1,H44,0)</f>
        <v>0</v>
      </c>
      <c r="K58" s="1231">
        <f>IF(K24=1,K44,0)</f>
        <v>0</v>
      </c>
      <c r="M58" s="1235">
        <f>IF(M24=1,K44,0)</f>
        <v>0</v>
      </c>
      <c r="N58" s="1231">
        <f>IF(N24=1,N44,0)</f>
        <v>0</v>
      </c>
      <c r="P58" s="1235">
        <f>IF(P24=1,N44,0)</f>
        <v>0</v>
      </c>
      <c r="Q58" s="1231">
        <f>IF(Q24=1,Q44,0)</f>
        <v>0</v>
      </c>
      <c r="S58" s="1235">
        <f>IF(S24=1,Q44,0)</f>
        <v>0</v>
      </c>
      <c r="T58" s="1231">
        <f>IF(T24=1,T44,0)</f>
        <v>19</v>
      </c>
      <c r="V58" s="1235">
        <f>IF(V24=1,T44,0)</f>
        <v>0</v>
      </c>
      <c r="W58" s="1231">
        <f>IF(W24=1,W44,0)</f>
        <v>0</v>
      </c>
      <c r="Y58" s="1235">
        <f>IF(Y24=1,W44,0)</f>
        <v>0</v>
      </c>
      <c r="Z58" s="1231">
        <f>IF(Z24=1,Z44,0)</f>
        <v>0</v>
      </c>
      <c r="AB58" s="1235">
        <f>IF(AB24=1,Z44,0)</f>
        <v>0</v>
      </c>
      <c r="AC58" s="1231">
        <f>IF(AC24=1,AC44,0)</f>
        <v>0</v>
      </c>
      <c r="AE58" s="1235">
        <f>IF(AE24=1,AC44,0)</f>
        <v>0</v>
      </c>
      <c r="AF58" s="1231">
        <f>SUM(B58:AE58)</f>
        <v>83</v>
      </c>
    </row>
    <row r="59" spans="1:37" s="1231" customFormat="1" ht="12.75" hidden="1" customHeight="1" x14ac:dyDescent="0.2">
      <c r="A59" s="1231" t="s">
        <v>77</v>
      </c>
      <c r="B59" s="1231">
        <f>IF(B24=2,B44,0)</f>
        <v>0</v>
      </c>
      <c r="D59" s="1235">
        <f>IF(D24=2,B44,0)</f>
        <v>35</v>
      </c>
      <c r="E59" s="1231">
        <f>IF(E24=2,E44,0)</f>
        <v>0</v>
      </c>
      <c r="G59" s="1235">
        <f>IF(G24=2,E44,0)</f>
        <v>0</v>
      </c>
      <c r="H59" s="1231">
        <f>IF(H24=2,H44,0)</f>
        <v>0</v>
      </c>
      <c r="J59" s="1235">
        <f>IF(J24=2,H44,0)</f>
        <v>0</v>
      </c>
      <c r="K59" s="1231">
        <f>IF(K24=2,K44,0)</f>
        <v>31</v>
      </c>
      <c r="M59" s="1235">
        <f>IF(M24=2,K44,0)</f>
        <v>0</v>
      </c>
      <c r="N59" s="1231">
        <f>IF(N24=2,N44,0)</f>
        <v>0</v>
      </c>
      <c r="P59" s="1235">
        <f>IF(P24=2,N44,0)</f>
        <v>0</v>
      </c>
      <c r="Q59" s="1231">
        <f>IF(Q24=2,Q44,0)</f>
        <v>0</v>
      </c>
      <c r="S59" s="1235">
        <f>IF(S24=2,Q44,0)</f>
        <v>0</v>
      </c>
      <c r="T59" s="1231">
        <f>IF(T24=2,T44,0)</f>
        <v>0</v>
      </c>
      <c r="V59" s="1235">
        <f>IF(V24=2,T44,0)</f>
        <v>0</v>
      </c>
      <c r="W59" s="1231">
        <f>IF(W24=2,W44,0)</f>
        <v>0</v>
      </c>
      <c r="Y59" s="1235">
        <f>IF(Y24=2,W44,0)</f>
        <v>0</v>
      </c>
      <c r="Z59" s="1231">
        <f>IF(Z24=2,Z44,0)</f>
        <v>0</v>
      </c>
      <c r="AB59" s="1235">
        <f>IF(AB24=2,Z44,0)</f>
        <v>0</v>
      </c>
      <c r="AC59" s="1231">
        <f>IF(AC24=2,AC44,0)</f>
        <v>0</v>
      </c>
      <c r="AE59" s="1235">
        <f>IF(AE24=2,AC44,0)</f>
        <v>0</v>
      </c>
      <c r="AF59" s="1231">
        <f>SUM(B59:AE59)</f>
        <v>66</v>
      </c>
    </row>
    <row r="60" spans="1:37" s="1231" customFormat="1" ht="12.75" hidden="1" customHeight="1" x14ac:dyDescent="0.2">
      <c r="A60" s="1231" t="s">
        <v>78</v>
      </c>
      <c r="B60" s="1231">
        <f>IF(B24=3,B44,0)</f>
        <v>0</v>
      </c>
      <c r="D60" s="1235">
        <f>IF(D24=3,B44,0)</f>
        <v>0</v>
      </c>
      <c r="E60" s="1231">
        <f>IF(E24=3,E44,0)</f>
        <v>29</v>
      </c>
      <c r="G60" s="1235">
        <f>IF(G24=3,E44,0)</f>
        <v>0</v>
      </c>
      <c r="H60" s="1231">
        <f>IF(H24=3,H44,0)</f>
        <v>0</v>
      </c>
      <c r="J60" s="1235">
        <f>IF(J24=3,H44,0)</f>
        <v>0</v>
      </c>
      <c r="K60" s="1231">
        <f>IF(K24=3,K44,0)</f>
        <v>0</v>
      </c>
      <c r="M60" s="1235">
        <f>IF(M24=3,K44,0)</f>
        <v>31</v>
      </c>
      <c r="N60" s="1231">
        <f>IF(N24=3,N44,0)</f>
        <v>0</v>
      </c>
      <c r="P60" s="1235">
        <f>IF(P24=3,N44,0)</f>
        <v>0</v>
      </c>
      <c r="Q60" s="1231">
        <f>IF(Q24=3,Q44,0)</f>
        <v>0</v>
      </c>
      <c r="S60" s="1235">
        <f>IF(S24=3,Q44,0)</f>
        <v>21</v>
      </c>
      <c r="T60" s="1231">
        <f>IF(T24=3,T44,0)</f>
        <v>0</v>
      </c>
      <c r="V60" s="1235">
        <f>IF(V24=3,T44,0)</f>
        <v>0</v>
      </c>
      <c r="W60" s="1231">
        <f>IF(W24=3,W44,0)</f>
        <v>0</v>
      </c>
      <c r="Y60" s="1235">
        <f>IF(Y24=3,W44,0)</f>
        <v>0</v>
      </c>
      <c r="Z60" s="1231">
        <f>IF(Z24=3,Z44,0)</f>
        <v>0</v>
      </c>
      <c r="AB60" s="1235">
        <f>IF(AB24=3,Z44,0)</f>
        <v>0</v>
      </c>
      <c r="AC60" s="1231">
        <f>IF(AC24=3,AC44,0)</f>
        <v>0</v>
      </c>
      <c r="AE60" s="1235">
        <f>IF(AE24=3,AC44,0)</f>
        <v>0</v>
      </c>
      <c r="AF60" s="1231">
        <f>SUM(B60:AE60)</f>
        <v>81</v>
      </c>
    </row>
    <row r="61" spans="1:37" s="1231" customFormat="1" ht="12.75" hidden="1" customHeight="1" x14ac:dyDescent="0.2">
      <c r="A61" s="1231" t="s">
        <v>79</v>
      </c>
      <c r="B61" s="1231">
        <f>IF(B24=4,B44,0)</f>
        <v>0</v>
      </c>
      <c r="D61" s="1235">
        <f>IF(D24=4,B44,0)</f>
        <v>0</v>
      </c>
      <c r="E61" s="1231">
        <f>IF(E24=4,E44,0)</f>
        <v>0</v>
      </c>
      <c r="G61" s="1235">
        <f>IF(G24=4,E44,0)</f>
        <v>29</v>
      </c>
      <c r="H61" s="1231">
        <f>IF(H24=4,H44,0)</f>
        <v>0</v>
      </c>
      <c r="J61" s="1235">
        <f>IF(J24=4,H44,0)</f>
        <v>0</v>
      </c>
      <c r="K61" s="1231">
        <f>IF(K24=4,K44,0)</f>
        <v>0</v>
      </c>
      <c r="M61" s="1235">
        <f>IF(M24=4,K44,0)</f>
        <v>0</v>
      </c>
      <c r="N61" s="1231">
        <f>IF(N24=4,N44,0)</f>
        <v>36</v>
      </c>
      <c r="P61" s="1235">
        <f>IF(P24=4,N44,0)</f>
        <v>0</v>
      </c>
      <c r="Q61" s="1231">
        <f>IF(Q24=4,Q44,0)</f>
        <v>0</v>
      </c>
      <c r="S61" s="1235">
        <f>IF(S24=4,Q44,0)</f>
        <v>0</v>
      </c>
      <c r="T61" s="1231">
        <f>IF(T24=4,T44,0)</f>
        <v>0</v>
      </c>
      <c r="V61" s="1235">
        <f>IF(V24=4,T44,0)</f>
        <v>19</v>
      </c>
      <c r="W61" s="1231">
        <f>IF(W24=4,W44,0)</f>
        <v>0</v>
      </c>
      <c r="Y61" s="1235">
        <f>IF(Y24=4,W44,0)</f>
        <v>0</v>
      </c>
      <c r="Z61" s="1231">
        <f>IF(Z24=4,Z44,0)</f>
        <v>0</v>
      </c>
      <c r="AB61" s="1235">
        <f>IF(AB24=4,Z44,0)</f>
        <v>0</v>
      </c>
      <c r="AC61" s="1231">
        <f>IF(AC24=4,AC44,0)</f>
        <v>0</v>
      </c>
      <c r="AE61" s="1235">
        <f>IF(AE24=4,AC44,0)</f>
        <v>0</v>
      </c>
      <c r="AF61" s="1231">
        <f>SUM(B61:AE61)</f>
        <v>84</v>
      </c>
    </row>
    <row r="62" spans="1:37" s="1231" customFormat="1" ht="12.75" hidden="1" customHeight="1" x14ac:dyDescent="0.2">
      <c r="A62" s="1231" t="s">
        <v>80</v>
      </c>
      <c r="B62" s="1231">
        <f>IF(B24=5,B44,0)</f>
        <v>0</v>
      </c>
      <c r="D62" s="1235">
        <f>IF(D24=5,B44,0)</f>
        <v>0</v>
      </c>
      <c r="E62" s="1231">
        <f>IF(E24=5,E44,0)</f>
        <v>0</v>
      </c>
      <c r="G62" s="1235">
        <f>IF(G24=5,E44,0)</f>
        <v>0</v>
      </c>
      <c r="H62" s="1231">
        <f>IF(H24=5,H44,0)</f>
        <v>0</v>
      </c>
      <c r="J62" s="1235">
        <f>IF(J24=5,H44,0)</f>
        <v>29</v>
      </c>
      <c r="K62" s="1231">
        <f>IF(K24=5,K44,0)</f>
        <v>0</v>
      </c>
      <c r="M62" s="1235">
        <f>IF(M24=5,K44,0)</f>
        <v>0</v>
      </c>
      <c r="N62" s="1231">
        <f>IF(N24=5,N44,0)</f>
        <v>0</v>
      </c>
      <c r="P62" s="1235">
        <f>IF(P24=5,N44,0)</f>
        <v>36</v>
      </c>
      <c r="Q62" s="1231">
        <f>IF(Q24=5,Q44,0)</f>
        <v>21</v>
      </c>
      <c r="S62" s="1235">
        <f>IF(S24=5,Q44,0)</f>
        <v>0</v>
      </c>
      <c r="T62" s="1231">
        <f>IF(T24=5,T44,0)</f>
        <v>0</v>
      </c>
      <c r="V62" s="1235">
        <f>IF(V24=5,T44,0)</f>
        <v>0</v>
      </c>
      <c r="W62" s="1231">
        <f>IF(W24=5,W44,0)</f>
        <v>0</v>
      </c>
      <c r="Y62" s="1235">
        <f>IF(Y24=5,W44,0)</f>
        <v>0</v>
      </c>
      <c r="Z62" s="1231">
        <f>IF(Z24=5,Z44,0)</f>
        <v>0</v>
      </c>
      <c r="AB62" s="1235">
        <f>IF(AB24=5,Z44,0)</f>
        <v>0</v>
      </c>
      <c r="AC62" s="1231">
        <f>IF(AC24=5,AC44,0)</f>
        <v>0</v>
      </c>
      <c r="AE62" s="1235">
        <f>IF(AE24=5,AC44,0)</f>
        <v>0</v>
      </c>
      <c r="AF62" s="1231">
        <f>SUM(B62:AE62)</f>
        <v>86</v>
      </c>
    </row>
    <row r="63" spans="1:37" s="1231" customFormat="1" ht="38.25" hidden="1" customHeight="1" x14ac:dyDescent="0.2">
      <c r="A63" s="1231" t="s">
        <v>82</v>
      </c>
      <c r="D63" s="1235"/>
      <c r="G63" s="1235"/>
      <c r="J63" s="1235"/>
      <c r="M63" s="1235"/>
      <c r="P63" s="1235"/>
      <c r="S63" s="1235"/>
      <c r="V63" s="1235"/>
      <c r="Y63" s="1235"/>
      <c r="AB63" s="1235"/>
      <c r="AE63" s="1235"/>
      <c r="AF63" s="1234" t="s">
        <v>83</v>
      </c>
      <c r="AG63" s="1231" t="s">
        <v>84</v>
      </c>
    </row>
    <row r="64" spans="1:37" s="1231" customFormat="1" ht="12.75" hidden="1" customHeight="1" x14ac:dyDescent="0.2">
      <c r="A64" s="1231" t="s">
        <v>70</v>
      </c>
      <c r="B64" s="1231">
        <f>IF(B24=1,SUMIF(B31:B35,"&gt;0"),0)</f>
        <v>1</v>
      </c>
      <c r="D64" s="1235">
        <f>IF(D24=1,SUMIF(D31:D35,"&gt;0"),0)</f>
        <v>0</v>
      </c>
      <c r="E64" s="1231">
        <f>IF(E24=1,SUMIF(E31:E35,"&gt;0"),0)</f>
        <v>0</v>
      </c>
      <c r="G64" s="1235">
        <f>IF(G24=1,SUMIF(G31:G35,"&gt;0"),0)</f>
        <v>0</v>
      </c>
      <c r="H64" s="1231">
        <f>IF(H24=1,SUMIF(H31:H35,"&gt;0"),0)</f>
        <v>0</v>
      </c>
      <c r="J64" s="1235">
        <f>IF(J24=1,SUMIF(J31:J35,"&gt;0"),0)</f>
        <v>0</v>
      </c>
      <c r="K64" s="1231">
        <f>IF(K24=1,SUMIF(K31:K35,"&gt;0"),0)</f>
        <v>0</v>
      </c>
      <c r="M64" s="1235">
        <f>IF(M24=1,SUMIF(M31:M35,"&gt;0"),0)</f>
        <v>0</v>
      </c>
      <c r="N64" s="1231">
        <f>IF(N24=1,SUMIF(N31:N35,"&gt;0"),0)</f>
        <v>0</v>
      </c>
      <c r="P64" s="1235">
        <f>IF(P24=1,SUMIF(P31:P35,"&gt;0"),0)</f>
        <v>0</v>
      </c>
      <c r="Q64" s="1231">
        <f>IF(Q24=1,SUMIF(Q31:Q35,"&gt;0"),0)</f>
        <v>0</v>
      </c>
      <c r="S64" s="1235">
        <f>IF(S24=1,SUMIF(S31:S35,"&gt;0"),0)</f>
        <v>0</v>
      </c>
      <c r="T64" s="1231">
        <f>IF(T24=1,SUMIF(T31:T35,"&gt;0"),0)</f>
        <v>1</v>
      </c>
      <c r="V64" s="1235">
        <f>IF(V24=1,SUMIF(V31:V35,"&gt;0"),0)</f>
        <v>0</v>
      </c>
      <c r="W64" s="1231">
        <f>IF(W24=1,SUMIF(W31:W35,"&gt;0"),0)</f>
        <v>0</v>
      </c>
      <c r="Y64" s="1235">
        <f>IF(Y24=1,SUMIF(Y31:Y35,"&gt;0"),0)</f>
        <v>0</v>
      </c>
      <c r="Z64" s="1231">
        <f>IF(Z24=1,SUMIF(Z31:Z35,"&gt;0"),0)</f>
        <v>0</v>
      </c>
      <c r="AB64" s="1235">
        <f>IF(AB24=1,SUMIF(AB31:AB35,"&gt;0"),0)</f>
        <v>0</v>
      </c>
      <c r="AC64" s="1231">
        <f>IF(AC24=1,SUMIF(AC31:AC35,"&gt;0"),0)</f>
        <v>0</v>
      </c>
      <c r="AE64" s="1235">
        <f>IF(AE24=1,SUMIF(AE31:AE35,"&gt;0"),0)</f>
        <v>0</v>
      </c>
      <c r="AF64" s="1231">
        <f>SUM(B64:AE64)</f>
        <v>2</v>
      </c>
      <c r="AG64" s="1231">
        <f>AF72-AF64</f>
        <v>1</v>
      </c>
    </row>
    <row r="65" spans="1:54" s="1231" customFormat="1" ht="12.75" hidden="1" customHeight="1" x14ac:dyDescent="0.2">
      <c r="A65" s="1231" t="s">
        <v>71</v>
      </c>
      <c r="B65" s="1231">
        <f>IF(B24=2,SUMIF(B31:B35,"&gt;0"),0)</f>
        <v>0</v>
      </c>
      <c r="D65" s="1235">
        <f>IF(D24=2,SUMIF(D31:D35,"&gt;0"),0)</f>
        <v>0</v>
      </c>
      <c r="E65" s="1231">
        <f>IF(E24=2,SUMIF(E31:E35,"&gt;0"),0)</f>
        <v>0</v>
      </c>
      <c r="G65" s="1235">
        <f>IF(G24=2,SUMIF(G31:G35,"&gt;0"),0)</f>
        <v>0</v>
      </c>
      <c r="H65" s="1231">
        <f>IF(H24=2,SUMIF(H31:H35,"&gt;0"),0)</f>
        <v>0</v>
      </c>
      <c r="J65" s="1235">
        <f>IF(J24=2,SUMIF(J31:J35,"&gt;0"),0)</f>
        <v>0</v>
      </c>
      <c r="K65" s="1231">
        <f>IF(K24=2,SUMIF(K31:K35,"&gt;0"),0)</f>
        <v>0</v>
      </c>
      <c r="M65" s="1235">
        <f>IF(M24=2,SUMIF(M31:M35,"&gt;0"),0)</f>
        <v>0</v>
      </c>
      <c r="N65" s="1231">
        <f>IF(N24=2,SUMIF(N31:N35,"&gt;0"),0)</f>
        <v>0</v>
      </c>
      <c r="P65" s="1235">
        <f>IF(P24=2,SUMIF(P31:P35,"&gt;0"),0)</f>
        <v>0</v>
      </c>
      <c r="Q65" s="1231">
        <f>IF(Q24=2,SUMIF(Q31:Q35,"&gt;0"),0)</f>
        <v>0</v>
      </c>
      <c r="S65" s="1235">
        <f>IF(S24=2,SUMIF(S31:S35,"&gt;0"),0)</f>
        <v>0</v>
      </c>
      <c r="T65" s="1231">
        <f>IF(T24=2,SUMIF(T31:T35,"&gt;0"),0)</f>
        <v>0</v>
      </c>
      <c r="V65" s="1235">
        <f>IF(V24=2,SUMIF(V31:V35,"&gt;0"),0)</f>
        <v>0</v>
      </c>
      <c r="W65" s="1231">
        <f>IF(W24=2,SUMIF(W31:W35,"&gt;0"),0)</f>
        <v>0</v>
      </c>
      <c r="Y65" s="1235">
        <f>IF(Y24=2,SUMIF(Y31:Y35,"&gt;0"),0)</f>
        <v>0</v>
      </c>
      <c r="Z65" s="1231">
        <f>IF(Z24=2,SUMIF(Z31:Z35,"&gt;0"),0)</f>
        <v>0</v>
      </c>
      <c r="AB65" s="1235">
        <f>IF(AB24=2,SUMIF(AB31:AB35,"&gt;0"),0)</f>
        <v>0</v>
      </c>
      <c r="AC65" s="1231">
        <f>IF(AC24=2,SUMIF(AC31:AC35,"&gt;0"),0)</f>
        <v>0</v>
      </c>
      <c r="AE65" s="1235">
        <f>IF(AE24=2,SUMIF(AE31:AE35,"&gt;0"),0)</f>
        <v>0</v>
      </c>
      <c r="AF65" s="1231">
        <f>SUM(B65:AE65)</f>
        <v>0</v>
      </c>
      <c r="AG65" s="1231">
        <f>AF73-AF65</f>
        <v>2</v>
      </c>
    </row>
    <row r="66" spans="1:54" s="1231" customFormat="1" ht="12.75" hidden="1" customHeight="1" x14ac:dyDescent="0.2">
      <c r="A66" s="1231" t="s">
        <v>72</v>
      </c>
      <c r="B66" s="1231">
        <f>IF(B24=3,SUMIF(B31:B35,"&gt;0"),0)</f>
        <v>0</v>
      </c>
      <c r="D66" s="1235">
        <f>IF(D24=3,SUMIF(D31:D35,"&gt;0"),0)</f>
        <v>0</v>
      </c>
      <c r="E66" s="1231">
        <f>IF(E24=3,SUMIF(E31:E35,"&gt;0"),0)</f>
        <v>1</v>
      </c>
      <c r="G66" s="1235">
        <f>IF(G24=3,SUMIF(G31:G35,"&gt;0"),0)</f>
        <v>0</v>
      </c>
      <c r="H66" s="1231">
        <f>IF(H24=3,SUMIF(H31:H35,"&gt;0"),0)</f>
        <v>0</v>
      </c>
      <c r="J66" s="1235">
        <f>IF(J24=3,SUMIF(J31:J35,"&gt;0"),0)</f>
        <v>0</v>
      </c>
      <c r="K66" s="1231">
        <f>IF(K24=3,SUMIF(K31:K35,"&gt;0"),0)</f>
        <v>0</v>
      </c>
      <c r="M66" s="1235">
        <f>IF(M24=3,SUMIF(M31:M35,"&gt;0"),0)</f>
        <v>1</v>
      </c>
      <c r="N66" s="1231">
        <f>IF(N24=3,SUMIF(N31:N35,"&gt;0"),0)</f>
        <v>0</v>
      </c>
      <c r="P66" s="1235">
        <f>IF(P24=3,SUMIF(P31:P35,"&gt;0"),0)</f>
        <v>0</v>
      </c>
      <c r="Q66" s="1231">
        <f>IF(Q24=3,SUMIF(Q31:Q35,"&gt;0"),0)</f>
        <v>0</v>
      </c>
      <c r="S66" s="1235">
        <f>IF(S24=3,SUMIF(S31:S35,"&gt;0"),0)</f>
        <v>0</v>
      </c>
      <c r="T66" s="1231">
        <f>IF(T24=3,SUMIF(T31:T35,"&gt;0"),0)</f>
        <v>0</v>
      </c>
      <c r="V66" s="1235">
        <f>IF(V24=3,SUMIF(V31:V35,"&gt;0"),0)</f>
        <v>0</v>
      </c>
      <c r="W66" s="1231">
        <f>IF(W24=3,SUMIF(W31:W35,"&gt;0"),0)</f>
        <v>0</v>
      </c>
      <c r="Y66" s="1235">
        <f>IF(Y24=3,SUMIF(Y31:Y35,"&gt;0"),0)</f>
        <v>0</v>
      </c>
      <c r="Z66" s="1231">
        <f>IF(Z24=3,SUMIF(Z31:Z35,"&gt;0"),0)</f>
        <v>0</v>
      </c>
      <c r="AB66" s="1235">
        <f>IF(AB24=3,SUMIF(AB31:AB35,"&gt;0"),0)</f>
        <v>0</v>
      </c>
      <c r="AC66" s="1231">
        <f>IF(AC24=3,SUMIF(AC31:AC35,"&gt;0"),0)</f>
        <v>0</v>
      </c>
      <c r="AE66" s="1235">
        <f>IF(AE24=3,SUMIF(AE31:AE35,"&gt;0"),0)</f>
        <v>0</v>
      </c>
      <c r="AF66" s="1231">
        <f>SUM(B66:AE66)</f>
        <v>2</v>
      </c>
      <c r="AG66" s="1231">
        <f>AF74-AF66</f>
        <v>1</v>
      </c>
    </row>
    <row r="67" spans="1:54" s="1231" customFormat="1" ht="12.75" hidden="1" customHeight="1" x14ac:dyDescent="0.2">
      <c r="A67" s="1231" t="s">
        <v>73</v>
      </c>
      <c r="B67" s="1231">
        <f>IF(B24=4,SUMIF(B31:B35,"&gt;0"),0)</f>
        <v>0</v>
      </c>
      <c r="D67" s="1235">
        <f>IF(D24=4,SUMIF(D31:D35,"&gt;0"),0)</f>
        <v>0</v>
      </c>
      <c r="E67" s="1231">
        <f>IF(E24=4,SUMIF(E31:E35,"&gt;0"),0)</f>
        <v>0</v>
      </c>
      <c r="G67" s="1235">
        <f>IF(G24=4,SUMIF(G31:G35,"&gt;0"),0)</f>
        <v>0</v>
      </c>
      <c r="H67" s="1231">
        <f>IF(H24=4,SUMIF(H31:H35,"&gt;0"),0)</f>
        <v>0</v>
      </c>
      <c r="J67" s="1235">
        <f>IF(J24=4,SUMIF(J31:J35,"&gt;0"),0)</f>
        <v>0</v>
      </c>
      <c r="K67" s="1231">
        <f>IF(K24=4,SUMIF(K31:K35,"&gt;0"),0)</f>
        <v>0</v>
      </c>
      <c r="M67" s="1235">
        <f>IF(M24=4,SUMIF(M31:M35,"&gt;0"),0)</f>
        <v>0</v>
      </c>
      <c r="N67" s="1231">
        <f>IF(N24=4,SUMIF(N31:N35,"&gt;0"),0)</f>
        <v>0</v>
      </c>
      <c r="P67" s="1235">
        <f>IF(P24=4,SUMIF(P31:P35,"&gt;0"),0)</f>
        <v>0</v>
      </c>
      <c r="Q67" s="1231">
        <f>IF(Q24=4,SUMIF(Q31:Q35,"&gt;0"),0)</f>
        <v>0</v>
      </c>
      <c r="S67" s="1235">
        <f>IF(S24=4,SUMIF(S31:S35,"&gt;0"),0)</f>
        <v>0</v>
      </c>
      <c r="T67" s="1231">
        <f>IF(T24=4,SUMIF(T31:T35,"&gt;0"),0)</f>
        <v>0</v>
      </c>
      <c r="V67" s="1235">
        <f>IF(V24=4,SUMIF(V31:V35,"&gt;0"),0)</f>
        <v>0</v>
      </c>
      <c r="W67" s="1231">
        <f>IF(W24=4,SUMIF(W31:W35,"&gt;0"),0)</f>
        <v>0</v>
      </c>
      <c r="Y67" s="1235">
        <f>IF(Y24=4,SUMIF(Y31:Y35,"&gt;0"),0)</f>
        <v>0</v>
      </c>
      <c r="Z67" s="1231">
        <f>IF(Z24=4,SUMIF(Z31:Z35,"&gt;0"),0)</f>
        <v>0</v>
      </c>
      <c r="AB67" s="1235">
        <f>IF(AB24=4,SUMIF(AB31:AB35,"&gt;0"),0)</f>
        <v>0</v>
      </c>
      <c r="AC67" s="1231">
        <f>IF(AC24=4,SUMIF(AC31:AC35,"&gt;0"),0)</f>
        <v>0</v>
      </c>
      <c r="AE67" s="1235">
        <f>IF(AE24=4,SUMIF(AE31:AE35,"&gt;0"),0)</f>
        <v>0</v>
      </c>
      <c r="AF67" s="1231">
        <f>SUM(B67:AE67)</f>
        <v>0</v>
      </c>
      <c r="AG67" s="1231">
        <f>AF75-AF67</f>
        <v>3</v>
      </c>
    </row>
    <row r="68" spans="1:54" s="1231" customFormat="1" ht="12.75" hidden="1" customHeight="1" x14ac:dyDescent="0.2">
      <c r="A68" s="1231" t="s">
        <v>74</v>
      </c>
      <c r="B68" s="1231">
        <f>IF(B24=5,SUMIF(B31:B35,"&gt;0"),0)</f>
        <v>0</v>
      </c>
      <c r="D68" s="1235">
        <f>IF(D24=5,SUMIF(D31:D35,"&gt;0"),0)</f>
        <v>0</v>
      </c>
      <c r="E68" s="1231">
        <f>IF(E24=5,SUMIF(E31:E35,"&gt;0"),0)</f>
        <v>0</v>
      </c>
      <c r="G68" s="1235">
        <f>IF(G24=5,SUMIF(G31:G35,"&gt;0"),0)</f>
        <v>0</v>
      </c>
      <c r="H68" s="1231">
        <f>IF(H24=5,SUMIF(H31:H35,"&gt;0"),0)</f>
        <v>0</v>
      </c>
      <c r="J68" s="1235">
        <f>IF(J24=5,SUMIF(J31:J35,"&gt;0"),0)</f>
        <v>1</v>
      </c>
      <c r="K68" s="1231">
        <f>IF(K24=5,SUMIF(K31:K35,"&gt;0"),0)</f>
        <v>0</v>
      </c>
      <c r="M68" s="1235">
        <f>IF(M24=5,SUMIF(M31:M35,"&gt;0"),0)</f>
        <v>0</v>
      </c>
      <c r="N68" s="1231">
        <f>IF(N24=5,SUMIF(N31:N35,"&gt;0"),0)</f>
        <v>0</v>
      </c>
      <c r="P68" s="1235">
        <f>IF(P24=5,SUMIF(P31:P35,"&gt;0"),0)</f>
        <v>1</v>
      </c>
      <c r="Q68" s="1231">
        <f>IF(Q24=5,SUMIF(Q31:Q35,"&gt;0"),0)</f>
        <v>1</v>
      </c>
      <c r="S68" s="1235">
        <f>IF(S24=5,SUMIF(S31:S35,"&gt;0"),0)</f>
        <v>0</v>
      </c>
      <c r="T68" s="1231">
        <f>IF(T24=5,SUMIF(T31:T35,"&gt;0"),0)</f>
        <v>0</v>
      </c>
      <c r="V68" s="1235">
        <f>IF(V24=5,SUMIF(V31:V35,"&gt;0"),0)</f>
        <v>0</v>
      </c>
      <c r="W68" s="1231">
        <f>IF(W24=5,SUMIF(W31:W35,"&gt;0"),0)</f>
        <v>0</v>
      </c>
      <c r="Y68" s="1235">
        <f>IF(Y24=5,SUMIF(Y31:Y35,"&gt;0"),0)</f>
        <v>0</v>
      </c>
      <c r="Z68" s="1231">
        <f>IF(Z24=5,SUMIF(Z31:Z35,"&gt;0"),0)</f>
        <v>0</v>
      </c>
      <c r="AB68" s="1235">
        <f>IF(AB24=5,SUMIF(AB31:AB35,"&gt;0"),0)</f>
        <v>0</v>
      </c>
      <c r="AC68" s="1231">
        <f>IF(AC24=5,SUMIF(AC31:AC35,"&gt;0"),0)</f>
        <v>0</v>
      </c>
      <c r="AE68" s="1235">
        <f>IF(AE24=5,SUMIF(AE31:AE35,"&gt;0"),0)</f>
        <v>0</v>
      </c>
      <c r="AF68" s="1231">
        <f>SUM(B68:AE68)</f>
        <v>3</v>
      </c>
      <c r="AG68" s="1231">
        <f>AF76-AF68</f>
        <v>0</v>
      </c>
    </row>
    <row r="69" spans="1:54" s="1231" customFormat="1" ht="12.75" hidden="1" customHeight="1" x14ac:dyDescent="0.2">
      <c r="D69" s="1235"/>
      <c r="G69" s="1235"/>
      <c r="J69" s="1235"/>
      <c r="M69" s="1235"/>
      <c r="P69" s="1235"/>
      <c r="S69" s="1235"/>
      <c r="V69" s="1235"/>
      <c r="Y69" s="1235"/>
      <c r="AB69" s="1235"/>
      <c r="AE69" s="1235"/>
    </row>
    <row r="70" spans="1:54" s="1231" customFormat="1" ht="12.75" hidden="1" customHeight="1" x14ac:dyDescent="0.2">
      <c r="D70" s="1235"/>
      <c r="G70" s="1235"/>
      <c r="J70" s="1235"/>
      <c r="M70" s="1235"/>
      <c r="P70" s="1235"/>
      <c r="S70" s="1235"/>
      <c r="V70" s="1235"/>
      <c r="Y70" s="1235"/>
      <c r="AB70" s="1235"/>
      <c r="AE70" s="1235"/>
    </row>
    <row r="71" spans="1:54" s="1231" customFormat="1" ht="51" hidden="1" customHeight="1" x14ac:dyDescent="0.2">
      <c r="A71" s="1234" t="s">
        <v>85</v>
      </c>
      <c r="C71" s="1231">
        <f>SUMIF(B64:D68,"&gt;0")</f>
        <v>1</v>
      </c>
      <c r="D71" s="1235"/>
      <c r="F71" s="1231">
        <f>SUMIF(E64:G68,"&gt;0")</f>
        <v>1</v>
      </c>
      <c r="G71" s="1235"/>
      <c r="I71" s="1231">
        <f>SUMIF(H64:J68,"&gt;0")</f>
        <v>1</v>
      </c>
      <c r="J71" s="1235"/>
      <c r="L71" s="1231">
        <f>SUMIF(K64:M68,"&gt;0")</f>
        <v>1</v>
      </c>
      <c r="M71" s="1235"/>
      <c r="O71" s="1231">
        <f>SUMIF(N64:P68,"&gt;0")</f>
        <v>1</v>
      </c>
      <c r="P71" s="1235"/>
      <c r="R71" s="1231">
        <f>SUMIF(Q64:S68,"&gt;0")</f>
        <v>1</v>
      </c>
      <c r="S71" s="1235"/>
      <c r="U71" s="1231">
        <f>SUMIF(T64:V68,"&gt;0")</f>
        <v>1</v>
      </c>
      <c r="V71" s="1235"/>
      <c r="X71" s="1231">
        <f>SUMIF(W64:Y68,"&gt;0")</f>
        <v>0</v>
      </c>
      <c r="Y71" s="1235"/>
      <c r="AA71" s="1231">
        <f>SUMIF(Z64:AB68,"&gt;0")</f>
        <v>0</v>
      </c>
      <c r="AB71" s="1235"/>
      <c r="AD71" s="1231">
        <f>SUMIF(AC64:AE68,"&gt;0")</f>
        <v>0</v>
      </c>
      <c r="AE71" s="1235"/>
      <c r="AF71" s="1234" t="s">
        <v>86</v>
      </c>
    </row>
    <row r="72" spans="1:54" s="1231" customFormat="1" ht="12.75" hidden="1" customHeight="1" x14ac:dyDescent="0.2">
      <c r="A72" s="1231" t="s">
        <v>76</v>
      </c>
      <c r="B72" s="1231">
        <f>IF(B24=1,C71,0)</f>
        <v>1</v>
      </c>
      <c r="D72" s="1235">
        <f>IF(D24=1,C71,0)</f>
        <v>0</v>
      </c>
      <c r="E72" s="1231">
        <f>IF(E24=1,F71,0)</f>
        <v>0</v>
      </c>
      <c r="G72" s="1235">
        <f>IF(G24=1,F71,0)</f>
        <v>0</v>
      </c>
      <c r="H72" s="1231">
        <f>IF(H24=1,I71,0)</f>
        <v>1</v>
      </c>
      <c r="J72" s="1235">
        <f>IF(J24=1,I71,0)</f>
        <v>0</v>
      </c>
      <c r="K72" s="1231">
        <f>IF(K24=1,L71,0)</f>
        <v>0</v>
      </c>
      <c r="M72" s="1235">
        <f>IF(M24=1,L71,0)</f>
        <v>0</v>
      </c>
      <c r="N72" s="1231">
        <f>IF(N24=1,O71,0)</f>
        <v>0</v>
      </c>
      <c r="P72" s="1235">
        <f>IF(P24=1,O71,0)</f>
        <v>0</v>
      </c>
      <c r="Q72" s="1231">
        <f>IF(Q24=1,R71,0)</f>
        <v>0</v>
      </c>
      <c r="S72" s="1235">
        <f>IF(S24=1,R71,0)</f>
        <v>0</v>
      </c>
      <c r="T72" s="1231">
        <f>IF(T24=1,U71,0)</f>
        <v>1</v>
      </c>
      <c r="V72" s="1235">
        <f>IF(V24=1,U71,0)</f>
        <v>0</v>
      </c>
      <c r="W72" s="1231">
        <f>IF(W24=1,X71,0)</f>
        <v>0</v>
      </c>
      <c r="Y72" s="1235">
        <f>IF(Y24=1,X71,0)</f>
        <v>0</v>
      </c>
      <c r="Z72" s="1231">
        <f>IF(Z24=1,AA71,0)</f>
        <v>0</v>
      </c>
      <c r="AB72" s="1235">
        <f>IF(AB24=1,AA71,0)</f>
        <v>0</v>
      </c>
      <c r="AC72" s="1231">
        <f>IF(AC24=1,AD71,0)</f>
        <v>0</v>
      </c>
      <c r="AE72" s="1235">
        <f>IF(AE24=1,AD71,0)</f>
        <v>0</v>
      </c>
      <c r="AF72" s="1231">
        <f>SUM(B72:AE72)</f>
        <v>3</v>
      </c>
    </row>
    <row r="73" spans="1:54" s="1231" customFormat="1" ht="12.75" hidden="1" customHeight="1" x14ac:dyDescent="0.2">
      <c r="A73" s="1231" t="s">
        <v>77</v>
      </c>
      <c r="B73" s="1231">
        <f>IF(B24=2,C71,0)</f>
        <v>0</v>
      </c>
      <c r="D73" s="1235">
        <f>IF(D24=2,C71,0)</f>
        <v>1</v>
      </c>
      <c r="E73" s="1231">
        <f>IF(E24=2,F71,0)</f>
        <v>0</v>
      </c>
      <c r="G73" s="1235">
        <f>IF(G24=2,F71,0)</f>
        <v>0</v>
      </c>
      <c r="H73" s="1231">
        <f>IF(H24=2,I71,0)</f>
        <v>0</v>
      </c>
      <c r="J73" s="1235">
        <f>IF(J24=2,I71,0)</f>
        <v>0</v>
      </c>
      <c r="K73" s="1231">
        <f>IF(K24=2,L71,0)</f>
        <v>1</v>
      </c>
      <c r="M73" s="1235">
        <f>IF(M24=2,L71,0)</f>
        <v>0</v>
      </c>
      <c r="N73" s="1231">
        <f>IF(N24=2,O71,0)</f>
        <v>0</v>
      </c>
      <c r="P73" s="1235">
        <f>IF(P24=2,O71,0)</f>
        <v>0</v>
      </c>
      <c r="Q73" s="1231">
        <f>IF(Q24=2,R71,0)</f>
        <v>0</v>
      </c>
      <c r="S73" s="1235">
        <f>IF(S24=2,R71,0)</f>
        <v>0</v>
      </c>
      <c r="T73" s="1231">
        <f>IF(T24=2,U71,0)</f>
        <v>0</v>
      </c>
      <c r="V73" s="1235">
        <f>IF(V24=2,U71,0)</f>
        <v>0</v>
      </c>
      <c r="W73" s="1231">
        <f>IF(W24=2,X71,0)</f>
        <v>0</v>
      </c>
      <c r="Y73" s="1235">
        <f>IF(Y24=2,X71,0)</f>
        <v>0</v>
      </c>
      <c r="Z73" s="1231">
        <f>IF(Z24=2,AA71,0)</f>
        <v>0</v>
      </c>
      <c r="AB73" s="1235">
        <f>IF(AB24=2,AA71,0)</f>
        <v>0</v>
      </c>
      <c r="AC73" s="1231">
        <f>IF(AC24=2,AD71,0)</f>
        <v>0</v>
      </c>
      <c r="AE73" s="1235">
        <f>IF(AE24=2,AD71,0)</f>
        <v>0</v>
      </c>
      <c r="AF73" s="1231">
        <f>SUM(B73:AE73)</f>
        <v>2</v>
      </c>
    </row>
    <row r="74" spans="1:54" s="1231" customFormat="1" ht="12.75" hidden="1" customHeight="1" x14ac:dyDescent="0.2">
      <c r="A74" s="1231" t="s">
        <v>78</v>
      </c>
      <c r="B74" s="1231">
        <f>IF(B24=3,C71,0)</f>
        <v>0</v>
      </c>
      <c r="D74" s="1235">
        <f>IF(D24=3,C71,0)</f>
        <v>0</v>
      </c>
      <c r="E74" s="1231">
        <f>IF(E24=3,F71,0)</f>
        <v>1</v>
      </c>
      <c r="G74" s="1235">
        <f>IF(G24=3,F71,0)</f>
        <v>0</v>
      </c>
      <c r="H74" s="1231">
        <f>IF(H24=3,I71,0)</f>
        <v>0</v>
      </c>
      <c r="J74" s="1235">
        <f>IF(J24=3,I71,0)</f>
        <v>0</v>
      </c>
      <c r="K74" s="1231">
        <f>IF(K24=3,L71,0)</f>
        <v>0</v>
      </c>
      <c r="M74" s="1235">
        <f>IF(M24=3,L71,0)</f>
        <v>1</v>
      </c>
      <c r="N74" s="1231">
        <f>IF(N24=3,O71,0)</f>
        <v>0</v>
      </c>
      <c r="P74" s="1235">
        <f>IF(P24=3,O71,0)</f>
        <v>0</v>
      </c>
      <c r="Q74" s="1231">
        <f>IF(Q24=3,R71,0)</f>
        <v>0</v>
      </c>
      <c r="S74" s="1235">
        <f>IF(S24=3,R71,0)</f>
        <v>1</v>
      </c>
      <c r="T74" s="1231">
        <f>IF(T24=3,U71,0)</f>
        <v>0</v>
      </c>
      <c r="V74" s="1235">
        <f>IF(V24=3,U71,0)</f>
        <v>0</v>
      </c>
      <c r="W74" s="1231">
        <f>IF(W24=3,X71,0)</f>
        <v>0</v>
      </c>
      <c r="Y74" s="1235">
        <f>IF(Y24=3,X71,0)</f>
        <v>0</v>
      </c>
      <c r="Z74" s="1231">
        <f>IF(Z24=3,AA71,0)</f>
        <v>0</v>
      </c>
      <c r="AB74" s="1235">
        <f>IF(AB24=3,AA71,0)</f>
        <v>0</v>
      </c>
      <c r="AC74" s="1231">
        <f>IF(AC24=3,AD71,0)</f>
        <v>0</v>
      </c>
      <c r="AE74" s="1235">
        <f>IF(AE24=3,AD71,0)</f>
        <v>0</v>
      </c>
      <c r="AF74" s="1231">
        <f>SUM(B74:AE74)</f>
        <v>3</v>
      </c>
    </row>
    <row r="75" spans="1:54" s="1231" customFormat="1" ht="12.75" hidden="1" customHeight="1" x14ac:dyDescent="0.2">
      <c r="A75" s="1231" t="s">
        <v>79</v>
      </c>
      <c r="B75" s="1231">
        <f>IF(B24=4,C71,0)</f>
        <v>0</v>
      </c>
      <c r="D75" s="1235">
        <f>IF(D24=4,C71,0)</f>
        <v>0</v>
      </c>
      <c r="E75" s="1231">
        <f>IF(E24=4,F71,0)</f>
        <v>0</v>
      </c>
      <c r="G75" s="1235">
        <f>IF(G24=4,F71,0)</f>
        <v>1</v>
      </c>
      <c r="H75" s="1231">
        <f>IF(H24=4,I71,0)</f>
        <v>0</v>
      </c>
      <c r="J75" s="1235">
        <f>IF(J24=4,I71,0)</f>
        <v>0</v>
      </c>
      <c r="K75" s="1231">
        <f>IF(K24=4,L71,0)</f>
        <v>0</v>
      </c>
      <c r="M75" s="1235">
        <f>IF(M24=4,L71,0)</f>
        <v>0</v>
      </c>
      <c r="N75" s="1231">
        <f>IF(N24=4,O71,0)</f>
        <v>1</v>
      </c>
      <c r="P75" s="1235">
        <f>IF(P24=4,O71,0)</f>
        <v>0</v>
      </c>
      <c r="Q75" s="1231">
        <f>IF(Q24=4,R71,0)</f>
        <v>0</v>
      </c>
      <c r="S75" s="1235">
        <f>IF(S24=4,R71,0)</f>
        <v>0</v>
      </c>
      <c r="T75" s="1231">
        <f>IF(T24=4,U71,0)</f>
        <v>0</v>
      </c>
      <c r="V75" s="1235">
        <f>IF(V24=4,U71,0)</f>
        <v>1</v>
      </c>
      <c r="W75" s="1231">
        <f>IF(W24=4,X71,0)</f>
        <v>0</v>
      </c>
      <c r="Y75" s="1235">
        <f>IF(Y24=4,X71,0)</f>
        <v>0</v>
      </c>
      <c r="Z75" s="1231">
        <f>IF(Z24=4,AA71,0)</f>
        <v>0</v>
      </c>
      <c r="AB75" s="1235">
        <f>IF(AB24=4,AA71,0)</f>
        <v>0</v>
      </c>
      <c r="AC75" s="1231">
        <f>IF(AC24=4,AD71,0)</f>
        <v>0</v>
      </c>
      <c r="AE75" s="1235">
        <f>IF(AE24=4,AD71,0)</f>
        <v>0</v>
      </c>
      <c r="AF75" s="1231">
        <f>SUM(B75:AE75)</f>
        <v>3</v>
      </c>
    </row>
    <row r="76" spans="1:54" s="1231" customFormat="1" ht="12.75" hidden="1" customHeight="1" x14ac:dyDescent="0.2">
      <c r="A76" s="1231" t="s">
        <v>80</v>
      </c>
      <c r="B76" s="1231">
        <f>IF(B24=5,C71,0)</f>
        <v>0</v>
      </c>
      <c r="D76" s="1235">
        <f>IF(D24=5,C71,0)</f>
        <v>0</v>
      </c>
      <c r="E76" s="1231">
        <f>IF(E24=5,F71,0)</f>
        <v>0</v>
      </c>
      <c r="G76" s="1235">
        <f>IF(G24=5,F71,0)</f>
        <v>0</v>
      </c>
      <c r="H76" s="1231">
        <f>IF(H24=5,I71,0)</f>
        <v>0</v>
      </c>
      <c r="J76" s="1235">
        <f>IF(J24=5,I71,0)</f>
        <v>1</v>
      </c>
      <c r="K76" s="1231">
        <f>IF(K24=5,L71,0)</f>
        <v>0</v>
      </c>
      <c r="M76" s="1235">
        <f>IF(M24=5,L71,0)</f>
        <v>0</v>
      </c>
      <c r="N76" s="1231">
        <f>IF(N24=5,O71,0)</f>
        <v>0</v>
      </c>
      <c r="P76" s="1235">
        <f>IF(P24=5,O71,0)</f>
        <v>1</v>
      </c>
      <c r="Q76" s="1231">
        <f>IF(Q24=5,R71,0)</f>
        <v>1</v>
      </c>
      <c r="S76" s="1235">
        <f>IF(S24=5,R71,0)</f>
        <v>0</v>
      </c>
      <c r="T76" s="1231">
        <f>IF(T24=5,U71,0)</f>
        <v>0</v>
      </c>
      <c r="V76" s="1235">
        <f>IF(V24=5,U71,0)</f>
        <v>0</v>
      </c>
      <c r="W76" s="1231">
        <f>IF(W24=5,X71,0)</f>
        <v>0</v>
      </c>
      <c r="Y76" s="1235">
        <f>IF(Y24=5,X71,0)</f>
        <v>0</v>
      </c>
      <c r="Z76" s="1231">
        <f>IF(Z24=5,AA71,0)</f>
        <v>0</v>
      </c>
      <c r="AB76" s="1235">
        <f>IF(AB24=5,AA71,0)</f>
        <v>0</v>
      </c>
      <c r="AC76" s="1231">
        <f>IF(AC24=5,AD71,0)</f>
        <v>0</v>
      </c>
      <c r="AE76" s="1235">
        <f>IF(AE24=5,AD71,0)</f>
        <v>0</v>
      </c>
      <c r="AF76" s="1231">
        <f>SUM(B76:AE76)</f>
        <v>3</v>
      </c>
    </row>
    <row r="77" spans="1:54" hidden="1" x14ac:dyDescent="0.2">
      <c r="A77" s="1237"/>
      <c r="B77" s="1237"/>
      <c r="C77" s="1237"/>
      <c r="D77" s="1237"/>
      <c r="E77" s="1237"/>
      <c r="F77" s="1237"/>
      <c r="G77" s="1237"/>
      <c r="H77" s="1237"/>
      <c r="I77" s="1237"/>
      <c r="J77" s="1237"/>
      <c r="K77" s="1237"/>
      <c r="L77" s="1237"/>
      <c r="M77" s="1237"/>
      <c r="N77" s="1237"/>
      <c r="O77" s="1237"/>
      <c r="P77" s="1237"/>
      <c r="Q77" s="1237"/>
      <c r="R77" s="1237"/>
      <c r="S77" s="1237"/>
      <c r="T77" s="1237"/>
      <c r="U77" s="1237"/>
      <c r="V77" s="1237"/>
      <c r="W77" s="1237"/>
      <c r="X77" s="1237"/>
      <c r="Y77" s="1237"/>
      <c r="Z77" s="1237"/>
      <c r="AA77" s="1237"/>
      <c r="AB77" s="1237"/>
      <c r="AC77" s="1237"/>
      <c r="AD77" s="1237"/>
      <c r="AE77" s="1237"/>
      <c r="AF77" s="1237"/>
      <c r="AG77" s="1237"/>
      <c r="AH77" s="1237"/>
      <c r="AI77" s="1237"/>
      <c r="AJ77" s="1237"/>
      <c r="AK77" s="1237"/>
      <c r="AL77" s="1237"/>
      <c r="AM77" s="1237"/>
      <c r="AN77" s="1238"/>
      <c r="AO77" s="1238"/>
      <c r="AP77" s="1238"/>
      <c r="AQ77" s="1238"/>
      <c r="AR77" s="1239"/>
      <c r="AS77" s="1239"/>
      <c r="AT77" s="1239"/>
      <c r="AU77" s="1239"/>
      <c r="AV77" s="1239"/>
      <c r="AW77" s="1240"/>
      <c r="BB77" s="1240"/>
    </row>
    <row r="78" spans="1:54" s="1239" customFormat="1" hidden="1" x14ac:dyDescent="0.2">
      <c r="A78" s="1241"/>
      <c r="B78" s="1241"/>
      <c r="C78" s="1241" t="s">
        <v>87</v>
      </c>
      <c r="D78" s="1241">
        <v>1</v>
      </c>
      <c r="E78" s="1241"/>
      <c r="F78" s="1241"/>
      <c r="G78" s="1241">
        <v>2</v>
      </c>
      <c r="H78" s="1241"/>
      <c r="I78" s="1241"/>
      <c r="J78" s="1241">
        <v>3</v>
      </c>
      <c r="K78" s="1241"/>
      <c r="L78" s="1241"/>
      <c r="M78" s="1241">
        <v>4</v>
      </c>
      <c r="N78" s="1241"/>
      <c r="O78" s="1241"/>
      <c r="P78" s="1241">
        <v>5</v>
      </c>
      <c r="Q78" s="1241"/>
      <c r="R78" s="1241"/>
      <c r="S78" s="1241">
        <v>6</v>
      </c>
      <c r="T78" s="1241"/>
      <c r="U78" s="1241"/>
      <c r="V78" s="1241">
        <v>7</v>
      </c>
      <c r="W78" s="1241"/>
      <c r="X78" s="1241"/>
      <c r="Y78" s="1241">
        <v>8</v>
      </c>
      <c r="Z78" s="1241"/>
      <c r="AA78" s="1241"/>
      <c r="AB78" s="1241">
        <v>9</v>
      </c>
      <c r="AC78" s="1241"/>
      <c r="AD78" s="1241"/>
      <c r="AE78" s="1241">
        <v>10</v>
      </c>
      <c r="AF78"/>
      <c r="AG78" s="1241"/>
      <c r="AI78" s="1242"/>
      <c r="AJ78"/>
      <c r="AK78"/>
      <c r="AL78"/>
      <c r="AM78"/>
      <c r="AN78"/>
      <c r="AO78"/>
      <c r="AT78" s="1242" t="s">
        <v>88</v>
      </c>
      <c r="AW78" s="1243"/>
      <c r="BB78" s="1243"/>
    </row>
    <row r="79" spans="1:54" s="1239" customFormat="1" hidden="1" x14ac:dyDescent="0.2">
      <c r="A79" s="1244">
        <v>1</v>
      </c>
      <c r="B79" s="1244" t="str">
        <f>E8</f>
        <v>Intense Kids power Gvl</v>
      </c>
      <c r="C79" s="1244">
        <f>VLOOKUP(B79,AU$3:AY$7,3,FALSE)</f>
        <v>1293.6267294435881</v>
      </c>
      <c r="D79" s="1244">
        <f>IF(B72,B87,IF(D72,D87,C79))</f>
        <v>1303.0258100422179</v>
      </c>
      <c r="E79" s="1244"/>
      <c r="F79" s="1244"/>
      <c r="G79" s="1244">
        <f>IF(E72,E87,IF(G72,G87,D79))</f>
        <v>1303.0258100422179</v>
      </c>
      <c r="H79" s="1244"/>
      <c r="I79" s="1244"/>
      <c r="J79" s="1244">
        <f>IF(H72,H87,IF(J72,J87,G79))</f>
        <v>1288.3760124932944</v>
      </c>
      <c r="K79" s="1244"/>
      <c r="L79" s="1244"/>
      <c r="M79" s="1244">
        <f>IF(K72,K87,IF(M72,M87,J79))</f>
        <v>1288.3760124932944</v>
      </c>
      <c r="N79" s="1244"/>
      <c r="O79" s="1244"/>
      <c r="P79" s="1244">
        <f>IF(N72,N87,IF(P72,P87,M79))</f>
        <v>1288.3760124932944</v>
      </c>
      <c r="Q79" s="1244"/>
      <c r="R79" s="1244"/>
      <c r="S79" s="1244">
        <f>IF(Q72,Q87,IF(S72,S87,P79))</f>
        <v>1288.3760124932944</v>
      </c>
      <c r="T79" s="1244"/>
      <c r="U79" s="1244"/>
      <c r="V79" s="1244">
        <f>IF(T72,T87,IF(V72,V87,S79))</f>
        <v>1300.5249802000656</v>
      </c>
      <c r="W79" s="1244"/>
      <c r="X79" s="1244"/>
      <c r="Y79" s="1244">
        <f>IF(W72,W87,IF(Y72,Y87,V79))</f>
        <v>1300.5249802000656</v>
      </c>
      <c r="Z79" s="1244"/>
      <c r="AA79" s="1244"/>
      <c r="AB79" s="1244">
        <f>IF(Z72,Z87,IF(AB72,AB87,Y79))</f>
        <v>1300.5249802000656</v>
      </c>
      <c r="AC79" s="1244"/>
      <c r="AD79" s="1244"/>
      <c r="AE79" s="1244">
        <f>IF(AC72,AC87,IF(AE72,AE87,AB79))</f>
        <v>1300.5249802000656</v>
      </c>
      <c r="AF79"/>
      <c r="AG79"/>
      <c r="AJ79"/>
      <c r="AK79"/>
      <c r="AL79"/>
      <c r="AM79"/>
      <c r="AN79"/>
      <c r="AO79"/>
      <c r="AT79" s="1239" t="str">
        <f>B79</f>
        <v>Intense Kids power Gvl</v>
      </c>
      <c r="AU79" s="1239">
        <f>AE79</f>
        <v>1300.5249802000656</v>
      </c>
      <c r="AW79" s="1243"/>
      <c r="BB79" s="1243"/>
    </row>
    <row r="80" spans="1:54" s="1239" customFormat="1" hidden="1" x14ac:dyDescent="0.2">
      <c r="A80" s="1244">
        <v>2</v>
      </c>
      <c r="B80" s="1244" t="str">
        <f>E10</f>
        <v>Columbia SC Starlings 12</v>
      </c>
      <c r="C80" s="1244">
        <f>VLOOKUP(B80,AU$3:AY$7,3,FALSE)</f>
        <v>1141.2104363370433</v>
      </c>
      <c r="D80" s="1244">
        <f>IF(B73,B87,IF(D73,D87,C80))</f>
        <v>1131.8113557384136</v>
      </c>
      <c r="E80" s="1244"/>
      <c r="F80" s="1244"/>
      <c r="G80" s="1244">
        <f>IF(E73,E87,IF(G73,G87,D80))</f>
        <v>1131.8113557384136</v>
      </c>
      <c r="H80" s="1244"/>
      <c r="I80" s="1244"/>
      <c r="J80" s="1244">
        <f>IF(H73,H87,IF(J73,J87,G80))</f>
        <v>1131.8113557384136</v>
      </c>
      <c r="K80" s="1244"/>
      <c r="L80" s="1244"/>
      <c r="M80" s="1244">
        <f>IF(K73,K87,IF(M73,M87,J80))</f>
        <v>1119.6481618996331</v>
      </c>
      <c r="N80" s="1244"/>
      <c r="O80" s="1244"/>
      <c r="P80" s="1244">
        <f>IF(N73,N87,IF(P73,P87,M80))</f>
        <v>1119.6481618996331</v>
      </c>
      <c r="Q80" s="1244"/>
      <c r="R80" s="1244"/>
      <c r="S80" s="1244">
        <f>IF(Q73,Q87,IF(S73,S87,P80))</f>
        <v>1119.6481618996331</v>
      </c>
      <c r="T80" s="1244"/>
      <c r="U80" s="1244"/>
      <c r="V80" s="1244">
        <f>IF(T73,T87,IF(V73,V87,S80))</f>
        <v>1119.6481618996331</v>
      </c>
      <c r="W80" s="1244"/>
      <c r="X80" s="1244"/>
      <c r="Y80" s="1244">
        <f>IF(W73,W87,IF(Y73,Y87,V80))</f>
        <v>1119.6481618996331</v>
      </c>
      <c r="Z80" s="1244"/>
      <c r="AA80" s="1244"/>
      <c r="AB80" s="1244">
        <f>IF(Z73,Z87,IF(AB73,AB87,Y80))</f>
        <v>1119.6481618996331</v>
      </c>
      <c r="AC80" s="1244"/>
      <c r="AD80" s="1244"/>
      <c r="AE80" s="1244">
        <f>IF(AC73,AC87,IF(AE73,AE87,AB80))</f>
        <v>1119.6481618996331</v>
      </c>
      <c r="AF80"/>
      <c r="AG80"/>
      <c r="AJ80"/>
      <c r="AL80"/>
      <c r="AM80"/>
      <c r="AN80"/>
      <c r="AO80"/>
      <c r="AT80" s="1239" t="str">
        <f>B80</f>
        <v>Columbia SC Starlings 12</v>
      </c>
      <c r="AU80" s="1239">
        <f>AE80</f>
        <v>1119.6481618996331</v>
      </c>
      <c r="AW80" s="1243"/>
      <c r="BB80" s="1243"/>
    </row>
    <row r="81" spans="1:54" s="1239" customFormat="1" hidden="1" x14ac:dyDescent="0.2">
      <c r="A81" s="1244">
        <v>3</v>
      </c>
      <c r="B81" s="1244" t="str">
        <f>E12</f>
        <v>SC Midlands KP Black</v>
      </c>
      <c r="C81" s="1244">
        <f>VLOOKUP(B81,AU$3:AY$7,3,FALSE)</f>
        <v>1199.3436780073632</v>
      </c>
      <c r="D81" s="1244">
        <f>IF(B74,B87,IF(D74,D87,C81))</f>
        <v>1199.3436780073632</v>
      </c>
      <c r="E81" s="1244"/>
      <c r="F81" s="1244"/>
      <c r="G81" s="1244">
        <f>IF(E74,E87,IF(G74,G87,D81))</f>
        <v>1216.781004389813</v>
      </c>
      <c r="H81" s="1244"/>
      <c r="I81" s="1244"/>
      <c r="J81" s="1244">
        <f>IF(H74,H87,IF(J74,J87,G81))</f>
        <v>1216.781004389813</v>
      </c>
      <c r="K81" s="1244"/>
      <c r="L81" s="1244"/>
      <c r="M81" s="1244">
        <f>IF(K74,K87,IF(M74,M87,J81))</f>
        <v>1228.9441982285935</v>
      </c>
      <c r="N81" s="1244"/>
      <c r="O81" s="1244"/>
      <c r="P81" s="1244">
        <f>IF(N74,N87,IF(P74,P87,M81))</f>
        <v>1228.9441982285935</v>
      </c>
      <c r="Q81" s="1244"/>
      <c r="R81" s="1244"/>
      <c r="S81" s="1244">
        <f>IF(Q74,Q87,IF(S74,S87,P81))</f>
        <v>1218.5956854627798</v>
      </c>
      <c r="T81" s="1244"/>
      <c r="U81" s="1244"/>
      <c r="V81" s="1244">
        <f>IF(T74,T87,IF(V74,V87,S81))</f>
        <v>1218.5956854627798</v>
      </c>
      <c r="W81" s="1244"/>
      <c r="X81" s="1244"/>
      <c r="Y81" s="1244">
        <f>IF(W74,W87,IF(Y74,Y87,V81))</f>
        <v>1218.5956854627798</v>
      </c>
      <c r="Z81" s="1244"/>
      <c r="AA81" s="1244"/>
      <c r="AB81" s="1244">
        <f>IF(Z74,Z87,IF(AB74,AB87,Y81))</f>
        <v>1218.5956854627798</v>
      </c>
      <c r="AC81" s="1244"/>
      <c r="AD81" s="1244"/>
      <c r="AE81" s="1244">
        <f>IF(AC74,AC87,IF(AE74,AE87,AB81))</f>
        <v>1218.5956854627798</v>
      </c>
      <c r="AF81"/>
      <c r="AG81"/>
      <c r="AJ81"/>
      <c r="AL81"/>
      <c r="AM81"/>
      <c r="AN81"/>
      <c r="AO81"/>
      <c r="AT81" s="1239" t="str">
        <f>B81</f>
        <v>SC Midlands KP Black</v>
      </c>
      <c r="AU81" s="1239">
        <f>AE81</f>
        <v>1218.5956854627798</v>
      </c>
      <c r="AW81" s="1243"/>
      <c r="BB81" s="1243"/>
    </row>
    <row r="82" spans="1:54" s="1239" customFormat="1" hidden="1" x14ac:dyDescent="0.2">
      <c r="A82" s="1244">
        <v>4</v>
      </c>
      <c r="B82" s="1244" t="str">
        <f>E14</f>
        <v>SC Midlands KP Silver</v>
      </c>
      <c r="C82" s="1244">
        <f>VLOOKUP(B82,AU$3:AY$7,3,FALSE)</f>
        <v>1230.6391901737691</v>
      </c>
      <c r="D82" s="1244">
        <f>IF(B75,B87,IF(D75,D87,C82))</f>
        <v>1230.6391901737691</v>
      </c>
      <c r="E82" s="1244"/>
      <c r="F82" s="1244"/>
      <c r="G82" s="1244">
        <f>IF(E75,E87,IF(G75,G87,D82))</f>
        <v>1213.2018637913193</v>
      </c>
      <c r="H82" s="1244"/>
      <c r="I82" s="1244"/>
      <c r="J82" s="1244">
        <f>IF(H75,H87,IF(J75,J87,G82))</f>
        <v>1213.2018637913193</v>
      </c>
      <c r="K82" s="1244"/>
      <c r="L82" s="1244"/>
      <c r="M82" s="1244">
        <f>IF(K75,K87,IF(M75,M87,J82))</f>
        <v>1213.2018637913193</v>
      </c>
      <c r="N82" s="1244"/>
      <c r="O82" s="1244"/>
      <c r="P82" s="1244">
        <f>IF(N75,N87,IF(P75,P87,M82))</f>
        <v>1203.0785252125372</v>
      </c>
      <c r="Q82" s="1244"/>
      <c r="R82" s="1244"/>
      <c r="S82" s="1244">
        <f>IF(Q75,Q87,IF(S75,S87,P82))</f>
        <v>1203.0785252125372</v>
      </c>
      <c r="T82" s="1244"/>
      <c r="U82" s="1244"/>
      <c r="V82" s="1244">
        <f>IF(T75,T87,IF(V75,V87,S82))</f>
        <v>1190.9295575057661</v>
      </c>
      <c r="W82" s="1244"/>
      <c r="X82" s="1244"/>
      <c r="Y82" s="1244">
        <f>IF(W75,W87,IF(Y75,Y87,V82))</f>
        <v>1190.9295575057661</v>
      </c>
      <c r="Z82" s="1244"/>
      <c r="AA82" s="1244"/>
      <c r="AB82" s="1244">
        <f>IF(Z75,Z87,IF(AB75,AB87,Y82))</f>
        <v>1190.9295575057661</v>
      </c>
      <c r="AC82" s="1244"/>
      <c r="AD82" s="1244"/>
      <c r="AE82" s="1244">
        <f>IF(AC75,AC87,IF(AE75,AE87,AB82))</f>
        <v>1190.9295575057661</v>
      </c>
      <c r="AF82"/>
      <c r="AG82"/>
      <c r="AJ82"/>
      <c r="AL82"/>
      <c r="AM82"/>
      <c r="AN82"/>
      <c r="AO82"/>
      <c r="AT82" s="1239" t="str">
        <f>B82</f>
        <v>SC Midlands KP Silver</v>
      </c>
      <c r="AU82" s="1239">
        <f>AE82</f>
        <v>1190.9295575057661</v>
      </c>
      <c r="AW82" s="1243"/>
      <c r="BB82" s="1243"/>
    </row>
    <row r="83" spans="1:54" s="1239" customFormat="1" hidden="1" x14ac:dyDescent="0.2">
      <c r="A83" s="1244">
        <v>5</v>
      </c>
      <c r="B83" s="1244" t="str">
        <f>E16</f>
        <v>SC Midlands KP Boys</v>
      </c>
      <c r="C83" s="1244">
        <f>VLOOKUP(B83,AU$3:AY$7,3,FALSE)</f>
        <v>1332.4149795123046</v>
      </c>
      <c r="D83" s="1244">
        <f>IF(B76,B87,IF(D76,D87,C83))</f>
        <v>1332.4149795123046</v>
      </c>
      <c r="E83" s="1244"/>
      <c r="F83" s="1244"/>
      <c r="G83" s="1244">
        <f>IF(E76,E87,IF(G76,G87,D83))</f>
        <v>1332.4149795123046</v>
      </c>
      <c r="H83" s="1244"/>
      <c r="I83" s="1244"/>
      <c r="J83" s="1244">
        <f>IF(H76,H87,IF(J76,J87,G83))</f>
        <v>1347.0647770612281</v>
      </c>
      <c r="K83" s="1244"/>
      <c r="L83" s="1244"/>
      <c r="M83" s="1244">
        <f>IF(K76,K87,IF(M76,M87,J83))</f>
        <v>1347.0647770612281</v>
      </c>
      <c r="N83" s="1244"/>
      <c r="O83" s="1244"/>
      <c r="P83" s="1244">
        <f>IF(N76,N87,IF(P76,P87,M83))</f>
        <v>1357.1881156400102</v>
      </c>
      <c r="Q83" s="1244"/>
      <c r="R83" s="1244"/>
      <c r="S83" s="1244">
        <f>IF(Q76,Q87,IF(S76,S87,P83))</f>
        <v>1367.5366284058239</v>
      </c>
      <c r="T83" s="1244"/>
      <c r="U83" s="1244"/>
      <c r="V83" s="1244">
        <f>IF(T76,T87,IF(V76,V87,S83))</f>
        <v>1367.5366284058239</v>
      </c>
      <c r="W83" s="1244"/>
      <c r="X83" s="1244"/>
      <c r="Y83" s="1244">
        <f>IF(W76,W87,IF(Y76,Y87,V83))</f>
        <v>1367.5366284058239</v>
      </c>
      <c r="Z83" s="1244"/>
      <c r="AA83" s="1244"/>
      <c r="AB83" s="1244">
        <f>IF(Z76,Z87,IF(AB76,AB87,Y83))</f>
        <v>1367.5366284058239</v>
      </c>
      <c r="AC83" s="1244"/>
      <c r="AD83" s="1244"/>
      <c r="AE83" s="1244">
        <f>IF(AC76,AC87,IF(AE76,AE87,AB83))</f>
        <v>1367.5366284058239</v>
      </c>
      <c r="AF83"/>
      <c r="AG83"/>
      <c r="AJ83"/>
      <c r="AL83"/>
      <c r="AM83"/>
      <c r="AN83"/>
      <c r="AO83"/>
      <c r="AT83" s="1239" t="str">
        <f>B83</f>
        <v>SC Midlands KP Boys</v>
      </c>
      <c r="AU83" s="1239">
        <f>AE83</f>
        <v>1367.5366284058239</v>
      </c>
      <c r="AW83" s="1243"/>
      <c r="BB83" s="1243"/>
    </row>
    <row r="84" spans="1:54" s="1239" customFormat="1" hidden="1" x14ac:dyDescent="0.2">
      <c r="A84" s="1244"/>
      <c r="B84" s="1244"/>
      <c r="C84" s="1244"/>
      <c r="D84" s="1244"/>
      <c r="E84" s="1244"/>
      <c r="F84" s="1244"/>
      <c r="G84" s="1244"/>
      <c r="H84" s="1244"/>
      <c r="I84" s="1244"/>
      <c r="J84" s="1244"/>
      <c r="K84" s="1244"/>
      <c r="L84" s="1244"/>
      <c r="M84" s="1244"/>
      <c r="N84" s="1244"/>
      <c r="O84" s="1244"/>
      <c r="P84" s="1244"/>
      <c r="Q84" s="1244"/>
      <c r="R84" s="1244"/>
      <c r="S84" s="1244"/>
      <c r="T84" s="1244"/>
      <c r="U84" s="1244"/>
      <c r="V84" s="1244"/>
      <c r="W84" s="1244"/>
      <c r="X84" s="1244"/>
      <c r="Y84" s="1244"/>
      <c r="Z84" s="1244"/>
      <c r="AA84" s="1244"/>
      <c r="AB84" s="1244"/>
      <c r="AC84" s="1244"/>
      <c r="AD84" s="1244"/>
      <c r="AE84" s="1244"/>
      <c r="AF84"/>
      <c r="AG84"/>
      <c r="AJ84"/>
      <c r="AL84"/>
      <c r="AM84"/>
      <c r="AN84"/>
      <c r="AO84"/>
      <c r="AW84" s="1243"/>
      <c r="BB84" s="1243"/>
    </row>
    <row r="85" spans="1:54" s="1239" customFormat="1" hidden="1" x14ac:dyDescent="0.2">
      <c r="A85" s="1244" t="s">
        <v>89</v>
      </c>
      <c r="B85" s="1244">
        <f>VLOOKUP(B24,$A79:$AE83,3,FALSE)</f>
        <v>1293.6267294435881</v>
      </c>
      <c r="C85" s="1244">
        <v>1</v>
      </c>
      <c r="D85" s="1244">
        <f>VLOOKUP(D24,$A79:$AE83,3,FALSE)</f>
        <v>1141.2104363370433</v>
      </c>
      <c r="E85" s="1244">
        <f>VLOOKUP(E24,$A79:$AE83,4,FALSE)</f>
        <v>1199.3436780073632</v>
      </c>
      <c r="F85" s="1244">
        <v>2</v>
      </c>
      <c r="G85" s="1244">
        <f>VLOOKUP(G24,$A79:$AE83,4,FALSE)</f>
        <v>1230.6391901737691</v>
      </c>
      <c r="H85" s="1244">
        <f>VLOOKUP(H24,$A79:$AE83,7,FALSE)</f>
        <v>1303.0258100422179</v>
      </c>
      <c r="I85" s="1244">
        <v>3</v>
      </c>
      <c r="J85" s="1244">
        <f>VLOOKUP(J24,$A79:$AE83,7,FALSE)</f>
        <v>1332.4149795123046</v>
      </c>
      <c r="K85" s="1244">
        <f>VLOOKUP(K24,$A79:$AE83,10,FALSE)</f>
        <v>1131.8113557384136</v>
      </c>
      <c r="L85" s="1244">
        <v>4</v>
      </c>
      <c r="M85" s="1244">
        <f>VLOOKUP(M24,$A79:$AE83,10,FALSE)</f>
        <v>1216.781004389813</v>
      </c>
      <c r="N85" s="1244">
        <f>VLOOKUP(N24,$A79:$AE83,13,FALSE)</f>
        <v>1213.2018637913193</v>
      </c>
      <c r="O85" s="1244">
        <v>5</v>
      </c>
      <c r="P85" s="1244">
        <f>VLOOKUP(P24,$A79:$AE83,13,FALSE)</f>
        <v>1347.0647770612281</v>
      </c>
      <c r="Q85" s="1244">
        <f>VLOOKUP(Q24,$A79:$AE83,16,FALSE)</f>
        <v>1357.1881156400102</v>
      </c>
      <c r="R85" s="1244">
        <v>6</v>
      </c>
      <c r="S85" s="1244">
        <f>VLOOKUP(S24,$A79:$AE83,16,FALSE)</f>
        <v>1228.9441982285935</v>
      </c>
      <c r="T85" s="1244">
        <f>VLOOKUP(T24,$A79:$AE83,19,FALSE)</f>
        <v>1288.3760124932944</v>
      </c>
      <c r="U85" s="1244">
        <v>7</v>
      </c>
      <c r="V85" s="1244">
        <f>VLOOKUP(V24,$A79:$AE83,19,FALSE)</f>
        <v>1203.0785252125372</v>
      </c>
      <c r="W85" s="1244" t="e">
        <f>VLOOKUP(W24,$A79:$AE83,22,FALSE)</f>
        <v>#N/A</v>
      </c>
      <c r="X85" s="1244">
        <v>8</v>
      </c>
      <c r="Y85" s="1244" t="e">
        <f>VLOOKUP(Y24,$A79:$AE83,22,FALSE)</f>
        <v>#N/A</v>
      </c>
      <c r="Z85" s="1244" t="e">
        <f>VLOOKUP(Z24,$A79:$AE83,25,FALSE)</f>
        <v>#N/A</v>
      </c>
      <c r="AA85" s="1244">
        <v>9</v>
      </c>
      <c r="AB85" s="1244" t="e">
        <f>VLOOKUP(AB24,$A79:$AE83,25,FALSE)</f>
        <v>#N/A</v>
      </c>
      <c r="AC85" s="1244" t="e">
        <f>VLOOKUP(AC24,$A79:$AE83,28,FALSE)</f>
        <v>#N/A</v>
      </c>
      <c r="AD85" s="1244">
        <v>10</v>
      </c>
      <c r="AE85" s="1244" t="e">
        <f>VLOOKUP(AE24,$A79:$AE83,28,FALSE)</f>
        <v>#N/A</v>
      </c>
      <c r="AF85"/>
      <c r="AG85" s="1237"/>
      <c r="AH85" s="1237"/>
      <c r="AI85" s="1237"/>
      <c r="AJ85" s="1237"/>
      <c r="AK85" s="1237"/>
      <c r="AL85" s="1237"/>
      <c r="AM85" s="1237"/>
      <c r="AN85" s="1238"/>
      <c r="AO85" s="1238"/>
      <c r="AP85" s="1238"/>
      <c r="AQ85" s="1238"/>
      <c r="AW85" s="1243"/>
      <c r="BB85" s="1243"/>
    </row>
    <row r="86" spans="1:54" s="1249" customFormat="1" hidden="1" x14ac:dyDescent="0.2">
      <c r="A86" s="1245" t="s">
        <v>90</v>
      </c>
      <c r="B86" s="1245">
        <f>1/(1+(10^-((B85-D85)/400)))*(B36+D36)</f>
        <v>0.7062787312928186</v>
      </c>
      <c r="C86" s="1245"/>
      <c r="D86" s="1245">
        <f>1/(1+(10^-((D85-B85)/400)))*(B36+D36)</f>
        <v>0.29372126870718135</v>
      </c>
      <c r="E86" s="1245">
        <f>1/(1+(10^-((E85-G85)/400)))*(E36+G36)</f>
        <v>0.45508355054844191</v>
      </c>
      <c r="F86" s="1245"/>
      <c r="G86" s="1245">
        <f>1/(1+(10^-((G85-E85)/400)))*(E36+G36)</f>
        <v>0.54491644945155815</v>
      </c>
      <c r="H86" s="1245">
        <f>1/(1+(10^-((H85-J85)/400)))*(H36+J36)</f>
        <v>0.45780617340386126</v>
      </c>
      <c r="I86" s="1245"/>
      <c r="J86" s="1245">
        <f>1/(1+(10^-((J85-H85)/400)))*(H36+J36)</f>
        <v>0.54219382659613868</v>
      </c>
      <c r="K86" s="1245">
        <f>1/(1+(10^-((K85-M85)/400)))*(K36+M36)</f>
        <v>0.38009980746188665</v>
      </c>
      <c r="L86" s="1245"/>
      <c r="M86" s="1245">
        <f>1/(1+(10^-((M85-K85)/400)))*(K36+M36)</f>
        <v>0.61990019253811335</v>
      </c>
      <c r="N86" s="1245">
        <f>1/(1+(10^-((N85-P85)/400)))*(N36+P36)</f>
        <v>0.31635433058693629</v>
      </c>
      <c r="O86" s="1245"/>
      <c r="P86" s="1245">
        <f>1/(1+(10^-((P85-N85)/400)))*(N36+P36)</f>
        <v>0.68364566941306382</v>
      </c>
      <c r="Q86" s="1245">
        <f>1/(1+(10^-((Q85-S85)/400)))*(Q36+S36)</f>
        <v>0.67660897606832016</v>
      </c>
      <c r="R86" s="1245"/>
      <c r="S86" s="1245">
        <f>1/(1+(10^-((S85-Q85)/400)))*(Q36+S36)</f>
        <v>0.3233910239316799</v>
      </c>
      <c r="T86" s="1245">
        <f>1/(1+(10^-((T85-V85)/400)))*(T36+V36)</f>
        <v>0.62034475916340481</v>
      </c>
      <c r="U86" s="1245"/>
      <c r="V86" s="1245">
        <f>1/(1+(10^-((V85-T85)/400)))*(T36+V36)</f>
        <v>0.3796552408365953</v>
      </c>
      <c r="W86" s="1245" t="e">
        <f>1/(1+(10^-((W85-Y85)/400)))*(W36+Y36)</f>
        <v>#N/A</v>
      </c>
      <c r="X86" s="1245"/>
      <c r="Y86" s="1245" t="e">
        <f>1/(1+(10^-((Y85-W85)/400)))*(W36+Y36)</f>
        <v>#N/A</v>
      </c>
      <c r="Z86" s="1245" t="e">
        <f>1/(1+(10^-((Z85-AB85)/400)))*(Z36+AB36)</f>
        <v>#N/A</v>
      </c>
      <c r="AA86" s="1245"/>
      <c r="AB86" s="1245" t="e">
        <f>1/(1+(10^-((AB85-Z85)/400)))*(Z36+AB36)</f>
        <v>#N/A</v>
      </c>
      <c r="AC86" s="1245" t="e">
        <f>1/(1+(10^-((AC85-AE85)/400)))*(AC36+AE36)</f>
        <v>#N/A</v>
      </c>
      <c r="AD86" s="1245"/>
      <c r="AE86" s="1245" t="e">
        <f>1/(1+(10^-((AE85-AC85)/400)))*(AC36+AE36)</f>
        <v>#N/A</v>
      </c>
      <c r="AF86" s="1246"/>
      <c r="AG86" s="1247"/>
      <c r="AH86" s="1247"/>
      <c r="AI86" s="1247"/>
      <c r="AJ86" s="1247"/>
      <c r="AK86" s="1247"/>
      <c r="AL86" s="1247"/>
      <c r="AM86" s="1247"/>
      <c r="AN86" s="1248"/>
      <c r="AO86" s="1248"/>
      <c r="AP86" s="1248"/>
      <c r="AQ86" s="1248"/>
      <c r="AW86" s="1250"/>
      <c r="BB86" s="1250"/>
    </row>
    <row r="87" spans="1:54" s="1255" customFormat="1" hidden="1" x14ac:dyDescent="0.2">
      <c r="A87" s="1251" t="s">
        <v>91</v>
      </c>
      <c r="B87" s="1251">
        <f>B85+(B36-B86)*$BA$1</f>
        <v>1303.0258100422179</v>
      </c>
      <c r="C87" s="1251"/>
      <c r="D87" s="1251">
        <f>D85+(D36-D86)*$BA$1</f>
        <v>1131.8113557384136</v>
      </c>
      <c r="E87" s="1251">
        <f>E85+(E36-E86)*$BA$1</f>
        <v>1216.781004389813</v>
      </c>
      <c r="F87" s="1251"/>
      <c r="G87" s="1251">
        <f>G85+(G36-G86)*$BA$1</f>
        <v>1213.2018637913193</v>
      </c>
      <c r="H87" s="1251">
        <f>H85+(H36-H86)*$BA$1</f>
        <v>1288.3760124932944</v>
      </c>
      <c r="I87" s="1251"/>
      <c r="J87" s="1251">
        <f>J85+(J36-J86)*$BA$1</f>
        <v>1347.0647770612281</v>
      </c>
      <c r="K87" s="1251">
        <f>K85+(K36-K86)*$BA$1</f>
        <v>1119.6481618996331</v>
      </c>
      <c r="L87" s="1251"/>
      <c r="M87" s="1251">
        <f>M85+(M36-M86)*$BA$1</f>
        <v>1228.9441982285935</v>
      </c>
      <c r="N87" s="1251">
        <f>N85+(N36-N86)*$BA$1</f>
        <v>1203.0785252125372</v>
      </c>
      <c r="O87" s="1251"/>
      <c r="P87" s="1251">
        <f>P85+(P36-P86)*$BA$1</f>
        <v>1357.1881156400102</v>
      </c>
      <c r="Q87" s="1251">
        <f>Q85+(Q36-Q86)*$BA$1</f>
        <v>1367.5366284058239</v>
      </c>
      <c r="R87" s="1251"/>
      <c r="S87" s="1251">
        <f>S85+(S36-S86)*$BA$1</f>
        <v>1218.5956854627798</v>
      </c>
      <c r="T87" s="1251">
        <f>T85+(T36-T86)*$BA$1</f>
        <v>1300.5249802000656</v>
      </c>
      <c r="U87" s="1251"/>
      <c r="V87" s="1251">
        <f>V85+(V36-V86)*$BA$1</f>
        <v>1190.9295575057661</v>
      </c>
      <c r="W87" s="1251" t="e">
        <f>W85+(W36-W86)*$BA$1</f>
        <v>#N/A</v>
      </c>
      <c r="X87" s="1251"/>
      <c r="Y87" s="1251" t="e">
        <f>Y85+(Y36-Y86)*$BA$1</f>
        <v>#N/A</v>
      </c>
      <c r="Z87" s="1251" t="e">
        <f>Z85+(Z36-Z86)*$BA$1</f>
        <v>#N/A</v>
      </c>
      <c r="AA87" s="1251"/>
      <c r="AB87" s="1251" t="e">
        <f>AB85+(AB36-AB86)*$BA$1</f>
        <v>#N/A</v>
      </c>
      <c r="AC87" s="1251" t="e">
        <f>AC85+(AC36-AC86)*$BA$1</f>
        <v>#N/A</v>
      </c>
      <c r="AD87" s="1251"/>
      <c r="AE87" s="1251" t="e">
        <f>AE85+(AE36-AE86)*$BA$1</f>
        <v>#N/A</v>
      </c>
      <c r="AF87" s="1252"/>
      <c r="AG87" s="1253"/>
      <c r="AH87" s="1253"/>
      <c r="AI87" s="1253"/>
      <c r="AJ87" s="1253"/>
      <c r="AK87" s="1253"/>
      <c r="AL87" s="1253"/>
      <c r="AM87" s="1253"/>
      <c r="AN87" s="1254"/>
      <c r="AO87" s="1254"/>
      <c r="AP87" s="1254"/>
      <c r="AQ87" s="1254"/>
      <c r="AW87" s="1256"/>
      <c r="BB87" s="1256"/>
    </row>
    <row r="88" spans="1:54" s="1255" customFormat="1" hidden="1" x14ac:dyDescent="0.2">
      <c r="A88" s="1251"/>
      <c r="B88" s="1251"/>
      <c r="C88" s="1251"/>
      <c r="D88" s="1251"/>
      <c r="E88" s="1251"/>
      <c r="F88" s="1251"/>
      <c r="G88" s="1251"/>
      <c r="H88" s="1251"/>
      <c r="I88" s="1251"/>
      <c r="J88" s="1251"/>
      <c r="K88" s="1251"/>
      <c r="L88" s="1251"/>
      <c r="M88" s="1251"/>
      <c r="N88" s="1251"/>
      <c r="O88" s="1251"/>
      <c r="P88" s="1251"/>
      <c r="Q88" s="1251"/>
      <c r="R88" s="1251"/>
      <c r="S88" s="1251"/>
      <c r="T88" s="1251"/>
      <c r="U88" s="1251"/>
      <c r="V88" s="1251"/>
      <c r="W88" s="1251"/>
      <c r="X88" s="1251"/>
      <c r="Y88" s="1251"/>
      <c r="Z88" s="1251"/>
      <c r="AA88" s="1251"/>
      <c r="AB88" s="1251"/>
      <c r="AC88" s="1251"/>
      <c r="AD88" s="1251"/>
      <c r="AE88" s="1251"/>
      <c r="AF88" s="1252"/>
      <c r="AG88" s="1253"/>
      <c r="AH88" s="1253"/>
      <c r="AI88" s="1253"/>
      <c r="AJ88" s="1253"/>
      <c r="AK88" s="1253"/>
      <c r="AL88" s="1253"/>
      <c r="AM88" s="1253"/>
      <c r="AN88" s="1254"/>
      <c r="AO88" s="1254"/>
      <c r="AP88" s="1254"/>
      <c r="AQ88" s="1254"/>
      <c r="AW88" s="1256"/>
      <c r="BB88" s="1256"/>
    </row>
    <row r="89" spans="1:54" s="1239" customFormat="1" x14ac:dyDescent="0.2">
      <c r="A89" s="1257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1257"/>
      <c r="C89" s="1257"/>
      <c r="D89" s="1257"/>
      <c r="E89" s="1257"/>
      <c r="F89" s="1257"/>
      <c r="G89" s="1257"/>
      <c r="H89" s="1257"/>
      <c r="I89" s="1257"/>
      <c r="J89" s="1257"/>
      <c r="K89" s="1257"/>
      <c r="L89" s="1257"/>
      <c r="M89" s="1257"/>
      <c r="N89" s="1257"/>
      <c r="O89" s="1257"/>
      <c r="P89" s="1257"/>
      <c r="Q89" s="1257"/>
      <c r="R89" s="1257"/>
      <c r="S89" s="1257"/>
      <c r="T89" s="1257"/>
      <c r="U89" s="1257"/>
      <c r="V89" s="1257"/>
      <c r="W89" s="1257"/>
      <c r="X89" s="1257"/>
      <c r="Y89" s="1257"/>
      <c r="Z89" s="1257"/>
      <c r="AA89" s="1257"/>
      <c r="AB89" s="1257"/>
      <c r="AC89" s="1257"/>
      <c r="AD89" s="1257"/>
      <c r="AE89" s="1257"/>
      <c r="AF89" s="1257"/>
      <c r="AG89" s="1257"/>
      <c r="AH89" s="1257"/>
      <c r="AI89" s="1257"/>
      <c r="AJ89" s="1257"/>
      <c r="AK89" s="1257"/>
      <c r="AL89" s="1257"/>
      <c r="AM89" s="1257"/>
      <c r="AN89" s="1258"/>
      <c r="AO89" s="1258"/>
      <c r="AP89" s="1258"/>
      <c r="AQ89" s="1258"/>
    </row>
    <row r="90" spans="1:54" s="1239" customFormat="1" x14ac:dyDescent="0.2">
      <c r="A90" s="1259"/>
      <c r="B90" s="1259"/>
      <c r="C90" s="1259"/>
      <c r="D90" s="1259"/>
      <c r="E90" s="1259"/>
      <c r="F90" s="1259"/>
      <c r="G90" s="1259"/>
      <c r="H90" s="1259"/>
      <c r="I90" s="1259"/>
      <c r="J90" s="1259"/>
      <c r="K90" s="1259"/>
      <c r="L90" s="1259"/>
      <c r="M90" s="1259"/>
      <c r="N90" s="1259"/>
      <c r="O90" s="1259"/>
      <c r="P90" s="1259"/>
      <c r="Q90" s="1259"/>
      <c r="R90" s="1259"/>
      <c r="S90" s="1259"/>
      <c r="T90" s="1259"/>
      <c r="U90" s="1259"/>
      <c r="V90" s="1259"/>
      <c r="W90" s="1259"/>
      <c r="X90" s="1259"/>
      <c r="Y90" s="1259"/>
      <c r="Z90" s="1259"/>
      <c r="AA90" s="1259"/>
      <c r="AB90" s="1259"/>
      <c r="AC90" s="1259"/>
      <c r="AD90" s="1259"/>
      <c r="AE90" s="1259"/>
      <c r="AF90" s="1259"/>
      <c r="AG90" s="1259"/>
      <c r="AH90" s="1259"/>
      <c r="AI90" s="1259"/>
      <c r="AJ90" s="1259"/>
      <c r="AK90" s="1259"/>
      <c r="AL90" s="1259"/>
      <c r="AM90" s="1259"/>
      <c r="AN90" s="1259"/>
      <c r="AO90" s="1259"/>
      <c r="AP90" s="1259"/>
      <c r="AQ90" s="1259"/>
    </row>
    <row r="91" spans="1:54" ht="21" thickBot="1" x14ac:dyDescent="0.35">
      <c r="A91" s="1260" t="s">
        <v>93</v>
      </c>
      <c r="B91" s="1260"/>
      <c r="C91" s="1260"/>
      <c r="D91" s="1260"/>
      <c r="E91" s="1260"/>
      <c r="F91" s="1260"/>
      <c r="G91" s="1260"/>
      <c r="H91" s="1260"/>
      <c r="I91" s="1260"/>
      <c r="J91" s="1260"/>
      <c r="K91" s="1260"/>
      <c r="L91" s="1260"/>
      <c r="M91" s="1260"/>
      <c r="N91" s="1260"/>
      <c r="O91" s="1260"/>
      <c r="P91" s="1260"/>
      <c r="Q91" s="1260"/>
      <c r="R91" s="1260"/>
      <c r="S91" s="1260"/>
      <c r="T91" s="1260"/>
      <c r="U91" s="1260"/>
      <c r="V91" s="1260"/>
      <c r="W91" s="1260"/>
      <c r="X91" s="1260"/>
      <c r="Y91" s="1260"/>
      <c r="Z91" s="1260"/>
      <c r="AA91" s="1260"/>
      <c r="AB91" s="1260"/>
      <c r="AC91" s="1260"/>
      <c r="AD91" s="1260"/>
      <c r="AE91" s="1260"/>
      <c r="AF91" s="1260"/>
      <c r="AG91" s="1260"/>
      <c r="AH91" s="1260"/>
      <c r="AI91" s="1260"/>
      <c r="AJ91" s="1260"/>
      <c r="AK91" s="1260"/>
      <c r="AL91" s="1260"/>
      <c r="AM91" s="1260"/>
      <c r="AN91" s="1260"/>
      <c r="AO91" s="1260"/>
      <c r="AP91" s="1260"/>
      <c r="AQ91" s="1260"/>
    </row>
    <row r="92" spans="1:54" ht="13.5" thickBot="1" x14ac:dyDescent="0.25">
      <c r="A92" s="1261" t="s">
        <v>94</v>
      </c>
      <c r="B92" s="1262" t="s">
        <v>95</v>
      </c>
      <c r="C92" s="1263"/>
      <c r="D92" s="1263"/>
      <c r="E92" s="1263"/>
      <c r="F92" s="1263"/>
      <c r="G92" s="1263"/>
      <c r="H92" s="1263"/>
      <c r="I92" s="1263"/>
      <c r="J92" s="1263"/>
      <c r="K92" s="1264"/>
      <c r="L92" s="1262" t="s">
        <v>96</v>
      </c>
      <c r="M92" s="1263"/>
      <c r="N92" s="1263"/>
      <c r="O92" s="1263"/>
      <c r="P92" s="1263"/>
      <c r="Q92" s="1263"/>
      <c r="R92" s="1263"/>
      <c r="S92" s="1263"/>
      <c r="T92" s="1263"/>
      <c r="U92" s="1264"/>
      <c r="V92" s="1262" t="s">
        <v>97</v>
      </c>
      <c r="W92" s="1263"/>
      <c r="X92" s="1263"/>
      <c r="Y92" s="1263"/>
      <c r="Z92" s="1263"/>
      <c r="AA92" s="1263"/>
      <c r="AB92" s="1263"/>
      <c r="AC92" s="1263"/>
      <c r="AD92" s="1263"/>
      <c r="AE92" s="1264"/>
      <c r="AF92" s="1262" t="s">
        <v>98</v>
      </c>
      <c r="AG92" s="1263"/>
      <c r="AH92" s="1263"/>
      <c r="AI92" s="1263"/>
      <c r="AJ92" s="1263"/>
      <c r="AK92" s="1263"/>
      <c r="AL92" s="1263"/>
      <c r="AM92" s="1263"/>
      <c r="AN92" s="1263"/>
      <c r="AO92" s="1264"/>
    </row>
    <row r="93" spans="1:54" ht="13.5" thickBot="1" x14ac:dyDescent="0.25">
      <c r="A93" s="1265"/>
      <c r="B93" s="1266" t="s">
        <v>7</v>
      </c>
      <c r="C93" s="1267"/>
      <c r="D93" s="1267"/>
      <c r="E93" s="1267"/>
      <c r="F93" s="1267"/>
      <c r="G93" s="1268"/>
      <c r="H93" s="1266" t="s">
        <v>99</v>
      </c>
      <c r="I93" s="1267"/>
      <c r="J93" s="1267"/>
      <c r="K93" s="1268"/>
      <c r="L93" s="1266" t="s">
        <v>7</v>
      </c>
      <c r="M93" s="1267"/>
      <c r="N93" s="1267"/>
      <c r="O93" s="1267"/>
      <c r="P93" s="1267"/>
      <c r="Q93" s="1268"/>
      <c r="R93" s="1266" t="s">
        <v>99</v>
      </c>
      <c r="S93" s="1267"/>
      <c r="T93" s="1267"/>
      <c r="U93" s="1268"/>
      <c r="V93" s="1266" t="s">
        <v>7</v>
      </c>
      <c r="W93" s="1267"/>
      <c r="X93" s="1267"/>
      <c r="Y93" s="1267"/>
      <c r="Z93" s="1267"/>
      <c r="AA93" s="1268"/>
      <c r="AB93" s="1266" t="s">
        <v>99</v>
      </c>
      <c r="AC93" s="1267"/>
      <c r="AD93" s="1267"/>
      <c r="AE93" s="1268"/>
      <c r="AF93" s="1266" t="s">
        <v>7</v>
      </c>
      <c r="AG93" s="1267"/>
      <c r="AH93" s="1267"/>
      <c r="AI93" s="1267"/>
      <c r="AJ93" s="1267"/>
      <c r="AK93" s="1268"/>
      <c r="AL93" s="1266" t="s">
        <v>99</v>
      </c>
      <c r="AM93" s="1267"/>
      <c r="AN93" s="1267"/>
      <c r="AO93" s="1268"/>
    </row>
    <row r="94" spans="1:54" ht="13.5" thickBot="1" x14ac:dyDescent="0.25">
      <c r="A94" s="1269" t="s">
        <v>100</v>
      </c>
      <c r="B94" s="1270" t="str">
        <f>IF($AF$8=1,$E$8,IF($AF$10=1,$E$10,IF($AF$12=1,$E$12,IF($AF$14=1,$E$14,IF($AF$16=1,$E$16,"1st Place "&amp;$A94)))))</f>
        <v>1st Place Court 1</v>
      </c>
      <c r="C94" s="1271"/>
      <c r="D94" s="1271"/>
      <c r="E94" s="1271"/>
      <c r="F94" s="1271"/>
      <c r="G94" s="1271"/>
      <c r="H94" s="1272" t="str">
        <f>IF($AF$8=1,$E$9,IF($AF$10=1,$E$11,IF($AF$12=1,$E$13,IF($AF$14=1,$E$15,IF($AF$16=1,$E$17,"1st Place "&amp;$A94)))))</f>
        <v>1st Place Court 1</v>
      </c>
      <c r="I94" s="1272"/>
      <c r="J94" s="1272"/>
      <c r="K94" s="1273"/>
      <c r="L94" s="1270" t="str">
        <f>IF($AF$8=2,$E$8,IF($AF$10=2,$E$10,IF($AF$12=2,$E$12,IF($AF$14=2,$E$14,IF($AF$16=2,$E$16,"2nd Place "&amp;$A94)))))</f>
        <v>2nd Place Court 1</v>
      </c>
      <c r="M94" s="1271"/>
      <c r="N94" s="1271"/>
      <c r="O94" s="1271"/>
      <c r="P94" s="1271"/>
      <c r="Q94" s="1271"/>
      <c r="R94" s="1272" t="str">
        <f>IF($AF$8=2,$E$9,IF($AF$10=2,$E$11,IF($AF$12=2,$E$13,IF($AF$14=2,$E$15,IF($AF$16=2,$E$17,"2nd Place "&amp;$A94)))))</f>
        <v>2nd Place Court 1</v>
      </c>
      <c r="S94" s="1272"/>
      <c r="T94" s="1272"/>
      <c r="U94" s="1273"/>
      <c r="V94" s="1270" t="str">
        <f>IF($AF$8=3,$E$8,IF($AF$10=3,$E$10,IF($AF$12=3,$E$12,IF($AF$14=3,$E$14,IF($AF$16=3,$E$16,"3rd Place "&amp;$A94)))))</f>
        <v>3rd Place Court 1</v>
      </c>
      <c r="W94" s="1271"/>
      <c r="X94" s="1271"/>
      <c r="Y94" s="1271"/>
      <c r="Z94" s="1271"/>
      <c r="AA94" s="1271"/>
      <c r="AB94" s="1272" t="str">
        <f>IF($AF$8=3,$E$9,IF($AF$10=3,$E$11,IF($AF$12=3,$E$13,IF($AF$14=3,$E$15,IF($AF$16=3,$E$17,"3rd Place "&amp;$A94)))))</f>
        <v>3rd Place Court 1</v>
      </c>
      <c r="AC94" s="1272"/>
      <c r="AD94" s="1272"/>
      <c r="AE94" s="1273"/>
      <c r="AF94" s="1270" t="str">
        <f>IF($AF$8=4,$E$8,IF($AF$10=4,$E$10,IF($AF$12=4,$E$12,IF($AF$14=4,$E$14,IF($AF$16=4,$E$16,"4th Place "&amp;$A94)))))</f>
        <v>4th Place Court 1</v>
      </c>
      <c r="AG94" s="1271"/>
      <c r="AH94" s="1271"/>
      <c r="AI94" s="1271"/>
      <c r="AJ94" s="1271"/>
      <c r="AK94" s="1271"/>
      <c r="AL94" s="1272" t="str">
        <f>IF($AF$8=4,$E$9,IF($AF$10=4,$E$11,IF($AF$12=4,$E$13,IF($AF$14=4,$E$15,IF($AF$16=4,$E$17,"4th Place "&amp;$A94)))))</f>
        <v>4th Place Court 1</v>
      </c>
      <c r="AM94" s="1272"/>
      <c r="AN94" s="1272"/>
      <c r="AO94" s="1273"/>
    </row>
    <row r="95" spans="1:54" s="1039" customFormat="1" x14ac:dyDescent="0.2">
      <c r="A95" s="1274"/>
      <c r="B95" s="1275"/>
      <c r="C95" s="1275"/>
      <c r="D95" s="1275"/>
      <c r="E95" s="1275"/>
      <c r="F95" s="1275"/>
      <c r="G95" s="1275"/>
      <c r="H95" s="1275"/>
      <c r="I95" s="1275"/>
      <c r="J95" s="1275"/>
      <c r="K95" s="1275"/>
      <c r="L95" s="1275"/>
      <c r="M95" s="1275"/>
      <c r="N95" s="1275"/>
      <c r="O95" s="1275"/>
      <c r="P95" s="1275"/>
      <c r="Q95" s="1275"/>
      <c r="R95" s="1275"/>
      <c r="S95" s="1275"/>
      <c r="T95" s="1275"/>
      <c r="U95" s="1275"/>
      <c r="V95" s="1275"/>
      <c r="W95" s="1275"/>
      <c r="X95" s="1275"/>
      <c r="Y95" s="1275"/>
      <c r="Z95" s="1275"/>
      <c r="AA95" s="1275"/>
      <c r="AB95" s="1275"/>
      <c r="AC95" s="1275"/>
      <c r="AD95" s="1275"/>
      <c r="AE95" s="1275"/>
      <c r="AF95" s="1275"/>
      <c r="AG95" s="1275"/>
      <c r="AH95" s="1275"/>
      <c r="AI95" s="1275"/>
      <c r="AJ95" s="1275"/>
      <c r="AK95" s="1275"/>
      <c r="AL95" s="1275"/>
      <c r="AM95" s="1275"/>
      <c r="AN95" s="1275"/>
      <c r="AO95" s="1275"/>
      <c r="AZ95"/>
      <c r="BA95"/>
    </row>
    <row r="96" spans="1:54" ht="15.75" x14ac:dyDescent="0.25">
      <c r="A96" s="1276" t="s">
        <v>102</v>
      </c>
      <c r="B96" s="1276"/>
      <c r="C96" s="1276"/>
      <c r="D96" s="1276"/>
      <c r="E96" s="1276"/>
      <c r="F96" s="1276"/>
      <c r="G96" s="1276"/>
      <c r="H96" s="1276"/>
      <c r="I96" s="1276"/>
      <c r="J96" s="1276"/>
      <c r="K96" s="1276"/>
      <c r="L96" s="1276"/>
      <c r="M96" s="1276"/>
      <c r="N96" s="1276"/>
      <c r="O96" s="1276"/>
      <c r="P96" s="1276"/>
      <c r="Q96" s="1276"/>
      <c r="R96" s="1276"/>
      <c r="S96" s="1276"/>
      <c r="T96" s="1276"/>
      <c r="U96" s="1276"/>
      <c r="V96" s="1276"/>
      <c r="W96" s="1276"/>
      <c r="X96" s="1276"/>
      <c r="Y96" s="1276"/>
      <c r="Z96" s="1276"/>
      <c r="AA96" s="1276"/>
      <c r="AB96" s="1276"/>
      <c r="AC96" s="1276"/>
      <c r="AD96" s="1276"/>
      <c r="AE96" s="1276"/>
      <c r="AF96" s="1276"/>
      <c r="AG96" s="1276"/>
      <c r="AH96" s="1276"/>
      <c r="AI96" s="1276"/>
      <c r="AJ96" s="1276"/>
      <c r="AK96" s="1276"/>
      <c r="AL96" s="1276"/>
      <c r="AM96" s="1276"/>
      <c r="AN96" s="1276"/>
      <c r="AO96" s="1276"/>
      <c r="AP96" s="1276"/>
      <c r="AQ96" s="1276"/>
      <c r="AT96" s="1277"/>
      <c r="AU96" s="1277"/>
      <c r="AV96" s="1277"/>
    </row>
    <row r="97" spans="1:50" ht="36" customHeight="1" x14ac:dyDescent="0.25">
      <c r="A97" s="1278" t="s">
        <v>350</v>
      </c>
      <c r="B97" s="1278"/>
      <c r="C97" s="1278"/>
      <c r="D97" s="1278"/>
      <c r="E97" s="1278"/>
      <c r="F97" s="1278"/>
      <c r="G97" s="1278"/>
      <c r="H97" s="1278"/>
      <c r="I97" s="1278"/>
      <c r="J97" s="1278"/>
      <c r="K97" s="1278"/>
      <c r="L97" s="1278"/>
      <c r="M97" s="1278"/>
      <c r="N97" s="1278"/>
      <c r="O97" s="1278"/>
      <c r="P97" s="1278"/>
      <c r="Q97" s="1278"/>
      <c r="R97" s="1278"/>
      <c r="S97" s="1278"/>
      <c r="T97" s="1278"/>
      <c r="U97" s="1278"/>
      <c r="V97" s="1278"/>
      <c r="W97" s="1278"/>
      <c r="X97" s="1278"/>
      <c r="Y97" s="1278"/>
      <c r="Z97" s="1278"/>
      <c r="AA97" s="1278"/>
      <c r="AB97" s="1278"/>
      <c r="AC97" s="1278"/>
      <c r="AD97" s="1278"/>
      <c r="AE97" s="1278"/>
      <c r="AF97" s="1278"/>
      <c r="AG97" s="1278"/>
      <c r="AH97" s="1278"/>
      <c r="AI97" s="1278"/>
      <c r="AJ97" s="1278"/>
      <c r="AK97" s="1278"/>
      <c r="AL97" s="1278"/>
      <c r="AM97" s="1278"/>
      <c r="AN97" s="1278"/>
      <c r="AO97" s="1278"/>
      <c r="AP97" s="1278"/>
      <c r="AQ97" s="1278"/>
      <c r="AR97" s="1279"/>
    </row>
    <row r="98" spans="1:50" x14ac:dyDescent="0.2">
      <c r="A98" s="1280" t="s">
        <v>1206</v>
      </c>
      <c r="B98" s="1280"/>
      <c r="C98" s="1280"/>
      <c r="D98" s="1280"/>
      <c r="E98" s="1280"/>
      <c r="F98" s="1280"/>
      <c r="G98" s="1280"/>
      <c r="H98" s="1280"/>
      <c r="I98" s="1280"/>
      <c r="J98" s="1280"/>
      <c r="K98" s="1280"/>
      <c r="L98" s="1280"/>
      <c r="M98" s="1280"/>
      <c r="N98" s="1280"/>
      <c r="O98" s="1280"/>
      <c r="P98" s="1280"/>
      <c r="Q98" s="1280"/>
      <c r="R98" s="1280"/>
      <c r="S98" s="1280"/>
      <c r="T98" s="1280"/>
      <c r="U98" s="1280"/>
      <c r="V98" s="1280"/>
      <c r="W98" s="1280"/>
      <c r="X98" s="1280"/>
      <c r="Y98" s="1280"/>
      <c r="Z98" s="1280"/>
      <c r="AA98" s="1280"/>
      <c r="AB98" s="1280"/>
      <c r="AC98" s="1280"/>
      <c r="AD98" s="1280"/>
      <c r="AE98" s="1280"/>
      <c r="AF98" s="1280"/>
      <c r="AG98" s="1280"/>
      <c r="AH98" s="1280"/>
      <c r="AI98" s="1280"/>
      <c r="AJ98" s="1280"/>
      <c r="AK98" s="1280"/>
      <c r="AL98" s="1280"/>
      <c r="AM98" s="1280"/>
      <c r="AN98" s="1280"/>
      <c r="AO98" s="1280"/>
      <c r="AP98" s="1280"/>
      <c r="AQ98" s="1280"/>
    </row>
    <row r="99" spans="1:50" x14ac:dyDescent="0.2">
      <c r="A99" s="1280"/>
      <c r="B99" s="1280"/>
      <c r="C99" s="1280"/>
      <c r="D99" s="1280"/>
      <c r="E99" s="1280"/>
      <c r="F99" s="1280"/>
      <c r="G99" s="1280"/>
      <c r="H99" s="1280"/>
      <c r="I99" s="1280"/>
      <c r="J99" s="1280"/>
      <c r="K99" s="1280"/>
      <c r="L99" s="1280"/>
      <c r="M99" s="1280"/>
      <c r="N99" s="1280"/>
      <c r="O99" s="1280"/>
      <c r="P99" s="1280"/>
      <c r="Q99" s="1280"/>
      <c r="R99" s="1280"/>
      <c r="S99" s="1280"/>
      <c r="T99" s="1280"/>
      <c r="U99" s="1280"/>
      <c r="V99" s="1280"/>
      <c r="W99" s="1280"/>
      <c r="X99" s="1280"/>
      <c r="Y99" s="1280"/>
      <c r="Z99" s="1280"/>
      <c r="AA99" s="1280"/>
      <c r="AB99" s="1280"/>
      <c r="AC99" s="1280"/>
      <c r="AD99" s="1280"/>
      <c r="AE99" s="1280"/>
      <c r="AF99" s="1280"/>
      <c r="AG99" s="1280"/>
      <c r="AH99" s="1280"/>
      <c r="AI99" s="1280"/>
      <c r="AJ99" s="1280"/>
      <c r="AK99" s="1280"/>
      <c r="AL99" s="1280"/>
      <c r="AM99" s="1280"/>
      <c r="AN99" s="1280"/>
      <c r="AO99" s="1280"/>
      <c r="AP99" s="1280"/>
      <c r="AQ99" s="1280"/>
    </row>
    <row r="100" spans="1:50" x14ac:dyDescent="0.2">
      <c r="A100" s="1281" t="s">
        <v>104</v>
      </c>
      <c r="B100" s="1281"/>
      <c r="C100" s="1281"/>
      <c r="D100" s="1281"/>
      <c r="E100" s="1281"/>
      <c r="F100" s="1281"/>
      <c r="G100" s="1281"/>
      <c r="H100" s="1281"/>
      <c r="I100" s="1281"/>
      <c r="J100" s="1281"/>
      <c r="K100" s="1281"/>
      <c r="L100" s="1282"/>
      <c r="R100" s="1283"/>
      <c r="S100" s="1283"/>
      <c r="T100" s="1284"/>
      <c r="U100" s="1284"/>
      <c r="V100" s="1284"/>
      <c r="W100" s="1284"/>
      <c r="X100" s="1284"/>
      <c r="Y100" s="1284"/>
      <c r="Z100" s="1284"/>
      <c r="AA100" s="1284"/>
      <c r="AB100" s="1284"/>
      <c r="AC100" s="1284"/>
      <c r="AD100" s="1284"/>
      <c r="AE100" s="1284"/>
      <c r="AF100" s="1284"/>
      <c r="AG100" s="1283"/>
      <c r="AH100" s="1284"/>
      <c r="AI100" s="1284"/>
      <c r="AJ100" s="1283"/>
      <c r="AK100" s="1283"/>
      <c r="AL100" s="1283"/>
      <c r="AM100" s="1283"/>
    </row>
    <row r="101" spans="1:50" x14ac:dyDescent="0.2">
      <c r="C101" s="1039"/>
      <c r="D101" s="1039"/>
      <c r="E101" s="1039"/>
      <c r="L101" s="1282"/>
      <c r="R101" s="1283"/>
      <c r="S101" s="1283"/>
      <c r="T101" s="1284"/>
      <c r="U101" s="1284"/>
      <c r="V101" s="1284"/>
      <c r="W101" s="1284"/>
      <c r="X101" s="1284"/>
      <c r="Y101" s="1284"/>
      <c r="Z101" s="1284"/>
      <c r="AA101" s="1284"/>
      <c r="AB101" s="1284"/>
      <c r="AC101" s="1284"/>
      <c r="AD101" s="1284"/>
      <c r="AE101" s="1284"/>
      <c r="AF101" s="1284"/>
      <c r="AG101" s="1283"/>
      <c r="AH101" s="1284"/>
      <c r="AI101" s="1284"/>
      <c r="AJ101" s="1283"/>
      <c r="AK101" s="1283"/>
      <c r="AL101" s="1283"/>
      <c r="AM101" s="1283"/>
    </row>
    <row r="102" spans="1:50" x14ac:dyDescent="0.2">
      <c r="A102" s="1258"/>
      <c r="B102" s="1258"/>
      <c r="C102" s="1258"/>
      <c r="D102" s="1258"/>
      <c r="E102" s="1258"/>
      <c r="F102" s="1258"/>
      <c r="G102" s="1258"/>
      <c r="H102" s="1258"/>
      <c r="I102" s="1258"/>
      <c r="J102" s="1258"/>
      <c r="K102" s="1258"/>
      <c r="L102" s="1258"/>
      <c r="M102" s="1258"/>
      <c r="N102" s="1258"/>
      <c r="O102" s="1258"/>
      <c r="P102" s="1240"/>
      <c r="R102" s="1285"/>
      <c r="S102" s="1285"/>
      <c r="T102" s="1285"/>
      <c r="U102" s="1285"/>
      <c r="V102" s="1285"/>
      <c r="W102" s="1285"/>
      <c r="X102" s="1285"/>
      <c r="Y102" s="1285"/>
      <c r="Z102" s="1285"/>
      <c r="AA102" s="1285"/>
      <c r="AB102" s="1285"/>
      <c r="AC102" s="1285"/>
      <c r="AD102" s="1285"/>
      <c r="AE102" s="1285"/>
      <c r="AF102" s="1285"/>
      <c r="AG102" s="1283"/>
      <c r="AH102" s="1284"/>
      <c r="AI102" s="1284"/>
      <c r="AJ102" s="1283"/>
      <c r="AK102" s="1283"/>
      <c r="AL102" s="1283"/>
      <c r="AM102" s="1283"/>
    </row>
    <row r="103" spans="1:50" x14ac:dyDescent="0.2">
      <c r="R103" s="1283"/>
      <c r="S103" s="1283"/>
      <c r="T103" s="1284"/>
      <c r="U103" s="1284"/>
      <c r="V103" s="1284"/>
      <c r="W103" s="1284"/>
      <c r="X103" s="1284"/>
      <c r="Y103" s="1284"/>
      <c r="Z103" s="1284"/>
      <c r="AA103" s="1284"/>
      <c r="AB103" s="1284"/>
      <c r="AC103" s="1284"/>
      <c r="AD103" s="1284"/>
      <c r="AE103" s="1284"/>
      <c r="AF103" s="1284"/>
      <c r="AG103" s="1283"/>
      <c r="AH103" s="1284"/>
      <c r="AI103" s="1284"/>
      <c r="AJ103" s="1283"/>
      <c r="AK103" s="1283"/>
      <c r="AL103" s="1283"/>
      <c r="AM103" s="1283"/>
    </row>
    <row r="104" spans="1:50" ht="13.5" thickBot="1" x14ac:dyDescent="0.25">
      <c r="A104" s="1286" t="str">
        <f>IF(B132=1,B124,IF(B132=2,B125,IF(B132=3,B126,IF(B132=4,B127,IF(OR(B132="B",B132="b"),"BYE","invalid")))))</f>
        <v>1st Place Court 1</v>
      </c>
      <c r="B104" s="1286"/>
      <c r="C104" s="1286"/>
      <c r="D104" s="1286"/>
      <c r="E104" s="1286"/>
      <c r="F104" s="1287"/>
      <c r="G104" s="1287"/>
      <c r="H104" s="1287"/>
      <c r="I104" s="1287"/>
      <c r="J104" s="1287"/>
      <c r="K104" s="1287"/>
      <c r="L104" s="1287"/>
      <c r="M104" s="1287"/>
      <c r="N104" s="1287"/>
      <c r="S104" s="1288"/>
      <c r="T104" s="1289"/>
      <c r="U104" s="1284"/>
      <c r="V104" s="1284"/>
      <c r="W104" s="1284"/>
      <c r="X104" s="1284"/>
      <c r="Y104" s="1284"/>
      <c r="Z104" s="1284"/>
      <c r="AA104" s="1284"/>
      <c r="AB104" s="1283"/>
      <c r="AC104" s="1283"/>
      <c r="AD104" s="1283"/>
      <c r="AE104" s="1283"/>
      <c r="AF104" s="1283"/>
      <c r="AG104" s="1283"/>
      <c r="AH104" s="1283"/>
      <c r="AI104" s="1283"/>
      <c r="AJ104" s="1283"/>
      <c r="AK104" s="1283"/>
      <c r="AL104" s="1283"/>
    </row>
    <row r="105" spans="1:50" x14ac:dyDescent="0.2">
      <c r="A105" s="1290" t="s">
        <v>1207</v>
      </c>
      <c r="B105" s="1290"/>
      <c r="C105" s="1290"/>
      <c r="D105" s="1290"/>
      <c r="E105" s="1290"/>
      <c r="F105" s="1291"/>
      <c r="G105" s="1287"/>
      <c r="H105" s="1287"/>
      <c r="I105" s="1287"/>
      <c r="J105" s="1287"/>
      <c r="K105" s="1287"/>
      <c r="L105" s="1287"/>
      <c r="M105" s="1287"/>
      <c r="N105" s="1287"/>
      <c r="S105" s="1292"/>
      <c r="T105" s="1293"/>
      <c r="U105" s="1294"/>
      <c r="V105" s="1294"/>
      <c r="W105" s="1294"/>
      <c r="X105" s="1294"/>
      <c r="Y105" s="1294"/>
      <c r="Z105" s="1294"/>
      <c r="AA105" s="1294"/>
      <c r="AB105" s="1283"/>
      <c r="AC105" s="1283"/>
      <c r="AD105" s="1283"/>
      <c r="AE105" s="1283"/>
      <c r="AF105" s="1283"/>
      <c r="AG105" s="1283"/>
      <c r="AH105" s="1283"/>
      <c r="AI105" s="1283"/>
      <c r="AJ105" s="1283"/>
      <c r="AK105" s="1283"/>
      <c r="AL105" s="1283"/>
    </row>
    <row r="106" spans="1:50" x14ac:dyDescent="0.2">
      <c r="A106" s="1287"/>
      <c r="B106" s="1287"/>
      <c r="C106" s="1287"/>
      <c r="D106" s="1287"/>
      <c r="E106" s="1287"/>
      <c r="F106" s="1291"/>
      <c r="G106" s="1287"/>
      <c r="H106" s="1287"/>
      <c r="I106" s="1287"/>
      <c r="J106" s="1287"/>
      <c r="K106" s="1287"/>
      <c r="L106" s="1287"/>
      <c r="M106" s="1287"/>
      <c r="N106" s="1287"/>
      <c r="R106" s="1287"/>
      <c r="S106" s="1287"/>
      <c r="T106" s="1283"/>
      <c r="U106" s="1283"/>
      <c r="V106" s="1283"/>
      <c r="W106" s="1283"/>
      <c r="X106" s="1283"/>
      <c r="Y106" s="1283"/>
      <c r="Z106" s="1283"/>
      <c r="AA106" s="1283"/>
      <c r="AB106" s="1283"/>
      <c r="AC106" s="1283"/>
      <c r="AD106" s="1283"/>
      <c r="AE106" s="1283"/>
      <c r="AF106" s="1283"/>
      <c r="AG106" s="1283"/>
      <c r="AH106" s="1283"/>
      <c r="AI106" s="1283"/>
      <c r="AJ106" s="1283"/>
      <c r="AK106" s="1283"/>
      <c r="AL106" s="1283"/>
    </row>
    <row r="107" spans="1:50" ht="13.5" thickBot="1" x14ac:dyDescent="0.25">
      <c r="A107" s="1295" t="str">
        <f>B126&amp;" ref"</f>
        <v>3rd Place Court 1 ref</v>
      </c>
      <c r="B107" s="1295"/>
      <c r="C107" s="1295"/>
      <c r="D107" s="1295"/>
      <c r="E107" s="1296"/>
      <c r="F107" s="1297" t="str">
        <f>IF(H132=1,B124,IF(H132=2,B125,IF(H132=3,B126,IF(H132=4,B127,"Winner Match 1"))))</f>
        <v>Winner Match 1</v>
      </c>
      <c r="G107" s="1298"/>
      <c r="H107" s="1298"/>
      <c r="I107" s="1298"/>
      <c r="J107" s="1298"/>
      <c r="K107" s="1298"/>
      <c r="L107" s="1298"/>
      <c r="M107" s="1298"/>
      <c r="N107" s="1287"/>
      <c r="P107" s="1299"/>
      <c r="Q107" s="1299"/>
      <c r="R107" s="1299"/>
      <c r="S107" s="1299"/>
      <c r="T107" s="1285"/>
      <c r="U107" s="1285"/>
      <c r="V107" s="1285"/>
      <c r="W107" s="1285"/>
      <c r="X107" s="1285"/>
      <c r="Y107" s="1285"/>
      <c r="Z107" s="1285"/>
      <c r="AA107" s="1283"/>
      <c r="AB107" s="1284"/>
      <c r="AC107" s="1284"/>
      <c r="AD107" s="1284"/>
      <c r="AE107" s="1284"/>
      <c r="AF107" s="1284"/>
      <c r="AG107" s="1284"/>
      <c r="AH107" s="1284"/>
      <c r="AI107" s="1283"/>
      <c r="AJ107" s="1283"/>
      <c r="AK107" s="1283"/>
      <c r="AL107" s="1283"/>
    </row>
    <row r="108" spans="1:50" x14ac:dyDescent="0.2">
      <c r="A108" s="1300" t="s">
        <v>109</v>
      </c>
      <c r="B108" s="1300"/>
      <c r="C108" s="1300"/>
      <c r="D108" s="1300"/>
      <c r="E108" s="1300"/>
      <c r="F108" s="1301"/>
      <c r="G108" s="1302"/>
      <c r="H108" s="1302"/>
      <c r="I108" s="1303"/>
      <c r="J108" s="1304"/>
      <c r="K108" s="1305"/>
      <c r="L108" s="1305"/>
      <c r="M108" s="1305"/>
      <c r="N108" s="1287"/>
      <c r="O108" s="1287"/>
      <c r="P108" s="1296"/>
      <c r="Q108" s="355"/>
      <c r="R108" s="1306"/>
      <c r="S108" s="1306"/>
      <c r="T108" s="1307"/>
      <c r="U108" s="1307"/>
      <c r="V108" s="1307"/>
      <c r="W108" s="1307"/>
      <c r="X108" s="1307"/>
      <c r="Y108" s="1307"/>
      <c r="Z108" s="1307"/>
      <c r="AA108" s="1283"/>
      <c r="AB108" s="1285"/>
      <c r="AC108" s="1285"/>
      <c r="AD108" s="1285"/>
      <c r="AE108" s="1285"/>
      <c r="AF108" s="1285"/>
      <c r="AG108" s="1285"/>
      <c r="AH108" s="1285"/>
      <c r="AI108" s="1283"/>
      <c r="AJ108" s="1283"/>
      <c r="AK108" s="1283"/>
      <c r="AL108" s="1283"/>
    </row>
    <row r="109" spans="1:50" ht="13.5" thickBot="1" x14ac:dyDescent="0.25">
      <c r="A109" s="1286" t="str">
        <f>IF(D132=1,B124,IF(D132=2,B125,IF(D132=3,B126,IF(D132=4,B127,IF(OR(D132="B",D132="b"),"BYE","invalid")))))</f>
        <v>4th Place Court 1</v>
      </c>
      <c r="B109" s="1286"/>
      <c r="C109" s="1286"/>
      <c r="D109" s="1286"/>
      <c r="E109" s="1308"/>
      <c r="F109" s="1291"/>
      <c r="G109" s="1287"/>
      <c r="H109" s="1287"/>
      <c r="I109" s="1287"/>
      <c r="J109" s="1291"/>
      <c r="K109" s="1287"/>
      <c r="L109" s="1287"/>
      <c r="M109" s="1287"/>
      <c r="N109" s="1287"/>
      <c r="O109" s="1287"/>
      <c r="P109" s="1287"/>
      <c r="T109" s="1283"/>
      <c r="U109" s="1284"/>
      <c r="V109" s="1284"/>
      <c r="W109" s="1284"/>
      <c r="X109" s="1284"/>
      <c r="Y109" s="1284"/>
      <c r="Z109" s="1284"/>
      <c r="AA109" s="1284"/>
      <c r="AB109" s="1283"/>
      <c r="AC109" s="1283"/>
      <c r="AD109" s="1283"/>
      <c r="AE109" s="1283"/>
      <c r="AF109" s="1283"/>
      <c r="AG109" s="1283"/>
      <c r="AH109" s="1283"/>
      <c r="AI109" s="1283"/>
      <c r="AJ109" s="1283"/>
      <c r="AK109" s="1283"/>
      <c r="AL109" s="1283"/>
    </row>
    <row r="110" spans="1:50" x14ac:dyDescent="0.2">
      <c r="A110" s="1290" t="s">
        <v>1208</v>
      </c>
      <c r="B110" s="1290"/>
      <c r="C110" s="1290"/>
      <c r="D110" s="1290"/>
      <c r="E110" s="1290"/>
      <c r="F110" s="1287"/>
      <c r="G110" s="1287"/>
      <c r="H110" s="1287"/>
      <c r="I110" s="1287"/>
      <c r="J110" s="1291"/>
      <c r="K110" s="1287"/>
      <c r="L110" s="1287"/>
      <c r="M110" s="1287"/>
      <c r="N110" s="1287"/>
      <c r="O110" s="1287"/>
      <c r="P110" s="1287"/>
      <c r="T110" s="1283"/>
      <c r="U110" s="1294"/>
      <c r="V110" s="1294"/>
      <c r="W110" s="1294"/>
      <c r="X110" s="1294"/>
      <c r="Y110" s="1294"/>
      <c r="Z110" s="1294"/>
      <c r="AA110" s="1294"/>
      <c r="AB110" s="1283"/>
      <c r="AC110" s="1283"/>
      <c r="AD110" s="1283"/>
      <c r="AE110" s="1283"/>
      <c r="AF110" s="1283"/>
      <c r="AG110" s="1283"/>
      <c r="AH110" s="1283"/>
      <c r="AI110" s="1283"/>
      <c r="AJ110" s="1283"/>
      <c r="AK110" s="1283"/>
      <c r="AL110" s="1283"/>
      <c r="AQ110" s="1309"/>
      <c r="AR110" s="1309"/>
      <c r="AS110" s="1309"/>
      <c r="AW110" s="1309"/>
      <c r="AX110" s="1309"/>
    </row>
    <row r="111" spans="1:50" x14ac:dyDescent="0.2">
      <c r="A111" s="1287"/>
      <c r="B111" s="1287"/>
      <c r="C111" s="1287"/>
      <c r="D111" s="1287"/>
      <c r="E111" s="1287"/>
      <c r="F111" s="1310" t="s">
        <v>113</v>
      </c>
      <c r="G111" s="1310"/>
      <c r="H111" s="1310"/>
      <c r="I111" s="1311"/>
      <c r="J111" s="1291"/>
      <c r="K111" s="1287"/>
      <c r="L111" s="1287"/>
      <c r="M111" s="1287"/>
      <c r="N111" s="1287"/>
      <c r="O111" s="1287"/>
      <c r="P111" s="1287"/>
      <c r="R111" s="1287"/>
      <c r="S111" s="1287"/>
      <c r="T111" s="1283"/>
      <c r="U111" s="1283"/>
      <c r="V111" s="1283"/>
      <c r="W111" s="1285"/>
      <c r="X111" s="1285"/>
      <c r="Y111" s="1285"/>
      <c r="Z111" s="1283"/>
      <c r="AA111" s="1285"/>
      <c r="AB111" s="1285"/>
      <c r="AC111" s="1285"/>
      <c r="AD111" s="1285"/>
      <c r="AE111" s="1285"/>
      <c r="AF111" s="1283"/>
      <c r="AG111" s="1283"/>
      <c r="AH111" s="1283"/>
      <c r="AI111" s="1283"/>
      <c r="AJ111" s="1283"/>
      <c r="AK111" s="1283"/>
      <c r="AL111" s="1283"/>
    </row>
    <row r="112" spans="1:50" ht="13.5" thickBot="1" x14ac:dyDescent="0.25">
      <c r="A112" s="1287"/>
      <c r="B112" s="1287"/>
      <c r="C112" s="1287"/>
      <c r="D112" s="1287"/>
      <c r="E112" s="1287"/>
      <c r="F112" s="1287"/>
      <c r="G112" s="1287"/>
      <c r="H112" s="1287"/>
      <c r="I112" s="1287"/>
      <c r="J112" s="1312" t="str">
        <f>IF(K137=1,B124,IF(K137=2,B125,IF(K137=3,B126,IF(K137=4,B127,"Division Winner"))))</f>
        <v>Division Winner</v>
      </c>
      <c r="K112" s="1313"/>
      <c r="L112" s="1313"/>
      <c r="M112" s="1313"/>
      <c r="N112" s="1313"/>
      <c r="O112" s="1313"/>
      <c r="P112" s="1313"/>
      <c r="Q112" s="1288"/>
      <c r="R112" s="1287"/>
      <c r="S112" s="1287"/>
      <c r="T112" s="1283"/>
      <c r="U112" s="1283"/>
      <c r="V112" s="1283"/>
      <c r="W112" s="1283"/>
      <c r="X112" s="1283"/>
      <c r="Y112" s="1283"/>
      <c r="Z112" s="1283"/>
      <c r="AA112" s="1284"/>
      <c r="AB112" s="1284"/>
      <c r="AC112" s="1284"/>
      <c r="AD112" s="1284"/>
      <c r="AE112" s="1284"/>
      <c r="AF112" s="1314"/>
      <c r="AG112" s="1314"/>
      <c r="AH112" s="1314"/>
      <c r="AI112" s="1314"/>
      <c r="AJ112" s="1314"/>
      <c r="AK112" s="1284"/>
      <c r="AL112" s="1283"/>
    </row>
    <row r="113" spans="1:53" ht="13.5" thickBot="1" x14ac:dyDescent="0.25">
      <c r="A113" s="1286" t="str">
        <f>IF(E132=1,B124,IF(E132=2,B125,IF(E132=3,B126,IF(E132=4,B127,IF(OR(E132="B",E132="b"),"BYE","invalid")))))</f>
        <v>2nd Place Court 1</v>
      </c>
      <c r="B113" s="1286"/>
      <c r="C113" s="1286"/>
      <c r="D113" s="1286"/>
      <c r="E113" s="1286"/>
      <c r="F113" s="1300" t="s">
        <v>114</v>
      </c>
      <c r="G113" s="1300"/>
      <c r="H113" s="1300"/>
      <c r="I113" s="1300"/>
      <c r="J113" s="1315" t="s">
        <v>115</v>
      </c>
      <c r="K113" s="1310"/>
      <c r="L113" s="1310"/>
      <c r="M113" s="1310"/>
      <c r="N113" s="1310"/>
      <c r="O113" s="1310"/>
      <c r="P113" s="1310"/>
      <c r="R113" s="1316"/>
      <c r="S113" s="1316"/>
      <c r="T113" s="1284"/>
      <c r="U113" s="1284"/>
      <c r="V113" s="1284"/>
      <c r="W113" s="1284"/>
      <c r="X113" s="1284"/>
      <c r="Y113" s="1284"/>
      <c r="Z113" s="1284"/>
      <c r="AA113" s="1284"/>
      <c r="AB113" s="1317"/>
      <c r="AC113" s="1317"/>
      <c r="AD113" s="1317"/>
      <c r="AE113" s="1317"/>
      <c r="AF113" s="1285"/>
      <c r="AG113" s="1285"/>
      <c r="AH113" s="1285"/>
      <c r="AI113" s="1285"/>
      <c r="AJ113" s="1285"/>
      <c r="AK113" s="1283"/>
      <c r="AL113" s="1283"/>
    </row>
    <row r="114" spans="1:53" x14ac:dyDescent="0.2">
      <c r="A114" s="1290" t="s">
        <v>1209</v>
      </c>
      <c r="B114" s="1290"/>
      <c r="C114" s="1290"/>
      <c r="D114" s="1290"/>
      <c r="E114" s="1290"/>
      <c r="F114" s="1291"/>
      <c r="G114" s="1287"/>
      <c r="H114" s="1287"/>
      <c r="I114" s="1287"/>
      <c r="J114" s="1315"/>
      <c r="K114" s="1310"/>
      <c r="L114" s="1310"/>
      <c r="M114" s="1310"/>
      <c r="N114" s="1310"/>
      <c r="O114" s="1310"/>
      <c r="P114" s="1310"/>
      <c r="Q114" s="1287"/>
      <c r="R114" s="1309"/>
      <c r="S114" s="1309"/>
      <c r="T114" s="1294"/>
      <c r="U114" s="1294"/>
      <c r="V114" s="1294"/>
      <c r="W114" s="1294"/>
      <c r="X114" s="1294"/>
      <c r="Y114" s="1294"/>
      <c r="Z114" s="1294"/>
      <c r="AA114" s="1294"/>
      <c r="AB114" s="1283"/>
      <c r="AC114" s="1283"/>
      <c r="AD114" s="1283"/>
      <c r="AE114" s="1283"/>
      <c r="AF114" s="1283"/>
      <c r="AG114" s="1283"/>
      <c r="AH114" s="1283"/>
      <c r="AI114" s="1283"/>
      <c r="AJ114" s="1283"/>
      <c r="AK114" s="1283"/>
      <c r="AL114" s="1283"/>
    </row>
    <row r="115" spans="1:53" x14ac:dyDescent="0.2">
      <c r="A115" s="1287"/>
      <c r="B115" s="1287"/>
      <c r="C115" s="1287"/>
      <c r="D115" s="1287"/>
      <c r="E115" s="1287"/>
      <c r="F115" s="1291"/>
      <c r="G115" s="1287"/>
      <c r="H115" s="1287"/>
      <c r="I115" s="1287"/>
      <c r="J115" s="1291"/>
      <c r="K115" s="1287"/>
      <c r="L115" s="1287"/>
      <c r="M115" s="1287"/>
      <c r="N115" s="1287"/>
      <c r="P115" s="1287"/>
      <c r="Q115" s="1287"/>
      <c r="R115" s="1287"/>
      <c r="S115" s="1287"/>
      <c r="T115" s="1283"/>
      <c r="U115" s="1283"/>
      <c r="V115" s="1283"/>
      <c r="W115" s="1283"/>
      <c r="X115" s="1283"/>
      <c r="Y115" s="1283"/>
      <c r="Z115" s="1283"/>
      <c r="AA115" s="1283"/>
      <c r="AB115" s="1283"/>
      <c r="AC115" s="1283"/>
      <c r="AD115" s="1283"/>
      <c r="AE115" s="1283"/>
      <c r="AF115" s="1283"/>
      <c r="AG115" s="1283"/>
      <c r="AH115" s="1283"/>
      <c r="AI115" s="1283"/>
      <c r="AJ115" s="1283"/>
      <c r="AK115" s="1283"/>
      <c r="AL115" s="1283"/>
    </row>
    <row r="116" spans="1:53" ht="13.5" thickBot="1" x14ac:dyDescent="0.25">
      <c r="A116" s="1310" t="s">
        <v>120</v>
      </c>
      <c r="B116" s="1310"/>
      <c r="C116" s="1310"/>
      <c r="D116" s="1310"/>
      <c r="E116" s="1296"/>
      <c r="F116" s="1318"/>
      <c r="G116" s="1319"/>
      <c r="H116" s="1319"/>
      <c r="I116" s="1320"/>
      <c r="J116" s="1304"/>
      <c r="K116" s="1305"/>
      <c r="L116" s="1305"/>
      <c r="M116" s="1305"/>
      <c r="N116" s="1287"/>
      <c r="Q116" s="1299"/>
      <c r="R116" s="1299"/>
      <c r="S116" s="1299"/>
      <c r="T116" s="1285"/>
      <c r="U116" s="1285"/>
      <c r="V116" s="1285"/>
      <c r="W116" s="1285"/>
      <c r="X116" s="1285"/>
      <c r="Y116" s="1285"/>
      <c r="Z116" s="1285"/>
      <c r="AA116" s="1283"/>
      <c r="AB116" s="1285"/>
      <c r="AC116" s="1285"/>
      <c r="AD116" s="1285"/>
      <c r="AE116" s="1285"/>
      <c r="AF116" s="1285"/>
      <c r="AG116" s="1285"/>
      <c r="AH116" s="1285"/>
      <c r="AI116" s="1283"/>
      <c r="AJ116" s="1283"/>
      <c r="AK116" s="1283"/>
      <c r="AL116" s="1283"/>
      <c r="AZ116" s="1231"/>
      <c r="BA116" s="1231"/>
    </row>
    <row r="117" spans="1:53" x14ac:dyDescent="0.2">
      <c r="A117" s="1300" t="s">
        <v>109</v>
      </c>
      <c r="B117" s="1300"/>
      <c r="C117" s="1300"/>
      <c r="D117" s="1300"/>
      <c r="E117" s="1321"/>
      <c r="F117" s="1297" t="str">
        <f>IF(J132=1,B124,IF(J132=2,B125,IF(J132=3,B126,IF(J132=4,B127,"Winner Match 2"))))</f>
        <v>Winner Match 2</v>
      </c>
      <c r="G117" s="1298"/>
      <c r="H117" s="1298"/>
      <c r="I117" s="1298"/>
      <c r="J117" s="1298"/>
      <c r="K117" s="1298"/>
      <c r="L117" s="1298"/>
      <c r="M117" s="1298"/>
      <c r="N117" s="1287"/>
      <c r="P117" s="1296"/>
      <c r="Q117" s="1296"/>
      <c r="S117" s="1306"/>
      <c r="T117" s="1317"/>
      <c r="U117" s="1317"/>
      <c r="V117" s="1317"/>
      <c r="W117" s="1317"/>
      <c r="X117" s="1317"/>
      <c r="Y117" s="1317"/>
      <c r="Z117" s="1317"/>
      <c r="AA117" s="1283"/>
      <c r="AB117" s="1284"/>
      <c r="AC117" s="1284"/>
      <c r="AD117" s="1284"/>
      <c r="AE117" s="1284"/>
      <c r="AF117" s="1284"/>
      <c r="AG117" s="1284"/>
      <c r="AH117" s="1284"/>
      <c r="AI117" s="1283"/>
      <c r="AJ117" s="1283"/>
      <c r="AK117" s="1283"/>
      <c r="AL117" s="1283"/>
      <c r="AZ117" s="1231"/>
      <c r="BA117" s="1231"/>
    </row>
    <row r="118" spans="1:53" ht="13.5" thickBot="1" x14ac:dyDescent="0.25">
      <c r="A118" s="1286" t="str">
        <f>IF(G132=1,B124,IF(G132=2,B125,IF(G132=3,B126,IF(G132=4,B127,IF(OR(G132="B",G132="b"),"BYE","invalid")))))</f>
        <v>3rd Place Court 1</v>
      </c>
      <c r="B118" s="1286"/>
      <c r="C118" s="1286"/>
      <c r="D118" s="1286"/>
      <c r="E118" s="1308"/>
      <c r="F118" s="1291"/>
      <c r="G118" s="1287"/>
      <c r="H118" s="1287"/>
      <c r="I118" s="1287"/>
      <c r="J118" s="1287"/>
      <c r="K118" s="1287"/>
      <c r="L118" s="1287"/>
      <c r="M118" s="1287"/>
      <c r="N118" s="1287"/>
      <c r="P118" s="1287"/>
      <c r="Q118" s="1287"/>
      <c r="R118" s="1287"/>
      <c r="S118" s="1316"/>
      <c r="T118" s="1284"/>
      <c r="U118" s="1284"/>
      <c r="V118" s="1284"/>
      <c r="W118" s="1284"/>
      <c r="X118" s="1284"/>
      <c r="Y118" s="1284"/>
      <c r="Z118" s="1284"/>
      <c r="AA118" s="1284"/>
      <c r="AB118" s="1283"/>
      <c r="AC118" s="1283"/>
      <c r="AD118" s="1283"/>
      <c r="AE118" s="1283"/>
      <c r="AF118" s="1283"/>
      <c r="AG118" s="1283"/>
      <c r="AH118" s="1283"/>
      <c r="AI118" s="1283"/>
      <c r="AJ118" s="1283"/>
      <c r="AK118" s="1283"/>
      <c r="AL118" s="1283"/>
      <c r="AZ118" s="1231"/>
      <c r="BA118" s="1231"/>
    </row>
    <row r="119" spans="1:53" x14ac:dyDescent="0.2">
      <c r="A119" s="1290" t="s">
        <v>1210</v>
      </c>
      <c r="B119" s="1290"/>
      <c r="C119" s="1290"/>
      <c r="D119" s="1290"/>
      <c r="E119" s="1290"/>
      <c r="S119" s="1309"/>
      <c r="T119" s="1294"/>
      <c r="U119" s="1294"/>
      <c r="V119" s="1294"/>
      <c r="W119" s="1294"/>
      <c r="X119" s="1294"/>
      <c r="Y119" s="1294"/>
      <c r="Z119" s="1294"/>
      <c r="AA119" s="1294"/>
      <c r="AB119" s="1283"/>
      <c r="AC119" s="1283"/>
      <c r="AD119" s="1283"/>
      <c r="AE119" s="1283"/>
      <c r="AF119" s="1283"/>
      <c r="AG119" s="1283"/>
      <c r="AH119" s="1283"/>
      <c r="AI119" s="1283"/>
      <c r="AJ119" s="1283"/>
      <c r="AK119" s="1283"/>
      <c r="AL119" s="1283"/>
      <c r="AZ119" s="1231"/>
      <c r="BA119" s="1231"/>
    </row>
    <row r="120" spans="1:53" x14ac:dyDescent="0.2">
      <c r="T120" s="1283"/>
      <c r="U120" s="1283"/>
      <c r="V120" s="1283"/>
      <c r="W120" s="1283"/>
      <c r="X120" s="1283"/>
      <c r="Y120" s="1283"/>
      <c r="Z120" s="1283"/>
      <c r="AA120" s="1283"/>
      <c r="AB120" s="1283"/>
      <c r="AC120" s="1283"/>
      <c r="AD120" s="1283"/>
      <c r="AE120" s="1283"/>
      <c r="AF120" s="1283"/>
      <c r="AG120" s="1283"/>
      <c r="AH120" s="1283"/>
      <c r="AI120" s="1283"/>
      <c r="AJ120" s="1283"/>
      <c r="AK120" s="1283"/>
      <c r="AL120" s="1283"/>
      <c r="AT120" s="1231"/>
      <c r="AU120" s="1231"/>
      <c r="AV120" s="1231"/>
      <c r="AZ120" s="1231"/>
      <c r="BA120" s="1231"/>
    </row>
    <row r="121" spans="1:53" x14ac:dyDescent="0.2">
      <c r="T121" s="1283"/>
      <c r="U121" s="1283"/>
      <c r="V121" s="1283"/>
      <c r="W121" s="1283"/>
      <c r="X121" s="1283"/>
      <c r="Y121" s="1283"/>
      <c r="Z121" s="1283"/>
      <c r="AA121" s="1283"/>
      <c r="AB121" s="1283"/>
      <c r="AC121" s="1283"/>
      <c r="AD121" s="1283"/>
      <c r="AE121" s="1283"/>
      <c r="AF121" s="1283"/>
      <c r="AG121" s="1283"/>
      <c r="AH121" s="1283"/>
      <c r="AI121" s="1283"/>
      <c r="AJ121" s="1283"/>
      <c r="AK121" s="1283"/>
      <c r="AL121" s="1283"/>
      <c r="AT121" s="1231"/>
      <c r="AU121" s="1231"/>
      <c r="AV121" s="1231"/>
      <c r="AZ121" s="1231"/>
      <c r="BA121" s="1231"/>
    </row>
    <row r="122" spans="1:53" ht="16.5" thickBot="1" x14ac:dyDescent="0.3">
      <c r="A122" s="1322" t="s">
        <v>123</v>
      </c>
      <c r="B122" s="1322"/>
      <c r="C122" s="1322"/>
      <c r="D122" s="1322"/>
      <c r="E122" s="1322"/>
      <c r="F122" s="1322"/>
      <c r="G122" s="1322"/>
      <c r="H122" s="1322"/>
      <c r="I122" s="1322"/>
      <c r="J122" s="1322"/>
      <c r="Q122" s="1323"/>
      <c r="R122" s="1323"/>
      <c r="S122" s="1323"/>
      <c r="T122" s="1324"/>
      <c r="U122" s="1324"/>
      <c r="V122" s="1324"/>
      <c r="W122" s="1324"/>
      <c r="X122" s="1324"/>
      <c r="Y122" s="1324"/>
      <c r="Z122" s="1324"/>
      <c r="AA122" s="1324"/>
      <c r="AB122" s="1324"/>
      <c r="AC122" s="1324"/>
      <c r="AD122" s="1324"/>
      <c r="AE122" s="1324"/>
      <c r="AF122" s="1283"/>
      <c r="AG122" s="1283"/>
      <c r="AH122" s="1283"/>
      <c r="AI122" s="1283"/>
      <c r="AJ122" s="1283"/>
      <c r="AK122" s="1283"/>
      <c r="AL122" s="1283"/>
      <c r="AT122" s="1231"/>
      <c r="AU122" s="1231"/>
      <c r="AV122" s="1231"/>
      <c r="AZ122" s="1231"/>
      <c r="BA122" s="1231"/>
    </row>
    <row r="123" spans="1:53" ht="13.5" thickBot="1" x14ac:dyDescent="0.25">
      <c r="A123" s="1325" t="s">
        <v>125</v>
      </c>
      <c r="B123" s="1326" t="s">
        <v>126</v>
      </c>
      <c r="C123" s="1327"/>
      <c r="D123" s="1327"/>
      <c r="E123" s="1327"/>
      <c r="F123" s="1327"/>
      <c r="G123" s="1327"/>
      <c r="H123" s="1327"/>
      <c r="I123" s="1327"/>
      <c r="J123" s="1328"/>
      <c r="K123" s="1329" t="s">
        <v>127</v>
      </c>
      <c r="L123" s="1330"/>
      <c r="M123" s="1330"/>
      <c r="N123" s="1330"/>
      <c r="O123" s="1330"/>
      <c r="P123" s="1330"/>
      <c r="Q123" s="1331"/>
      <c r="T123" s="1284"/>
      <c r="U123" s="1284"/>
      <c r="V123" s="1284"/>
      <c r="W123" s="1284"/>
      <c r="X123" s="1283"/>
      <c r="Y123" s="1283"/>
      <c r="Z123" s="1283"/>
      <c r="AA123" s="1283"/>
      <c r="AB123" s="1283"/>
      <c r="AC123" s="1283"/>
      <c r="AD123" s="1283"/>
      <c r="AE123" s="1283"/>
      <c r="AF123" s="1283"/>
      <c r="AG123" s="1283"/>
      <c r="AH123" s="1283"/>
      <c r="AI123" s="1283"/>
      <c r="AJ123" s="1283"/>
      <c r="AK123" s="1283"/>
      <c r="AL123" s="1283"/>
      <c r="AT123" s="1231"/>
      <c r="AU123" s="1231"/>
      <c r="AV123" s="1231"/>
      <c r="AZ123" s="1231"/>
      <c r="BA123" s="1231"/>
    </row>
    <row r="124" spans="1:53" ht="13.5" thickBot="1" x14ac:dyDescent="0.25">
      <c r="A124" s="1325">
        <v>1</v>
      </c>
      <c r="B124" s="1332" t="str">
        <f>B94</f>
        <v>1st Place Court 1</v>
      </c>
      <c r="C124" s="1333"/>
      <c r="D124" s="1333"/>
      <c r="E124" s="1333"/>
      <c r="F124" s="1333"/>
      <c r="G124" s="1333"/>
      <c r="H124" s="1333"/>
      <c r="I124" s="1333"/>
      <c r="J124" s="1334"/>
      <c r="K124" s="1335" t="str">
        <f>H94</f>
        <v>1st Place Court 1</v>
      </c>
      <c r="L124" s="1336"/>
      <c r="M124" s="1336"/>
      <c r="N124" s="1336"/>
      <c r="O124" s="1336"/>
      <c r="P124" s="1336"/>
      <c r="Q124" s="1337"/>
      <c r="T124" s="1284"/>
      <c r="U124" s="1284"/>
      <c r="V124" s="1284"/>
      <c r="W124" s="1285"/>
      <c r="X124" s="1285"/>
      <c r="Y124" s="1285"/>
      <c r="Z124" s="1285"/>
      <c r="AA124" s="1285"/>
      <c r="AB124" s="1285"/>
      <c r="AC124" s="1285"/>
      <c r="AD124" s="1285"/>
      <c r="AE124" s="1285"/>
      <c r="AF124" s="1283"/>
      <c r="AG124" s="1283"/>
      <c r="AH124" s="1283"/>
      <c r="AI124" s="1283"/>
      <c r="AJ124" s="1283"/>
      <c r="AK124" s="1283"/>
      <c r="AL124" s="1283"/>
      <c r="AT124" s="1231"/>
      <c r="AU124" s="1231"/>
      <c r="AV124" s="1231"/>
      <c r="AZ124" s="1231"/>
      <c r="BA124" s="1231"/>
    </row>
    <row r="125" spans="1:53" ht="13.5" thickBot="1" x14ac:dyDescent="0.25">
      <c r="A125" s="1325">
        <v>2</v>
      </c>
      <c r="B125" s="1332" t="str">
        <f>L94</f>
        <v>2nd Place Court 1</v>
      </c>
      <c r="C125" s="1333"/>
      <c r="D125" s="1333"/>
      <c r="E125" s="1333"/>
      <c r="F125" s="1333"/>
      <c r="G125" s="1333"/>
      <c r="H125" s="1333"/>
      <c r="I125" s="1333"/>
      <c r="J125" s="1334"/>
      <c r="K125" s="1335" t="str">
        <f>R94</f>
        <v>2nd Place Court 1</v>
      </c>
      <c r="L125" s="1336"/>
      <c r="M125" s="1336"/>
      <c r="N125" s="1336"/>
      <c r="O125" s="1336"/>
      <c r="P125" s="1336"/>
      <c r="Q125" s="1337"/>
      <c r="T125" s="1284"/>
      <c r="U125" s="1284"/>
      <c r="V125" s="1284"/>
      <c r="W125" s="1285"/>
      <c r="X125" s="1285"/>
      <c r="Y125" s="1285"/>
      <c r="Z125" s="1285"/>
      <c r="AA125" s="1285"/>
      <c r="AB125" s="1285"/>
      <c r="AC125" s="1285"/>
      <c r="AD125" s="1285"/>
      <c r="AE125" s="1285"/>
      <c r="AF125" s="1283"/>
      <c r="AG125" s="1283"/>
      <c r="AH125" s="1283"/>
      <c r="AI125" s="1283"/>
      <c r="AJ125" s="1283"/>
      <c r="AK125" s="1283"/>
      <c r="AL125" s="1283"/>
      <c r="AT125" s="1231"/>
      <c r="AU125" s="1231"/>
      <c r="AV125" s="1231"/>
      <c r="AZ125" s="1231"/>
      <c r="BA125" s="1231"/>
    </row>
    <row r="126" spans="1:53" ht="13.5" thickBot="1" x14ac:dyDescent="0.25">
      <c r="A126" s="1325">
        <v>3</v>
      </c>
      <c r="B126" s="1332" t="str">
        <f>V94</f>
        <v>3rd Place Court 1</v>
      </c>
      <c r="C126" s="1333"/>
      <c r="D126" s="1333"/>
      <c r="E126" s="1333"/>
      <c r="F126" s="1333"/>
      <c r="G126" s="1333"/>
      <c r="H126" s="1333"/>
      <c r="I126" s="1333"/>
      <c r="J126" s="1334"/>
      <c r="K126" s="1335" t="str">
        <f>AB94</f>
        <v>3rd Place Court 1</v>
      </c>
      <c r="L126" s="1336"/>
      <c r="M126" s="1336"/>
      <c r="N126" s="1336"/>
      <c r="O126" s="1336"/>
      <c r="P126" s="1336"/>
      <c r="Q126" s="1337"/>
      <c r="T126" s="1284"/>
      <c r="U126" s="1284"/>
      <c r="V126" s="1284"/>
      <c r="W126" s="1285"/>
      <c r="X126" s="1285"/>
      <c r="Y126" s="1285"/>
      <c r="Z126" s="1285"/>
      <c r="AA126" s="1285"/>
      <c r="AB126" s="1285"/>
      <c r="AC126" s="1285"/>
      <c r="AD126" s="1285"/>
      <c r="AE126" s="1285"/>
      <c r="AF126" s="1283"/>
      <c r="AG126" s="1283"/>
      <c r="AH126" s="1283"/>
      <c r="AI126" s="1283"/>
      <c r="AJ126" s="1283"/>
      <c r="AK126" s="1283"/>
      <c r="AL126" s="1283"/>
      <c r="AT126" s="1231"/>
      <c r="AU126" s="1231"/>
      <c r="AV126" s="1231"/>
      <c r="AZ126" s="1231"/>
      <c r="BA126" s="1231"/>
    </row>
    <row r="127" spans="1:53" ht="13.5" thickBot="1" x14ac:dyDescent="0.25">
      <c r="A127" s="1325">
        <v>4</v>
      </c>
      <c r="B127" s="1338" t="str">
        <f>AF94</f>
        <v>4th Place Court 1</v>
      </c>
      <c r="C127" s="1339"/>
      <c r="D127" s="1339"/>
      <c r="E127" s="1339"/>
      <c r="F127" s="1339"/>
      <c r="G127" s="1339"/>
      <c r="H127" s="1339"/>
      <c r="I127" s="1339"/>
      <c r="J127" s="1340"/>
      <c r="K127" s="1335" t="str">
        <f>AL94</f>
        <v>4th Place Court 1</v>
      </c>
      <c r="L127" s="1336"/>
      <c r="M127" s="1336"/>
      <c r="N127" s="1336"/>
      <c r="O127" s="1336"/>
      <c r="P127" s="1336"/>
      <c r="Q127" s="1337"/>
      <c r="T127" s="1284"/>
      <c r="U127" s="1284"/>
      <c r="V127" s="1284"/>
      <c r="W127" s="1285"/>
      <c r="X127" s="1285"/>
      <c r="Y127" s="1285"/>
      <c r="Z127" s="1285"/>
      <c r="AA127" s="1285"/>
      <c r="AB127" s="1285"/>
      <c r="AC127" s="1285"/>
      <c r="AD127" s="1285"/>
      <c r="AE127" s="1285"/>
      <c r="AF127" s="1283"/>
      <c r="AG127" s="1283"/>
      <c r="AH127" s="1283"/>
      <c r="AI127" s="1283"/>
      <c r="AJ127" s="1283"/>
      <c r="AK127" s="1283"/>
      <c r="AL127" s="1283"/>
      <c r="AT127" s="1231"/>
      <c r="AU127" s="1231"/>
      <c r="AV127" s="1231"/>
      <c r="AZ127" s="1231"/>
      <c r="BA127" s="1231"/>
    </row>
    <row r="128" spans="1:53" ht="13.5" thickBot="1" x14ac:dyDescent="0.25">
      <c r="T128" s="1283"/>
      <c r="U128" s="1283"/>
      <c r="V128" s="1283"/>
      <c r="W128" s="1283"/>
      <c r="X128" s="1283"/>
      <c r="Y128" s="1283"/>
      <c r="Z128" s="1283"/>
      <c r="AA128" s="1283"/>
      <c r="AB128" s="1283"/>
      <c r="AC128" s="1283"/>
      <c r="AD128" s="1283"/>
      <c r="AE128" s="1283"/>
      <c r="AF128" s="1283"/>
      <c r="AG128" s="1283"/>
      <c r="AH128" s="1283"/>
      <c r="AI128" s="1283"/>
      <c r="AJ128" s="1283"/>
      <c r="AK128" s="1283"/>
      <c r="AL128" s="1283"/>
      <c r="AT128" s="1231"/>
      <c r="AU128" s="1231"/>
      <c r="AV128" s="1231"/>
      <c r="AZ128" s="1231"/>
      <c r="BA128" s="1231"/>
    </row>
    <row r="129" spans="1:77" x14ac:dyDescent="0.2">
      <c r="B129" s="1341" t="s">
        <v>128</v>
      </c>
      <c r="C129" s="1342"/>
      <c r="D129" s="1343"/>
      <c r="E129" s="1344" t="s">
        <v>128</v>
      </c>
      <c r="F129" s="1342"/>
      <c r="G129" s="1343"/>
      <c r="H129" s="1344" t="s">
        <v>11</v>
      </c>
      <c r="I129" s="1342"/>
      <c r="J129" s="1345"/>
      <c r="K129" s="1346" t="s">
        <v>129</v>
      </c>
      <c r="L129" s="1347"/>
      <c r="M129" s="1347"/>
      <c r="N129" s="1347"/>
      <c r="O129" s="1347"/>
      <c r="P129" s="1347"/>
      <c r="Q129" s="1348"/>
      <c r="R129" s="1283"/>
      <c r="S129" s="1283"/>
      <c r="T129" s="1283"/>
      <c r="U129" s="1283"/>
      <c r="V129" s="1283"/>
      <c r="W129" s="1349"/>
      <c r="X129" s="1285"/>
      <c r="Y129" s="1285"/>
      <c r="Z129" s="1349"/>
      <c r="AA129" s="1285"/>
      <c r="AB129" s="1285"/>
      <c r="AC129" s="1349"/>
      <c r="AD129" s="1285"/>
      <c r="AE129" s="1285"/>
      <c r="AF129" s="1285"/>
      <c r="AG129" s="1285"/>
      <c r="AH129" s="1283"/>
      <c r="AI129" s="1283"/>
      <c r="AJ129" s="1283"/>
      <c r="AZ129" s="1231"/>
      <c r="BA129" s="1231"/>
    </row>
    <row r="130" spans="1:77" x14ac:dyDescent="0.2">
      <c r="A130" s="1203" t="s">
        <v>130</v>
      </c>
      <c r="B130" s="1350">
        <v>3</v>
      </c>
      <c r="C130" s="1351"/>
      <c r="D130" s="1352"/>
      <c r="E130" s="1353" t="s">
        <v>131</v>
      </c>
      <c r="F130" s="1351"/>
      <c r="G130" s="1352"/>
      <c r="H130" s="1353" t="s">
        <v>132</v>
      </c>
      <c r="I130" s="1351"/>
      <c r="J130" s="1354"/>
      <c r="K130" s="1355"/>
      <c r="L130" s="1356"/>
      <c r="M130" s="1356"/>
      <c r="N130" s="1356"/>
      <c r="O130" s="1356"/>
      <c r="P130" s="1356"/>
      <c r="Q130" s="1357"/>
      <c r="R130" s="1283"/>
      <c r="S130" s="1283"/>
      <c r="T130" s="1358"/>
      <c r="U130" s="1358"/>
      <c r="V130" s="1358"/>
      <c r="W130" s="1359"/>
      <c r="X130" s="1359"/>
      <c r="Y130" s="1359"/>
      <c r="Z130" s="1359"/>
      <c r="AA130" s="1359"/>
      <c r="AB130" s="1359"/>
      <c r="AC130" s="1359"/>
      <c r="AD130" s="1359"/>
      <c r="AE130" s="1359"/>
      <c r="AF130" s="1283"/>
      <c r="AG130" s="1283"/>
      <c r="AH130" s="1283"/>
      <c r="AI130" s="1283"/>
      <c r="AJ130" s="1283"/>
      <c r="AZ130" s="1231"/>
      <c r="BA130" s="1231"/>
    </row>
    <row r="131" spans="1:77" ht="13.5" thickBot="1" x14ac:dyDescent="0.25">
      <c r="A131" s="1058"/>
      <c r="B131" s="1360" t="s">
        <v>43</v>
      </c>
      <c r="C131" s="1210"/>
      <c r="D131" s="1211"/>
      <c r="E131" s="1209" t="s">
        <v>133</v>
      </c>
      <c r="F131" s="1210"/>
      <c r="G131" s="1211"/>
      <c r="H131" s="1209" t="s">
        <v>134</v>
      </c>
      <c r="I131" s="1210"/>
      <c r="J131" s="1361"/>
      <c r="K131" s="1362"/>
      <c r="L131" s="1363"/>
      <c r="M131" s="1363"/>
      <c r="N131" s="1363"/>
      <c r="O131" s="1363"/>
      <c r="P131" s="1363"/>
      <c r="Q131" s="1364"/>
      <c r="R131" s="1283"/>
      <c r="S131" s="1283"/>
      <c r="T131" s="1284"/>
      <c r="U131" s="1284"/>
      <c r="V131" s="1284"/>
      <c r="W131" s="1365"/>
      <c r="X131" s="1365"/>
      <c r="Y131" s="1365"/>
      <c r="Z131" s="1365"/>
      <c r="AA131" s="1365"/>
      <c r="AB131" s="1365"/>
      <c r="AC131" s="1365"/>
      <c r="AD131" s="1365"/>
      <c r="AE131" s="1365"/>
      <c r="AF131" s="1283"/>
      <c r="AG131" s="1283"/>
      <c r="AH131" s="1283"/>
      <c r="AI131" s="1283"/>
      <c r="AJ131" s="1283"/>
      <c r="AZ131" s="1231"/>
      <c r="BA131" s="1231"/>
    </row>
    <row r="132" spans="1:77" ht="13.5" thickBot="1" x14ac:dyDescent="0.25">
      <c r="A132" s="1058"/>
      <c r="B132" s="1366">
        <v>1</v>
      </c>
      <c r="C132" s="1367" t="s">
        <v>51</v>
      </c>
      <c r="D132" s="1225">
        <v>4</v>
      </c>
      <c r="E132" s="1224">
        <v>2</v>
      </c>
      <c r="F132" s="1367" t="s">
        <v>51</v>
      </c>
      <c r="G132" s="1225">
        <v>3</v>
      </c>
      <c r="H132" s="1368" t="str">
        <f>IF(OR(AND(OR(B136&gt;0,D136&gt;0),B136&gt;D136),OR(D132="b",D132="B")),B132,IF(OR(AND(OR(B136&gt;0,D136&gt;0),D136&gt;B136),OR(B132="b",B132="B")),D132,"W1"))</f>
        <v>W1</v>
      </c>
      <c r="I132" s="1369" t="s">
        <v>51</v>
      </c>
      <c r="J132" s="1370" t="str">
        <f>IF(OR(AND(OR(E136&gt;0,G136&gt;0),E136&gt;G136),OR(G132="b",G132="B")),E132,IF(OR(AND(OR(E136&gt;0,G136&gt;0),G136&gt;E136),OR(E132="b",E132="B")),G132,"W2"))</f>
        <v>W2</v>
      </c>
      <c r="K132" s="1371" t="s">
        <v>135</v>
      </c>
      <c r="L132" s="1372"/>
      <c r="M132" s="1372"/>
      <c r="N132" s="1373"/>
      <c r="R132" s="1283"/>
      <c r="S132" s="1283"/>
      <c r="T132" s="1284"/>
      <c r="U132" s="1284"/>
      <c r="V132" s="1284"/>
      <c r="W132" s="1374"/>
      <c r="X132" s="1375"/>
      <c r="Y132" s="1376"/>
      <c r="Z132" s="1377"/>
      <c r="AA132" s="1375"/>
      <c r="AB132" s="1376"/>
      <c r="AC132" s="1378"/>
      <c r="AD132" s="1379"/>
      <c r="AE132" s="1380"/>
      <c r="AF132" s="1365"/>
      <c r="AG132" s="1365"/>
      <c r="AH132" s="1283"/>
      <c r="AI132" s="1283"/>
      <c r="AJ132" s="1283"/>
      <c r="AZ132" s="1231"/>
      <c r="BA132" s="1231"/>
    </row>
    <row r="133" spans="1:77" ht="13.5" hidden="1" customHeight="1" x14ac:dyDescent="0.2">
      <c r="A133" s="1058"/>
      <c r="B133" s="1381">
        <f>IF(B137&gt;D137,1,0)</f>
        <v>0</v>
      </c>
      <c r="C133" s="1382"/>
      <c r="D133" s="1383">
        <f>IF(D137&gt;B137,1,0)</f>
        <v>0</v>
      </c>
      <c r="E133" s="1381">
        <f>IF(E137&gt;G137,1,0)</f>
        <v>0</v>
      </c>
      <c r="F133" s="1382"/>
      <c r="G133" s="1383">
        <f>IF(G137&gt;E137,1,0)</f>
        <v>0</v>
      </c>
      <c r="H133" s="1381">
        <f>IF(H137&gt;J137,1,0)</f>
        <v>0</v>
      </c>
      <c r="I133" s="1382"/>
      <c r="J133" s="1383">
        <f>IF(J137&gt;H137,1,0)</f>
        <v>0</v>
      </c>
      <c r="K133" s="1384"/>
      <c r="L133" s="1385"/>
      <c r="M133" s="1385"/>
      <c r="N133" s="1386"/>
      <c r="R133" s="1283"/>
      <c r="S133" s="1283"/>
      <c r="T133" s="1284"/>
      <c r="U133" s="1284"/>
      <c r="V133" s="1284"/>
      <c r="W133" s="1374"/>
      <c r="X133" s="1375"/>
      <c r="Y133" s="1376"/>
      <c r="Z133" s="1374"/>
      <c r="AA133" s="1375"/>
      <c r="AB133" s="1376"/>
      <c r="AC133" s="1374"/>
      <c r="AD133" s="1375"/>
      <c r="AE133" s="1376"/>
      <c r="AF133" s="1375"/>
      <c r="AG133" s="1375"/>
      <c r="AH133" s="1283"/>
      <c r="AI133" s="1283"/>
      <c r="AJ133" s="1283"/>
      <c r="AZ133" s="1231"/>
      <c r="BA133" s="1231"/>
    </row>
    <row r="134" spans="1:77" ht="13.5" hidden="1" customHeight="1" x14ac:dyDescent="0.2">
      <c r="A134" s="1058"/>
      <c r="B134" s="1381">
        <f>IF(B138&gt;D138,1,0)</f>
        <v>0</v>
      </c>
      <c r="C134" s="1382"/>
      <c r="D134" s="1383">
        <f>IF(D138&gt;B138,1,0)</f>
        <v>0</v>
      </c>
      <c r="E134" s="1381">
        <f>IF(E138&gt;G138,1,0)</f>
        <v>0</v>
      </c>
      <c r="F134" s="1382"/>
      <c r="G134" s="1383">
        <f>IF(G138&gt;E138,1,0)</f>
        <v>0</v>
      </c>
      <c r="H134" s="1381">
        <f>IF(H138&gt;J138,1,0)</f>
        <v>0</v>
      </c>
      <c r="I134" s="1382"/>
      <c r="J134" s="1383">
        <f>IF(J138&gt;H138,1,0)</f>
        <v>0</v>
      </c>
      <c r="K134" s="1384"/>
      <c r="L134" s="1385"/>
      <c r="M134" s="1385"/>
      <c r="N134" s="1386"/>
      <c r="R134" s="1283"/>
      <c r="S134" s="1283"/>
      <c r="T134" s="1284"/>
      <c r="U134" s="1284"/>
      <c r="V134" s="1284"/>
      <c r="W134" s="1374"/>
      <c r="X134" s="1375"/>
      <c r="Y134" s="1376"/>
      <c r="Z134" s="1374"/>
      <c r="AA134" s="1375"/>
      <c r="AB134" s="1376"/>
      <c r="AC134" s="1374"/>
      <c r="AD134" s="1375"/>
      <c r="AE134" s="1376"/>
      <c r="AF134" s="1375"/>
      <c r="AG134" s="1375"/>
      <c r="AH134" s="1283"/>
      <c r="AI134" s="1283"/>
      <c r="AJ134" s="1283"/>
      <c r="AZ134" s="1231"/>
      <c r="BA134" s="1231"/>
    </row>
    <row r="135" spans="1:77" ht="13.5" hidden="1" customHeight="1" thickBot="1" x14ac:dyDescent="0.25">
      <c r="A135" s="1058"/>
      <c r="B135" s="1381">
        <f>IF(B139&gt;D139,1,0)</f>
        <v>0</v>
      </c>
      <c r="C135" s="1382"/>
      <c r="D135" s="1383">
        <f>IF(D139&gt;B139,1,0)</f>
        <v>0</v>
      </c>
      <c r="E135" s="1381">
        <f>IF(E139&gt;G139,1,0)</f>
        <v>0</v>
      </c>
      <c r="F135" s="1382"/>
      <c r="G135" s="1383">
        <f>IF(G139&gt;E139,1,0)</f>
        <v>0</v>
      </c>
      <c r="H135" s="1381">
        <f>IF(H139&gt;J139,1,0)</f>
        <v>0</v>
      </c>
      <c r="I135" s="1382"/>
      <c r="J135" s="1383">
        <f>IF(J139&gt;H139,1,0)</f>
        <v>0</v>
      </c>
      <c r="K135" s="1384"/>
      <c r="L135" s="1385"/>
      <c r="M135" s="1385"/>
      <c r="N135" s="1386"/>
      <c r="R135" s="1283"/>
      <c r="S135" s="1283"/>
      <c r="T135" s="1284"/>
      <c r="U135" s="1284"/>
      <c r="V135" s="1284"/>
      <c r="W135" s="1374"/>
      <c r="X135" s="1375"/>
      <c r="Y135" s="1376"/>
      <c r="Z135" s="1374"/>
      <c r="AA135" s="1375"/>
      <c r="AB135" s="1376"/>
      <c r="AC135" s="1374"/>
      <c r="AD135" s="1375"/>
      <c r="AE135" s="1376"/>
      <c r="AF135" s="1375"/>
      <c r="AG135" s="1375"/>
      <c r="AH135" s="1283"/>
      <c r="AI135" s="1283"/>
      <c r="AJ135" s="1283"/>
      <c r="AZ135" s="1231"/>
      <c r="BA135" s="1231"/>
    </row>
    <row r="136" spans="1:77" ht="13.5" hidden="1" customHeight="1" x14ac:dyDescent="0.2">
      <c r="A136" s="1058"/>
      <c r="B136" s="1381">
        <f>SUM(B133:B135)</f>
        <v>0</v>
      </c>
      <c r="C136" s="1382"/>
      <c r="D136" s="1381">
        <f>SUM(D133:D135)</f>
        <v>0</v>
      </c>
      <c r="E136" s="1381">
        <f>SUM(E133:E135)</f>
        <v>0</v>
      </c>
      <c r="F136" s="1382"/>
      <c r="G136" s="1381">
        <f>SUM(G133:G135)</f>
        <v>0</v>
      </c>
      <c r="H136" s="1381">
        <f>SUM(H133:H135)</f>
        <v>0</v>
      </c>
      <c r="I136" s="1382"/>
      <c r="J136" s="1381">
        <f>SUM(J133:J135)</f>
        <v>0</v>
      </c>
      <c r="K136" s="1384"/>
      <c r="L136" s="1385"/>
      <c r="M136" s="1385"/>
      <c r="N136" s="1386"/>
      <c r="R136" s="1283"/>
      <c r="S136" s="1283"/>
      <c r="T136" s="1284"/>
      <c r="U136" s="1284"/>
      <c r="V136" s="1284"/>
      <c r="W136" s="1374"/>
      <c r="X136" s="1375"/>
      <c r="Y136" s="1374"/>
      <c r="Z136" s="1374"/>
      <c r="AA136" s="1375"/>
      <c r="AB136" s="1374"/>
      <c r="AC136" s="1374"/>
      <c r="AD136" s="1375"/>
      <c r="AE136" s="1374"/>
      <c r="AF136" s="1375"/>
      <c r="AG136" s="1375"/>
      <c r="AH136" s="1283"/>
      <c r="AI136" s="1283"/>
      <c r="AJ136" s="1283"/>
      <c r="AZ136" s="1231"/>
      <c r="BA136" s="1231"/>
    </row>
    <row r="137" spans="1:77" ht="12.75" customHeight="1" x14ac:dyDescent="0.2">
      <c r="A137" s="1046" t="s">
        <v>52</v>
      </c>
      <c r="B137" s="1387"/>
      <c r="C137" s="1228" t="s">
        <v>53</v>
      </c>
      <c r="D137" s="1388"/>
      <c r="E137" s="1389"/>
      <c r="F137" s="1228" t="s">
        <v>53</v>
      </c>
      <c r="G137" s="1388"/>
      <c r="H137" s="1389"/>
      <c r="I137" s="1228" t="s">
        <v>53</v>
      </c>
      <c r="J137" s="1390"/>
      <c r="K137" s="1391" t="str">
        <f>IF(AND(OR(H136&gt;0,J136&gt;0),AND(1&lt;=H132,H132&lt;=4),AND(1&lt;=J132,J132&lt;=4)),IF(H136&gt;J136,H132,IF(J136&gt;H136,J132,"")),"")</f>
        <v/>
      </c>
      <c r="L137" s="1392"/>
      <c r="M137" s="1392"/>
      <c r="N137" s="1393"/>
      <c r="R137" s="1283"/>
      <c r="S137" s="1283"/>
      <c r="T137" s="1284"/>
      <c r="U137" s="1284"/>
      <c r="V137" s="1394"/>
      <c r="W137" s="1395"/>
      <c r="X137" s="1289"/>
      <c r="Y137" s="1396"/>
      <c r="Z137" s="1395"/>
      <c r="AA137" s="1289"/>
      <c r="AB137" s="1396"/>
      <c r="AC137" s="1395"/>
      <c r="AD137" s="1289"/>
      <c r="AE137" s="1396"/>
      <c r="AF137" s="1397"/>
      <c r="AG137" s="1397"/>
      <c r="AH137" s="1283"/>
      <c r="AI137" s="1283"/>
      <c r="AJ137" s="1283"/>
      <c r="AZ137" s="1231"/>
      <c r="BA137" s="1231"/>
    </row>
    <row r="138" spans="1:77" ht="12.75" customHeight="1" x14ac:dyDescent="0.2">
      <c r="A138" s="1046" t="s">
        <v>136</v>
      </c>
      <c r="B138" s="1387"/>
      <c r="C138" s="1228" t="s">
        <v>53</v>
      </c>
      <c r="D138" s="1388"/>
      <c r="E138" s="1389"/>
      <c r="F138" s="1228" t="s">
        <v>53</v>
      </c>
      <c r="G138" s="1388"/>
      <c r="H138" s="1389"/>
      <c r="I138" s="1228" t="s">
        <v>53</v>
      </c>
      <c r="J138" s="1390"/>
      <c r="K138" s="1398"/>
      <c r="L138" s="1399"/>
      <c r="M138" s="1399"/>
      <c r="N138" s="1400"/>
      <c r="R138" s="1283"/>
      <c r="S138" s="1283"/>
      <c r="T138" s="1284"/>
      <c r="U138" s="1284"/>
      <c r="V138" s="1394"/>
      <c r="W138" s="1395"/>
      <c r="X138" s="1289"/>
      <c r="Y138" s="1396"/>
      <c r="Z138" s="1395"/>
      <c r="AA138" s="1289"/>
      <c r="AB138" s="1396"/>
      <c r="AC138" s="1395"/>
      <c r="AD138" s="1289"/>
      <c r="AE138" s="1396"/>
      <c r="AF138" s="1397"/>
      <c r="AG138" s="1397"/>
      <c r="AH138" s="1283"/>
      <c r="AI138" s="1283"/>
      <c r="AJ138" s="1283"/>
      <c r="AZ138" s="1231"/>
      <c r="BA138" s="1231"/>
    </row>
    <row r="139" spans="1:77" ht="13.5" customHeight="1" thickBot="1" x14ac:dyDescent="0.25">
      <c r="A139" s="1046" t="s">
        <v>137</v>
      </c>
      <c r="B139" s="1401"/>
      <c r="C139" s="1402" t="s">
        <v>53</v>
      </c>
      <c r="D139" s="1403"/>
      <c r="E139" s="1404"/>
      <c r="F139" s="1402" t="s">
        <v>53</v>
      </c>
      <c r="G139" s="1403"/>
      <c r="H139" s="1404"/>
      <c r="I139" s="1402" t="s">
        <v>53</v>
      </c>
      <c r="J139" s="1405"/>
      <c r="K139" s="1406"/>
      <c r="L139" s="1407"/>
      <c r="M139" s="1407"/>
      <c r="N139" s="1408"/>
      <c r="R139" s="1283"/>
      <c r="S139" s="1283"/>
      <c r="T139" s="1284"/>
      <c r="U139" s="1284"/>
      <c r="V139" s="1394"/>
      <c r="W139" s="1395"/>
      <c r="X139" s="1289"/>
      <c r="Y139" s="1396"/>
      <c r="Z139" s="1395"/>
      <c r="AA139" s="1289"/>
      <c r="AB139" s="1396"/>
      <c r="AC139" s="1395"/>
      <c r="AD139" s="1289"/>
      <c r="AE139" s="1396"/>
      <c r="AF139" s="1397"/>
      <c r="AG139" s="1397"/>
      <c r="AH139" s="1283"/>
      <c r="AI139" s="1283"/>
      <c r="AJ139" s="1283"/>
      <c r="AZ139" s="1231"/>
      <c r="BA139" s="1231"/>
    </row>
    <row r="140" spans="1:77" hidden="1" x14ac:dyDescent="0.2">
      <c r="B140" s="1039"/>
      <c r="C140" s="1289" t="s">
        <v>87</v>
      </c>
      <c r="D140" s="1039" t="s">
        <v>138</v>
      </c>
      <c r="E140" s="1039"/>
      <c r="F140" s="1289"/>
      <c r="G140" t="s">
        <v>139</v>
      </c>
      <c r="J140" t="s">
        <v>140</v>
      </c>
      <c r="T140" s="1395"/>
      <c r="U140" s="1395"/>
      <c r="V140" s="1395"/>
      <c r="W140" s="1395"/>
      <c r="X140" s="1395"/>
      <c r="Y140" s="1395"/>
      <c r="Z140" s="1395"/>
      <c r="AA140" s="1395"/>
      <c r="AB140" s="1395"/>
      <c r="AC140" s="1395"/>
      <c r="AD140" s="1395"/>
      <c r="AE140" s="1395"/>
      <c r="AT140" t="str">
        <f>B141</f>
        <v>1st Place Court 1</v>
      </c>
      <c r="AU140" t="e">
        <f>J141</f>
        <v>#N/A</v>
      </c>
      <c r="AW140" s="1409"/>
      <c r="AX140" s="1231"/>
      <c r="AY140" s="1231"/>
      <c r="AZ140" s="1231"/>
      <c r="BA140" s="1231"/>
      <c r="BB140" s="1409"/>
      <c r="BC140" s="1231"/>
      <c r="BD140" s="1231"/>
      <c r="BE140" s="1409"/>
      <c r="BF140" s="1231"/>
      <c r="BG140" s="1231"/>
      <c r="BH140" s="1409"/>
      <c r="BI140" s="1231"/>
      <c r="BJ140" s="1231"/>
      <c r="BK140" s="1409"/>
      <c r="BL140" s="1231"/>
      <c r="BM140" s="1231"/>
      <c r="BN140" s="1409"/>
      <c r="BO140" s="1231"/>
      <c r="BP140" s="1231"/>
      <c r="BQ140" s="1409"/>
      <c r="BR140" s="1231"/>
      <c r="BS140" s="1231"/>
      <c r="BT140" s="1409"/>
      <c r="BU140" s="1231"/>
      <c r="BV140" s="1231"/>
      <c r="BW140" s="1409"/>
      <c r="BX140" s="1231"/>
      <c r="BY140" s="1231"/>
    </row>
    <row r="141" spans="1:77" hidden="1" x14ac:dyDescent="0.2">
      <c r="A141">
        <v>1</v>
      </c>
      <c r="B141" t="str">
        <f>B124</f>
        <v>1st Place Court 1</v>
      </c>
      <c r="C141" t="e">
        <f>VLOOKUP(B141,AU$2:AY$7,4,FALSE)</f>
        <v>#N/A</v>
      </c>
      <c r="D141" t="e">
        <f>IF(A141=B132,B147,IF(A141=D132,D147,C141))</f>
        <v>#N/A</v>
      </c>
      <c r="G141" t="e">
        <f>IF(A141=E132,E147,IF(A141=G132,G147,D141))</f>
        <v>#N/A</v>
      </c>
      <c r="J141" t="e">
        <f>IF(A141=H132,H147,IF(A141=J132,J147,G141))</f>
        <v>#N/A</v>
      </c>
      <c r="T141" s="1395"/>
      <c r="U141" s="1395"/>
      <c r="V141" s="1395"/>
      <c r="W141" s="1395"/>
      <c r="X141" s="1395"/>
      <c r="Y141" s="1395"/>
      <c r="Z141" s="1395"/>
      <c r="AA141" s="1395"/>
      <c r="AB141" s="1395"/>
      <c r="AC141" s="1395"/>
      <c r="AD141" s="1395"/>
      <c r="AE141" s="1395"/>
      <c r="AT141" t="str">
        <f>B142</f>
        <v>2nd Place Court 1</v>
      </c>
      <c r="AU141" t="e">
        <f>J142</f>
        <v>#N/A</v>
      </c>
      <c r="AW141" s="1409"/>
      <c r="AX141" s="1231"/>
      <c r="AY141" s="1231"/>
      <c r="AZ141" s="1231"/>
      <c r="BA141" s="1231"/>
      <c r="BB141" s="1409"/>
      <c r="BC141" s="1231"/>
      <c r="BD141" s="1231"/>
      <c r="BE141" s="1409"/>
      <c r="BF141" s="1231"/>
      <c r="BG141" s="1231"/>
      <c r="BH141" s="1409"/>
      <c r="BI141" s="1231"/>
      <c r="BJ141" s="1231"/>
      <c r="BK141" s="1409"/>
      <c r="BL141" s="1231"/>
      <c r="BM141" s="1231"/>
      <c r="BN141" s="1409"/>
      <c r="BO141" s="1231"/>
      <c r="BP141" s="1231"/>
      <c r="BQ141" s="1409"/>
      <c r="BR141" s="1231"/>
      <c r="BS141" s="1231"/>
      <c r="BT141" s="1409"/>
      <c r="BU141" s="1231"/>
      <c r="BV141" s="1231"/>
      <c r="BW141" s="1409"/>
      <c r="BX141" s="1231"/>
      <c r="BY141" s="1231"/>
    </row>
    <row r="142" spans="1:77" hidden="1" x14ac:dyDescent="0.2">
      <c r="A142">
        <v>2</v>
      </c>
      <c r="B142" t="str">
        <f>B125</f>
        <v>2nd Place Court 1</v>
      </c>
      <c r="C142" t="e">
        <f>VLOOKUP(B142,AU$2:AY$7,4,FALSE)</f>
        <v>#N/A</v>
      </c>
      <c r="D142" t="e">
        <f>IF(A142=B132,B147,IF(A142=D132,D147,C142))</f>
        <v>#N/A</v>
      </c>
      <c r="G142" t="e">
        <f>IF(A142=E132,E147,IF(A142=G132,G147,D142))</f>
        <v>#N/A</v>
      </c>
      <c r="J142" t="e">
        <f>IF(A142=H132,H147,IF(A142=J132,J147,G142))</f>
        <v>#N/A</v>
      </c>
      <c r="T142" s="1395"/>
      <c r="U142" s="1395"/>
      <c r="V142" s="1395"/>
      <c r="W142" s="1395"/>
      <c r="X142" s="1395"/>
      <c r="Y142" s="1395"/>
      <c r="Z142" s="1395"/>
      <c r="AA142" s="1395"/>
      <c r="AB142" s="1395"/>
      <c r="AC142" s="1395"/>
      <c r="AD142" s="1395"/>
      <c r="AE142" s="1395"/>
      <c r="AT142" t="str">
        <f>B143</f>
        <v>3rd Place Court 1</v>
      </c>
      <c r="AU142" t="e">
        <f>J143</f>
        <v>#N/A</v>
      </c>
      <c r="AW142" s="1409"/>
      <c r="AX142" s="1231"/>
      <c r="AY142" s="1231"/>
      <c r="AZ142" s="1231"/>
      <c r="BA142" s="1231"/>
      <c r="BB142" s="1409"/>
      <c r="BC142" s="1231"/>
      <c r="BD142" s="1231"/>
      <c r="BE142" s="1409"/>
      <c r="BF142" s="1231"/>
      <c r="BG142" s="1231"/>
      <c r="BH142" s="1409"/>
      <c r="BI142" s="1231"/>
      <c r="BJ142" s="1231"/>
      <c r="BK142" s="1409"/>
      <c r="BL142" s="1231"/>
      <c r="BM142" s="1231"/>
      <c r="BN142" s="1409"/>
      <c r="BO142" s="1231"/>
      <c r="BP142" s="1231"/>
      <c r="BQ142" s="1409"/>
      <c r="BR142" s="1231"/>
      <c r="BS142" s="1231"/>
      <c r="BT142" s="1409"/>
      <c r="BU142" s="1231"/>
      <c r="BV142" s="1231"/>
      <c r="BW142" s="1409"/>
      <c r="BX142" s="1231"/>
      <c r="BY142" s="1231"/>
    </row>
    <row r="143" spans="1:77" hidden="1" x14ac:dyDescent="0.2">
      <c r="A143">
        <v>3</v>
      </c>
      <c r="B143" t="str">
        <f>B126</f>
        <v>3rd Place Court 1</v>
      </c>
      <c r="C143" t="e">
        <f>VLOOKUP(B143,AU$2:AY$7,4,FALSE)</f>
        <v>#N/A</v>
      </c>
      <c r="D143" t="e">
        <f>IF(A143=B132,B147,IF(A143=D132,D147,C143))</f>
        <v>#N/A</v>
      </c>
      <c r="G143" t="e">
        <f>IF(A143=E132,E147,IF(A143=G132,G147,D143))</f>
        <v>#N/A</v>
      </c>
      <c r="J143" t="e">
        <f>IF(A143=H132,H147,IF(A143=J132,J147,G143))</f>
        <v>#N/A</v>
      </c>
      <c r="T143" s="1395"/>
      <c r="U143" s="1395"/>
      <c r="V143" s="1395"/>
      <c r="W143" s="1395"/>
      <c r="X143" s="1395"/>
      <c r="Y143" s="1395"/>
      <c r="Z143" s="1395"/>
      <c r="AA143" s="1395"/>
      <c r="AB143" s="1395"/>
      <c r="AC143" s="1395"/>
      <c r="AD143" s="1395"/>
      <c r="AE143" s="1395"/>
      <c r="AT143" t="str">
        <f>B144</f>
        <v>4th Place Court 1</v>
      </c>
      <c r="AU143" t="e">
        <f>J144</f>
        <v>#N/A</v>
      </c>
      <c r="AW143" s="1409"/>
      <c r="AX143" s="1231"/>
      <c r="AY143" s="1231"/>
      <c r="AZ143" s="1231"/>
      <c r="BA143" s="1231"/>
      <c r="BB143" s="1409"/>
      <c r="BC143" s="1231"/>
      <c r="BD143" s="1231"/>
      <c r="BE143" s="1409"/>
      <c r="BF143" s="1231"/>
      <c r="BG143" s="1231"/>
      <c r="BH143" s="1409"/>
      <c r="BI143" s="1231"/>
      <c r="BJ143" s="1231"/>
      <c r="BK143" s="1409"/>
      <c r="BL143" s="1231"/>
      <c r="BM143" s="1231"/>
      <c r="BN143" s="1409"/>
      <c r="BO143" s="1231"/>
      <c r="BP143" s="1231"/>
      <c r="BQ143" s="1409"/>
      <c r="BR143" s="1231"/>
      <c r="BS143" s="1231"/>
      <c r="BT143" s="1409"/>
      <c r="BU143" s="1231"/>
      <c r="BV143" s="1231"/>
      <c r="BW143" s="1409"/>
      <c r="BX143" s="1231"/>
      <c r="BY143" s="1231"/>
    </row>
    <row r="144" spans="1:77" hidden="1" x14ac:dyDescent="0.2">
      <c r="A144">
        <v>4</v>
      </c>
      <c r="B144" t="str">
        <f>B127</f>
        <v>4th Place Court 1</v>
      </c>
      <c r="C144" t="e">
        <f>VLOOKUP(B144,AU$2:AY$7,4,FALSE)</f>
        <v>#N/A</v>
      </c>
      <c r="D144" t="e">
        <f>IF(A144=B132,B147,IF(A144=D132,D147,C144))</f>
        <v>#N/A</v>
      </c>
      <c r="G144" t="e">
        <f>IF(A144=E132,E147,IF(A144=G132,G147,D144))</f>
        <v>#N/A</v>
      </c>
      <c r="J144" t="e">
        <f>IF(A144=H132,H147,IF(A144=J132,J147,G144))</f>
        <v>#N/A</v>
      </c>
      <c r="T144" s="1395"/>
      <c r="U144" s="1395"/>
      <c r="V144" s="1395"/>
      <c r="W144" s="1395"/>
      <c r="X144" s="1395"/>
      <c r="Y144" s="1395"/>
      <c r="Z144" s="1395"/>
      <c r="AA144" s="1395"/>
      <c r="AB144" s="1395"/>
      <c r="AC144" s="1395"/>
      <c r="AD144" s="1395"/>
      <c r="AE144" s="1395"/>
      <c r="AT144">
        <f>W141</f>
        <v>0</v>
      </c>
      <c r="AU144">
        <f>AE141</f>
        <v>0</v>
      </c>
      <c r="AW144" s="1409"/>
      <c r="AX144" s="1231"/>
      <c r="AY144" s="1231"/>
      <c r="AZ144" s="1231"/>
      <c r="BA144" s="1231"/>
      <c r="BB144" s="1409"/>
      <c r="BC144" s="1231"/>
      <c r="BD144" s="1231"/>
      <c r="BE144" s="1409"/>
      <c r="BF144" s="1231"/>
      <c r="BG144" s="1231"/>
      <c r="BH144" s="1409"/>
      <c r="BI144" s="1231"/>
      <c r="BJ144" s="1231"/>
      <c r="BK144" s="1409"/>
      <c r="BL144" s="1231"/>
      <c r="BM144" s="1231"/>
      <c r="BN144" s="1409"/>
      <c r="BO144" s="1231"/>
      <c r="BP144" s="1231"/>
      <c r="BQ144" s="1409"/>
      <c r="BR144" s="1231"/>
      <c r="BS144" s="1231"/>
      <c r="BT144" s="1409"/>
      <c r="BU144" s="1231"/>
      <c r="BV144" s="1231"/>
      <c r="BW144" s="1409"/>
      <c r="BX144" s="1231"/>
      <c r="BY144" s="1231"/>
    </row>
    <row r="145" spans="1:77" hidden="1" x14ac:dyDescent="0.2">
      <c r="A145" t="s">
        <v>89</v>
      </c>
      <c r="B145" t="e">
        <f>VLOOKUP(B132,$A141:$J144,3,FALSE)</f>
        <v>#N/A</v>
      </c>
      <c r="D145" t="e">
        <f>VLOOKUP(D132,$A141:$J144,3,FALSE)</f>
        <v>#N/A</v>
      </c>
      <c r="E145" t="e">
        <f>VLOOKUP(E132,$A141:$J144,4,FALSE)</f>
        <v>#N/A</v>
      </c>
      <c r="G145" t="e">
        <f>VLOOKUP(G132,$A141:$J144,4,FALSE)</f>
        <v>#N/A</v>
      </c>
      <c r="H145" t="e">
        <f>VLOOKUP(H132,$A141:$J144,7,FALSE)</f>
        <v>#N/A</v>
      </c>
      <c r="J145" t="e">
        <f>VLOOKUP(J132,$A141:$J144,7,FALSE)</f>
        <v>#N/A</v>
      </c>
      <c r="T145" s="1395"/>
      <c r="U145" s="1395"/>
      <c r="V145" s="1395"/>
      <c r="W145" s="1395"/>
      <c r="X145" s="1395"/>
      <c r="Y145" s="1395"/>
      <c r="Z145" s="1395"/>
      <c r="AA145" s="1395"/>
      <c r="AB145" s="1395"/>
      <c r="AC145" s="1395"/>
      <c r="AD145" s="1395"/>
      <c r="AE145" s="1395"/>
      <c r="AT145">
        <f>W142</f>
        <v>0</v>
      </c>
      <c r="AU145">
        <f>AE142</f>
        <v>0</v>
      </c>
      <c r="AW145" s="1409"/>
      <c r="AX145" s="1231"/>
      <c r="AY145" s="1231"/>
      <c r="AZ145" s="1231"/>
      <c r="BA145" s="1231"/>
      <c r="BB145" s="1409"/>
      <c r="BC145" s="1231"/>
      <c r="BD145" s="1231"/>
      <c r="BE145" s="1409"/>
      <c r="BF145" s="1231"/>
      <c r="BG145" s="1231"/>
      <c r="BH145" s="1409"/>
      <c r="BI145" s="1231"/>
      <c r="BJ145" s="1231"/>
      <c r="BK145" s="1409"/>
      <c r="BL145" s="1231"/>
      <c r="BM145" s="1231"/>
      <c r="BN145" s="1409"/>
      <c r="BO145" s="1231"/>
      <c r="BP145" s="1231"/>
      <c r="BQ145" s="1409"/>
      <c r="BR145" s="1231"/>
      <c r="BS145" s="1231"/>
      <c r="BT145" s="1409"/>
      <c r="BU145" s="1231"/>
      <c r="BV145" s="1231"/>
      <c r="BW145" s="1409"/>
      <c r="BX145" s="1231"/>
      <c r="BY145" s="1231"/>
    </row>
    <row r="146" spans="1:77" hidden="1" x14ac:dyDescent="0.2">
      <c r="A146" s="1246" t="s">
        <v>90</v>
      </c>
      <c r="B146" s="1246">
        <f>IF(OR(B136&gt;0,D136&gt;0),1/(1+(10^-((B145-D145)/400)))*(B136+D136),0)</f>
        <v>0</v>
      </c>
      <c r="C146" s="1246"/>
      <c r="D146" s="1246">
        <f>IF(OR(B136&gt;0,D136&gt;0),1/(1+(10^-((D145-B145)/400)))*(B136+D136),0)</f>
        <v>0</v>
      </c>
      <c r="E146" s="1246">
        <f>IF(OR(E136&gt;0,G136&gt;0),1/(1+(10^-((E145-G145)/400)))*(E136+G136),0)</f>
        <v>0</v>
      </c>
      <c r="F146" s="1246"/>
      <c r="G146" s="1246">
        <f>IF(OR(E136&gt;0,G136&gt;0),1/(1+(10^-((G145-E145)/400)))*(E136+G136),0)</f>
        <v>0</v>
      </c>
      <c r="H146" s="1246">
        <f>IF(OR(H136&gt;0,J136&gt;0),1/(1+(10^-((H145-J145)/400)))*(H136+J136),0)</f>
        <v>0</v>
      </c>
      <c r="I146" s="1246"/>
      <c r="J146" s="1246">
        <f>IF(OR(H136&gt;0,J136&gt;0),1/(1+(10^-((J145-H145)/400)))*(H136+J136),0)</f>
        <v>0</v>
      </c>
      <c r="T146" s="1395"/>
      <c r="U146" s="1395"/>
      <c r="V146" s="1395"/>
      <c r="W146" s="1395"/>
      <c r="X146" s="1395"/>
      <c r="Y146" s="1395"/>
      <c r="Z146" s="1395"/>
      <c r="AA146" s="1395"/>
      <c r="AB146" s="1395"/>
      <c r="AC146" s="1395"/>
      <c r="AD146" s="1395"/>
      <c r="AE146" s="1395"/>
      <c r="AT146">
        <f>W143</f>
        <v>0</v>
      </c>
      <c r="AU146">
        <f>AE143</f>
        <v>0</v>
      </c>
      <c r="AW146" s="1409"/>
      <c r="AX146" s="1231"/>
      <c r="AY146" s="1231"/>
      <c r="AZ146" s="1231"/>
      <c r="BA146" s="1231"/>
      <c r="BB146" s="1409"/>
      <c r="BC146" s="1231"/>
      <c r="BD146" s="1231"/>
      <c r="BE146" s="1409"/>
      <c r="BF146" s="1231"/>
      <c r="BG146" s="1231"/>
      <c r="BH146" s="1409"/>
      <c r="BI146" s="1231"/>
      <c r="BJ146" s="1231"/>
      <c r="BK146" s="1409"/>
      <c r="BL146" s="1231"/>
      <c r="BM146" s="1231"/>
      <c r="BN146" s="1409"/>
      <c r="BO146" s="1231"/>
      <c r="BP146" s="1231"/>
      <c r="BQ146" s="1409"/>
      <c r="BR146" s="1231"/>
      <c r="BS146" s="1231"/>
      <c r="BT146" s="1409"/>
      <c r="BU146" s="1231"/>
      <c r="BV146" s="1231"/>
      <c r="BW146" s="1409"/>
      <c r="BX146" s="1231"/>
      <c r="BY146" s="1231"/>
    </row>
    <row r="147" spans="1:77" hidden="1" x14ac:dyDescent="0.2">
      <c r="A147" s="1252" t="s">
        <v>91</v>
      </c>
      <c r="B147" s="1252" t="e">
        <f>B145+(B136-B146)*$BA$2</f>
        <v>#N/A</v>
      </c>
      <c r="C147" s="1252"/>
      <c r="D147" s="1252" t="e">
        <f>D145+(D136-D146)*$BA$2</f>
        <v>#N/A</v>
      </c>
      <c r="E147" s="1252" t="e">
        <f>E145+(E136-E146)*$BA$2</f>
        <v>#N/A</v>
      </c>
      <c r="G147" s="1252" t="e">
        <f>G145+(G136-G146)*$BA$2</f>
        <v>#N/A</v>
      </c>
      <c r="H147" s="1252" t="e">
        <f>H145+(H136-H146)*$BA$2</f>
        <v>#N/A</v>
      </c>
      <c r="J147" s="1252" t="e">
        <f>J145+(J136-J146)*$BA$2</f>
        <v>#N/A</v>
      </c>
      <c r="T147" s="1395"/>
      <c r="U147" s="1395"/>
      <c r="V147" s="1395"/>
      <c r="W147" s="1395"/>
      <c r="X147" s="1395"/>
      <c r="Y147" s="1395"/>
      <c r="Z147" s="1395"/>
      <c r="AA147" s="1395"/>
      <c r="AB147" s="1395"/>
      <c r="AC147" s="1395"/>
      <c r="AD147" s="1395"/>
      <c r="AE147" s="1395"/>
      <c r="AT147">
        <f>W144</f>
        <v>0</v>
      </c>
      <c r="AU147">
        <f>AE144</f>
        <v>0</v>
      </c>
      <c r="AW147" s="1409"/>
      <c r="AX147" s="1231"/>
      <c r="AY147" s="1231"/>
      <c r="AZ147" s="1231"/>
      <c r="BA147" s="1231"/>
      <c r="BB147" s="1409"/>
      <c r="BC147" s="1231"/>
      <c r="BD147" s="1231"/>
      <c r="BE147" s="1409"/>
      <c r="BF147" s="1231"/>
      <c r="BG147" s="1231"/>
      <c r="BH147" s="1409"/>
      <c r="BI147" s="1231"/>
      <c r="BJ147" s="1231"/>
      <c r="BK147" s="1409"/>
      <c r="BL147" s="1231"/>
      <c r="BM147" s="1231"/>
      <c r="BN147" s="1409"/>
      <c r="BO147" s="1231"/>
      <c r="BP147" s="1231"/>
      <c r="BQ147" s="1409"/>
      <c r="BR147" s="1231"/>
      <c r="BS147" s="1231"/>
      <c r="BT147" s="1409"/>
      <c r="BU147" s="1231"/>
      <c r="BV147" s="1231"/>
      <c r="BW147" s="1409"/>
      <c r="BX147" s="1231"/>
      <c r="BY147" s="1231"/>
    </row>
    <row r="148" spans="1:77" x14ac:dyDescent="0.2">
      <c r="A148" s="1410" t="s">
        <v>141</v>
      </c>
      <c r="B148" s="1410"/>
      <c r="C148" s="1410"/>
      <c r="D148" s="1410"/>
      <c r="E148" s="1410"/>
      <c r="F148" s="1410"/>
      <c r="G148" s="1410"/>
      <c r="H148" s="1410"/>
      <c r="I148" s="1410"/>
      <c r="J148" s="1410"/>
      <c r="K148" s="1410"/>
      <c r="L148" s="1410"/>
      <c r="M148" s="1410"/>
      <c r="R148" s="1283"/>
      <c r="S148" s="1283"/>
      <c r="T148" s="1284"/>
      <c r="U148" s="1284"/>
      <c r="V148" s="1284"/>
      <c r="W148" s="1284"/>
      <c r="X148" s="1284"/>
      <c r="Y148" s="1284"/>
      <c r="Z148" s="1284"/>
      <c r="AA148" s="1284"/>
      <c r="AB148" s="1284"/>
      <c r="AC148" s="1284"/>
      <c r="AD148" s="1284"/>
      <c r="AE148" s="1284"/>
      <c r="AF148" s="1284"/>
      <c r="AG148" s="1284"/>
      <c r="AH148" s="1283"/>
      <c r="AI148" s="1283"/>
      <c r="AJ148" s="1283"/>
      <c r="AZ148" s="1231"/>
      <c r="BA148" s="1231"/>
    </row>
    <row r="149" spans="1:77" x14ac:dyDescent="0.2">
      <c r="AT149" s="1231"/>
      <c r="AU149" s="1231"/>
      <c r="AV149" s="1231"/>
      <c r="AZ149" s="1231"/>
      <c r="BA149" s="1231"/>
    </row>
    <row r="150" spans="1:77" x14ac:dyDescent="0.2">
      <c r="AT150" s="1231"/>
      <c r="AU150" s="1231"/>
      <c r="AV150" s="1231"/>
      <c r="AZ150" s="1231"/>
      <c r="BA150" s="1231"/>
    </row>
    <row r="151" spans="1:77" x14ac:dyDescent="0.2">
      <c r="AT151" s="1231"/>
      <c r="AU151" s="1231"/>
      <c r="AV151" s="1231"/>
      <c r="AZ151" s="1231"/>
      <c r="BA151" s="1231"/>
    </row>
    <row r="152" spans="1:77" x14ac:dyDescent="0.2">
      <c r="AT152" s="1231"/>
      <c r="AU152" s="1231"/>
      <c r="AV152" s="1231"/>
      <c r="AZ152" s="1231"/>
      <c r="BA152" s="1231"/>
    </row>
    <row r="153" spans="1:77" x14ac:dyDescent="0.2">
      <c r="AT153" s="1231"/>
      <c r="AU153" s="1231"/>
      <c r="AV153" s="1231"/>
      <c r="AZ153" s="1231"/>
      <c r="BA153" s="1231"/>
    </row>
    <row r="154" spans="1:77" x14ac:dyDescent="0.2">
      <c r="AT154" s="1231"/>
      <c r="AU154" s="1231"/>
      <c r="AV154" s="1231"/>
      <c r="AZ154" s="1231"/>
      <c r="BA154" s="1231"/>
    </row>
    <row r="155" spans="1:77" x14ac:dyDescent="0.2">
      <c r="AT155" s="1231"/>
      <c r="AU155" s="1231"/>
      <c r="AV155" s="1231"/>
      <c r="AZ155" s="1231"/>
      <c r="BA155" s="1231"/>
    </row>
    <row r="156" spans="1:77" x14ac:dyDescent="0.2">
      <c r="AT156" s="1231"/>
      <c r="AU156" s="1231"/>
      <c r="AV156" s="1231"/>
      <c r="AZ156" s="1231"/>
      <c r="BA156" s="1231"/>
    </row>
    <row r="157" spans="1:77" x14ac:dyDescent="0.2">
      <c r="AT157" s="1231"/>
      <c r="AU157" s="1231"/>
      <c r="AV157" s="1231"/>
      <c r="AZ157" s="1231"/>
      <c r="BA157" s="1231"/>
    </row>
    <row r="158" spans="1:77" x14ac:dyDescent="0.2">
      <c r="AT158" s="1231"/>
      <c r="AU158" s="1231"/>
      <c r="AV158" s="1231"/>
      <c r="AZ158" s="1231"/>
      <c r="BA158" s="1231"/>
    </row>
    <row r="159" spans="1:77" x14ac:dyDescent="0.2">
      <c r="AT159" s="1231"/>
      <c r="AU159" s="1231"/>
      <c r="AV159" s="1231"/>
      <c r="AZ159" s="1231"/>
      <c r="BA159" s="1231"/>
    </row>
    <row r="160" spans="1:77" x14ac:dyDescent="0.2">
      <c r="AT160" s="1231"/>
      <c r="AU160" s="1231"/>
      <c r="AV160" s="1231"/>
      <c r="AZ160" s="1231"/>
      <c r="BA160" s="1231"/>
    </row>
    <row r="161" spans="46:53" x14ac:dyDescent="0.2">
      <c r="AT161" s="1231"/>
      <c r="AU161" s="1231"/>
      <c r="AV161" s="1231"/>
      <c r="AZ161" s="1231"/>
      <c r="BA161" s="1231"/>
    </row>
    <row r="162" spans="46:53" x14ac:dyDescent="0.2">
      <c r="AT162" s="1231"/>
      <c r="AU162" s="1231"/>
      <c r="AV162" s="1231"/>
    </row>
    <row r="163" spans="46:53" x14ac:dyDescent="0.2">
      <c r="AT163" s="1231"/>
      <c r="AU163" s="1231"/>
      <c r="AV163" s="1231"/>
      <c r="AZ163" s="1239"/>
      <c r="BA163" s="1239"/>
    </row>
    <row r="164" spans="46:53" x14ac:dyDescent="0.2">
      <c r="AT164" s="1231"/>
      <c r="AU164" s="1231"/>
      <c r="AV164" s="1231"/>
      <c r="AZ164" s="1239"/>
      <c r="BA164" s="1239"/>
    </row>
    <row r="165" spans="46:53" x14ac:dyDescent="0.2">
      <c r="AT165" s="1231"/>
      <c r="AU165" s="1231"/>
      <c r="AV165" s="1231"/>
      <c r="AZ165" s="1239"/>
      <c r="BA165" s="1239"/>
    </row>
    <row r="166" spans="46:53" x14ac:dyDescent="0.2">
      <c r="AT166" s="1231"/>
      <c r="AU166" s="1231"/>
      <c r="AV166" s="1231"/>
      <c r="AZ166" s="1239"/>
      <c r="BA166" s="1239"/>
    </row>
    <row r="167" spans="46:53" x14ac:dyDescent="0.2">
      <c r="AT167" s="1231"/>
      <c r="AU167" s="1231"/>
      <c r="AV167" s="1231"/>
      <c r="AZ167" s="1239"/>
      <c r="BA167" s="1239"/>
    </row>
    <row r="168" spans="46:53" x14ac:dyDescent="0.2">
      <c r="AT168" s="1231"/>
      <c r="AU168" s="1231"/>
      <c r="AV168" s="1231"/>
      <c r="AZ168" s="1239"/>
      <c r="BA168" s="1239"/>
    </row>
    <row r="169" spans="46:53" x14ac:dyDescent="0.2">
      <c r="AT169" s="1231"/>
      <c r="AU169" s="1231"/>
      <c r="AV169" s="1231"/>
      <c r="AZ169" s="1239"/>
      <c r="BA169" s="1239"/>
    </row>
    <row r="170" spans="46:53" x14ac:dyDescent="0.2">
      <c r="AT170" s="1231"/>
      <c r="AU170" s="1231"/>
      <c r="AV170" s="1231"/>
      <c r="AZ170" s="1239"/>
      <c r="BA170" s="1239"/>
    </row>
    <row r="171" spans="46:53" x14ac:dyDescent="0.2">
      <c r="AT171" s="1231"/>
      <c r="AU171" s="1231"/>
      <c r="AV171" s="1231"/>
      <c r="AZ171" s="1249"/>
      <c r="BA171" s="1249"/>
    </row>
    <row r="172" spans="46:53" x14ac:dyDescent="0.2">
      <c r="AT172" s="1231"/>
      <c r="AU172" s="1231"/>
      <c r="AV172" s="1231"/>
      <c r="AZ172" s="1255"/>
      <c r="BA172" s="1255"/>
    </row>
    <row r="173" spans="46:53" x14ac:dyDescent="0.2">
      <c r="AT173" s="1231"/>
      <c r="AU173" s="1231"/>
      <c r="AV173" s="1231"/>
      <c r="AZ173" s="1255"/>
      <c r="BA173" s="1255"/>
    </row>
    <row r="174" spans="46:53" x14ac:dyDescent="0.2">
      <c r="AT174" s="1239"/>
      <c r="AU174" s="1239"/>
      <c r="AV174" s="1239"/>
      <c r="AZ174" s="1239"/>
      <c r="BA174" s="1239"/>
    </row>
    <row r="175" spans="46:53" x14ac:dyDescent="0.2">
      <c r="AT175" s="1239"/>
      <c r="AU175" s="1239"/>
      <c r="AV175" s="1239"/>
      <c r="AZ175" s="1239"/>
      <c r="BA175" s="1239"/>
    </row>
    <row r="200" spans="46:53" x14ac:dyDescent="0.2">
      <c r="AT200" s="1231"/>
      <c r="AU200" s="1231"/>
      <c r="AV200" s="1231"/>
    </row>
    <row r="201" spans="46:53" x14ac:dyDescent="0.2">
      <c r="AT201" s="1231"/>
      <c r="AU201" s="1231"/>
      <c r="AV201" s="1231"/>
      <c r="AZ201" s="1231"/>
      <c r="BA201" s="1231"/>
    </row>
    <row r="202" spans="46:53" x14ac:dyDescent="0.2">
      <c r="AT202" s="1231"/>
      <c r="AU202" s="1231"/>
      <c r="AV202" s="1231"/>
      <c r="AZ202" s="1231"/>
      <c r="BA202" s="1231"/>
    </row>
    <row r="203" spans="46:53" x14ac:dyDescent="0.2">
      <c r="AT203" s="1231"/>
      <c r="AU203" s="1231"/>
      <c r="AV203" s="1231"/>
      <c r="AZ203" s="1231"/>
      <c r="BA203" s="1231"/>
    </row>
    <row r="204" spans="46:53" x14ac:dyDescent="0.2">
      <c r="AT204" s="1231"/>
      <c r="AU204" s="1231"/>
      <c r="AV204" s="1231"/>
      <c r="AZ204" s="1231"/>
      <c r="BA204" s="1231"/>
    </row>
    <row r="205" spans="46:53" x14ac:dyDescent="0.2">
      <c r="AT205" s="1231"/>
      <c r="AU205" s="1231"/>
      <c r="AV205" s="1231"/>
      <c r="AZ205" s="1231"/>
      <c r="BA205" s="1231"/>
    </row>
    <row r="206" spans="46:53" x14ac:dyDescent="0.2">
      <c r="AT206" s="1231"/>
      <c r="AU206" s="1231"/>
      <c r="AV206" s="1231"/>
      <c r="AZ206" s="1231"/>
      <c r="BA206" s="1231"/>
    </row>
    <row r="207" spans="46:53" x14ac:dyDescent="0.2">
      <c r="AT207" s="1231"/>
      <c r="AU207" s="1231"/>
      <c r="AV207" s="1231"/>
      <c r="AZ207" s="1231"/>
      <c r="BA207" s="1231"/>
    </row>
    <row r="208" spans="46:53" x14ac:dyDescent="0.2">
      <c r="AT208" s="1231"/>
      <c r="AU208" s="1231"/>
      <c r="AV208" s="1231"/>
      <c r="AZ208" s="1231"/>
      <c r="BA208" s="1231"/>
    </row>
    <row r="209" spans="46:53" x14ac:dyDescent="0.2">
      <c r="AT209" s="1231"/>
      <c r="AU209" s="1231"/>
      <c r="AV209" s="1231"/>
      <c r="AZ209" s="1231"/>
      <c r="BA209" s="1231"/>
    </row>
    <row r="210" spans="46:53" x14ac:dyDescent="0.2">
      <c r="AT210" s="1231"/>
      <c r="AU210" s="1231"/>
      <c r="AV210" s="1231"/>
      <c r="AZ210" s="1231"/>
      <c r="BA210" s="1231"/>
    </row>
    <row r="211" spans="46:53" x14ac:dyDescent="0.2">
      <c r="AT211" s="1231"/>
      <c r="AU211" s="1231"/>
      <c r="AV211" s="1231"/>
      <c r="AZ211" s="1231"/>
      <c r="BA211" s="1231"/>
    </row>
    <row r="212" spans="46:53" x14ac:dyDescent="0.2">
      <c r="AT212" s="1231"/>
      <c r="AU212" s="1231"/>
      <c r="AV212" s="1231"/>
      <c r="AZ212" s="1231"/>
      <c r="BA212" s="1231"/>
    </row>
    <row r="213" spans="46:53" x14ac:dyDescent="0.2">
      <c r="AT213" s="1231"/>
      <c r="AU213" s="1231"/>
      <c r="AV213" s="1231"/>
      <c r="AZ213" s="1231"/>
      <c r="BA213" s="1231"/>
    </row>
    <row r="214" spans="46:53" x14ac:dyDescent="0.2">
      <c r="AT214" s="1231"/>
      <c r="AU214" s="1231"/>
      <c r="AV214" s="1231"/>
      <c r="AZ214" s="1231"/>
      <c r="BA214" s="1231"/>
    </row>
    <row r="215" spans="46:53" x14ac:dyDescent="0.2">
      <c r="AT215" s="1231"/>
      <c r="AU215" s="1231"/>
      <c r="AV215" s="1231"/>
      <c r="AZ215" s="1231"/>
      <c r="BA215" s="1231"/>
    </row>
    <row r="216" spans="46:53" x14ac:dyDescent="0.2">
      <c r="AT216" s="1231"/>
      <c r="AU216" s="1231"/>
      <c r="AV216" s="1231"/>
      <c r="AZ216" s="1231"/>
      <c r="BA216" s="1231"/>
    </row>
    <row r="217" spans="46:53" x14ac:dyDescent="0.2">
      <c r="AT217" s="1231"/>
      <c r="AU217" s="1231"/>
      <c r="AV217" s="1231"/>
      <c r="AZ217" s="1231"/>
      <c r="BA217" s="1231"/>
    </row>
    <row r="218" spans="46:53" x14ac:dyDescent="0.2">
      <c r="AT218" s="1231"/>
      <c r="AU218" s="1231"/>
      <c r="AV218" s="1231"/>
      <c r="AZ218" s="1231"/>
      <c r="BA218" s="1231"/>
    </row>
    <row r="219" spans="46:53" x14ac:dyDescent="0.2">
      <c r="AT219" s="1231"/>
      <c r="AU219" s="1231"/>
      <c r="AV219" s="1231"/>
      <c r="AZ219" s="1231"/>
      <c r="BA219" s="1231"/>
    </row>
    <row r="220" spans="46:53" x14ac:dyDescent="0.2">
      <c r="AT220" s="1231"/>
      <c r="AU220" s="1231"/>
      <c r="AV220" s="1231"/>
      <c r="AZ220" s="1231"/>
      <c r="BA220" s="1231"/>
    </row>
    <row r="221" spans="46:53" x14ac:dyDescent="0.2">
      <c r="AT221" s="1231"/>
      <c r="AU221" s="1231"/>
      <c r="AV221" s="1231"/>
      <c r="AZ221" s="1231"/>
      <c r="BA221" s="1231"/>
    </row>
    <row r="222" spans="46:53" x14ac:dyDescent="0.2">
      <c r="AT222" s="1231"/>
      <c r="AU222" s="1231"/>
      <c r="AV222" s="1231"/>
      <c r="AZ222" s="1231"/>
      <c r="BA222" s="1231"/>
    </row>
    <row r="223" spans="46:53" x14ac:dyDescent="0.2">
      <c r="AT223" s="1231"/>
      <c r="AU223" s="1231"/>
      <c r="AV223" s="1231"/>
      <c r="AZ223" s="1231"/>
      <c r="BA223" s="1231"/>
    </row>
    <row r="224" spans="46:53" x14ac:dyDescent="0.2">
      <c r="AT224" s="1231"/>
      <c r="AU224" s="1231"/>
      <c r="AV224" s="1231"/>
      <c r="AZ224" s="1231"/>
      <c r="BA224" s="1231"/>
    </row>
    <row r="225" spans="46:53" x14ac:dyDescent="0.2">
      <c r="AT225" s="1231"/>
      <c r="AU225" s="1231"/>
      <c r="AV225" s="1231"/>
      <c r="AZ225" s="1231"/>
      <c r="BA225" s="1231"/>
    </row>
    <row r="226" spans="46:53" x14ac:dyDescent="0.2">
      <c r="AT226" s="1231"/>
      <c r="AU226" s="1231"/>
      <c r="AV226" s="1231"/>
      <c r="AZ226" s="1231"/>
      <c r="BA226" s="1231"/>
    </row>
    <row r="227" spans="46:53" x14ac:dyDescent="0.2">
      <c r="AT227" s="1231"/>
      <c r="AU227" s="1231"/>
      <c r="AV227" s="1231"/>
      <c r="AZ227" s="1231"/>
      <c r="BA227" s="1231"/>
    </row>
    <row r="228" spans="46:53" x14ac:dyDescent="0.2">
      <c r="AT228" s="1231"/>
      <c r="AU228" s="1231"/>
      <c r="AV228" s="1231"/>
      <c r="AZ228" s="1231"/>
      <c r="BA228" s="1231"/>
    </row>
    <row r="229" spans="46:53" x14ac:dyDescent="0.2">
      <c r="AT229" s="1231"/>
      <c r="AU229" s="1231"/>
      <c r="AV229" s="1231"/>
      <c r="AZ229" s="1231"/>
      <c r="BA229" s="1231"/>
    </row>
    <row r="230" spans="46:53" x14ac:dyDescent="0.2">
      <c r="AT230" s="1231"/>
      <c r="AU230" s="1231"/>
      <c r="AV230" s="1231"/>
      <c r="AZ230" s="1231"/>
      <c r="BA230" s="1231"/>
    </row>
    <row r="231" spans="46:53" x14ac:dyDescent="0.2">
      <c r="AT231" s="1231"/>
      <c r="AU231" s="1231"/>
      <c r="AV231" s="1231"/>
      <c r="AZ231" s="1231"/>
      <c r="BA231" s="1231"/>
    </row>
    <row r="232" spans="46:53" x14ac:dyDescent="0.2">
      <c r="AT232" s="1231"/>
      <c r="AU232" s="1231"/>
      <c r="AV232" s="1231"/>
      <c r="AZ232" s="1231"/>
      <c r="BA232" s="1231"/>
    </row>
    <row r="233" spans="46:53" x14ac:dyDescent="0.2">
      <c r="AT233" s="1231"/>
      <c r="AU233" s="1231"/>
      <c r="AV233" s="1231"/>
      <c r="AZ233" s="1231"/>
      <c r="BA233" s="1231"/>
    </row>
    <row r="234" spans="46:53" x14ac:dyDescent="0.2">
      <c r="AT234" s="1231"/>
      <c r="AU234" s="1231"/>
      <c r="AV234" s="1231"/>
      <c r="AZ234" s="1231"/>
      <c r="BA234" s="1231"/>
    </row>
    <row r="235" spans="46:53" x14ac:dyDescent="0.2">
      <c r="AT235" s="1231"/>
      <c r="AU235" s="1231"/>
      <c r="AV235" s="1231"/>
      <c r="AZ235" s="1231"/>
      <c r="BA235" s="1231"/>
    </row>
    <row r="236" spans="46:53" x14ac:dyDescent="0.2">
      <c r="AT236" s="1231"/>
      <c r="AU236" s="1231"/>
      <c r="AV236" s="1231"/>
      <c r="AZ236" s="1231"/>
      <c r="BA236" s="1231"/>
    </row>
    <row r="237" spans="46:53" x14ac:dyDescent="0.2">
      <c r="AT237" s="1231"/>
      <c r="AU237" s="1231"/>
      <c r="AV237" s="1231"/>
      <c r="AZ237" s="1231"/>
      <c r="BA237" s="1231"/>
    </row>
    <row r="238" spans="46:53" x14ac:dyDescent="0.2">
      <c r="AT238" s="1231"/>
      <c r="AU238" s="1231"/>
      <c r="AV238" s="1231"/>
      <c r="AZ238" s="1231"/>
      <c r="BA238" s="1231"/>
    </row>
    <row r="239" spans="46:53" x14ac:dyDescent="0.2">
      <c r="AT239" s="1231"/>
      <c r="AU239" s="1231"/>
      <c r="AV239" s="1231"/>
      <c r="AZ239" s="1231"/>
      <c r="BA239" s="1231"/>
    </row>
    <row r="240" spans="46:53" x14ac:dyDescent="0.2">
      <c r="AT240" s="1231"/>
      <c r="AU240" s="1231"/>
      <c r="AV240" s="1231"/>
      <c r="AZ240" s="1231"/>
      <c r="BA240" s="1231"/>
    </row>
    <row r="241" spans="46:53" x14ac:dyDescent="0.2">
      <c r="AT241" s="1231"/>
      <c r="AU241" s="1231"/>
      <c r="AV241" s="1231"/>
      <c r="AZ241" s="1231"/>
      <c r="BA241" s="1231"/>
    </row>
    <row r="242" spans="46:53" x14ac:dyDescent="0.2">
      <c r="AT242" s="1231"/>
      <c r="AU242" s="1231"/>
      <c r="AV242" s="1231"/>
      <c r="AZ242" s="1231"/>
      <c r="BA242" s="1231"/>
    </row>
    <row r="243" spans="46:53" x14ac:dyDescent="0.2">
      <c r="AT243" s="1231"/>
      <c r="AU243" s="1231"/>
      <c r="AV243" s="1231"/>
      <c r="AZ243" s="1231"/>
      <c r="BA243" s="1231"/>
    </row>
    <row r="244" spans="46:53" x14ac:dyDescent="0.2">
      <c r="AT244" s="1231"/>
      <c r="AU244" s="1231"/>
      <c r="AV244" s="1231"/>
      <c r="AZ244" s="1231"/>
      <c r="BA244" s="1231"/>
    </row>
    <row r="245" spans="46:53" x14ac:dyDescent="0.2">
      <c r="AT245" s="1231"/>
      <c r="AU245" s="1231"/>
      <c r="AV245" s="1231"/>
      <c r="AZ245" s="1231"/>
      <c r="BA245" s="1231"/>
    </row>
    <row r="246" spans="46:53" x14ac:dyDescent="0.2">
      <c r="AT246" s="1239"/>
      <c r="AU246" s="1239"/>
      <c r="AV246" s="1239"/>
      <c r="AZ246" s="1231"/>
      <c r="BA246" s="1231"/>
    </row>
    <row r="247" spans="46:53" x14ac:dyDescent="0.2">
      <c r="AT247" s="1239"/>
      <c r="AU247" s="1239"/>
      <c r="AV247" s="1239"/>
    </row>
    <row r="248" spans="46:53" x14ac:dyDescent="0.2">
      <c r="AZ248" s="1239"/>
      <c r="BA248" s="1239"/>
    </row>
    <row r="249" spans="46:53" x14ac:dyDescent="0.2">
      <c r="AZ249" s="1239"/>
      <c r="BA249" s="1239"/>
    </row>
    <row r="250" spans="46:53" x14ac:dyDescent="0.2">
      <c r="AZ250" s="1239"/>
      <c r="BA250" s="1239"/>
    </row>
    <row r="251" spans="46:53" x14ac:dyDescent="0.2">
      <c r="AZ251" s="1239"/>
      <c r="BA251" s="1239"/>
    </row>
    <row r="252" spans="46:53" x14ac:dyDescent="0.2">
      <c r="AZ252" s="1239"/>
      <c r="BA252" s="1239"/>
    </row>
    <row r="253" spans="46:53" x14ac:dyDescent="0.2">
      <c r="AZ253" s="1239"/>
      <c r="BA253" s="1239"/>
    </row>
    <row r="254" spans="46:53" x14ac:dyDescent="0.2">
      <c r="AZ254" s="1239"/>
      <c r="BA254" s="1239"/>
    </row>
    <row r="255" spans="46:53" x14ac:dyDescent="0.2">
      <c r="AZ255" s="1239"/>
      <c r="BA255" s="1239"/>
    </row>
    <row r="256" spans="46:53" x14ac:dyDescent="0.2">
      <c r="AZ256" s="1249"/>
      <c r="BA256" s="1249"/>
    </row>
    <row r="257" spans="46:53" x14ac:dyDescent="0.2">
      <c r="AZ257" s="1255"/>
      <c r="BA257" s="1255"/>
    </row>
    <row r="258" spans="46:53" x14ac:dyDescent="0.2">
      <c r="AZ258" s="1255"/>
      <c r="BA258" s="1255"/>
    </row>
    <row r="259" spans="46:53" x14ac:dyDescent="0.2">
      <c r="AZ259" s="1239"/>
      <c r="BA259" s="1239"/>
    </row>
    <row r="260" spans="46:53" x14ac:dyDescent="0.2">
      <c r="AZ260" s="1239"/>
      <c r="BA260" s="1239"/>
    </row>
    <row r="272" spans="46:53" x14ac:dyDescent="0.2">
      <c r="AT272" s="1231"/>
      <c r="AU272" s="1231"/>
      <c r="AV272" s="1231"/>
    </row>
    <row r="273" spans="46:53" x14ac:dyDescent="0.2">
      <c r="AT273" s="1231"/>
      <c r="AU273" s="1231"/>
      <c r="AV273" s="1231"/>
    </row>
    <row r="274" spans="46:53" x14ac:dyDescent="0.2">
      <c r="AT274" s="1231"/>
      <c r="AU274" s="1231"/>
      <c r="AV274" s="1231"/>
    </row>
    <row r="275" spans="46:53" x14ac:dyDescent="0.2">
      <c r="AT275" s="1231"/>
      <c r="AU275" s="1231"/>
      <c r="AV275" s="1231"/>
    </row>
    <row r="276" spans="46:53" x14ac:dyDescent="0.2">
      <c r="AT276" s="1231"/>
      <c r="AU276" s="1231"/>
      <c r="AV276" s="1231"/>
    </row>
    <row r="277" spans="46:53" x14ac:dyDescent="0.2">
      <c r="AT277" s="1231"/>
      <c r="AU277" s="1231"/>
      <c r="AV277" s="1231"/>
    </row>
    <row r="278" spans="46:53" x14ac:dyDescent="0.2">
      <c r="AT278" s="1231"/>
      <c r="AU278" s="1231"/>
      <c r="AV278" s="1231"/>
    </row>
    <row r="279" spans="46:53" x14ac:dyDescent="0.2">
      <c r="AT279" s="1231"/>
      <c r="AU279" s="1231"/>
      <c r="AV279" s="1231"/>
    </row>
    <row r="280" spans="46:53" x14ac:dyDescent="0.2">
      <c r="AT280" s="1231"/>
      <c r="AU280" s="1231"/>
      <c r="AV280" s="1231"/>
    </row>
    <row r="281" spans="46:53" x14ac:dyDescent="0.2">
      <c r="AT281" s="1231"/>
      <c r="AU281" s="1231"/>
      <c r="AV281" s="1231"/>
    </row>
    <row r="282" spans="46:53" x14ac:dyDescent="0.2">
      <c r="AT282" s="1231"/>
      <c r="AU282" s="1231"/>
      <c r="AV282" s="1231"/>
    </row>
    <row r="283" spans="46:53" x14ac:dyDescent="0.2">
      <c r="AT283" s="1231"/>
      <c r="AU283" s="1231"/>
      <c r="AV283" s="1231"/>
    </row>
    <row r="284" spans="46:53" x14ac:dyDescent="0.2">
      <c r="AT284" s="1231"/>
      <c r="AU284" s="1231"/>
      <c r="AV284" s="1231"/>
    </row>
    <row r="285" spans="46:53" x14ac:dyDescent="0.2">
      <c r="AT285" s="1231"/>
      <c r="AU285" s="1231"/>
      <c r="AV285" s="1231"/>
    </row>
    <row r="286" spans="46:53" x14ac:dyDescent="0.2">
      <c r="AT286" s="1231"/>
      <c r="AU286" s="1231"/>
      <c r="AV286" s="1231"/>
      <c r="AZ286" s="1231"/>
      <c r="BA286" s="1231"/>
    </row>
    <row r="287" spans="46:53" x14ac:dyDescent="0.2">
      <c r="AT287" s="1231"/>
      <c r="AU287" s="1231"/>
      <c r="AV287" s="1231"/>
      <c r="AZ287" s="1231"/>
      <c r="BA287" s="1231"/>
    </row>
    <row r="288" spans="46:53" x14ac:dyDescent="0.2">
      <c r="AT288" s="1231"/>
      <c r="AU288" s="1231"/>
      <c r="AV288" s="1231"/>
      <c r="AZ288" s="1231"/>
      <c r="BA288" s="1231"/>
    </row>
    <row r="289" spans="46:53" x14ac:dyDescent="0.2">
      <c r="AT289" s="1231"/>
      <c r="AU289" s="1231"/>
      <c r="AV289" s="1231"/>
      <c r="AZ289" s="1231"/>
      <c r="BA289" s="1231"/>
    </row>
    <row r="290" spans="46:53" x14ac:dyDescent="0.2">
      <c r="AT290" s="1231"/>
      <c r="AU290" s="1231"/>
      <c r="AV290" s="1231"/>
      <c r="AZ290" s="1231"/>
      <c r="BA290" s="1231"/>
    </row>
    <row r="291" spans="46:53" x14ac:dyDescent="0.2">
      <c r="AT291" s="1231"/>
      <c r="AU291" s="1231"/>
      <c r="AV291" s="1231"/>
      <c r="AZ291" s="1231"/>
      <c r="BA291" s="1231"/>
    </row>
    <row r="292" spans="46:53" x14ac:dyDescent="0.2">
      <c r="AT292" s="1231"/>
      <c r="AU292" s="1231"/>
      <c r="AV292" s="1231"/>
      <c r="AZ292" s="1231"/>
      <c r="BA292" s="1231"/>
    </row>
    <row r="293" spans="46:53" x14ac:dyDescent="0.2">
      <c r="AT293" s="1231"/>
      <c r="AU293" s="1231"/>
      <c r="AV293" s="1231"/>
      <c r="AZ293" s="1231"/>
      <c r="BA293" s="1231"/>
    </row>
    <row r="294" spans="46:53" x14ac:dyDescent="0.2">
      <c r="AT294" s="1231"/>
      <c r="AU294" s="1231"/>
      <c r="AV294" s="1231"/>
      <c r="AZ294" s="1231"/>
      <c r="BA294" s="1231"/>
    </row>
    <row r="295" spans="46:53" x14ac:dyDescent="0.2">
      <c r="AT295" s="1231"/>
      <c r="AU295" s="1231"/>
      <c r="AV295" s="1231"/>
      <c r="AZ295" s="1231"/>
      <c r="BA295" s="1231"/>
    </row>
    <row r="296" spans="46:53" x14ac:dyDescent="0.2">
      <c r="AT296" s="1231"/>
      <c r="AU296" s="1231"/>
      <c r="AV296" s="1231"/>
      <c r="AZ296" s="1231"/>
      <c r="BA296" s="1231"/>
    </row>
    <row r="297" spans="46:53" x14ac:dyDescent="0.2">
      <c r="AT297" s="1231"/>
      <c r="AU297" s="1231"/>
      <c r="AV297" s="1231"/>
      <c r="AZ297" s="1231"/>
      <c r="BA297" s="1231"/>
    </row>
    <row r="298" spans="46:53" x14ac:dyDescent="0.2">
      <c r="AT298" s="1231"/>
      <c r="AU298" s="1231"/>
      <c r="AV298" s="1231"/>
      <c r="AZ298" s="1231"/>
      <c r="BA298" s="1231"/>
    </row>
    <row r="299" spans="46:53" x14ac:dyDescent="0.2">
      <c r="AT299" s="1231"/>
      <c r="AU299" s="1231"/>
      <c r="AV299" s="1231"/>
      <c r="AZ299" s="1231"/>
      <c r="BA299" s="1231"/>
    </row>
    <row r="300" spans="46:53" x14ac:dyDescent="0.2">
      <c r="AT300" s="1231"/>
      <c r="AU300" s="1231"/>
      <c r="AV300" s="1231"/>
      <c r="AZ300" s="1231"/>
      <c r="BA300" s="1231"/>
    </row>
    <row r="301" spans="46:53" x14ac:dyDescent="0.2">
      <c r="AT301" s="1231"/>
      <c r="AU301" s="1231"/>
      <c r="AV301" s="1231"/>
      <c r="AZ301" s="1231"/>
      <c r="BA301" s="1231"/>
    </row>
    <row r="302" spans="46:53" x14ac:dyDescent="0.2">
      <c r="AT302" s="1231"/>
      <c r="AU302" s="1231"/>
      <c r="AV302" s="1231"/>
      <c r="AZ302" s="1231"/>
      <c r="BA302" s="1231"/>
    </row>
    <row r="303" spans="46:53" x14ac:dyDescent="0.2">
      <c r="AT303" s="1231"/>
      <c r="AU303" s="1231"/>
      <c r="AV303" s="1231"/>
      <c r="AZ303" s="1231"/>
      <c r="BA303" s="1231"/>
    </row>
    <row r="304" spans="46:53" x14ac:dyDescent="0.2">
      <c r="AT304" s="1231"/>
      <c r="AU304" s="1231"/>
      <c r="AV304" s="1231"/>
      <c r="AZ304" s="1231"/>
      <c r="BA304" s="1231"/>
    </row>
    <row r="305" spans="46:53" x14ac:dyDescent="0.2">
      <c r="AT305" s="1231"/>
      <c r="AU305" s="1231"/>
      <c r="AV305" s="1231"/>
      <c r="AZ305" s="1231"/>
      <c r="BA305" s="1231"/>
    </row>
    <row r="306" spans="46:53" x14ac:dyDescent="0.2">
      <c r="AT306" s="1231"/>
      <c r="AU306" s="1231"/>
      <c r="AV306" s="1231"/>
      <c r="AZ306" s="1231"/>
      <c r="BA306" s="1231"/>
    </row>
    <row r="307" spans="46:53" x14ac:dyDescent="0.2">
      <c r="AT307" s="1231"/>
      <c r="AU307" s="1231"/>
      <c r="AV307" s="1231"/>
      <c r="AZ307" s="1231"/>
      <c r="BA307" s="1231"/>
    </row>
    <row r="308" spans="46:53" x14ac:dyDescent="0.2">
      <c r="AT308" s="1231"/>
      <c r="AU308" s="1231"/>
      <c r="AV308" s="1231"/>
      <c r="AZ308" s="1231"/>
      <c r="BA308" s="1231"/>
    </row>
    <row r="309" spans="46:53" x14ac:dyDescent="0.2">
      <c r="AT309" s="1231"/>
      <c r="AU309" s="1231"/>
      <c r="AV309" s="1231"/>
      <c r="AZ309" s="1231"/>
      <c r="BA309" s="1231"/>
    </row>
    <row r="310" spans="46:53" x14ac:dyDescent="0.2">
      <c r="AT310" s="1231"/>
      <c r="AU310" s="1231"/>
      <c r="AV310" s="1231"/>
      <c r="AZ310" s="1231"/>
      <c r="BA310" s="1231"/>
    </row>
    <row r="311" spans="46:53" x14ac:dyDescent="0.2">
      <c r="AT311" s="1231"/>
      <c r="AU311" s="1231"/>
      <c r="AV311" s="1231"/>
      <c r="AZ311" s="1231"/>
      <c r="BA311" s="1231"/>
    </row>
    <row r="312" spans="46:53" x14ac:dyDescent="0.2">
      <c r="AT312" s="1231"/>
      <c r="AU312" s="1231"/>
      <c r="AV312" s="1231"/>
      <c r="AZ312" s="1231"/>
      <c r="BA312" s="1231"/>
    </row>
    <row r="313" spans="46:53" x14ac:dyDescent="0.2">
      <c r="AT313" s="1231"/>
      <c r="AU313" s="1231"/>
      <c r="AV313" s="1231"/>
      <c r="AZ313" s="1231"/>
      <c r="BA313" s="1231"/>
    </row>
    <row r="314" spans="46:53" x14ac:dyDescent="0.2">
      <c r="AT314" s="1231"/>
      <c r="AU314" s="1231"/>
      <c r="AV314" s="1231"/>
      <c r="AZ314" s="1231"/>
      <c r="BA314" s="1231"/>
    </row>
    <row r="315" spans="46:53" x14ac:dyDescent="0.2">
      <c r="AT315" s="1231"/>
      <c r="AU315" s="1231"/>
      <c r="AV315" s="1231"/>
      <c r="AZ315" s="1231"/>
      <c r="BA315" s="1231"/>
    </row>
    <row r="316" spans="46:53" x14ac:dyDescent="0.2">
      <c r="AT316" s="1231"/>
      <c r="AU316" s="1231"/>
      <c r="AV316" s="1231"/>
      <c r="AZ316" s="1231"/>
      <c r="BA316" s="1231"/>
    </row>
    <row r="317" spans="46:53" x14ac:dyDescent="0.2">
      <c r="AT317" s="1231"/>
      <c r="AU317" s="1231"/>
      <c r="AV317" s="1231"/>
      <c r="AZ317" s="1231"/>
      <c r="BA317" s="1231"/>
    </row>
    <row r="318" spans="46:53" x14ac:dyDescent="0.2">
      <c r="AT318" s="1239"/>
      <c r="AU318" s="1239"/>
      <c r="AV318" s="1239"/>
      <c r="AZ318" s="1231"/>
      <c r="BA318" s="1231"/>
    </row>
    <row r="319" spans="46:53" x14ac:dyDescent="0.2">
      <c r="AT319" s="1239"/>
      <c r="AU319" s="1239"/>
      <c r="AV319" s="1239"/>
      <c r="AZ319" s="1231"/>
      <c r="BA319" s="1231"/>
    </row>
    <row r="320" spans="46:53" x14ac:dyDescent="0.2">
      <c r="AZ320" s="1231"/>
      <c r="BA320" s="1231"/>
    </row>
    <row r="321" spans="46:53" x14ac:dyDescent="0.2">
      <c r="AZ321" s="1231"/>
      <c r="BA321" s="1231"/>
    </row>
    <row r="322" spans="46:53" x14ac:dyDescent="0.2">
      <c r="AZ322" s="1231"/>
      <c r="BA322" s="1231"/>
    </row>
    <row r="323" spans="46:53" x14ac:dyDescent="0.2">
      <c r="AZ323" s="1231"/>
      <c r="BA323" s="1231"/>
    </row>
    <row r="324" spans="46:53" x14ac:dyDescent="0.2">
      <c r="AZ324" s="1231"/>
      <c r="BA324" s="1231"/>
    </row>
    <row r="325" spans="46:53" x14ac:dyDescent="0.2">
      <c r="AZ325" s="1231"/>
      <c r="BA325" s="1231"/>
    </row>
    <row r="326" spans="46:53" x14ac:dyDescent="0.2">
      <c r="AZ326" s="1231"/>
      <c r="BA326" s="1231"/>
    </row>
    <row r="327" spans="46:53" x14ac:dyDescent="0.2">
      <c r="AZ327" s="1231"/>
      <c r="BA327" s="1231"/>
    </row>
    <row r="328" spans="46:53" x14ac:dyDescent="0.2">
      <c r="AZ328" s="1231"/>
      <c r="BA328" s="1231"/>
    </row>
    <row r="329" spans="46:53" x14ac:dyDescent="0.2">
      <c r="AZ329" s="1231"/>
      <c r="BA329" s="1231"/>
    </row>
    <row r="330" spans="46:53" x14ac:dyDescent="0.2">
      <c r="AZ330" s="1231"/>
      <c r="BA330" s="1231"/>
    </row>
    <row r="331" spans="46:53" x14ac:dyDescent="0.2">
      <c r="AZ331" s="1231"/>
      <c r="BA331" s="1231"/>
    </row>
    <row r="333" spans="46:53" x14ac:dyDescent="0.2">
      <c r="AZ333" s="1239"/>
      <c r="BA333" s="1239"/>
    </row>
    <row r="334" spans="46:53" x14ac:dyDescent="0.2">
      <c r="AT334" s="1309"/>
      <c r="AU334" s="1309"/>
      <c r="AZ334" s="1239"/>
      <c r="BA334" s="1239"/>
    </row>
    <row r="335" spans="46:53" x14ac:dyDescent="0.2">
      <c r="AZ335" s="1239"/>
      <c r="BA335" s="1239"/>
    </row>
    <row r="336" spans="46:53" x14ac:dyDescent="0.2">
      <c r="AZ336" s="1239"/>
      <c r="BA336" s="1239"/>
    </row>
    <row r="337" spans="52:53" x14ac:dyDescent="0.2">
      <c r="AZ337" s="1239"/>
      <c r="BA337" s="1239"/>
    </row>
    <row r="338" spans="52:53" x14ac:dyDescent="0.2">
      <c r="AZ338" s="1239"/>
      <c r="BA338" s="1239"/>
    </row>
    <row r="339" spans="52:53" x14ac:dyDescent="0.2">
      <c r="AZ339" s="1239"/>
      <c r="BA339" s="1239"/>
    </row>
    <row r="340" spans="52:53" x14ac:dyDescent="0.2">
      <c r="AZ340" s="1239"/>
      <c r="BA340" s="1239"/>
    </row>
    <row r="341" spans="52:53" x14ac:dyDescent="0.2">
      <c r="AZ341" s="1249"/>
      <c r="BA341" s="1249"/>
    </row>
    <row r="342" spans="52:53" x14ac:dyDescent="0.2">
      <c r="AZ342" s="1255"/>
      <c r="BA342" s="1255"/>
    </row>
    <row r="343" spans="52:53" x14ac:dyDescent="0.2">
      <c r="AZ343" s="1255"/>
      <c r="BA343" s="1255"/>
    </row>
    <row r="344" spans="52:53" x14ac:dyDescent="0.2">
      <c r="AZ344" s="1239"/>
      <c r="BA344" s="1239"/>
    </row>
    <row r="345" spans="52:53" x14ac:dyDescent="0.2">
      <c r="AZ345" s="1239"/>
      <c r="BA345" s="1239"/>
    </row>
    <row r="370" spans="46:53" x14ac:dyDescent="0.2">
      <c r="AT370" s="1309"/>
      <c r="AU370" s="1309"/>
    </row>
    <row r="371" spans="46:53" x14ac:dyDescent="0.2">
      <c r="AZ371" s="1231"/>
      <c r="BA371" s="1231"/>
    </row>
    <row r="372" spans="46:53" x14ac:dyDescent="0.2">
      <c r="AZ372" s="1231"/>
      <c r="BA372" s="1231"/>
    </row>
    <row r="373" spans="46:53" x14ac:dyDescent="0.2">
      <c r="AZ373" s="1231"/>
      <c r="BA373" s="1231"/>
    </row>
    <row r="374" spans="46:53" x14ac:dyDescent="0.2">
      <c r="AZ374" s="1231"/>
      <c r="BA374" s="1231"/>
    </row>
    <row r="375" spans="46:53" x14ac:dyDescent="0.2">
      <c r="AZ375" s="1231"/>
      <c r="BA375" s="1231"/>
    </row>
    <row r="376" spans="46:53" x14ac:dyDescent="0.2">
      <c r="AZ376" s="1231"/>
      <c r="BA376" s="1231"/>
    </row>
    <row r="377" spans="46:53" x14ac:dyDescent="0.2">
      <c r="AZ377" s="1231"/>
      <c r="BA377" s="1231"/>
    </row>
    <row r="378" spans="46:53" x14ac:dyDescent="0.2">
      <c r="AZ378" s="1231"/>
      <c r="BA378" s="1231"/>
    </row>
    <row r="379" spans="46:53" x14ac:dyDescent="0.2">
      <c r="AZ379" s="1231"/>
      <c r="BA379" s="1231"/>
    </row>
    <row r="380" spans="46:53" x14ac:dyDescent="0.2">
      <c r="AZ380" s="1231"/>
      <c r="BA380" s="1231"/>
    </row>
    <row r="381" spans="46:53" x14ac:dyDescent="0.2">
      <c r="AZ381" s="1231"/>
      <c r="BA381" s="1231"/>
    </row>
    <row r="382" spans="46:53" x14ac:dyDescent="0.2">
      <c r="AZ382" s="1231"/>
      <c r="BA382" s="1231"/>
    </row>
    <row r="383" spans="46:53" x14ac:dyDescent="0.2">
      <c r="AZ383" s="1231"/>
      <c r="BA383" s="1231"/>
    </row>
    <row r="384" spans="46:53" x14ac:dyDescent="0.2">
      <c r="AZ384" s="1231"/>
      <c r="BA384" s="1231"/>
    </row>
    <row r="385" spans="52:53" x14ac:dyDescent="0.2">
      <c r="AZ385" s="1231"/>
      <c r="BA385" s="1231"/>
    </row>
    <row r="386" spans="52:53" x14ac:dyDescent="0.2">
      <c r="AZ386" s="1231"/>
      <c r="BA386" s="1231"/>
    </row>
    <row r="387" spans="52:53" x14ac:dyDescent="0.2">
      <c r="AZ387" s="1231"/>
      <c r="BA387" s="1231"/>
    </row>
    <row r="388" spans="52:53" x14ac:dyDescent="0.2">
      <c r="AZ388" s="1231"/>
      <c r="BA388" s="1231"/>
    </row>
    <row r="389" spans="52:53" x14ac:dyDescent="0.2">
      <c r="AZ389" s="1231"/>
      <c r="BA389" s="1231"/>
    </row>
    <row r="390" spans="52:53" x14ac:dyDescent="0.2">
      <c r="AZ390" s="1231"/>
      <c r="BA390" s="1231"/>
    </row>
    <row r="391" spans="52:53" x14ac:dyDescent="0.2">
      <c r="AZ391" s="1231"/>
      <c r="BA391" s="1231"/>
    </row>
    <row r="392" spans="52:53" x14ac:dyDescent="0.2">
      <c r="AZ392" s="1231"/>
      <c r="BA392" s="1231"/>
    </row>
    <row r="393" spans="52:53" x14ac:dyDescent="0.2">
      <c r="AZ393" s="1231"/>
      <c r="BA393" s="1231"/>
    </row>
    <row r="394" spans="52:53" x14ac:dyDescent="0.2">
      <c r="AZ394" s="1231"/>
      <c r="BA394" s="1231"/>
    </row>
    <row r="395" spans="52:53" x14ac:dyDescent="0.2">
      <c r="AZ395" s="1231"/>
      <c r="BA395" s="1231"/>
    </row>
    <row r="396" spans="52:53" x14ac:dyDescent="0.2">
      <c r="AZ396" s="1231"/>
      <c r="BA396" s="1231"/>
    </row>
    <row r="397" spans="52:53" x14ac:dyDescent="0.2">
      <c r="AZ397" s="1231"/>
      <c r="BA397" s="1231"/>
    </row>
    <row r="398" spans="52:53" x14ac:dyDescent="0.2">
      <c r="AZ398" s="1231"/>
      <c r="BA398" s="1231"/>
    </row>
    <row r="399" spans="52:53" x14ac:dyDescent="0.2">
      <c r="AZ399" s="1231"/>
      <c r="BA399" s="1231"/>
    </row>
    <row r="400" spans="52:53" x14ac:dyDescent="0.2">
      <c r="AZ400" s="1231"/>
      <c r="BA400" s="1231"/>
    </row>
    <row r="401" spans="52:53" x14ac:dyDescent="0.2">
      <c r="AZ401" s="1231"/>
      <c r="BA401" s="1231"/>
    </row>
    <row r="402" spans="52:53" x14ac:dyDescent="0.2">
      <c r="AZ402" s="1231"/>
      <c r="BA402" s="1231"/>
    </row>
    <row r="403" spans="52:53" x14ac:dyDescent="0.2">
      <c r="AZ403" s="1231"/>
      <c r="BA403" s="1231"/>
    </row>
    <row r="404" spans="52:53" x14ac:dyDescent="0.2">
      <c r="AZ404" s="1231"/>
      <c r="BA404" s="1231"/>
    </row>
    <row r="405" spans="52:53" x14ac:dyDescent="0.2">
      <c r="AZ405" s="1231"/>
      <c r="BA405" s="1231"/>
    </row>
    <row r="406" spans="52:53" x14ac:dyDescent="0.2">
      <c r="AZ406" s="1231"/>
      <c r="BA406" s="1231"/>
    </row>
    <row r="407" spans="52:53" x14ac:dyDescent="0.2">
      <c r="AZ407" s="1231"/>
      <c r="BA407" s="1231"/>
    </row>
    <row r="408" spans="52:53" x14ac:dyDescent="0.2">
      <c r="AZ408" s="1231"/>
      <c r="BA408" s="1231"/>
    </row>
    <row r="409" spans="52:53" x14ac:dyDescent="0.2">
      <c r="AZ409" s="1231"/>
      <c r="BA409" s="1231"/>
    </row>
    <row r="410" spans="52:53" x14ac:dyDescent="0.2">
      <c r="AZ410" s="1231"/>
      <c r="BA410" s="1231"/>
    </row>
    <row r="411" spans="52:53" x14ac:dyDescent="0.2">
      <c r="AZ411" s="1231"/>
      <c r="BA411" s="1231"/>
    </row>
    <row r="412" spans="52:53" x14ac:dyDescent="0.2">
      <c r="AZ412" s="1231"/>
      <c r="BA412" s="1231"/>
    </row>
    <row r="413" spans="52:53" x14ac:dyDescent="0.2">
      <c r="AZ413" s="1231"/>
      <c r="BA413" s="1231"/>
    </row>
    <row r="414" spans="52:53" x14ac:dyDescent="0.2">
      <c r="AZ414" s="1231"/>
      <c r="BA414" s="1231"/>
    </row>
    <row r="415" spans="52:53" x14ac:dyDescent="0.2">
      <c r="AZ415" s="1231"/>
      <c r="BA415" s="1231"/>
    </row>
    <row r="416" spans="52:53" x14ac:dyDescent="0.2">
      <c r="AZ416" s="1231"/>
      <c r="BA416" s="1231"/>
    </row>
    <row r="418" spans="52:53" x14ac:dyDescent="0.2">
      <c r="AZ418" s="1239"/>
      <c r="BA418" s="1239"/>
    </row>
    <row r="419" spans="52:53" x14ac:dyDescent="0.2">
      <c r="AZ419" s="1239"/>
      <c r="BA419" s="1239"/>
    </row>
    <row r="420" spans="52:53" x14ac:dyDescent="0.2">
      <c r="AZ420" s="1239"/>
      <c r="BA420" s="1239"/>
    </row>
    <row r="421" spans="52:53" x14ac:dyDescent="0.2">
      <c r="AZ421" s="1239"/>
      <c r="BA421" s="1239"/>
    </row>
    <row r="422" spans="52:53" x14ac:dyDescent="0.2">
      <c r="AZ422" s="1239"/>
      <c r="BA422" s="1239"/>
    </row>
    <row r="423" spans="52:53" x14ac:dyDescent="0.2">
      <c r="AZ423" s="1239"/>
      <c r="BA423" s="1239"/>
    </row>
    <row r="424" spans="52:53" x14ac:dyDescent="0.2">
      <c r="AZ424" s="1239"/>
      <c r="BA424" s="1239"/>
    </row>
    <row r="425" spans="52:53" x14ac:dyDescent="0.2">
      <c r="AZ425" s="1239"/>
      <c r="BA425" s="1239"/>
    </row>
    <row r="426" spans="52:53" x14ac:dyDescent="0.2">
      <c r="AZ426" s="1249"/>
      <c r="BA426" s="1249"/>
    </row>
    <row r="427" spans="52:53" x14ac:dyDescent="0.2">
      <c r="AZ427" s="1255"/>
      <c r="BA427" s="1255"/>
    </row>
    <row r="428" spans="52:53" x14ac:dyDescent="0.2">
      <c r="AZ428" s="1255"/>
      <c r="BA428" s="1255"/>
    </row>
    <row r="429" spans="52:53" x14ac:dyDescent="0.2">
      <c r="AZ429" s="1239"/>
      <c r="BA429" s="1239"/>
    </row>
    <row r="430" spans="52:53" x14ac:dyDescent="0.2">
      <c r="AZ430" s="1239"/>
      <c r="BA430" s="1239"/>
    </row>
  </sheetData>
  <sheetCalcPr fullCalcOnLoad="1"/>
  <sheetProtection formatCells="0" selectLockedCells="1"/>
  <mergeCells count="229">
    <mergeCell ref="K132:N132"/>
    <mergeCell ref="K137:N139"/>
    <mergeCell ref="A148:M148"/>
    <mergeCell ref="B129:D129"/>
    <mergeCell ref="E129:G129"/>
    <mergeCell ref="H129:J129"/>
    <mergeCell ref="K129:Q131"/>
    <mergeCell ref="B130:D130"/>
    <mergeCell ref="E130:G130"/>
    <mergeCell ref="H130:J130"/>
    <mergeCell ref="B131:D131"/>
    <mergeCell ref="E131:G131"/>
    <mergeCell ref="H131:J131"/>
    <mergeCell ref="B125:J125"/>
    <mergeCell ref="K125:Q125"/>
    <mergeCell ref="B126:J126"/>
    <mergeCell ref="K126:Q126"/>
    <mergeCell ref="B127:J127"/>
    <mergeCell ref="K127:Q127"/>
    <mergeCell ref="A119:E119"/>
    <mergeCell ref="A122:J122"/>
    <mergeCell ref="B123:J123"/>
    <mergeCell ref="K123:Q123"/>
    <mergeCell ref="B124:J124"/>
    <mergeCell ref="K124:Q124"/>
    <mergeCell ref="A116:D116"/>
    <mergeCell ref="F116:I116"/>
    <mergeCell ref="J116:M116"/>
    <mergeCell ref="A117:E117"/>
    <mergeCell ref="F117:M117"/>
    <mergeCell ref="A118:E118"/>
    <mergeCell ref="J112:P112"/>
    <mergeCell ref="A113:E113"/>
    <mergeCell ref="F113:I113"/>
    <mergeCell ref="J113:P113"/>
    <mergeCell ref="A114:E114"/>
    <mergeCell ref="J114:P114"/>
    <mergeCell ref="A108:E108"/>
    <mergeCell ref="F108:I108"/>
    <mergeCell ref="J108:M108"/>
    <mergeCell ref="A109:E109"/>
    <mergeCell ref="A110:E110"/>
    <mergeCell ref="F111:I111"/>
    <mergeCell ref="A100:K100"/>
    <mergeCell ref="A102:O102"/>
    <mergeCell ref="A104:E104"/>
    <mergeCell ref="A105:E105"/>
    <mergeCell ref="A107:D107"/>
    <mergeCell ref="F107:M107"/>
    <mergeCell ref="AF94:AK94"/>
    <mergeCell ref="AL94:AO94"/>
    <mergeCell ref="A96:AQ96"/>
    <mergeCell ref="A97:AQ97"/>
    <mergeCell ref="A98:AQ98"/>
    <mergeCell ref="A99:AQ99"/>
    <mergeCell ref="V93:AA93"/>
    <mergeCell ref="AB93:AE93"/>
    <mergeCell ref="AF93:AK93"/>
    <mergeCell ref="AL93:AO93"/>
    <mergeCell ref="B94:G94"/>
    <mergeCell ref="H94:K94"/>
    <mergeCell ref="L94:Q94"/>
    <mergeCell ref="R94:U94"/>
    <mergeCell ref="V94:AA94"/>
    <mergeCell ref="AB94:AE94"/>
    <mergeCell ref="A91:AQ91"/>
    <mergeCell ref="A92:A93"/>
    <mergeCell ref="B92:K92"/>
    <mergeCell ref="L92:U92"/>
    <mergeCell ref="V92:AE92"/>
    <mergeCell ref="AF92:AO92"/>
    <mergeCell ref="B93:G93"/>
    <mergeCell ref="H93:K93"/>
    <mergeCell ref="L93:Q93"/>
    <mergeCell ref="R93:U93"/>
    <mergeCell ref="Z23:AB23"/>
    <mergeCell ref="AC23:AE23"/>
    <mergeCell ref="AG57:AK57"/>
    <mergeCell ref="A89:AM89"/>
    <mergeCell ref="AN89:AQ89"/>
    <mergeCell ref="A90:AQ90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C8:AE9"/>
    <mergeCell ref="AF8:AF9"/>
    <mergeCell ref="AG8:AG9"/>
    <mergeCell ref="AH8:AI9"/>
    <mergeCell ref="AT8:AY9"/>
    <mergeCell ref="B9:D9"/>
    <mergeCell ref="E9:K9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1:AI1"/>
    <mergeCell ref="AT1:AV1"/>
    <mergeCell ref="AX1:AY1"/>
    <mergeCell ref="A2:I2"/>
    <mergeCell ref="J2:X2"/>
    <mergeCell ref="Y2:AC2"/>
    <mergeCell ref="AD2:AI2"/>
  </mergeCells>
  <conditionalFormatting sqref="A8">
    <cfRule type="expression" dxfId="2911" priority="33" stopIfTrue="1">
      <formula>IF(AK9&gt;0,0,1)</formula>
    </cfRule>
  </conditionalFormatting>
  <conditionalFormatting sqref="A10:A11">
    <cfRule type="expression" dxfId="2910" priority="34" stopIfTrue="1">
      <formula>IF(AK9&gt;1,0,1)</formula>
    </cfRule>
  </conditionalFormatting>
  <conditionalFormatting sqref="A12:A13">
    <cfRule type="expression" dxfId="2909" priority="35" stopIfTrue="1">
      <formula>IF(AK9&gt;2,0,1)</formula>
    </cfRule>
  </conditionalFormatting>
  <conditionalFormatting sqref="A14:A15">
    <cfRule type="expression" dxfId="2908" priority="36" stopIfTrue="1">
      <formula>IF(AK9&gt;3,0,1)</formula>
    </cfRule>
  </conditionalFormatting>
  <conditionalFormatting sqref="A16:A17">
    <cfRule type="expression" dxfId="2907" priority="37" stopIfTrue="1">
      <formula>IF(AK9&gt;4,0,1)</formula>
    </cfRule>
  </conditionalFormatting>
  <conditionalFormatting sqref="B8">
    <cfRule type="expression" dxfId="2906" priority="38" stopIfTrue="1">
      <formula>IF(AK9&gt;0,0,1)</formula>
    </cfRule>
  </conditionalFormatting>
  <conditionalFormatting sqref="B9">
    <cfRule type="expression" dxfId="2905" priority="39" stopIfTrue="1">
      <formula>IF(AK9&gt;0,0,1)</formula>
    </cfRule>
  </conditionalFormatting>
  <conditionalFormatting sqref="B10">
    <cfRule type="expression" dxfId="2904" priority="40" stopIfTrue="1">
      <formula>IF(AK9&gt;1,0,1)</formula>
    </cfRule>
  </conditionalFormatting>
  <conditionalFormatting sqref="B11:D11">
    <cfRule type="expression" dxfId="2903" priority="41" stopIfTrue="1">
      <formula>IF(AK9&gt;1,0,1)</formula>
    </cfRule>
  </conditionalFormatting>
  <conditionalFormatting sqref="B12:D12">
    <cfRule type="expression" dxfId="2902" priority="42" stopIfTrue="1">
      <formula>IF(AK9&gt;2,0,1)</formula>
    </cfRule>
  </conditionalFormatting>
  <conditionalFormatting sqref="B13:D13">
    <cfRule type="expression" dxfId="2901" priority="43" stopIfTrue="1">
      <formula>IF(AK9&gt;2,0,1)</formula>
    </cfRule>
  </conditionalFormatting>
  <conditionalFormatting sqref="B14:D14">
    <cfRule type="expression" dxfId="2900" priority="44" stopIfTrue="1">
      <formula>IF(AK9&gt;3,0,1)</formula>
    </cfRule>
  </conditionalFormatting>
  <conditionalFormatting sqref="B15:D15">
    <cfRule type="expression" dxfId="2899" priority="45" stopIfTrue="1">
      <formula>IF(AK9&gt;3,0,1)</formula>
    </cfRule>
  </conditionalFormatting>
  <conditionalFormatting sqref="B16:D16">
    <cfRule type="expression" dxfId="2898" priority="46" stopIfTrue="1">
      <formula>IF(AK9&gt;4,0,1)</formula>
    </cfRule>
  </conditionalFormatting>
  <conditionalFormatting sqref="B17:D17">
    <cfRule type="expression" dxfId="2897" priority="47" stopIfTrue="1">
      <formula>IF(AK9&gt;4,0,1)</formula>
    </cfRule>
  </conditionalFormatting>
  <conditionalFormatting sqref="AC8">
    <cfRule type="expression" dxfId="2896" priority="48" stopIfTrue="1">
      <formula>IF(AK11=1,IF(AK9&gt;0,0,1),1)</formula>
    </cfRule>
  </conditionalFormatting>
  <conditionalFormatting sqref="AC10:AE11">
    <cfRule type="expression" dxfId="2895" priority="49" stopIfTrue="1">
      <formula>IF(AK11=1,IF(AK9&gt;1,0,1),1)</formula>
    </cfRule>
  </conditionalFormatting>
  <conditionalFormatting sqref="AC12:AE13">
    <cfRule type="expression" dxfId="2894" priority="50" stopIfTrue="1">
      <formula>IF(AK11=1,IF(AK9&gt;2,0,1),1)</formula>
    </cfRule>
  </conditionalFormatting>
  <conditionalFormatting sqref="AC14:AE15">
    <cfRule type="expression" dxfId="2893" priority="51" stopIfTrue="1">
      <formula>IF(AK11=1,IF(AK9&gt;3,0,1),1)</formula>
    </cfRule>
  </conditionalFormatting>
  <conditionalFormatting sqref="AC16:AE17">
    <cfRule type="expression" dxfId="2892" priority="52" stopIfTrue="1">
      <formula>IF(AK11=1,IF(AK9&gt;4,0,1),1)</formula>
    </cfRule>
  </conditionalFormatting>
  <conditionalFormatting sqref="AH8">
    <cfRule type="expression" dxfId="2891" priority="53" stopIfTrue="1">
      <formula>IF(AK9&gt;0,0,1)</formula>
    </cfRule>
  </conditionalFormatting>
  <conditionalFormatting sqref="AH10:AI11">
    <cfRule type="expression" dxfId="2890" priority="54" stopIfTrue="1">
      <formula>IF(AK9&gt;1,0,1)</formula>
    </cfRule>
  </conditionalFormatting>
  <conditionalFormatting sqref="AH12:AI13">
    <cfRule type="expression" dxfId="2889" priority="55" stopIfTrue="1">
      <formula>IF(AK9&gt;2,0,1)</formula>
    </cfRule>
  </conditionalFormatting>
  <conditionalFormatting sqref="AH14:AI15">
    <cfRule type="expression" dxfId="2888" priority="56" stopIfTrue="1">
      <formula>IF(AK9&gt;3,0,1)</formula>
    </cfRule>
  </conditionalFormatting>
  <conditionalFormatting sqref="AH16:AI17">
    <cfRule type="expression" dxfId="2887" priority="57" stopIfTrue="1">
      <formula>IF(AK9&gt;4,0,1)</formula>
    </cfRule>
  </conditionalFormatting>
  <conditionalFormatting sqref="B19:D19">
    <cfRule type="expression" dxfId="2886" priority="58" stopIfTrue="1">
      <formula>IF(AK8&gt;0,0,1)</formula>
    </cfRule>
  </conditionalFormatting>
  <conditionalFormatting sqref="E19:G19">
    <cfRule type="expression" dxfId="2885" priority="59" stopIfTrue="1">
      <formula>IF(AK8&gt;1,0,1)</formula>
    </cfRule>
  </conditionalFormatting>
  <conditionalFormatting sqref="H19:J19">
    <cfRule type="expression" dxfId="2884" priority="60" stopIfTrue="1">
      <formula>IF(AK8&gt;2,0,1)</formula>
    </cfRule>
  </conditionalFormatting>
  <conditionalFormatting sqref="K19:M19">
    <cfRule type="expression" dxfId="2883" priority="61" stopIfTrue="1">
      <formula>IF(AK8&gt;3,0,1)</formula>
    </cfRule>
  </conditionalFormatting>
  <conditionalFormatting sqref="N19:P19">
    <cfRule type="expression" dxfId="2882" priority="62" stopIfTrue="1">
      <formula>IF(AK8&gt;4,0,1)</formula>
    </cfRule>
  </conditionalFormatting>
  <conditionalFormatting sqref="Q19:S19">
    <cfRule type="expression" dxfId="2881" priority="63" stopIfTrue="1">
      <formula>IF(AK8&gt;5,0,1)</formula>
    </cfRule>
  </conditionalFormatting>
  <conditionalFormatting sqref="T19:V19">
    <cfRule type="expression" dxfId="2880" priority="64" stopIfTrue="1">
      <formula>IF(AK8&gt;6,0,1)</formula>
    </cfRule>
  </conditionalFormatting>
  <conditionalFormatting sqref="W19:Y19">
    <cfRule type="expression" dxfId="2879" priority="65" stopIfTrue="1">
      <formula>IF(AK8&gt;7,0,1)</formula>
    </cfRule>
  </conditionalFormatting>
  <conditionalFormatting sqref="Z19:AB19">
    <cfRule type="expression" dxfId="2878" priority="66" stopIfTrue="1">
      <formula>IF(AK8&gt;8,0,1)</formula>
    </cfRule>
  </conditionalFormatting>
  <conditionalFormatting sqref="AC19:AE19">
    <cfRule type="expression" dxfId="2877" priority="67" stopIfTrue="1">
      <formula>IF(AK8&gt;9,0,1)</formula>
    </cfRule>
  </conditionalFormatting>
  <conditionalFormatting sqref="B20:D20">
    <cfRule type="expression" dxfId="2876" priority="68" stopIfTrue="1">
      <formula>IF(AK8&gt;0,0,1)</formula>
    </cfRule>
  </conditionalFormatting>
  <conditionalFormatting sqref="E20:G20">
    <cfRule type="expression" dxfId="2875" priority="69" stopIfTrue="1">
      <formula>IF(AK8&gt;1,0,1)</formula>
    </cfRule>
  </conditionalFormatting>
  <conditionalFormatting sqref="H20:J20">
    <cfRule type="expression" dxfId="2874" priority="70" stopIfTrue="1">
      <formula>IF(AK8&gt;2,0,1)</formula>
    </cfRule>
  </conditionalFormatting>
  <conditionalFormatting sqref="K20:M20">
    <cfRule type="expression" dxfId="2873" priority="71" stopIfTrue="1">
      <formula>IF(AK8&gt;3,0,1)</formula>
    </cfRule>
  </conditionalFormatting>
  <conditionalFormatting sqref="N20:P20">
    <cfRule type="expression" dxfId="2872" priority="72" stopIfTrue="1">
      <formula>IF(AK8&gt;4,0,1)</formula>
    </cfRule>
  </conditionalFormatting>
  <conditionalFormatting sqref="Q20:S20">
    <cfRule type="expression" dxfId="2871" priority="73" stopIfTrue="1">
      <formula>IF(AK8&gt;5,0,1)</formula>
    </cfRule>
  </conditionalFormatting>
  <conditionalFormatting sqref="T20:V20">
    <cfRule type="expression" dxfId="2870" priority="74" stopIfTrue="1">
      <formula>IF(AK8&gt;6,0,1)</formula>
    </cfRule>
  </conditionalFormatting>
  <conditionalFormatting sqref="W20:Y20">
    <cfRule type="expression" dxfId="2869" priority="75" stopIfTrue="1">
      <formula>IF(AK8&gt;7,0,1)</formula>
    </cfRule>
  </conditionalFormatting>
  <conditionalFormatting sqref="Z20:AB20">
    <cfRule type="expression" dxfId="2868" priority="76" stopIfTrue="1">
      <formula>IF(AK8&gt;8,0,1)</formula>
    </cfRule>
  </conditionalFormatting>
  <conditionalFormatting sqref="AC20:AE20">
    <cfRule type="expression" dxfId="2867" priority="77" stopIfTrue="1">
      <formula>IF(AK8&gt;9,0,1)</formula>
    </cfRule>
  </conditionalFormatting>
  <conditionalFormatting sqref="E22:G22">
    <cfRule type="expression" dxfId="2866" priority="78" stopIfTrue="1">
      <formula>IF(AK8&gt;1,0,1)</formula>
    </cfRule>
  </conditionalFormatting>
  <conditionalFormatting sqref="H22:J22">
    <cfRule type="expression" dxfId="2865" priority="79" stopIfTrue="1">
      <formula>IF(AK8&gt;2,0,1)</formula>
    </cfRule>
  </conditionalFormatting>
  <conditionalFormatting sqref="K22:M22">
    <cfRule type="expression" dxfId="2864" priority="80" stopIfTrue="1">
      <formula>IF(AK8&gt;3,0,1)</formula>
    </cfRule>
  </conditionalFormatting>
  <conditionalFormatting sqref="N22:P22">
    <cfRule type="expression" dxfId="2863" priority="81" stopIfTrue="1">
      <formula>IF(AK8&gt;4,0,1)</formula>
    </cfRule>
  </conditionalFormatting>
  <conditionalFormatting sqref="Q22:S22">
    <cfRule type="expression" dxfId="2862" priority="82" stopIfTrue="1">
      <formula>IF(AK8&gt;5,0,1)</formula>
    </cfRule>
  </conditionalFormatting>
  <conditionalFormatting sqref="T22:V22">
    <cfRule type="expression" dxfId="2861" priority="83" stopIfTrue="1">
      <formula>IF(AK8&gt;6,0,1)</formula>
    </cfRule>
  </conditionalFormatting>
  <conditionalFormatting sqref="W22:Y22">
    <cfRule type="expression" dxfId="2860" priority="84" stopIfTrue="1">
      <formula>IF(AK8&gt;7,0,1)</formula>
    </cfRule>
  </conditionalFormatting>
  <conditionalFormatting sqref="Z22:AB22">
    <cfRule type="expression" dxfId="2859" priority="85" stopIfTrue="1">
      <formula>IF(AK8&gt;8,0,1)</formula>
    </cfRule>
  </conditionalFormatting>
  <conditionalFormatting sqref="AC22:AE22">
    <cfRule type="expression" dxfId="2858" priority="86" stopIfTrue="1">
      <formula>IF(AK8&gt;9,0,1)</formula>
    </cfRule>
  </conditionalFormatting>
  <conditionalFormatting sqref="E23:G23">
    <cfRule type="expression" dxfId="2857" priority="87" stopIfTrue="1">
      <formula>IF(AK8&gt;1,0,1)</formula>
    </cfRule>
  </conditionalFormatting>
  <conditionalFormatting sqref="H23:J23">
    <cfRule type="expression" dxfId="2856" priority="88" stopIfTrue="1">
      <formula>IF(AK8&gt;2,0,1)</formula>
    </cfRule>
  </conditionalFormatting>
  <conditionalFormatting sqref="K23:M23">
    <cfRule type="expression" dxfId="2855" priority="89" stopIfTrue="1">
      <formula>IF(AK8&gt;3,0,1)</formula>
    </cfRule>
  </conditionalFormatting>
  <conditionalFormatting sqref="N23:P23">
    <cfRule type="expression" dxfId="2854" priority="90" stopIfTrue="1">
      <formula>IF(AK8&gt;4,0,1)</formula>
    </cfRule>
  </conditionalFormatting>
  <conditionalFormatting sqref="Q23:S23">
    <cfRule type="expression" dxfId="2853" priority="91" stopIfTrue="1">
      <formula>IF(AK8&gt;5,0,1)</formula>
    </cfRule>
  </conditionalFormatting>
  <conditionalFormatting sqref="T23:V23">
    <cfRule type="expression" dxfId="2852" priority="92" stopIfTrue="1">
      <formula>IF(AK8&gt;6,0,1)</formula>
    </cfRule>
  </conditionalFormatting>
  <conditionalFormatting sqref="W23:Y23">
    <cfRule type="expression" dxfId="2851" priority="93" stopIfTrue="1">
      <formula>IF(AK8&gt;7,0,1)</formula>
    </cfRule>
  </conditionalFormatting>
  <conditionalFormatting sqref="Z23:AB23">
    <cfRule type="expression" dxfId="2850" priority="94" stopIfTrue="1">
      <formula>IF(AK8&gt;8,0,1)</formula>
    </cfRule>
  </conditionalFormatting>
  <conditionalFormatting sqref="AC23:AE23">
    <cfRule type="expression" dxfId="2849" priority="95" stopIfTrue="1">
      <formula>IF(AK8&gt;9,0,1)</formula>
    </cfRule>
  </conditionalFormatting>
  <conditionalFormatting sqref="W24">
    <cfRule type="expression" dxfId="2848" priority="96" stopIfTrue="1">
      <formula>IF(AK8&gt;7,0,1)</formula>
    </cfRule>
  </conditionalFormatting>
  <conditionalFormatting sqref="X24">
    <cfRule type="expression" dxfId="2847" priority="97" stopIfTrue="1">
      <formula>IF(AK8&gt;7,0,1)</formula>
    </cfRule>
  </conditionalFormatting>
  <conditionalFormatting sqref="Y24">
    <cfRule type="expression" dxfId="2846" priority="98" stopIfTrue="1">
      <formula>IF(AK8&gt;7,0,1)</formula>
    </cfRule>
  </conditionalFormatting>
  <conditionalFormatting sqref="Z24">
    <cfRule type="expression" dxfId="2845" priority="99" stopIfTrue="1">
      <formula>IF(AK8&gt;8,0,1)</formula>
    </cfRule>
  </conditionalFormatting>
  <conditionalFormatting sqref="AA24">
    <cfRule type="expression" dxfId="2844" priority="100" stopIfTrue="1">
      <formula>IF(AK8&gt;8,0,1)</formula>
    </cfRule>
  </conditionalFormatting>
  <conditionalFormatting sqref="AB24">
    <cfRule type="expression" dxfId="2843" priority="101" stopIfTrue="1">
      <formula>IF(AK8&gt;8,0,1)</formula>
    </cfRule>
  </conditionalFormatting>
  <conditionalFormatting sqref="AC24">
    <cfRule type="expression" dxfId="2842" priority="102" stopIfTrue="1">
      <formula>IF(AK8&gt;9,0,1)</formula>
    </cfRule>
  </conditionalFormatting>
  <conditionalFormatting sqref="AD24">
    <cfRule type="expression" dxfId="2841" priority="103" stopIfTrue="1">
      <formula>IF(AK8&gt;9,0,1)</formula>
    </cfRule>
  </conditionalFormatting>
  <conditionalFormatting sqref="AE24">
    <cfRule type="expression" dxfId="2840" priority="104" stopIfTrue="1">
      <formula>IF(AK8&gt;9,0,1)</formula>
    </cfRule>
  </conditionalFormatting>
  <conditionalFormatting sqref="A26">
    <cfRule type="expression" dxfId="2839" priority="105" stopIfTrue="1">
      <formula>IF(AK7&gt;1,0,1)</formula>
    </cfRule>
  </conditionalFormatting>
  <conditionalFormatting sqref="A27">
    <cfRule type="expression" dxfId="2838" priority="106" stopIfTrue="1">
      <formula>IF(AK7&gt;2,0,1)</formula>
    </cfRule>
  </conditionalFormatting>
  <conditionalFormatting sqref="A28">
    <cfRule type="expression" dxfId="2837" priority="107" stopIfTrue="1">
      <formula>IF(AK7&gt;3,0,1)</formula>
    </cfRule>
  </conditionalFormatting>
  <conditionalFormatting sqref="A29">
    <cfRule type="expression" dxfId="2836" priority="108" stopIfTrue="1">
      <formula>IF(AK7&gt;4,0,1)</formula>
    </cfRule>
  </conditionalFormatting>
  <conditionalFormatting sqref="B26:D26">
    <cfRule type="expression" dxfId="2835" priority="109" stopIfTrue="1">
      <formula>IF($AK8&lt;1,1,IF($AK7&lt;2,1,0))</formula>
    </cfRule>
  </conditionalFormatting>
  <conditionalFormatting sqref="B27:D27">
    <cfRule type="expression" dxfId="2834" priority="110" stopIfTrue="1">
      <formula>IF($AK8&lt;1,1,IF($AK7&lt;3,1,0))</formula>
    </cfRule>
  </conditionalFormatting>
  <conditionalFormatting sqref="B28:D28">
    <cfRule type="expression" dxfId="2833" priority="111" stopIfTrue="1">
      <formula>IF($AK8&lt;1,1,IF($AK7&lt;4,1,0))</formula>
    </cfRule>
  </conditionalFormatting>
  <conditionalFormatting sqref="B29:D29">
    <cfRule type="expression" dxfId="2832" priority="112" stopIfTrue="1">
      <formula>IF($AK8&lt;1,1,IF($AK7&lt;5,1,0))</formula>
    </cfRule>
  </conditionalFormatting>
  <conditionalFormatting sqref="AG23">
    <cfRule type="expression" dxfId="2831" priority="113" stopIfTrue="1">
      <formula>IF($AK8&lt;1,1,0)</formula>
    </cfRule>
  </conditionalFormatting>
  <conditionalFormatting sqref="AH23">
    <cfRule type="expression" dxfId="2830" priority="114" stopIfTrue="1">
      <formula>IF($AK8&lt;2,1,0)</formula>
    </cfRule>
  </conditionalFormatting>
  <conditionalFormatting sqref="AI23">
    <cfRule type="expression" dxfId="2829" priority="115" stopIfTrue="1">
      <formula>IF($AK8&lt;3,1,0)</formula>
    </cfRule>
  </conditionalFormatting>
  <conditionalFormatting sqref="AJ23">
    <cfRule type="expression" dxfId="2828" priority="116" stopIfTrue="1">
      <formula>IF($AK8&lt;4,1,0)</formula>
    </cfRule>
  </conditionalFormatting>
  <conditionalFormatting sqref="AK23">
    <cfRule type="expression" dxfId="2827" priority="117" stopIfTrue="1">
      <formula>IF($AK8&lt;5,1,0)</formula>
    </cfRule>
  </conditionalFormatting>
  <conditionalFormatting sqref="AL23">
    <cfRule type="expression" dxfId="2826" priority="118" stopIfTrue="1">
      <formula>IF($AK8&lt;6,1,0)</formula>
    </cfRule>
  </conditionalFormatting>
  <conditionalFormatting sqref="AM23">
    <cfRule type="expression" dxfId="2825" priority="119" stopIfTrue="1">
      <formula>IF($AK8&lt;7,1,0)</formula>
    </cfRule>
  </conditionalFormatting>
  <conditionalFormatting sqref="AN23">
    <cfRule type="expression" dxfId="2824" priority="120" stopIfTrue="1">
      <formula>IF($AK8&lt;8,1,0)</formula>
    </cfRule>
  </conditionalFormatting>
  <conditionalFormatting sqref="AO23">
    <cfRule type="expression" dxfId="2823" priority="121" stopIfTrue="1">
      <formula>IF($AK8&lt;9,1,0)</formula>
    </cfRule>
  </conditionalFormatting>
  <conditionalFormatting sqref="AP23">
    <cfRule type="expression" dxfId="2822" priority="122" stopIfTrue="1">
      <formula>IF($AK8&lt;10,1,0)</formula>
    </cfRule>
  </conditionalFormatting>
  <conditionalFormatting sqref="AQ24">
    <cfRule type="expression" dxfId="2821" priority="123" stopIfTrue="1">
      <formula>IF($AK9&gt;0,0,1)</formula>
    </cfRule>
  </conditionalFormatting>
  <conditionalFormatting sqref="AQ25">
    <cfRule type="expression" dxfId="2820" priority="124" stopIfTrue="1">
      <formula>IF($AK9&gt;1,0,1)</formula>
    </cfRule>
  </conditionalFormatting>
  <conditionalFormatting sqref="AQ26">
    <cfRule type="expression" dxfId="2819" priority="125" stopIfTrue="1">
      <formula>IF($AK9&gt;2,0,1)</formula>
    </cfRule>
  </conditionalFormatting>
  <conditionalFormatting sqref="AQ27">
    <cfRule type="expression" dxfId="2818" priority="126" stopIfTrue="1">
      <formula>IF($AK9&gt;3,0,1)</formula>
    </cfRule>
  </conditionalFormatting>
  <conditionalFormatting sqref="AQ28">
    <cfRule type="expression" dxfId="2817" priority="127" stopIfTrue="1">
      <formula>IF($AK9&gt;4,0,1)</formula>
    </cfRule>
  </conditionalFormatting>
  <conditionalFormatting sqref="E26:G26">
    <cfRule type="expression" dxfId="2816" priority="128" stopIfTrue="1">
      <formula>IF($AK8&lt;2,1,IF($AK7&lt;2,1,0))</formula>
    </cfRule>
  </conditionalFormatting>
  <conditionalFormatting sqref="E27:G27">
    <cfRule type="expression" dxfId="2815" priority="129" stopIfTrue="1">
      <formula>IF($AK8&lt;2,1,IF($AK7&lt;3,1,0))</formula>
    </cfRule>
  </conditionalFormatting>
  <conditionalFormatting sqref="E28:G28">
    <cfRule type="expression" dxfId="2814" priority="130" stopIfTrue="1">
      <formula>IF($AK8&lt;2,1,IF($AK7&lt;4,1,0))</formula>
    </cfRule>
  </conditionalFormatting>
  <conditionalFormatting sqref="E29:G29">
    <cfRule type="expression" dxfId="2813" priority="131" stopIfTrue="1">
      <formula>IF($AK8&lt;2,1,IF($AK7&lt;5,1,0))</formula>
    </cfRule>
  </conditionalFormatting>
  <conditionalFormatting sqref="W25:Y25">
    <cfRule type="expression" dxfId="2812" priority="132" stopIfTrue="1">
      <formula>IF($AK8&gt;7,0,1)</formula>
    </cfRule>
  </conditionalFormatting>
  <conditionalFormatting sqref="Z25:AB25">
    <cfRule type="expression" dxfId="2811" priority="133" stopIfTrue="1">
      <formula>IF($AK8&gt;8,0,1)</formula>
    </cfRule>
  </conditionalFormatting>
  <conditionalFormatting sqref="AC25:AE25">
    <cfRule type="expression" dxfId="2810" priority="134" stopIfTrue="1">
      <formula>IF($AK8&gt;9,0,1)</formula>
    </cfRule>
  </conditionalFormatting>
  <conditionalFormatting sqref="H26:J26">
    <cfRule type="expression" dxfId="2809" priority="135" stopIfTrue="1">
      <formula>IF($AK8&lt;3,1,IF($AK7&lt;2,1,0))</formula>
    </cfRule>
  </conditionalFormatting>
  <conditionalFormatting sqref="K26:M26">
    <cfRule type="expression" dxfId="2808" priority="136" stopIfTrue="1">
      <formula>IF($AK8&lt;4,1,IF($AK7&lt;2,1,0))</formula>
    </cfRule>
  </conditionalFormatting>
  <conditionalFormatting sqref="N26:P26">
    <cfRule type="expression" dxfId="2807" priority="137" stopIfTrue="1">
      <formula>IF($AK8&lt;5,1,IF($AK7&lt;2,1,0))</formula>
    </cfRule>
  </conditionalFormatting>
  <conditionalFormatting sqref="Q26:S26">
    <cfRule type="expression" dxfId="2806" priority="138" stopIfTrue="1">
      <formula>IF($AK8&lt;6,1,IF($AK7&lt;2,1,0))</formula>
    </cfRule>
  </conditionalFormatting>
  <conditionalFormatting sqref="T26:V26">
    <cfRule type="expression" dxfId="2805" priority="139" stopIfTrue="1">
      <formula>IF($AK8&lt;7,1,IF($AK7&lt;2,1,0))</formula>
    </cfRule>
  </conditionalFormatting>
  <conditionalFormatting sqref="W26:Y26">
    <cfRule type="expression" dxfId="2804" priority="140" stopIfTrue="1">
      <formula>IF($AK8&lt;8,1,IF($AK7&lt;2,1,0))</formula>
    </cfRule>
  </conditionalFormatting>
  <conditionalFormatting sqref="Z26:AB26">
    <cfRule type="expression" dxfId="2803" priority="141" stopIfTrue="1">
      <formula>IF($AK8&lt;9,1,IF($AK7&lt;2,1,0))</formula>
    </cfRule>
  </conditionalFormatting>
  <conditionalFormatting sqref="AC26:AE26">
    <cfRule type="expression" dxfId="2802" priority="142" stopIfTrue="1">
      <formula>IF($AK8&lt;10,1,IF($AK7&lt;2,1,0))</formula>
    </cfRule>
  </conditionalFormatting>
  <conditionalFormatting sqref="H27:J27">
    <cfRule type="expression" dxfId="2801" priority="143" stopIfTrue="1">
      <formula>IF($AK8&lt;3,1,IF($AK7&lt;3,1,0))</formula>
    </cfRule>
  </conditionalFormatting>
  <conditionalFormatting sqref="K27:M27">
    <cfRule type="expression" dxfId="2800" priority="144" stopIfTrue="1">
      <formula>IF($AK8&lt;4,1,IF($AK7&lt;3,1,0))</formula>
    </cfRule>
  </conditionalFormatting>
  <conditionalFormatting sqref="N27:P27">
    <cfRule type="expression" dxfId="2799" priority="145" stopIfTrue="1">
      <formula>IF($AK8&lt;5,1,IF($AK7&lt;3,1,0))</formula>
    </cfRule>
  </conditionalFormatting>
  <conditionalFormatting sqref="Q27:S27">
    <cfRule type="expression" dxfId="2798" priority="146" stopIfTrue="1">
      <formula>IF($AK8&lt;6,1,IF($AK7&lt;3,1,0))</formula>
    </cfRule>
  </conditionalFormatting>
  <conditionalFormatting sqref="T27:V27">
    <cfRule type="expression" dxfId="2797" priority="147" stopIfTrue="1">
      <formula>IF($AK8&lt;7,1,IF($AK7&lt;3,1,0))</formula>
    </cfRule>
  </conditionalFormatting>
  <conditionalFormatting sqref="W27:Y27">
    <cfRule type="expression" dxfId="2796" priority="148" stopIfTrue="1">
      <formula>IF($AK8&lt;8,1,IF($AK7&lt;3,1,0))</formula>
    </cfRule>
  </conditionalFormatting>
  <conditionalFormatting sqref="Z27:AB27">
    <cfRule type="expression" dxfId="2795" priority="149" stopIfTrue="1">
      <formula>IF($AK8&lt;9,1,IF($AK7&lt;3,1,0))</formula>
    </cfRule>
  </conditionalFormatting>
  <conditionalFormatting sqref="AC27:AE27">
    <cfRule type="expression" dxfId="2794" priority="150" stopIfTrue="1">
      <formula>IF($AK8&lt;10,1,IF($AK7&lt;3,1,0))</formula>
    </cfRule>
  </conditionalFormatting>
  <conditionalFormatting sqref="H28:J28">
    <cfRule type="expression" dxfId="2793" priority="151" stopIfTrue="1">
      <formula>IF($AK8&lt;3,1,IF($AK7&lt;4,1,0))</formula>
    </cfRule>
  </conditionalFormatting>
  <conditionalFormatting sqref="K28:M28">
    <cfRule type="expression" dxfId="2792" priority="152" stopIfTrue="1">
      <formula>IF($AK8&lt;4,1,IF($AK7&lt;4,1,0))</formula>
    </cfRule>
  </conditionalFormatting>
  <conditionalFormatting sqref="N28:P28">
    <cfRule type="expression" dxfId="2791" priority="153" stopIfTrue="1">
      <formula>IF($AK8&lt;5,1,IF($AK7&lt;4,1,0))</formula>
    </cfRule>
  </conditionalFormatting>
  <conditionalFormatting sqref="Q28:S28">
    <cfRule type="expression" dxfId="2790" priority="154" stopIfTrue="1">
      <formula>IF($AK8&lt;6,1,IF($AK7&lt;4,1,0))</formula>
    </cfRule>
  </conditionalFormatting>
  <conditionalFormatting sqref="T28:V28">
    <cfRule type="expression" dxfId="2789" priority="155" stopIfTrue="1">
      <formula>IF($AK8&lt;7,1,IF($AK7&lt;4,1,0))</formula>
    </cfRule>
  </conditionalFormatting>
  <conditionalFormatting sqref="W28:Y28">
    <cfRule type="expression" dxfId="2788" priority="156" stopIfTrue="1">
      <formula>IF($AK8&lt;8,1,IF($AK7&lt;4,1,0))</formula>
    </cfRule>
  </conditionalFormatting>
  <conditionalFormatting sqref="Z28:AB28">
    <cfRule type="expression" dxfId="2787" priority="157" stopIfTrue="1">
      <formula>IF($AK8&lt;9,1,IF($AK7&lt;4,1,0))</formula>
    </cfRule>
  </conditionalFormatting>
  <conditionalFormatting sqref="AC28:AE28">
    <cfRule type="expression" dxfId="2786" priority="158" stopIfTrue="1">
      <formula>IF($AK8&lt;10,1,IF($AK7&lt;4,1,0))</formula>
    </cfRule>
  </conditionalFormatting>
  <conditionalFormatting sqref="H29:J29">
    <cfRule type="expression" dxfId="2785" priority="159" stopIfTrue="1">
      <formula>IF($AK8&lt;3,1,IF($AK7&lt;5,1,0))</formula>
    </cfRule>
  </conditionalFormatting>
  <conditionalFormatting sqref="K29:M29">
    <cfRule type="expression" dxfId="2784" priority="160" stopIfTrue="1">
      <formula>IF($AK8&lt;4,1,IF($AK7&lt;5,1,0))</formula>
    </cfRule>
  </conditionalFormatting>
  <conditionalFormatting sqref="N29:P29">
    <cfRule type="expression" dxfId="2783" priority="161" stopIfTrue="1">
      <formula>IF($AK8&lt;5,1,IF($AK7&lt;5,1,0))</formula>
    </cfRule>
  </conditionalFormatting>
  <conditionalFormatting sqref="Q29:S29">
    <cfRule type="expression" dxfId="2782" priority="162" stopIfTrue="1">
      <formula>IF($AK8&lt;6,1,IF($AK7&lt;5,1,0))</formula>
    </cfRule>
  </conditionalFormatting>
  <conditionalFormatting sqref="T29:V29">
    <cfRule type="expression" dxfId="2781" priority="163" stopIfTrue="1">
      <formula>IF($AK8&lt;7,1,IF($AK7&lt;5,1,0))</formula>
    </cfRule>
  </conditionalFormatting>
  <conditionalFormatting sqref="W29:Y29">
    <cfRule type="expression" dxfId="2780" priority="164" stopIfTrue="1">
      <formula>IF($AK8&lt;8,1,IF($AK7&lt;5,1,0))</formula>
    </cfRule>
  </conditionalFormatting>
  <conditionalFormatting sqref="Z29:AB29">
    <cfRule type="expression" dxfId="2779" priority="165" stopIfTrue="1">
      <formula>IF($AK8&lt;9,1,IF($AK7&lt;5,1,0))</formula>
    </cfRule>
  </conditionalFormatting>
  <conditionalFormatting sqref="AC29:AE29">
    <cfRule type="expression" dxfId="2778" priority="166" stopIfTrue="1">
      <formula>IF($AK8&lt;10,1,IF($AK7&lt;5,1,0))</formula>
    </cfRule>
  </conditionalFormatting>
  <conditionalFormatting sqref="R8:AB9 AF8:AF9 L8:P9 AG8">
    <cfRule type="expression" dxfId="2777" priority="167" stopIfTrue="1">
      <formula>IF($AK9&gt;0,0,1)</formula>
    </cfRule>
  </conditionalFormatting>
  <conditionalFormatting sqref="R10:AB11 AF10:AF11 L10:P11 AG10">
    <cfRule type="expression" dxfId="2776" priority="168" stopIfTrue="1">
      <formula>IF($AK9&gt;1,0,1)</formula>
    </cfRule>
  </conditionalFormatting>
  <conditionalFormatting sqref="R12:AB13 AF12:AF13 L12:P13 AG12">
    <cfRule type="expression" dxfId="2775" priority="169" stopIfTrue="1">
      <formula>IF($AK9&gt;2,0,1)</formula>
    </cfRule>
  </conditionalFormatting>
  <conditionalFormatting sqref="R14:AB15 AF14:AF15 L14:P15 AG14">
    <cfRule type="expression" dxfId="2774" priority="170" stopIfTrue="1">
      <formula>IF($AK9&gt;3,0,1)</formula>
    </cfRule>
  </conditionalFormatting>
  <conditionalFormatting sqref="R16:AB17 AF16:AF17 L16:P17 AG16">
    <cfRule type="expression" dxfId="2773" priority="171" stopIfTrue="1">
      <formula>IF($AK9&gt;4,0,1)</formula>
    </cfRule>
  </conditionalFormatting>
  <conditionalFormatting sqref="E8">
    <cfRule type="expression" dxfId="2772" priority="172" stopIfTrue="1">
      <formula>IF(AK9&gt;0,0,1)</formula>
    </cfRule>
  </conditionalFormatting>
  <conditionalFormatting sqref="E9">
    <cfRule type="expression" dxfId="2771" priority="173" stopIfTrue="1">
      <formula>IF(AK9&gt;0,0,1)</formula>
    </cfRule>
  </conditionalFormatting>
  <conditionalFormatting sqref="E10">
    <cfRule type="expression" dxfId="2770" priority="174" stopIfTrue="1">
      <formula>IF(AK9&gt;1,0,1)</formula>
    </cfRule>
  </conditionalFormatting>
  <conditionalFormatting sqref="E11">
    <cfRule type="expression" dxfId="2769" priority="175" stopIfTrue="1">
      <formula>IF(AK9&gt;1,0,1)</formula>
    </cfRule>
  </conditionalFormatting>
  <conditionalFormatting sqref="E12">
    <cfRule type="expression" dxfId="2768" priority="176" stopIfTrue="1">
      <formula>IF(AK9&gt;2,0,1)</formula>
    </cfRule>
  </conditionalFormatting>
  <conditionalFormatting sqref="E13">
    <cfRule type="expression" dxfId="2767" priority="177" stopIfTrue="1">
      <formula>IF(AK9&gt;2,0,1)</formula>
    </cfRule>
  </conditionalFormatting>
  <conditionalFormatting sqref="E14">
    <cfRule type="expression" dxfId="2766" priority="178" stopIfTrue="1">
      <formula>IF(AK9&gt;3,0,1)</formula>
    </cfRule>
  </conditionalFormatting>
  <conditionalFormatting sqref="E15">
    <cfRule type="expression" dxfId="2765" priority="179" stopIfTrue="1">
      <formula>IF(AK9&gt;3,0,1)</formula>
    </cfRule>
  </conditionalFormatting>
  <conditionalFormatting sqref="E16">
    <cfRule type="expression" dxfId="2764" priority="180" stopIfTrue="1">
      <formula>IF(AK9&gt;4,0,1)</formula>
    </cfRule>
  </conditionalFormatting>
  <conditionalFormatting sqref="E17">
    <cfRule type="expression" dxfId="2763" priority="181" stopIfTrue="1">
      <formula>IF(AK9&gt;4,0,1)</formula>
    </cfRule>
  </conditionalFormatting>
  <conditionalFormatting sqref="B21:D21">
    <cfRule type="expression" dxfId="2762" priority="182" stopIfTrue="1">
      <formula>IF(AK8&gt;0,0,1)</formula>
    </cfRule>
  </conditionalFormatting>
  <conditionalFormatting sqref="E21:G21">
    <cfRule type="expression" dxfId="2761" priority="183" stopIfTrue="1">
      <formula>IF(AK8&gt;1,0,1)</formula>
    </cfRule>
  </conditionalFormatting>
  <conditionalFormatting sqref="H21:J21">
    <cfRule type="expression" dxfId="2760" priority="184" stopIfTrue="1">
      <formula>IF(AK8&gt;2,0,1)</formula>
    </cfRule>
  </conditionalFormatting>
  <conditionalFormatting sqref="K21:M21">
    <cfRule type="expression" dxfId="2759" priority="185" stopIfTrue="1">
      <formula>IF(AK8&gt;3,0,1)</formula>
    </cfRule>
  </conditionalFormatting>
  <conditionalFormatting sqref="N21:P21">
    <cfRule type="expression" dxfId="2758" priority="186" stopIfTrue="1">
      <formula>IF(AK8&gt;4,0,1)</formula>
    </cfRule>
  </conditionalFormatting>
  <conditionalFormatting sqref="Q21:S21">
    <cfRule type="expression" dxfId="2757" priority="187" stopIfTrue="1">
      <formula>IF(AK8&gt;5,0,1)</formula>
    </cfRule>
  </conditionalFormatting>
  <conditionalFormatting sqref="T21:V21">
    <cfRule type="expression" dxfId="2756" priority="188" stopIfTrue="1">
      <formula>IF(AK8&gt;6,0,1)</formula>
    </cfRule>
  </conditionalFormatting>
  <conditionalFormatting sqref="W21:Y21">
    <cfRule type="expression" dxfId="2755" priority="189" stopIfTrue="1">
      <formula>IF(AK8&gt;7,0,1)</formula>
    </cfRule>
  </conditionalFormatting>
  <conditionalFormatting sqref="Z21:AB21">
    <cfRule type="expression" dxfId="2754" priority="190" stopIfTrue="1">
      <formula>IF(AK8&gt;8,0,1)</formula>
    </cfRule>
  </conditionalFormatting>
  <conditionalFormatting sqref="AC21:AE21">
    <cfRule type="expression" dxfId="2753" priority="191" stopIfTrue="1">
      <formula>IF(AK8&gt;9,0,1)</formula>
    </cfRule>
  </conditionalFormatting>
  <conditionalFormatting sqref="X138:X139 W129:W130 X129:Y129 W132:Y137 Z133:AE136 AA137:AA139 I137:I139 C138:C139 B129:B130 C129:D129 B132:D137 E133:J136 F137:F139 AD137:AD139">
    <cfRule type="expression" dxfId="2752" priority="192" stopIfTrue="1">
      <formula>IF(#REF!&gt;0,0,1)</formula>
    </cfRule>
  </conditionalFormatting>
  <conditionalFormatting sqref="AA129:AB129 AB137 AA132:AB132 Z137 Z129:Z132 F129:G129 G137 F132:G132 E137 E129:E132 T140:AE147">
    <cfRule type="expression" dxfId="2751" priority="193" stopIfTrue="1">
      <formula>IF(#REF!&gt;1,0,1)</formula>
    </cfRule>
  </conditionalFormatting>
  <conditionalFormatting sqref="AC129:AC132 AD129:AE129 AE137 AD132:AE132 AC137 H137 H129:H132 I129:J129 J137 I132:J132">
    <cfRule type="expression" dxfId="2750" priority="194" stopIfTrue="1">
      <formula>IF(#REF!&gt;2,0,1)</formula>
    </cfRule>
  </conditionalFormatting>
  <conditionalFormatting sqref="W138 Y138 B138 D138">
    <cfRule type="expression" dxfId="2749" priority="195" stopIfTrue="1">
      <formula>IF(#REF!&lt;1,1,IF(#REF!&lt;2,1,0))</formula>
    </cfRule>
  </conditionalFormatting>
  <conditionalFormatting sqref="Z138 AB138 E138 G138">
    <cfRule type="expression" dxfId="2748" priority="196" stopIfTrue="1">
      <formula>IF(#REF!&lt;2,1,IF(#REF!&lt;2,1,0))</formula>
    </cfRule>
  </conditionalFormatting>
  <conditionalFormatting sqref="AC138 AE138 H138 J138">
    <cfRule type="expression" dxfId="2747" priority="197" stopIfTrue="1">
      <formula>IF(#REF!&lt;3,1,IF(#REF!&lt;2,1,0))</formula>
    </cfRule>
  </conditionalFormatting>
  <conditionalFormatting sqref="Y139 B139 D139 W139">
    <cfRule type="expression" dxfId="2746" priority="198" stopIfTrue="1">
      <formula>IF(#REF!&lt;1,1,IF(#REF!&lt;3,1,0))</formula>
    </cfRule>
  </conditionalFormatting>
  <conditionalFormatting sqref="AB139 E139 G139 Z139">
    <cfRule type="expression" dxfId="2745" priority="199" stopIfTrue="1">
      <formula>IF(#REF!&lt;2,1,IF(#REF!&lt;3,1,0))</formula>
    </cfRule>
  </conditionalFormatting>
  <conditionalFormatting sqref="AE139 H139 J139 AC139">
    <cfRule type="expression" dxfId="2744" priority="200" stopIfTrue="1">
      <formula>IF(#REF!&lt;3,1,IF(#REF!&lt;3,1,0))</formula>
    </cfRule>
  </conditionalFormatting>
  <conditionalFormatting sqref="AG24:AP28">
    <cfRule type="cellIs" dxfId="2743" priority="201" stopIfTrue="1" operator="notBetween">
      <formula>-9999</formula>
      <formula>9999</formula>
    </cfRule>
  </conditionalFormatting>
  <conditionalFormatting sqref="AC7">
    <cfRule type="expression" dxfId="2742" priority="202" stopIfTrue="1">
      <formula>IF($AK$11=0,1,0)</formula>
    </cfRule>
  </conditionalFormatting>
  <conditionalFormatting sqref="B18">
    <cfRule type="expression" dxfId="2741" priority="203" stopIfTrue="1">
      <formula>IF($AK$9&gt;0,0,1)</formula>
    </cfRule>
  </conditionalFormatting>
  <conditionalFormatting sqref="B22:D23">
    <cfRule type="cellIs" dxfId="2740" priority="204" stopIfTrue="1" operator="equal">
      <formula>99</formula>
    </cfRule>
  </conditionalFormatting>
  <conditionalFormatting sqref="C140 F140">
    <cfRule type="expression" dxfId="2739" priority="205" stopIfTrue="1">
      <formula>IF(#REF!&gt;0,0,1)</formula>
    </cfRule>
  </conditionalFormatting>
  <conditionalFormatting sqref="K129">
    <cfRule type="expression" dxfId="2738" priority="32" stopIfTrue="1">
      <formula>IF(#REF!&gt;2,0,1)</formula>
    </cfRule>
  </conditionalFormatting>
  <conditionalFormatting sqref="K129">
    <cfRule type="expression" dxfId="2737" priority="31" stopIfTrue="1">
      <formula>IF(#REF!&gt;2,0,1)</formula>
    </cfRule>
  </conditionalFormatting>
  <conditionalFormatting sqref="K129">
    <cfRule type="expression" dxfId="2736" priority="30" stopIfTrue="1">
      <formula>IF(#REF!&gt;2,0,1)</formula>
    </cfRule>
  </conditionalFormatting>
  <conditionalFormatting sqref="K129">
    <cfRule type="expression" dxfId="2735" priority="29" stopIfTrue="1">
      <formula>IF(ISNUMBER(K137),0,1)</formula>
    </cfRule>
  </conditionalFormatting>
  <conditionalFormatting sqref="B24">
    <cfRule type="expression" dxfId="2734" priority="1" stopIfTrue="1">
      <formula>IF(AK8&gt;0,0,1)</formula>
    </cfRule>
  </conditionalFormatting>
  <conditionalFormatting sqref="C24">
    <cfRule type="expression" dxfId="2733" priority="2" stopIfTrue="1">
      <formula>IF(AK8&gt;0,0,1)</formula>
    </cfRule>
  </conditionalFormatting>
  <conditionalFormatting sqref="D24">
    <cfRule type="expression" dxfId="2732" priority="3" stopIfTrue="1">
      <formula>IF(AK8&gt;0,0,1)</formula>
    </cfRule>
  </conditionalFormatting>
  <conditionalFormatting sqref="E24">
    <cfRule type="expression" dxfId="2731" priority="4" stopIfTrue="1">
      <formula>IF(AK8&gt;1,0,1)</formula>
    </cfRule>
  </conditionalFormatting>
  <conditionalFormatting sqref="F24">
    <cfRule type="expression" dxfId="2730" priority="5" stopIfTrue="1">
      <formula>IF(AK8&gt;1,0,1)</formula>
    </cfRule>
  </conditionalFormatting>
  <conditionalFormatting sqref="G24">
    <cfRule type="expression" dxfId="2729" priority="6" stopIfTrue="1">
      <formula>IF(AK8&gt;1,0,1)</formula>
    </cfRule>
  </conditionalFormatting>
  <conditionalFormatting sqref="H24">
    <cfRule type="expression" dxfId="2728" priority="7" stopIfTrue="1">
      <formula>IF(AK8&gt;2,0,1)</formula>
    </cfRule>
  </conditionalFormatting>
  <conditionalFormatting sqref="I24">
    <cfRule type="expression" dxfId="2727" priority="8" stopIfTrue="1">
      <formula>IF(AK8&gt;2,0,1)</formula>
    </cfRule>
  </conditionalFormatting>
  <conditionalFormatting sqref="J24">
    <cfRule type="expression" dxfId="2726" priority="9" stopIfTrue="1">
      <formula>IF(AK8&gt;2,0,1)</formula>
    </cfRule>
  </conditionalFormatting>
  <conditionalFormatting sqref="K24">
    <cfRule type="expression" dxfId="2725" priority="10" stopIfTrue="1">
      <formula>IF(AK8&gt;3,0,1)</formula>
    </cfRule>
  </conditionalFormatting>
  <conditionalFormatting sqref="L24">
    <cfRule type="expression" dxfId="2724" priority="11" stopIfTrue="1">
      <formula>IF(AK8&gt;3,0,1)</formula>
    </cfRule>
  </conditionalFormatting>
  <conditionalFormatting sqref="M24">
    <cfRule type="expression" dxfId="2723" priority="12" stopIfTrue="1">
      <formula>IF(AK8&gt;3,0,1)</formula>
    </cfRule>
  </conditionalFormatting>
  <conditionalFormatting sqref="N24">
    <cfRule type="expression" dxfId="2722" priority="13" stopIfTrue="1">
      <formula>IF(AK8&gt;4,0,1)</formula>
    </cfRule>
  </conditionalFormatting>
  <conditionalFormatting sqref="O24">
    <cfRule type="expression" dxfId="2721" priority="14" stopIfTrue="1">
      <formula>IF(AK8&gt;4,0,1)</formula>
    </cfRule>
  </conditionalFormatting>
  <conditionalFormatting sqref="P24">
    <cfRule type="expression" dxfId="2720" priority="15" stopIfTrue="1">
      <formula>IF(AK8&gt;4,0,1)</formula>
    </cfRule>
  </conditionalFormatting>
  <conditionalFormatting sqref="Q24">
    <cfRule type="expression" dxfId="2719" priority="16" stopIfTrue="1">
      <formula>IF(AK8&gt;5,0,1)</formula>
    </cfRule>
  </conditionalFormatting>
  <conditionalFormatting sqref="R24">
    <cfRule type="expression" dxfId="2718" priority="17" stopIfTrue="1">
      <formula>IF(AK8&gt;5,0,1)</formula>
    </cfRule>
  </conditionalFormatting>
  <conditionalFormatting sqref="S24">
    <cfRule type="expression" dxfId="2717" priority="18" stopIfTrue="1">
      <formula>IF(AK8&gt;5,0,1)</formula>
    </cfRule>
  </conditionalFormatting>
  <conditionalFormatting sqref="T24">
    <cfRule type="expression" dxfId="2716" priority="19" stopIfTrue="1">
      <formula>IF(AK8&gt;6,0,1)</formula>
    </cfRule>
  </conditionalFormatting>
  <conditionalFormatting sqref="U24">
    <cfRule type="expression" dxfId="2715" priority="20" stopIfTrue="1">
      <formula>IF(AK8&gt;6,0,1)</formula>
    </cfRule>
  </conditionalFormatting>
  <conditionalFormatting sqref="V24">
    <cfRule type="expression" dxfId="2714" priority="21" stopIfTrue="1">
      <formula>IF(AK8&gt;6,0,1)</formula>
    </cfRule>
  </conditionalFormatting>
  <conditionalFormatting sqref="B25:D25">
    <cfRule type="expression" dxfId="2713" priority="22" stopIfTrue="1">
      <formula>IF($AK8&gt;0,0,1)</formula>
    </cfRule>
  </conditionalFormatting>
  <conditionalFormatting sqref="H25:J25">
    <cfRule type="expression" dxfId="2712" priority="23" stopIfTrue="1">
      <formula>IF($AK8&gt;2,0,1)</formula>
    </cfRule>
  </conditionalFormatting>
  <conditionalFormatting sqref="E25:G25">
    <cfRule type="expression" dxfId="2711" priority="24" stopIfTrue="1">
      <formula>IF($AK8&gt;1,0,1)</formula>
    </cfRule>
  </conditionalFormatting>
  <conditionalFormatting sqref="K25:M25">
    <cfRule type="expression" dxfId="2710" priority="25" stopIfTrue="1">
      <formula>IF($AK8&gt;3,0,1)</formula>
    </cfRule>
  </conditionalFormatting>
  <conditionalFormatting sqref="N25:P25">
    <cfRule type="expression" dxfId="2709" priority="26" stopIfTrue="1">
      <formula>IF($AK8&gt;4,0,1)</formula>
    </cfRule>
  </conditionalFormatting>
  <conditionalFormatting sqref="Q25:S25">
    <cfRule type="expression" dxfId="2708" priority="27" stopIfTrue="1">
      <formula>IF($AK8&gt;5,0,1)</formula>
    </cfRule>
  </conditionalFormatting>
  <conditionalFormatting sqref="T25:V25">
    <cfRule type="expression" dxfId="2707" priority="28" stopIfTrue="1">
      <formula>IF($AK8&gt;6,0,1)</formula>
    </cfRule>
  </conditionalFormatting>
  <pageMargins left="0.25" right="0.25" top="0.25" bottom="0.25" header="0" footer="0"/>
  <pageSetup scale="80" fitToHeight="3" orientation="landscape" r:id="rId1"/>
  <headerFooter alignWithMargins="0"/>
  <rowBreaks count="1" manualBreakCount="1">
    <brk id="95" max="42" man="1"/>
  </rowBreaks>
  <drawing r:id="rId2"/>
  <legacyDrawing r:id="rId3"/>
  <controls>
    <mc:AlternateContent xmlns:mc="http://schemas.openxmlformats.org/markup-compatibility/2006">
      <mc:Choice Requires="x14">
        <control shapeId="41985" r:id="rId4" name="Pool1RecalcFinish">
          <controlPr defaultSize="0" autoLine="0" r:id="rId5">
            <anchor moveWithCells="1" sizeWithCells="1">
              <from>
                <xdr:col>36</xdr:col>
                <xdr:colOff>104775</xdr:colOff>
                <xdr:row>13</xdr:row>
                <xdr:rowOff>9525</xdr:rowOff>
              </from>
              <to>
                <xdr:col>41</xdr:col>
                <xdr:colOff>228600</xdr:colOff>
                <xdr:row>16</xdr:row>
                <xdr:rowOff>104775</xdr:rowOff>
              </to>
            </anchor>
          </controlPr>
        </control>
      </mc:Choice>
      <mc:Fallback>
        <control shapeId="41985" r:id="rId4" name="Pool1RecalcFinish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 enableFormatConditionsCalculation="0">
    <tabColor rgb="FFFFFF00"/>
    <pageSetUpPr fitToPage="1"/>
  </sheetPr>
  <dimension ref="A1:BS658"/>
  <sheetViews>
    <sheetView topLeftCell="AD1" zoomScale="85" zoomScaleNormal="85" workbookViewId="0">
      <selection activeCell="AW3" sqref="AW3"/>
    </sheetView>
  </sheetViews>
  <sheetFormatPr defaultColWidth="8.85546875" defaultRowHeight="12.75" x14ac:dyDescent="0.2"/>
  <cols>
    <col min="1" max="1" width="8.85546875" style="188"/>
    <col min="2" max="2" width="3.85546875" style="188" customWidth="1"/>
    <col min="3" max="3" width="2.140625" style="188" customWidth="1"/>
    <col min="4" max="5" width="3.85546875" style="188" customWidth="1"/>
    <col min="6" max="6" width="2.140625" style="188" customWidth="1"/>
    <col min="7" max="8" width="3.85546875" style="188" customWidth="1"/>
    <col min="9" max="9" width="2.140625" style="188" customWidth="1"/>
    <col min="10" max="11" width="3.85546875" style="188" customWidth="1"/>
    <col min="12" max="12" width="2.140625" style="188" customWidth="1"/>
    <col min="13" max="14" width="3.85546875" style="188" customWidth="1"/>
    <col min="15" max="15" width="2.140625" style="188" customWidth="1"/>
    <col min="16" max="17" width="3.85546875" style="188" customWidth="1"/>
    <col min="18" max="18" width="2.140625" style="188" customWidth="1"/>
    <col min="19" max="20" width="3.85546875" style="188" customWidth="1"/>
    <col min="21" max="21" width="2.140625" style="188" customWidth="1"/>
    <col min="22" max="23" width="3.85546875" style="188" customWidth="1"/>
    <col min="24" max="24" width="2.140625" style="188" customWidth="1"/>
    <col min="25" max="26" width="3.85546875" style="188" customWidth="1"/>
    <col min="27" max="27" width="2.140625" style="188" customWidth="1"/>
    <col min="28" max="29" width="3.85546875" style="188" customWidth="1"/>
    <col min="30" max="30" width="2.140625" style="188" customWidth="1"/>
    <col min="31" max="31" width="3.85546875" style="188" customWidth="1"/>
    <col min="32" max="32" width="9.85546875" style="188" customWidth="1"/>
    <col min="33" max="42" width="3.85546875" style="188" customWidth="1"/>
    <col min="43" max="43" width="11" style="188" customWidth="1"/>
    <col min="44" max="46" width="8.85546875" style="188"/>
    <col min="47" max="47" width="21" style="188" customWidth="1"/>
    <col min="48" max="48" width="24.42578125" style="188" customWidth="1"/>
    <col min="49" max="49" width="15.140625" style="234" customWidth="1"/>
    <col min="50" max="50" width="10.42578125" style="188" customWidth="1"/>
    <col min="51" max="51" width="11.140625" style="188" customWidth="1"/>
    <col min="52" max="52" width="25" style="188" customWidth="1"/>
    <col min="53" max="53" width="6" style="188" customWidth="1"/>
    <col min="54" max="16384" width="8.85546875" style="188"/>
  </cols>
  <sheetData>
    <row r="1" spans="1:53" ht="13.5" thickBot="1" x14ac:dyDescent="0.25">
      <c r="A1" s="654" t="s">
        <v>0</v>
      </c>
      <c r="B1" s="654"/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654"/>
      <c r="P1" s="654"/>
      <c r="Q1" s="654"/>
      <c r="R1" s="654"/>
      <c r="S1" s="654"/>
      <c r="T1" s="654"/>
      <c r="U1" s="654"/>
      <c r="V1" s="654"/>
      <c r="W1" s="654"/>
      <c r="X1" s="654"/>
      <c r="Y1" s="654"/>
      <c r="Z1" s="654"/>
      <c r="AA1" s="654"/>
      <c r="AB1" s="654"/>
      <c r="AC1" s="654"/>
      <c r="AD1" s="654"/>
      <c r="AE1" s="654"/>
      <c r="AF1" s="654"/>
      <c r="AG1" s="654"/>
      <c r="AH1" s="654"/>
      <c r="AI1" s="654"/>
      <c r="AJ1" s="189"/>
      <c r="AK1" s="189"/>
      <c r="AL1" s="189"/>
      <c r="AM1" s="189"/>
      <c r="AN1" s="189"/>
      <c r="AO1" s="189"/>
      <c r="AP1" s="189"/>
      <c r="AQ1" s="190" t="s">
        <v>1166</v>
      </c>
      <c r="AR1" s="191"/>
      <c r="AT1" s="655" t="s">
        <v>1</v>
      </c>
      <c r="AU1" s="656"/>
      <c r="AV1" s="656"/>
      <c r="AW1" s="657"/>
      <c r="AX1" s="658" t="s">
        <v>2</v>
      </c>
      <c r="AY1" s="659"/>
      <c r="AZ1" s="193" t="s">
        <v>3</v>
      </c>
      <c r="BA1" s="194">
        <v>32</v>
      </c>
    </row>
    <row r="2" spans="1:53" ht="18.75" customHeight="1" thickBot="1" x14ac:dyDescent="0.3">
      <c r="A2" s="660" t="s">
        <v>4</v>
      </c>
      <c r="B2" s="661"/>
      <c r="C2" s="661"/>
      <c r="D2" s="661"/>
      <c r="E2" s="661"/>
      <c r="F2" s="661"/>
      <c r="G2" s="661"/>
      <c r="H2" s="661"/>
      <c r="I2" s="662"/>
      <c r="J2" s="663" t="s">
        <v>351</v>
      </c>
      <c r="K2" s="664"/>
      <c r="L2" s="664"/>
      <c r="M2" s="664"/>
      <c r="N2" s="664"/>
      <c r="O2" s="664"/>
      <c r="P2" s="664"/>
      <c r="Q2" s="664"/>
      <c r="R2" s="664"/>
      <c r="S2" s="664"/>
      <c r="T2" s="664"/>
      <c r="U2" s="664"/>
      <c r="V2" s="664"/>
      <c r="W2" s="664"/>
      <c r="X2" s="665"/>
      <c r="Y2" s="666" t="s">
        <v>5</v>
      </c>
      <c r="Z2" s="667"/>
      <c r="AA2" s="667"/>
      <c r="AB2" s="667"/>
      <c r="AC2" s="668"/>
      <c r="AD2" s="637" t="s">
        <v>362</v>
      </c>
      <c r="AE2" s="637"/>
      <c r="AF2" s="637"/>
      <c r="AG2" s="637"/>
      <c r="AH2" s="637"/>
      <c r="AI2" s="638"/>
      <c r="AJ2" s="195"/>
      <c r="AK2" s="195"/>
      <c r="AL2" s="195"/>
      <c r="AM2" s="195"/>
      <c r="AN2" s="195"/>
      <c r="AO2" s="195"/>
      <c r="AP2" s="195"/>
      <c r="AQ2" s="195"/>
      <c r="AR2" s="191"/>
      <c r="AT2" s="196" t="s">
        <v>6</v>
      </c>
      <c r="AU2" s="197" t="s">
        <v>7</v>
      </c>
      <c r="AV2" s="198" t="s">
        <v>8</v>
      </c>
      <c r="AW2" s="192" t="s">
        <v>9</v>
      </c>
      <c r="AX2" s="199" t="s">
        <v>10</v>
      </c>
      <c r="AY2" s="192" t="s">
        <v>11</v>
      </c>
      <c r="AZ2" s="193" t="s">
        <v>12</v>
      </c>
      <c r="BA2" s="194">
        <v>16</v>
      </c>
    </row>
    <row r="3" spans="1:53" ht="18.75" customHeight="1" thickBot="1" x14ac:dyDescent="0.3">
      <c r="A3" s="200" t="s">
        <v>13</v>
      </c>
      <c r="B3" s="639" t="s">
        <v>523</v>
      </c>
      <c r="C3" s="640"/>
      <c r="D3" s="640"/>
      <c r="E3" s="640"/>
      <c r="F3" s="640"/>
      <c r="G3" s="640"/>
      <c r="H3" s="640"/>
      <c r="I3" s="640"/>
      <c r="J3" s="640"/>
      <c r="K3" s="640"/>
      <c r="L3" s="640"/>
      <c r="M3" s="640"/>
      <c r="N3" s="640"/>
      <c r="O3" s="641"/>
      <c r="P3" s="642" t="s">
        <v>14</v>
      </c>
      <c r="Q3" s="643"/>
      <c r="R3" s="643"/>
      <c r="S3" s="644" t="s">
        <v>1179</v>
      </c>
      <c r="T3" s="645"/>
      <c r="U3" s="645"/>
      <c r="V3" s="645"/>
      <c r="W3" s="645"/>
      <c r="X3" s="646"/>
      <c r="Y3" s="647" t="s">
        <v>15</v>
      </c>
      <c r="Z3" s="648"/>
      <c r="AA3" s="648"/>
      <c r="AB3" s="648"/>
      <c r="AC3" s="648"/>
      <c r="AD3" s="649"/>
      <c r="AE3" s="650" t="s">
        <v>16</v>
      </c>
      <c r="AF3" s="651"/>
      <c r="AG3" s="652" t="s">
        <v>17</v>
      </c>
      <c r="AH3" s="652"/>
      <c r="AI3" s="653"/>
      <c r="AJ3" s="195"/>
      <c r="AK3" s="195"/>
      <c r="AL3" s="195"/>
      <c r="AM3" s="195"/>
      <c r="AN3" s="195"/>
      <c r="AO3" s="195"/>
      <c r="AP3" s="195"/>
      <c r="AQ3" s="195"/>
      <c r="AR3" s="191"/>
      <c r="AT3" s="201">
        <v>1</v>
      </c>
      <c r="AU3" s="167" t="s">
        <v>480</v>
      </c>
      <c r="AV3" s="167" t="s">
        <v>481</v>
      </c>
      <c r="AW3" s="16">
        <f>VLOOKUP(AV3,Initial!G:K,5,FALSE)</f>
        <v>1552.5217618694735</v>
      </c>
      <c r="AX3" s="202">
        <f t="shared" ref="AX3:AX16" si="0">VLOOKUP(AU3,AT$79:AU$259,2,FALSE)</f>
        <v>1569.7710046940956</v>
      </c>
      <c r="AY3" s="203">
        <f t="shared" ref="AY3:AY16" si="1">IF(ISNA(VLOOKUP(AU3,AT$273:AU$373,2,FALSE)),AX3,VLOOKUP(AU3,AT$273:AU$373,2,FALSE))</f>
        <v>1577.5150270118809</v>
      </c>
    </row>
    <row r="4" spans="1:53" ht="24" customHeight="1" thickBot="1" x14ac:dyDescent="0.25">
      <c r="A4" s="630" t="s">
        <v>18</v>
      </c>
      <c r="B4" s="631"/>
      <c r="C4" s="631"/>
      <c r="D4" s="632"/>
      <c r="E4" s="633" t="s">
        <v>1171</v>
      </c>
      <c r="F4" s="634"/>
      <c r="G4" s="634"/>
      <c r="H4" s="634"/>
      <c r="I4" s="634"/>
      <c r="J4" s="634"/>
      <c r="K4" s="634"/>
      <c r="L4" s="634"/>
      <c r="M4" s="635"/>
      <c r="N4" s="630" t="s">
        <v>19</v>
      </c>
      <c r="O4" s="631"/>
      <c r="P4" s="631"/>
      <c r="Q4" s="632"/>
      <c r="R4" s="636"/>
      <c r="S4" s="637"/>
      <c r="T4" s="637"/>
      <c r="U4" s="637"/>
      <c r="V4" s="637"/>
      <c r="W4" s="637"/>
      <c r="X4" s="637"/>
      <c r="Y4" s="637"/>
      <c r="Z4" s="637"/>
      <c r="AA4" s="638"/>
      <c r="AB4" s="630" t="s">
        <v>20</v>
      </c>
      <c r="AC4" s="631"/>
      <c r="AD4" s="631"/>
      <c r="AE4" s="632"/>
      <c r="AF4" s="636"/>
      <c r="AG4" s="637"/>
      <c r="AH4" s="637"/>
      <c r="AI4" s="638"/>
      <c r="AJ4" s="195"/>
      <c r="AK4" s="195"/>
      <c r="AL4" s="195"/>
      <c r="AM4" s="195"/>
      <c r="AN4" s="195"/>
      <c r="AO4" s="195"/>
      <c r="AP4" s="195"/>
      <c r="AQ4" s="195"/>
      <c r="AR4" s="191"/>
      <c r="AT4" s="204">
        <v>2</v>
      </c>
      <c r="AU4" s="167" t="s">
        <v>477</v>
      </c>
      <c r="AV4" s="167" t="s">
        <v>224</v>
      </c>
      <c r="AW4" s="16">
        <f>VLOOKUP(AV4,Initial!G:K,5,FALSE)</f>
        <v>1547.6054388640575</v>
      </c>
      <c r="AX4" s="205">
        <f t="shared" si="0"/>
        <v>1620.2482713852037</v>
      </c>
      <c r="AY4" s="206">
        <f t="shared" si="1"/>
        <v>1636.452085468107</v>
      </c>
    </row>
    <row r="5" spans="1:53" ht="15.75" thickBot="1" x14ac:dyDescent="0.25">
      <c r="A5" s="189" t="s">
        <v>21</v>
      </c>
      <c r="B5" s="627" t="s">
        <v>21</v>
      </c>
      <c r="C5" s="628"/>
      <c r="D5" s="628"/>
      <c r="E5" s="628"/>
      <c r="F5" s="628"/>
      <c r="G5" s="628"/>
      <c r="H5" s="628"/>
      <c r="I5" s="628"/>
      <c r="J5" s="628"/>
      <c r="K5" s="629" t="s">
        <v>21</v>
      </c>
      <c r="L5" s="629"/>
      <c r="M5" s="629"/>
      <c r="N5" s="629"/>
      <c r="O5" s="629"/>
      <c r="P5" s="629"/>
      <c r="Q5" s="629"/>
      <c r="R5" s="629"/>
      <c r="S5" s="629"/>
      <c r="T5" s="629"/>
      <c r="U5" s="629"/>
      <c r="V5" s="629"/>
      <c r="W5" s="629"/>
      <c r="X5" s="629"/>
      <c r="Y5" s="629"/>
      <c r="Z5" s="629"/>
      <c r="AA5" s="629"/>
      <c r="AB5" s="629"/>
      <c r="AC5" s="629"/>
      <c r="AD5" s="629"/>
      <c r="AE5" s="629"/>
      <c r="AF5" s="189"/>
      <c r="AG5" s="189"/>
      <c r="AH5" s="189"/>
      <c r="AI5" s="189"/>
      <c r="AJ5" s="189"/>
      <c r="AK5" s="189"/>
      <c r="AL5" s="189"/>
      <c r="AM5" s="189"/>
      <c r="AN5" s="189"/>
      <c r="AO5" s="189"/>
      <c r="AP5" s="189"/>
      <c r="AQ5" s="189"/>
      <c r="AR5" s="191"/>
      <c r="AT5" s="204">
        <v>3</v>
      </c>
      <c r="AU5" s="167" t="s">
        <v>517</v>
      </c>
      <c r="AV5" s="167" t="s">
        <v>291</v>
      </c>
      <c r="AW5" s="16">
        <f>VLOOKUP(AV5,Initial!G:K,5,FALSE)</f>
        <v>1482.7085948011659</v>
      </c>
      <c r="AX5" s="205">
        <f t="shared" si="0"/>
        <v>1522.6067085520276</v>
      </c>
      <c r="AY5" s="206">
        <f t="shared" si="1"/>
        <v>1510.9885122956937</v>
      </c>
    </row>
    <row r="6" spans="1:53" ht="24" customHeight="1" thickBot="1" x14ac:dyDescent="0.25">
      <c r="A6" s="207" t="s">
        <v>22</v>
      </c>
      <c r="B6" s="208" t="s">
        <v>23</v>
      </c>
      <c r="C6" s="600" t="s">
        <v>24</v>
      </c>
      <c r="D6" s="601"/>
      <c r="E6" s="601"/>
      <c r="F6" s="601"/>
      <c r="G6" s="601"/>
      <c r="H6" s="602"/>
      <c r="I6" s="603">
        <v>1</v>
      </c>
      <c r="J6" s="604"/>
      <c r="K6" s="605" t="str">
        <f>"Pool "&amp;B6&amp;" - Round 1 - Court "&amp;I6</f>
        <v>Pool A - Round 1 - Court 1</v>
      </c>
      <c r="L6" s="606"/>
      <c r="M6" s="606"/>
      <c r="N6" s="606"/>
      <c r="O6" s="606"/>
      <c r="P6" s="606"/>
      <c r="Q6" s="606"/>
      <c r="R6" s="606"/>
      <c r="S6" s="606"/>
      <c r="T6" s="606"/>
      <c r="U6" s="606"/>
      <c r="V6" s="606"/>
      <c r="W6" s="606"/>
      <c r="X6" s="606"/>
      <c r="Y6" s="606"/>
      <c r="Z6" s="606"/>
      <c r="AA6" s="606"/>
      <c r="AB6" s="606"/>
      <c r="AC6" s="606"/>
      <c r="AD6" s="606"/>
      <c r="AE6" s="606"/>
      <c r="AF6" s="606"/>
      <c r="AG6" s="606"/>
      <c r="AH6" s="606"/>
      <c r="AI6" s="607"/>
      <c r="AJ6" s="195"/>
      <c r="AK6" s="195"/>
      <c r="AL6" s="195"/>
      <c r="AM6" s="195"/>
      <c r="AN6" s="195"/>
      <c r="AO6" s="195"/>
      <c r="AP6" s="195"/>
      <c r="AQ6" s="195"/>
      <c r="AT6" s="204">
        <v>4</v>
      </c>
      <c r="AU6" s="167" t="s">
        <v>471</v>
      </c>
      <c r="AV6" s="167" t="s">
        <v>472</v>
      </c>
      <c r="AW6" s="16">
        <f>VLOOKUP(AV6,Initial!G:K,5,FALSE)</f>
        <v>1457.5420336558111</v>
      </c>
      <c r="AX6" s="205">
        <f t="shared" si="0"/>
        <v>1490.735250413635</v>
      </c>
      <c r="AY6" s="206">
        <f t="shared" si="1"/>
        <v>1477.5353118598305</v>
      </c>
    </row>
    <row r="7" spans="1:53" ht="27" customHeight="1" thickBot="1" x14ac:dyDescent="0.25">
      <c r="A7" s="209" t="s">
        <v>25</v>
      </c>
      <c r="B7" s="608" t="s">
        <v>7</v>
      </c>
      <c r="C7" s="609"/>
      <c r="D7" s="609"/>
      <c r="E7" s="609"/>
      <c r="F7" s="609"/>
      <c r="G7" s="609"/>
      <c r="H7" s="609"/>
      <c r="I7" s="609"/>
      <c r="J7" s="609"/>
      <c r="K7" s="609"/>
      <c r="L7" s="608" t="str">
        <f>IF($AK10=0,"Games Won","Matches Won")</f>
        <v>Games Won</v>
      </c>
      <c r="M7" s="609"/>
      <c r="N7" s="609"/>
      <c r="O7" s="609"/>
      <c r="P7" s="609"/>
      <c r="Q7" s="610"/>
      <c r="R7" s="608" t="str">
        <f>IF($AK10=0,"Games Lost","Matches Lost")</f>
        <v>Games Lost</v>
      </c>
      <c r="S7" s="611"/>
      <c r="T7" s="611"/>
      <c r="U7" s="611"/>
      <c r="V7" s="612"/>
      <c r="W7" s="613" t="s">
        <v>26</v>
      </c>
      <c r="X7" s="614"/>
      <c r="Y7" s="615"/>
      <c r="Z7" s="613" t="s">
        <v>27</v>
      </c>
      <c r="AA7" s="614"/>
      <c r="AB7" s="615"/>
      <c r="AC7" s="616" t="s">
        <v>28</v>
      </c>
      <c r="AD7" s="617"/>
      <c r="AE7" s="618"/>
      <c r="AF7" s="210" t="s">
        <v>29</v>
      </c>
      <c r="AG7" s="211" t="s">
        <v>6</v>
      </c>
      <c r="AH7" s="598" t="s">
        <v>30</v>
      </c>
      <c r="AI7" s="599"/>
      <c r="AJ7" s="212"/>
      <c r="AK7" s="213">
        <v>2</v>
      </c>
      <c r="AL7" s="214" t="s">
        <v>31</v>
      </c>
      <c r="AM7" s="214"/>
      <c r="AN7" s="214"/>
      <c r="AO7" s="214"/>
      <c r="AP7" s="214"/>
      <c r="AQ7" s="214"/>
      <c r="AR7" s="215"/>
      <c r="AT7" s="204">
        <v>5</v>
      </c>
      <c r="AU7" s="352" t="s">
        <v>176</v>
      </c>
      <c r="AV7" s="352" t="s">
        <v>226</v>
      </c>
      <c r="AW7" s="16">
        <f>VLOOKUP(AV7,Initial!G:K,5,FALSE)</f>
        <v>1425.4109540497846</v>
      </c>
      <c r="AX7" s="205">
        <f t="shared" si="0"/>
        <v>1452.1095814362172</v>
      </c>
      <c r="AY7" s="206">
        <f t="shared" si="1"/>
        <v>1442.1293939796219</v>
      </c>
    </row>
    <row r="8" spans="1:53" ht="18.75" customHeight="1" thickBot="1" x14ac:dyDescent="0.25">
      <c r="A8" s="564" t="str">
        <f>IF($AK9&gt;0,"1","")</f>
        <v>1</v>
      </c>
      <c r="B8" s="595" t="s">
        <v>7</v>
      </c>
      <c r="C8" s="596"/>
      <c r="D8" s="597"/>
      <c r="E8" s="587" t="str">
        <f>AU3</f>
        <v>C1VB 12 Reg Royal Pickens</v>
      </c>
      <c r="F8" s="588"/>
      <c r="G8" s="588"/>
      <c r="H8" s="588"/>
      <c r="I8" s="588"/>
      <c r="J8" s="588"/>
      <c r="K8" s="589"/>
      <c r="L8" s="571">
        <f>IF($AK10=0,AF64,AF46)</f>
        <v>6</v>
      </c>
      <c r="M8" s="572"/>
      <c r="N8" s="572"/>
      <c r="O8" s="572"/>
      <c r="P8" s="572"/>
      <c r="Q8" s="610"/>
      <c r="R8" s="571">
        <f>IF($AK10=0,AG64,AG46)</f>
        <v>2</v>
      </c>
      <c r="S8" s="572"/>
      <c r="T8" s="572"/>
      <c r="U8" s="572"/>
      <c r="V8" s="572"/>
      <c r="W8" s="571">
        <f>AQ24</f>
        <v>26</v>
      </c>
      <c r="X8" s="572"/>
      <c r="Y8" s="572"/>
      <c r="Z8" s="544">
        <f>IF(AF58&gt;0,(AQ24/AF58),0)</f>
        <v>0.13</v>
      </c>
      <c r="AA8" s="545"/>
      <c r="AB8" s="545"/>
      <c r="AC8" s="548">
        <f>IF(AF72=0,0,(AF64/AF72))</f>
        <v>0.75</v>
      </c>
      <c r="AD8" s="549"/>
      <c r="AE8" s="550"/>
      <c r="AF8" s="554">
        <v>1</v>
      </c>
      <c r="AG8" s="554">
        <v>2</v>
      </c>
      <c r="AH8" s="556">
        <v>2</v>
      </c>
      <c r="AI8" s="557"/>
      <c r="AJ8" s="212"/>
      <c r="AK8" s="213">
        <v>10</v>
      </c>
      <c r="AL8" s="214" t="s">
        <v>32</v>
      </c>
      <c r="AM8" s="214"/>
      <c r="AN8" s="214"/>
      <c r="AO8" s="214"/>
      <c r="AP8" s="214"/>
      <c r="AQ8" s="214"/>
      <c r="AR8" s="215"/>
      <c r="AT8" s="204">
        <v>6</v>
      </c>
      <c r="AU8" s="167" t="s">
        <v>391</v>
      </c>
      <c r="AV8" s="167" t="s">
        <v>392</v>
      </c>
      <c r="AW8" s="16">
        <f>VLOOKUP(AV8,Initial!G:K,5,FALSE)</f>
        <v>1442.8319701170221</v>
      </c>
      <c r="AX8" s="205">
        <f t="shared" si="0"/>
        <v>1488.6262431960561</v>
      </c>
      <c r="AY8" s="206">
        <f t="shared" si="1"/>
        <v>1476.2966030517014</v>
      </c>
    </row>
    <row r="9" spans="1:53" ht="18.75" customHeight="1" thickBot="1" x14ac:dyDescent="0.25">
      <c r="A9" s="565"/>
      <c r="B9" s="592" t="s">
        <v>8</v>
      </c>
      <c r="C9" s="593"/>
      <c r="D9" s="594"/>
      <c r="E9" s="585" t="str">
        <f>AV3</f>
        <v>fj2crone3pm</v>
      </c>
      <c r="F9" s="586"/>
      <c r="G9" s="586"/>
      <c r="H9" s="586"/>
      <c r="I9" s="586"/>
      <c r="J9" s="586"/>
      <c r="K9" s="586"/>
      <c r="L9" s="590"/>
      <c r="M9" s="591"/>
      <c r="N9" s="591"/>
      <c r="O9" s="591"/>
      <c r="P9" s="591"/>
      <c r="Q9" s="610"/>
      <c r="R9" s="590"/>
      <c r="S9" s="591"/>
      <c r="T9" s="591"/>
      <c r="U9" s="591"/>
      <c r="V9" s="591"/>
      <c r="W9" s="590"/>
      <c r="X9" s="591"/>
      <c r="Y9" s="591"/>
      <c r="Z9" s="575"/>
      <c r="AA9" s="576"/>
      <c r="AB9" s="576"/>
      <c r="AC9" s="577"/>
      <c r="AD9" s="578"/>
      <c r="AE9" s="579"/>
      <c r="AF9" s="580"/>
      <c r="AG9" s="580"/>
      <c r="AH9" s="581"/>
      <c r="AI9" s="582"/>
      <c r="AJ9" s="212"/>
      <c r="AK9" s="213">
        <v>5</v>
      </c>
      <c r="AL9" s="214" t="s">
        <v>33</v>
      </c>
      <c r="AM9" s="212"/>
      <c r="AN9" s="212"/>
      <c r="AO9" s="212"/>
      <c r="AP9" s="212"/>
      <c r="AQ9" s="212"/>
      <c r="AR9" s="191"/>
      <c r="AT9" s="204">
        <v>7</v>
      </c>
      <c r="AU9" s="167" t="s">
        <v>414</v>
      </c>
      <c r="AV9" s="167" t="s">
        <v>289</v>
      </c>
      <c r="AW9" s="16">
        <f>VLOOKUP(AV9,Initial!G:K,5,FALSE)</f>
        <v>1439.4176887113954</v>
      </c>
      <c r="AX9" s="205">
        <f t="shared" si="0"/>
        <v>1389.2978929267476</v>
      </c>
      <c r="AY9" s="206">
        <f t="shared" si="1"/>
        <v>1389.2978929267476</v>
      </c>
    </row>
    <row r="10" spans="1:53" ht="18.75" customHeight="1" thickBot="1" x14ac:dyDescent="0.25">
      <c r="A10" s="564" t="str">
        <f>IF($AK9&gt;1,"2","")</f>
        <v>2</v>
      </c>
      <c r="B10" s="595" t="s">
        <v>7</v>
      </c>
      <c r="C10" s="596"/>
      <c r="D10" s="597"/>
      <c r="E10" s="587" t="str">
        <f>AU8</f>
        <v>Excell U12 Club</v>
      </c>
      <c r="F10" s="588"/>
      <c r="G10" s="588"/>
      <c r="H10" s="588"/>
      <c r="I10" s="588"/>
      <c r="J10" s="588"/>
      <c r="K10" s="589"/>
      <c r="L10" s="571">
        <f>IF($AK10=0,AF65,AF47)</f>
        <v>6</v>
      </c>
      <c r="M10" s="572"/>
      <c r="N10" s="572"/>
      <c r="O10" s="572"/>
      <c r="P10" s="572"/>
      <c r="Q10" s="610"/>
      <c r="R10" s="571">
        <f>IF($AK10=0,AG65,AG47)</f>
        <v>2</v>
      </c>
      <c r="S10" s="572"/>
      <c r="T10" s="572"/>
      <c r="U10" s="572"/>
      <c r="V10" s="572"/>
      <c r="W10" s="571">
        <f>AQ25</f>
        <v>33</v>
      </c>
      <c r="X10" s="572"/>
      <c r="Y10" s="572"/>
      <c r="Z10" s="544">
        <f>IF(AF59&gt;0,(AQ25/AF59),0)</f>
        <v>0.16500000000000001</v>
      </c>
      <c r="AA10" s="545"/>
      <c r="AB10" s="545"/>
      <c r="AC10" s="548">
        <f>IF(AF73=0,0,(AF65/AF73))</f>
        <v>0.75</v>
      </c>
      <c r="AD10" s="549"/>
      <c r="AE10" s="550"/>
      <c r="AF10" s="554">
        <v>2</v>
      </c>
      <c r="AG10" s="554">
        <v>2</v>
      </c>
      <c r="AH10" s="556">
        <v>3</v>
      </c>
      <c r="AI10" s="557"/>
      <c r="AJ10" s="212"/>
      <c r="AK10" s="213">
        <v>0</v>
      </c>
      <c r="AL10" s="214" t="s">
        <v>34</v>
      </c>
      <c r="AM10" s="214"/>
      <c r="AN10" s="214"/>
      <c r="AO10" s="214"/>
      <c r="AP10" s="214"/>
      <c r="AQ10" s="214"/>
      <c r="AR10" s="215"/>
      <c r="AT10" s="204">
        <v>8</v>
      </c>
      <c r="AU10" s="167" t="s">
        <v>375</v>
      </c>
      <c r="AV10" s="167" t="s">
        <v>376</v>
      </c>
      <c r="AW10" s="16">
        <f>VLOOKUP(AV10,Initial!G:K,5,FALSE)</f>
        <v>1420.2404492297683</v>
      </c>
      <c r="AX10" s="205">
        <f t="shared" si="0"/>
        <v>1311.3008440135307</v>
      </c>
      <c r="AY10" s="206">
        <f t="shared" si="1"/>
        <v>1311.3008440135307</v>
      </c>
    </row>
    <row r="11" spans="1:53" ht="18.75" customHeight="1" thickBot="1" x14ac:dyDescent="0.25">
      <c r="A11" s="565"/>
      <c r="B11" s="583" t="s">
        <v>8</v>
      </c>
      <c r="C11" s="584"/>
      <c r="D11" s="584"/>
      <c r="E11" s="585" t="str">
        <f>AV8</f>
        <v>fj2excel1pm</v>
      </c>
      <c r="F11" s="586"/>
      <c r="G11" s="586"/>
      <c r="H11" s="586"/>
      <c r="I11" s="586"/>
      <c r="J11" s="586"/>
      <c r="K11" s="586"/>
      <c r="L11" s="590"/>
      <c r="M11" s="591"/>
      <c r="N11" s="591"/>
      <c r="O11" s="591"/>
      <c r="P11" s="591"/>
      <c r="Q11" s="610"/>
      <c r="R11" s="590"/>
      <c r="S11" s="591"/>
      <c r="T11" s="591"/>
      <c r="U11" s="591"/>
      <c r="V11" s="591"/>
      <c r="W11" s="590"/>
      <c r="X11" s="591"/>
      <c r="Y11" s="591"/>
      <c r="Z11" s="575"/>
      <c r="AA11" s="576"/>
      <c r="AB11" s="576"/>
      <c r="AC11" s="577"/>
      <c r="AD11" s="578"/>
      <c r="AE11" s="579"/>
      <c r="AF11" s="580"/>
      <c r="AG11" s="580"/>
      <c r="AH11" s="581"/>
      <c r="AI11" s="582"/>
      <c r="AJ11" s="212"/>
      <c r="AK11" s="213">
        <v>1</v>
      </c>
      <c r="AL11" s="214" t="s">
        <v>35</v>
      </c>
      <c r="AM11" s="212"/>
      <c r="AN11" s="212"/>
      <c r="AO11" s="212"/>
      <c r="AP11" s="212"/>
      <c r="AQ11" s="212"/>
      <c r="AR11" s="191"/>
      <c r="AT11" s="204">
        <v>9</v>
      </c>
      <c r="AU11" s="167" t="s">
        <v>174</v>
      </c>
      <c r="AV11" s="167" t="s">
        <v>236</v>
      </c>
      <c r="AW11" s="16">
        <f>VLOOKUP(AV11,Initial!G:K,5,FALSE)</f>
        <v>1428.9948068214296</v>
      </c>
      <c r="AX11" s="205">
        <f t="shared" si="0"/>
        <v>1423.3781162849898</v>
      </c>
      <c r="AY11" s="206">
        <f t="shared" si="1"/>
        <v>1440.949944070938</v>
      </c>
    </row>
    <row r="12" spans="1:53" ht="18.75" customHeight="1" thickBot="1" x14ac:dyDescent="0.25">
      <c r="A12" s="564" t="str">
        <f>IF($AK9&gt;2,"3","")</f>
        <v>3</v>
      </c>
      <c r="B12" s="566" t="s">
        <v>7</v>
      </c>
      <c r="C12" s="567"/>
      <c r="D12" s="567"/>
      <c r="E12" s="587" t="str">
        <f>AU9</f>
        <v>RHVC 12 Club Brooke</v>
      </c>
      <c r="F12" s="588"/>
      <c r="G12" s="588"/>
      <c r="H12" s="588"/>
      <c r="I12" s="588"/>
      <c r="J12" s="588"/>
      <c r="K12" s="589"/>
      <c r="L12" s="571">
        <f>IF($AK10=0,AF66,AF48)</f>
        <v>2</v>
      </c>
      <c r="M12" s="572"/>
      <c r="N12" s="572"/>
      <c r="O12" s="572"/>
      <c r="P12" s="572"/>
      <c r="Q12" s="610"/>
      <c r="R12" s="571">
        <f>IF($AK10=0,AG66,AG48)</f>
        <v>6</v>
      </c>
      <c r="S12" s="572"/>
      <c r="T12" s="572"/>
      <c r="U12" s="572"/>
      <c r="V12" s="572"/>
      <c r="W12" s="571">
        <f>AQ26</f>
        <v>-22</v>
      </c>
      <c r="X12" s="572"/>
      <c r="Y12" s="572"/>
      <c r="Z12" s="544">
        <f>IF(AF60&gt;0,(AQ26/AF60),0)</f>
        <v>-0.10891089108910891</v>
      </c>
      <c r="AA12" s="545"/>
      <c r="AB12" s="545"/>
      <c r="AC12" s="548">
        <f>IF(AF74=0,0,(AF66/AF74))</f>
        <v>0.25</v>
      </c>
      <c r="AD12" s="549"/>
      <c r="AE12" s="550"/>
      <c r="AF12" s="554">
        <v>5</v>
      </c>
      <c r="AG12" s="554">
        <v>1</v>
      </c>
      <c r="AH12" s="556">
        <v>13</v>
      </c>
      <c r="AI12" s="557"/>
      <c r="AJ12" s="216"/>
      <c r="AK12" s="213">
        <v>8</v>
      </c>
      <c r="AL12" s="217" t="s">
        <v>36</v>
      </c>
      <c r="AM12" s="214"/>
      <c r="AN12" s="214"/>
      <c r="AO12" s="214"/>
      <c r="AP12" s="214"/>
      <c r="AQ12" s="214"/>
      <c r="AR12" s="215"/>
      <c r="AT12" s="204">
        <v>10</v>
      </c>
      <c r="AU12" s="167" t="s">
        <v>476</v>
      </c>
      <c r="AV12" s="167" t="s">
        <v>290</v>
      </c>
      <c r="AW12" s="16">
        <f>VLOOKUP(AV12,Initial!G:K,5,FALSE)</f>
        <v>1369.8984600179906</v>
      </c>
      <c r="AX12" s="205">
        <f t="shared" si="0"/>
        <v>1302.4238200457448</v>
      </c>
      <c r="AY12" s="206">
        <f t="shared" si="1"/>
        <v>1295.6142470840948</v>
      </c>
    </row>
    <row r="13" spans="1:53" ht="18.75" customHeight="1" thickBot="1" x14ac:dyDescent="0.25">
      <c r="A13" s="565"/>
      <c r="B13" s="583" t="s">
        <v>8</v>
      </c>
      <c r="C13" s="584"/>
      <c r="D13" s="584"/>
      <c r="E13" s="585" t="str">
        <f>AV9</f>
        <v>fj2rockh1pm</v>
      </c>
      <c r="F13" s="586"/>
      <c r="G13" s="586"/>
      <c r="H13" s="586"/>
      <c r="I13" s="586"/>
      <c r="J13" s="586"/>
      <c r="K13" s="586"/>
      <c r="L13" s="590"/>
      <c r="M13" s="591"/>
      <c r="N13" s="591"/>
      <c r="O13" s="591"/>
      <c r="P13" s="591"/>
      <c r="Q13" s="610"/>
      <c r="R13" s="590"/>
      <c r="S13" s="591"/>
      <c r="T13" s="591"/>
      <c r="U13" s="591"/>
      <c r="V13" s="591"/>
      <c r="W13" s="590"/>
      <c r="X13" s="591"/>
      <c r="Y13" s="591"/>
      <c r="Z13" s="575"/>
      <c r="AA13" s="576"/>
      <c r="AB13" s="576"/>
      <c r="AC13" s="577"/>
      <c r="AD13" s="578"/>
      <c r="AE13" s="579"/>
      <c r="AF13" s="580"/>
      <c r="AG13" s="580"/>
      <c r="AH13" s="581"/>
      <c r="AI13" s="582"/>
      <c r="AJ13" s="216"/>
      <c r="AK13" s="218"/>
      <c r="AL13" s="219"/>
      <c r="AM13" s="219"/>
      <c r="AN13" s="219"/>
      <c r="AO13" s="219"/>
      <c r="AP13" s="219"/>
      <c r="AQ13" s="212"/>
      <c r="AR13" s="191"/>
      <c r="AT13" s="204">
        <v>11</v>
      </c>
      <c r="AU13" s="167" t="s">
        <v>418</v>
      </c>
      <c r="AV13" s="167" t="s">
        <v>419</v>
      </c>
      <c r="AW13" s="1035">
        <v>1349.1702617315095</v>
      </c>
      <c r="AX13" s="205">
        <f t="shared" si="0"/>
        <v>1355.9064609830045</v>
      </c>
      <c r="AY13" s="206">
        <f t="shared" si="1"/>
        <v>1349.1705702720267</v>
      </c>
      <c r="AZ13" s="249">
        <f>AY13-AW13</f>
        <v>3.0854051715323294E-4</v>
      </c>
    </row>
    <row r="14" spans="1:53" ht="18.75" customHeight="1" thickBot="1" x14ac:dyDescent="0.25">
      <c r="A14" s="564" t="str">
        <f>IF($AK9&gt;3,"4","")</f>
        <v>4</v>
      </c>
      <c r="B14" s="566" t="s">
        <v>7</v>
      </c>
      <c r="C14" s="567"/>
      <c r="D14" s="567"/>
      <c r="E14" s="587" t="str">
        <f>AU14</f>
        <v>Soar Court 12U</v>
      </c>
      <c r="F14" s="588"/>
      <c r="G14" s="588"/>
      <c r="H14" s="588"/>
      <c r="I14" s="588"/>
      <c r="J14" s="588"/>
      <c r="K14" s="589"/>
      <c r="L14" s="571">
        <f>IF($AK10=0,AF67,AF49)</f>
        <v>3</v>
      </c>
      <c r="M14" s="572"/>
      <c r="N14" s="572"/>
      <c r="O14" s="572"/>
      <c r="P14" s="572"/>
      <c r="Q14" s="610"/>
      <c r="R14" s="571">
        <f>IF($AK10=0,AG67,AG49)</f>
        <v>5</v>
      </c>
      <c r="S14" s="572"/>
      <c r="T14" s="572"/>
      <c r="U14" s="572"/>
      <c r="V14" s="572"/>
      <c r="W14" s="571">
        <f>AQ27</f>
        <v>-31</v>
      </c>
      <c r="X14" s="572"/>
      <c r="Y14" s="572"/>
      <c r="Z14" s="544">
        <f>IF(AF61&gt;0,(AQ27/AF61),0)</f>
        <v>-0.155</v>
      </c>
      <c r="AA14" s="545"/>
      <c r="AB14" s="545"/>
      <c r="AC14" s="548">
        <f>IF(AF75=0,0,(AF67/AF75))</f>
        <v>0.375</v>
      </c>
      <c r="AD14" s="549"/>
      <c r="AE14" s="550"/>
      <c r="AF14" s="554">
        <v>3</v>
      </c>
      <c r="AG14" s="554">
        <v>2</v>
      </c>
      <c r="AH14" s="556">
        <v>6</v>
      </c>
      <c r="AI14" s="557"/>
      <c r="AJ14" s="195"/>
      <c r="AK14" s="219"/>
      <c r="AL14" s="219"/>
      <c r="AM14" s="219"/>
      <c r="AN14" s="219"/>
      <c r="AO14" s="219"/>
      <c r="AP14" s="219"/>
      <c r="AQ14" s="214"/>
      <c r="AR14" s="215"/>
      <c r="AT14" s="204">
        <v>12</v>
      </c>
      <c r="AU14" s="167" t="s">
        <v>397</v>
      </c>
      <c r="AV14" s="167" t="s">
        <v>398</v>
      </c>
      <c r="AW14" s="16">
        <f>VLOOKUP(AV14,Initial!G:K,5,FALSE)</f>
        <v>1340.443133695343</v>
      </c>
      <c r="AX14" s="205">
        <f t="shared" si="0"/>
        <v>1354.5101456744082</v>
      </c>
      <c r="AY14" s="206">
        <f t="shared" si="1"/>
        <v>1347.9072899202179</v>
      </c>
    </row>
    <row r="15" spans="1:53" ht="18.75" customHeight="1" thickBot="1" x14ac:dyDescent="0.25">
      <c r="A15" s="565"/>
      <c r="B15" s="583" t="s">
        <v>8</v>
      </c>
      <c r="C15" s="584"/>
      <c r="D15" s="584"/>
      <c r="E15" s="585" t="str">
        <f>AV14</f>
        <v>fj2soarj2pm</v>
      </c>
      <c r="F15" s="586"/>
      <c r="G15" s="586"/>
      <c r="H15" s="586"/>
      <c r="I15" s="586"/>
      <c r="J15" s="586"/>
      <c r="K15" s="586"/>
      <c r="L15" s="590"/>
      <c r="M15" s="591"/>
      <c r="N15" s="591"/>
      <c r="O15" s="591"/>
      <c r="P15" s="591"/>
      <c r="Q15" s="610"/>
      <c r="R15" s="590"/>
      <c r="S15" s="591"/>
      <c r="T15" s="591"/>
      <c r="U15" s="591"/>
      <c r="V15" s="591"/>
      <c r="W15" s="590"/>
      <c r="X15" s="591"/>
      <c r="Y15" s="591"/>
      <c r="Z15" s="575"/>
      <c r="AA15" s="576"/>
      <c r="AB15" s="576"/>
      <c r="AC15" s="577"/>
      <c r="AD15" s="578"/>
      <c r="AE15" s="579"/>
      <c r="AF15" s="580"/>
      <c r="AG15" s="580"/>
      <c r="AH15" s="581"/>
      <c r="AI15" s="582"/>
      <c r="AJ15" s="195"/>
      <c r="AK15" s="219"/>
      <c r="AL15" s="219"/>
      <c r="AM15" s="219"/>
      <c r="AN15" s="219"/>
      <c r="AO15" s="219"/>
      <c r="AP15" s="219"/>
      <c r="AQ15" s="195"/>
      <c r="AR15" s="191"/>
      <c r="AT15" s="204">
        <v>13</v>
      </c>
      <c r="AU15" s="167" t="s">
        <v>171</v>
      </c>
      <c r="AV15" s="167" t="s">
        <v>466</v>
      </c>
      <c r="AW15" s="16">
        <f>VLOOKUP(AV15,Initial!G:K,5,FALSE)</f>
        <v>1438.2606481323326</v>
      </c>
      <c r="AX15" s="205">
        <f t="shared" si="0"/>
        <v>1411.269916034259</v>
      </c>
      <c r="AY15" s="206">
        <f t="shared" si="1"/>
        <v>1431.4182354610773</v>
      </c>
    </row>
    <row r="16" spans="1:53" ht="18.75" customHeight="1" thickBot="1" x14ac:dyDescent="0.25">
      <c r="A16" s="564" t="str">
        <f>IF($AK9&gt;4,"5","")</f>
        <v>5</v>
      </c>
      <c r="B16" s="566" t="s">
        <v>7</v>
      </c>
      <c r="C16" s="567"/>
      <c r="D16" s="567"/>
      <c r="E16" s="587" t="str">
        <f>AU15</f>
        <v>SC Midlands 12 Black</v>
      </c>
      <c r="F16" s="588"/>
      <c r="G16" s="588"/>
      <c r="H16" s="588"/>
      <c r="I16" s="588"/>
      <c r="J16" s="588"/>
      <c r="K16" s="589"/>
      <c r="L16" s="571">
        <f>IF($AK10=0,AF68,AF50)</f>
        <v>3</v>
      </c>
      <c r="M16" s="572"/>
      <c r="N16" s="572"/>
      <c r="O16" s="572"/>
      <c r="P16" s="572"/>
      <c r="Q16" s="610"/>
      <c r="R16" s="571">
        <f>IF($AK10=0,AG68,AG50)</f>
        <v>5</v>
      </c>
      <c r="S16" s="572"/>
      <c r="T16" s="572"/>
      <c r="U16" s="572"/>
      <c r="V16" s="572"/>
      <c r="W16" s="571">
        <f>AQ28</f>
        <v>-6</v>
      </c>
      <c r="X16" s="572"/>
      <c r="Y16" s="572"/>
      <c r="Z16" s="544">
        <f>IF(AF62&gt;0,(AQ28/AF62),0)</f>
        <v>-2.9702970297029702E-2</v>
      </c>
      <c r="AA16" s="545"/>
      <c r="AB16" s="545"/>
      <c r="AC16" s="548">
        <f>IF(AF76=0,0,(AF68/AF76))</f>
        <v>0.375</v>
      </c>
      <c r="AD16" s="549"/>
      <c r="AE16" s="550"/>
      <c r="AF16" s="554">
        <v>4</v>
      </c>
      <c r="AG16" s="554">
        <v>2</v>
      </c>
      <c r="AH16" s="556">
        <v>9</v>
      </c>
      <c r="AI16" s="557"/>
      <c r="AJ16" s="195"/>
      <c r="AK16" s="219"/>
      <c r="AL16" s="219"/>
      <c r="AM16" s="219"/>
      <c r="AN16" s="219"/>
      <c r="AO16" s="219"/>
      <c r="AP16" s="219"/>
      <c r="AQ16" s="195"/>
      <c r="AR16" s="191"/>
      <c r="AT16" s="204">
        <v>14</v>
      </c>
      <c r="AU16" s="167" t="s">
        <v>396</v>
      </c>
      <c r="AV16" s="167" t="s">
        <v>294</v>
      </c>
      <c r="AW16" s="16">
        <f>VLOOKUP(AV16,Initial!G:K,5,FALSE)</f>
        <v>1411.3842368219443</v>
      </c>
      <c r="AX16" s="205">
        <f t="shared" si="0"/>
        <v>1414.2461828791081</v>
      </c>
      <c r="AY16" s="206">
        <f t="shared" si="1"/>
        <v>1419.8544811035597</v>
      </c>
    </row>
    <row r="17" spans="1:52" ht="18.75" customHeight="1" thickBot="1" x14ac:dyDescent="0.25">
      <c r="A17" s="565"/>
      <c r="B17" s="560" t="s">
        <v>8</v>
      </c>
      <c r="C17" s="561"/>
      <c r="D17" s="561"/>
      <c r="E17" s="619" t="str">
        <f>AV15</f>
        <v>fj2scmid1pm</v>
      </c>
      <c r="F17" s="620"/>
      <c r="G17" s="620"/>
      <c r="H17" s="620"/>
      <c r="I17" s="620"/>
      <c r="J17" s="620"/>
      <c r="K17" s="620"/>
      <c r="L17" s="573"/>
      <c r="M17" s="574"/>
      <c r="N17" s="574"/>
      <c r="O17" s="574"/>
      <c r="P17" s="574"/>
      <c r="Q17" s="610"/>
      <c r="R17" s="573"/>
      <c r="S17" s="574"/>
      <c r="T17" s="574"/>
      <c r="U17" s="574"/>
      <c r="V17" s="574"/>
      <c r="W17" s="573"/>
      <c r="X17" s="574"/>
      <c r="Y17" s="574"/>
      <c r="Z17" s="546"/>
      <c r="AA17" s="547"/>
      <c r="AB17" s="547"/>
      <c r="AC17" s="551"/>
      <c r="AD17" s="552"/>
      <c r="AE17" s="553"/>
      <c r="AF17" s="555"/>
      <c r="AG17" s="555"/>
      <c r="AH17" s="558"/>
      <c r="AI17" s="559"/>
      <c r="AJ17" s="195"/>
      <c r="AK17" s="219"/>
      <c r="AL17" s="219"/>
      <c r="AM17" s="219"/>
      <c r="AN17" s="219"/>
      <c r="AO17" s="219"/>
      <c r="AP17" s="219"/>
      <c r="AQ17" s="195"/>
      <c r="AR17" s="191"/>
      <c r="AT17" s="315"/>
      <c r="AU17" s="316"/>
      <c r="AV17" s="317"/>
      <c r="AW17" s="318"/>
      <c r="AX17" s="319"/>
      <c r="AY17" s="320"/>
    </row>
    <row r="18" spans="1:52" ht="21" customHeight="1" thickTop="1" thickBot="1" x14ac:dyDescent="0.25">
      <c r="A18" s="220"/>
      <c r="B18" s="541" t="s">
        <v>168</v>
      </c>
      <c r="C18" s="542"/>
      <c r="D18" s="542"/>
      <c r="E18" s="542"/>
      <c r="F18" s="542"/>
      <c r="G18" s="542"/>
      <c r="H18" s="542"/>
      <c r="I18" s="542"/>
      <c r="J18" s="542"/>
      <c r="K18" s="542"/>
      <c r="L18" s="542"/>
      <c r="M18" s="542"/>
      <c r="N18" s="542"/>
      <c r="O18" s="542"/>
      <c r="P18" s="542"/>
      <c r="Q18" s="542"/>
      <c r="R18" s="542"/>
      <c r="S18" s="542"/>
      <c r="T18" s="542"/>
      <c r="U18" s="542"/>
      <c r="V18" s="542"/>
      <c r="W18" s="542"/>
      <c r="X18" s="542"/>
      <c r="Y18" s="542"/>
      <c r="Z18" s="542"/>
      <c r="AA18" s="542"/>
      <c r="AB18" s="542"/>
      <c r="AC18" s="542"/>
      <c r="AD18" s="542"/>
      <c r="AE18" s="542"/>
      <c r="AF18" s="542"/>
      <c r="AG18" s="542"/>
      <c r="AH18" s="542"/>
      <c r="AI18" s="543"/>
      <c r="AJ18" s="195"/>
      <c r="AK18" s="219"/>
      <c r="AL18" s="219"/>
      <c r="AM18" s="219"/>
      <c r="AN18" s="219"/>
      <c r="AO18" s="219"/>
      <c r="AP18" s="219"/>
      <c r="AQ18" s="195"/>
      <c r="AR18" s="191"/>
      <c r="AT18" s="621" t="s">
        <v>37</v>
      </c>
      <c r="AU18" s="622"/>
      <c r="AV18" s="622"/>
      <c r="AW18" s="622"/>
      <c r="AX18" s="622"/>
      <c r="AY18" s="623"/>
    </row>
    <row r="19" spans="1:52" ht="14.25" thickTop="1" thickBot="1" x14ac:dyDescent="0.25">
      <c r="A19" s="188" t="s">
        <v>39</v>
      </c>
      <c r="B19" s="530">
        <v>0.35416666666666669</v>
      </c>
      <c r="C19" s="531"/>
      <c r="D19" s="532"/>
      <c r="E19" s="530">
        <v>0.38194444444444442</v>
      </c>
      <c r="F19" s="531"/>
      <c r="G19" s="532"/>
      <c r="H19" s="530">
        <v>0.40972222222222227</v>
      </c>
      <c r="I19" s="531"/>
      <c r="J19" s="532"/>
      <c r="K19" s="530">
        <v>0.4375</v>
      </c>
      <c r="L19" s="531"/>
      <c r="M19" s="532"/>
      <c r="N19" s="530">
        <v>0.46527777777777773</v>
      </c>
      <c r="O19" s="531"/>
      <c r="P19" s="532"/>
      <c r="Q19" s="530">
        <v>0.49305555555555558</v>
      </c>
      <c r="R19" s="531"/>
      <c r="S19" s="532"/>
      <c r="T19" s="530">
        <v>0.52083333333333337</v>
      </c>
      <c r="U19" s="531"/>
      <c r="V19" s="532"/>
      <c r="W19" s="530">
        <v>4.8611111111111112E-2</v>
      </c>
      <c r="X19" s="531"/>
      <c r="Y19" s="532"/>
      <c r="Z19" s="530">
        <v>7.6388888888888895E-2</v>
      </c>
      <c r="AA19" s="531"/>
      <c r="AB19" s="532"/>
      <c r="AC19" s="530">
        <v>0.10416666666666667</v>
      </c>
      <c r="AD19" s="531"/>
      <c r="AE19" s="532"/>
      <c r="AF19" s="533" t="s">
        <v>40</v>
      </c>
      <c r="AG19" s="534"/>
      <c r="AH19" s="534"/>
      <c r="AI19" s="534"/>
      <c r="AJ19" s="535"/>
      <c r="AK19" s="535"/>
      <c r="AL19" s="535"/>
      <c r="AM19" s="535"/>
      <c r="AN19" s="535"/>
      <c r="AO19" s="535"/>
      <c r="AP19" s="535"/>
      <c r="AQ19" s="536"/>
      <c r="AT19" s="624"/>
      <c r="AU19" s="625"/>
      <c r="AV19" s="625"/>
      <c r="AW19" s="625"/>
      <c r="AX19" s="625"/>
      <c r="AY19" s="626"/>
    </row>
    <row r="20" spans="1:52" x14ac:dyDescent="0.2">
      <c r="A20" s="221" t="s">
        <v>41</v>
      </c>
      <c r="B20" s="527">
        <v>0.35555555555555557</v>
      </c>
      <c r="C20" s="528"/>
      <c r="D20" s="529"/>
      <c r="E20" s="527">
        <v>0.38819444444444445</v>
      </c>
      <c r="F20" s="528"/>
      <c r="G20" s="529"/>
      <c r="H20" s="527">
        <v>0.41666666666666669</v>
      </c>
      <c r="I20" s="528"/>
      <c r="J20" s="529"/>
      <c r="K20" s="527">
        <v>0.44444444444444442</v>
      </c>
      <c r="L20" s="528"/>
      <c r="M20" s="529"/>
      <c r="N20" s="527">
        <v>0.47361111111111115</v>
      </c>
      <c r="O20" s="528"/>
      <c r="P20" s="529"/>
      <c r="Q20" s="527">
        <v>0.50486111111111109</v>
      </c>
      <c r="R20" s="528"/>
      <c r="S20" s="529"/>
      <c r="T20" s="527">
        <v>0.53541666666666665</v>
      </c>
      <c r="U20" s="528"/>
      <c r="V20" s="529"/>
      <c r="W20" s="527">
        <v>6.25E-2</v>
      </c>
      <c r="X20" s="528"/>
      <c r="Y20" s="529"/>
      <c r="Z20" s="527"/>
      <c r="AA20" s="528"/>
      <c r="AB20" s="529"/>
      <c r="AC20" s="527"/>
      <c r="AD20" s="528"/>
      <c r="AE20" s="529"/>
      <c r="AF20" s="533"/>
      <c r="AG20" s="534"/>
      <c r="AH20" s="534"/>
      <c r="AI20" s="534"/>
      <c r="AJ20" s="534"/>
      <c r="AK20" s="534"/>
      <c r="AL20" s="534"/>
      <c r="AM20" s="534"/>
      <c r="AN20" s="534"/>
      <c r="AO20" s="534"/>
      <c r="AP20" s="534"/>
      <c r="AQ20" s="537"/>
      <c r="AW20" s="188"/>
    </row>
    <row r="21" spans="1:52" ht="13.5" thickBot="1" x14ac:dyDescent="0.25">
      <c r="A21" s="221" t="s">
        <v>42</v>
      </c>
      <c r="B21" s="527">
        <v>0.36736111111111108</v>
      </c>
      <c r="C21" s="528"/>
      <c r="D21" s="529"/>
      <c r="E21" s="527">
        <v>0.3979166666666667</v>
      </c>
      <c r="F21" s="528"/>
      <c r="G21" s="529"/>
      <c r="H21" s="527">
        <v>0.44097222222222227</v>
      </c>
      <c r="I21" s="528"/>
      <c r="J21" s="529"/>
      <c r="K21" s="527">
        <v>0.46527777777777773</v>
      </c>
      <c r="L21" s="528"/>
      <c r="M21" s="529"/>
      <c r="N21" s="527">
        <v>0.50069444444444444</v>
      </c>
      <c r="O21" s="528"/>
      <c r="P21" s="529"/>
      <c r="Q21" s="527">
        <v>0.52986111111111112</v>
      </c>
      <c r="R21" s="528"/>
      <c r="S21" s="529"/>
      <c r="T21" s="527">
        <v>5.5555555555555552E-2</v>
      </c>
      <c r="U21" s="528"/>
      <c r="V21" s="529"/>
      <c r="W21" s="527">
        <v>9.0277777777777776E-2</v>
      </c>
      <c r="X21" s="528"/>
      <c r="Y21" s="529"/>
      <c r="Z21" s="527"/>
      <c r="AA21" s="528"/>
      <c r="AB21" s="529"/>
      <c r="AC21" s="527"/>
      <c r="AD21" s="528"/>
      <c r="AE21" s="529"/>
      <c r="AF21" s="533"/>
      <c r="AG21" s="534"/>
      <c r="AH21" s="534"/>
      <c r="AI21" s="534"/>
      <c r="AJ21" s="534"/>
      <c r="AK21" s="534"/>
      <c r="AL21" s="534"/>
      <c r="AM21" s="534"/>
      <c r="AN21" s="534"/>
      <c r="AO21" s="534"/>
      <c r="AP21" s="534"/>
      <c r="AQ21" s="537"/>
      <c r="AT21" s="194"/>
      <c r="AU21" s="194"/>
      <c r="AV21" s="194"/>
      <c r="AW21" s="188"/>
      <c r="AZ21" s="188">
        <f>SUMSQ(AZ3:AZ16)</f>
        <v>9.5197250725184434E-8</v>
      </c>
    </row>
    <row r="22" spans="1:52" ht="13.5" thickBot="1" x14ac:dyDescent="0.25">
      <c r="A22" s="195"/>
      <c r="B22" s="394" t="s">
        <v>43</v>
      </c>
      <c r="C22" s="392"/>
      <c r="D22" s="393"/>
      <c r="E22" s="394" t="str">
        <f>IF($AK8&gt;1,"Match 2","")</f>
        <v>Match 2</v>
      </c>
      <c r="F22" s="392"/>
      <c r="G22" s="393"/>
      <c r="H22" s="394" t="str">
        <f>IF($AK8&gt;2,"Match 3","")</f>
        <v>Match 3</v>
      </c>
      <c r="I22" s="392"/>
      <c r="J22" s="393"/>
      <c r="K22" s="394" t="str">
        <f>IF($AK8&gt;3,"Match 4","")</f>
        <v>Match 4</v>
      </c>
      <c r="L22" s="392"/>
      <c r="M22" s="393"/>
      <c r="N22" s="394" t="str">
        <f>IF($AK8&gt;4,"Match 5","")</f>
        <v>Match 5</v>
      </c>
      <c r="O22" s="392"/>
      <c r="P22" s="393"/>
      <c r="Q22" s="394" t="str">
        <f>IF($AK8&gt;5,"Match 6","")</f>
        <v>Match 6</v>
      </c>
      <c r="R22" s="392"/>
      <c r="S22" s="393"/>
      <c r="T22" s="394" t="str">
        <f>IF($AK8&gt;6,"Match 7","")</f>
        <v>Match 7</v>
      </c>
      <c r="U22" s="392"/>
      <c r="V22" s="393"/>
      <c r="W22" s="394" t="str">
        <f>IF($AK8&gt;7,"Match 8","")</f>
        <v>Match 8</v>
      </c>
      <c r="X22" s="392"/>
      <c r="Y22" s="393"/>
      <c r="Z22" s="394" t="str">
        <f>IF($AK8&gt;8,"Match 9","")</f>
        <v>Match 9</v>
      </c>
      <c r="AA22" s="392"/>
      <c r="AB22" s="393"/>
      <c r="AC22" s="394" t="str">
        <f>IF($AK8&gt;9,"Match 10","")</f>
        <v>Match 10</v>
      </c>
      <c r="AD22" s="392"/>
      <c r="AE22" s="393"/>
      <c r="AF22" s="538"/>
      <c r="AG22" s="539"/>
      <c r="AH22" s="539"/>
      <c r="AI22" s="539"/>
      <c r="AJ22" s="539"/>
      <c r="AK22" s="539"/>
      <c r="AL22" s="539"/>
      <c r="AM22" s="539"/>
      <c r="AN22" s="539"/>
      <c r="AO22" s="539"/>
      <c r="AP22" s="539"/>
      <c r="AQ22" s="540"/>
      <c r="AT22" s="312"/>
      <c r="AU22" s="167"/>
      <c r="AV22" s="167"/>
      <c r="AW22" s="188"/>
    </row>
    <row r="23" spans="1:52" ht="15.75" x14ac:dyDescent="0.25">
      <c r="A23" s="195"/>
      <c r="B23" s="521" t="s">
        <v>44</v>
      </c>
      <c r="C23" s="522"/>
      <c r="D23" s="523"/>
      <c r="E23" s="521" t="s">
        <v>45</v>
      </c>
      <c r="F23" s="522"/>
      <c r="G23" s="523"/>
      <c r="H23" s="521" t="s">
        <v>46</v>
      </c>
      <c r="I23" s="522"/>
      <c r="J23" s="523"/>
      <c r="K23" s="521" t="s">
        <v>47</v>
      </c>
      <c r="L23" s="522"/>
      <c r="M23" s="523"/>
      <c r="N23" s="521" t="s">
        <v>48</v>
      </c>
      <c r="O23" s="522"/>
      <c r="P23" s="523"/>
      <c r="Q23" s="521" t="s">
        <v>46</v>
      </c>
      <c r="R23" s="522"/>
      <c r="S23" s="523"/>
      <c r="T23" s="521" t="s">
        <v>44</v>
      </c>
      <c r="U23" s="522"/>
      <c r="V23" s="523"/>
      <c r="W23" s="521" t="s">
        <v>48</v>
      </c>
      <c r="X23" s="522"/>
      <c r="Y23" s="523"/>
      <c r="Z23" s="521" t="s">
        <v>47</v>
      </c>
      <c r="AA23" s="522"/>
      <c r="AB23" s="523"/>
      <c r="AC23" s="521" t="s">
        <v>45</v>
      </c>
      <c r="AD23" s="522"/>
      <c r="AE23" s="523"/>
      <c r="AF23" s="222" t="s">
        <v>49</v>
      </c>
      <c r="AG23" s="223">
        <v>1</v>
      </c>
      <c r="AH23" s="223">
        <v>2</v>
      </c>
      <c r="AI23" s="223">
        <v>3</v>
      </c>
      <c r="AJ23" s="223">
        <v>4</v>
      </c>
      <c r="AK23" s="223">
        <v>5</v>
      </c>
      <c r="AL23" s="223">
        <v>6</v>
      </c>
      <c r="AM23" s="223">
        <v>7</v>
      </c>
      <c r="AN23" s="223">
        <v>8</v>
      </c>
      <c r="AO23" s="223">
        <v>9</v>
      </c>
      <c r="AP23" s="223">
        <v>10</v>
      </c>
      <c r="AQ23" s="224" t="s">
        <v>50</v>
      </c>
      <c r="AT23" s="312"/>
      <c r="AU23" s="274"/>
      <c r="AV23" s="274"/>
      <c r="AW23" s="274"/>
      <c r="AX23" s="274"/>
      <c r="AY23" s="274"/>
    </row>
    <row r="24" spans="1:52" ht="15.75" x14ac:dyDescent="0.25">
      <c r="A24" s="195"/>
      <c r="B24" s="225">
        <v>2</v>
      </c>
      <c r="C24" s="226" t="s">
        <v>51</v>
      </c>
      <c r="D24" s="227">
        <v>5</v>
      </c>
      <c r="E24" s="225">
        <v>1</v>
      </c>
      <c r="F24" s="226" t="str">
        <f>IF($AK8&gt;1,"v","")</f>
        <v>v</v>
      </c>
      <c r="G24" s="227">
        <v>4</v>
      </c>
      <c r="H24" s="225">
        <v>3</v>
      </c>
      <c r="I24" s="226" t="str">
        <f>IF($AK8&gt;2,"v","")</f>
        <v>v</v>
      </c>
      <c r="J24" s="227">
        <v>5</v>
      </c>
      <c r="K24" s="225">
        <v>2</v>
      </c>
      <c r="L24" s="226" t="str">
        <f>IF($AK8&gt;3,"v","")</f>
        <v>v</v>
      </c>
      <c r="M24" s="227">
        <v>4</v>
      </c>
      <c r="N24" s="225">
        <v>1</v>
      </c>
      <c r="O24" s="226" t="str">
        <f>IF($AK8&gt;4,"v","")</f>
        <v>v</v>
      </c>
      <c r="P24" s="227">
        <v>3</v>
      </c>
      <c r="Q24" s="225">
        <v>4</v>
      </c>
      <c r="R24" s="226" t="str">
        <f>IF($AK8&gt;5,"v","")</f>
        <v>v</v>
      </c>
      <c r="S24" s="227">
        <v>5</v>
      </c>
      <c r="T24" s="225">
        <v>2</v>
      </c>
      <c r="U24" s="226" t="str">
        <f>IF($AK8&gt;6,"v","")</f>
        <v>v</v>
      </c>
      <c r="V24" s="227">
        <v>3</v>
      </c>
      <c r="W24" s="225">
        <v>1</v>
      </c>
      <c r="X24" s="226" t="str">
        <f>IF($AK8&gt;7,"v","")</f>
        <v>v</v>
      </c>
      <c r="Y24" s="227">
        <v>5</v>
      </c>
      <c r="Z24" s="225">
        <v>3</v>
      </c>
      <c r="AA24" s="226" t="str">
        <f>IF($AK8&gt;8,"v","")</f>
        <v>v</v>
      </c>
      <c r="AB24" s="227">
        <v>4</v>
      </c>
      <c r="AC24" s="225">
        <v>1</v>
      </c>
      <c r="AD24" s="226" t="str">
        <f>IF($AK8&gt;9,"v","")</f>
        <v>v</v>
      </c>
      <c r="AE24" s="227">
        <v>2</v>
      </c>
      <c r="AF24" s="222" t="str">
        <f>IF($AK9&gt;0,"Team 1","")</f>
        <v>Team 1</v>
      </c>
      <c r="AG24" s="228" t="str">
        <f>IF($AK9&lt;1,"",IF($AK8&lt;1,"",IF(B24=1,B30-D30,IF(D24=1,D30-B30,""))))</f>
        <v/>
      </c>
      <c r="AH24" s="228">
        <f>IF($AK9&lt;1,"",IF($AK8&lt;2,"",IF(E24=1,E30-G30,IF(G24=1,G30-E30,""))))</f>
        <v>14</v>
      </c>
      <c r="AI24" s="228" t="str">
        <f>IF($AK9&lt;1,"",IF($AK8&lt;3,"",IF(H24=1,H30-J30,IF(J24=1,J30-H30,""))))</f>
        <v/>
      </c>
      <c r="AJ24" s="228" t="str">
        <f>IF($AK9&lt;1,"",IF($AK8&lt;4,"",IF(K24=1,K30-M30,IF(M24=1,M30-K30,""))))</f>
        <v/>
      </c>
      <c r="AK24" s="228">
        <f>IF($AK9&lt;1,"",IF($AK8&lt;5,"",IF(N24=1,N30-P30,IF(P24=1,P30-N30,""))))</f>
        <v>5</v>
      </c>
      <c r="AL24" s="228" t="str">
        <f>IF($AK9&lt;1,"",IF($AK8&lt;6,"",IF(Q24=1,Q30-S30,IF(S24=1,S30-Q30,""))))</f>
        <v/>
      </c>
      <c r="AM24" s="228" t="str">
        <f>IF($AK9&lt;1,"",IF($AK8&lt;7,"",IF(T24=1,T30-V30,IF(V24=1,V30-T30,""))))</f>
        <v/>
      </c>
      <c r="AN24" s="228">
        <f>IF($AK9&lt;1,"",IF($AK8&lt;8,"",IF(W24=1,W30-Y30,IF(Y24=1,Y30-W30,""))))</f>
        <v>-4</v>
      </c>
      <c r="AO24" s="228" t="str">
        <f>IF($AK9&lt;1,"",IF($AK8&lt;9,"",IF(Z24=1,Z30-AB30,IF(AB24=1,AB30-Z30,""))))</f>
        <v/>
      </c>
      <c r="AP24" s="228">
        <f>IF($AK9&lt;1,"",IF($AK8&lt;10,"",IF(AC24=1,AC30-AE30,IF(AE24=1,AE30-AC30,""))))</f>
        <v>11</v>
      </c>
      <c r="AQ24" s="224">
        <f>SUM(AG24:AP24)</f>
        <v>26</v>
      </c>
      <c r="AT24" s="312"/>
      <c r="AU24" s="274"/>
      <c r="AV24" s="274"/>
      <c r="AW24" s="274"/>
      <c r="AX24" s="274"/>
      <c r="AY24" s="274"/>
    </row>
    <row r="25" spans="1:52" ht="15" x14ac:dyDescent="0.2">
      <c r="A25" s="188" t="s">
        <v>52</v>
      </c>
      <c r="B25" s="229">
        <v>25</v>
      </c>
      <c r="C25" s="230" t="s">
        <v>53</v>
      </c>
      <c r="D25" s="231">
        <v>19</v>
      </c>
      <c r="E25" s="229">
        <v>25</v>
      </c>
      <c r="F25" s="230" t="str">
        <f>IF($AK8&gt;1,"/","")</f>
        <v>/</v>
      </c>
      <c r="G25" s="231">
        <v>21</v>
      </c>
      <c r="H25" s="229">
        <v>25</v>
      </c>
      <c r="I25" s="230" t="str">
        <f>IF($AK8&gt;2,"/","")</f>
        <v>/</v>
      </c>
      <c r="J25" s="231">
        <v>27</v>
      </c>
      <c r="K25" s="229">
        <v>25</v>
      </c>
      <c r="L25" s="230" t="str">
        <f>IF($AK8&gt;3,"/","")</f>
        <v>/</v>
      </c>
      <c r="M25" s="231">
        <v>14</v>
      </c>
      <c r="N25" s="229">
        <v>22</v>
      </c>
      <c r="O25" s="230" t="str">
        <f>IF($AK8&gt;4,"/","")</f>
        <v>/</v>
      </c>
      <c r="P25" s="231">
        <v>25</v>
      </c>
      <c r="Q25" s="229">
        <v>25</v>
      </c>
      <c r="R25" s="230" t="str">
        <f>IF($AK8&gt;5,"/","")</f>
        <v>/</v>
      </c>
      <c r="S25" s="231">
        <v>21</v>
      </c>
      <c r="T25" s="229">
        <v>25</v>
      </c>
      <c r="U25" s="230" t="str">
        <f>IF($AK8&gt;6,"/","")</f>
        <v>/</v>
      </c>
      <c r="V25" s="231">
        <v>21</v>
      </c>
      <c r="W25" s="229">
        <v>15</v>
      </c>
      <c r="X25" s="230" t="str">
        <f>IF($AK8&gt;7,"/","")</f>
        <v>/</v>
      </c>
      <c r="Y25" s="231">
        <v>25</v>
      </c>
      <c r="Z25" s="229">
        <v>23</v>
      </c>
      <c r="AA25" s="230" t="str">
        <f>IF($AK8&gt;8,"/","")</f>
        <v>/</v>
      </c>
      <c r="AB25" s="231">
        <v>25</v>
      </c>
      <c r="AC25" s="229">
        <v>25</v>
      </c>
      <c r="AD25" s="230" t="str">
        <f>IF($AK8&gt;9,"/","")</f>
        <v>/</v>
      </c>
      <c r="AE25" s="231">
        <v>20</v>
      </c>
      <c r="AF25" s="222" t="str">
        <f>IF($AK9&gt;1,"Team 2","")</f>
        <v>Team 2</v>
      </c>
      <c r="AG25" s="228">
        <f>IF($AK9&lt;2,"",IF($AK8&lt;1,"",IF(B24=2,B30-D30,IF(D24=2,D30-B30,""))))</f>
        <v>17</v>
      </c>
      <c r="AH25" s="228" t="str">
        <f>IF($AK9&lt;2,"",IF($AK8&lt;2,"",IF(E24=2,E30-G30,IF(G24=2,G30-E30,""))))</f>
        <v/>
      </c>
      <c r="AI25" s="228" t="str">
        <f>IF($AK9&lt;2,"",IF($AK8&lt;3,"",IF(H24=2,H30-J30,IF(J24=2,J30-H30,""))))</f>
        <v/>
      </c>
      <c r="AJ25" s="228">
        <f>IF($AK9&lt;2,"",IF($AK8&lt;4,"",IF(K24=2,K30-M30,IF(M24=2,M30-K30,""))))</f>
        <v>13</v>
      </c>
      <c r="AK25" s="228" t="str">
        <f>IF($AK9&lt;2,"",IF($AK8&lt;5,"",IF(N24=2,N30-P30,IF(P24=2,P30-N30,""))))</f>
        <v/>
      </c>
      <c r="AL25" s="228" t="str">
        <f>IF($AK9&lt;2,"",IF($AK8&lt;6,"",IF(Q24=2,Q30-S30,IF(S24=2,S30-Q30,""))))</f>
        <v/>
      </c>
      <c r="AM25" s="228">
        <f>IF($AK9&lt;2,"",IF($AK8&lt;7,"",IF(T24=2,T30-V30,IF(V24=2,V30-T30,""))))</f>
        <v>14</v>
      </c>
      <c r="AN25" s="228" t="str">
        <f>IF($AK9&lt;2,"",IF($AK8&lt;8,"",IF(W24=2,W30-Y30,IF(Y24=2,Y30-W30,""))))</f>
        <v/>
      </c>
      <c r="AO25" s="228" t="str">
        <f>IF($AK9&lt;2,"",IF($AK8&lt;9,"",IF(Z24=2,Z30-AB30,IF(AB24=2,AB30-Z30,""))))</f>
        <v/>
      </c>
      <c r="AP25" s="228">
        <f>IF($AK9&lt;2,"",IF($AK8&lt;10,"",IF(AC24=2,AC30-AE30,IF(AE24=2,AE30-AC30,""))))</f>
        <v>-11</v>
      </c>
      <c r="AQ25" s="224">
        <f>SUM(AG25:AP25)</f>
        <v>33</v>
      </c>
      <c r="AT25" s="194"/>
      <c r="AU25" s="194"/>
      <c r="AV25" s="194"/>
      <c r="AW25" s="188"/>
    </row>
    <row r="26" spans="1:52" ht="15" x14ac:dyDescent="0.2">
      <c r="A26" s="191" t="str">
        <f>IF($AK7&gt;1,"Game 2","")</f>
        <v>Game 2</v>
      </c>
      <c r="B26" s="229">
        <v>25</v>
      </c>
      <c r="C26" s="230" t="s">
        <v>53</v>
      </c>
      <c r="D26" s="231">
        <v>14</v>
      </c>
      <c r="E26" s="229">
        <v>25</v>
      </c>
      <c r="F26" s="230" t="str">
        <f>IF($AK8&gt;1,IF($AK7&gt;1,"/",""),"")</f>
        <v>/</v>
      </c>
      <c r="G26" s="231">
        <v>15</v>
      </c>
      <c r="H26" s="229">
        <v>14</v>
      </c>
      <c r="I26" s="230" t="str">
        <f>IF($AK8&gt;2,IF($AK7&gt;1,"/",""),"")</f>
        <v>/</v>
      </c>
      <c r="J26" s="231">
        <v>25</v>
      </c>
      <c r="K26" s="229">
        <v>25</v>
      </c>
      <c r="L26" s="230" t="str">
        <f>IF($AK8&gt;3,IF($AK7&gt;1,"/",""),"")</f>
        <v>/</v>
      </c>
      <c r="M26" s="231">
        <v>23</v>
      </c>
      <c r="N26" s="229">
        <v>25</v>
      </c>
      <c r="O26" s="230" t="str">
        <f>IF($AK8&gt;4,IF($AK7&gt;1,"/",""),"")</f>
        <v>/</v>
      </c>
      <c r="P26" s="231">
        <v>17</v>
      </c>
      <c r="Q26" s="229">
        <v>25</v>
      </c>
      <c r="R26" s="230" t="str">
        <f>IF($AK8&gt;5,IF($AK7&gt;1,"/",""),"")</f>
        <v>/</v>
      </c>
      <c r="S26" s="231">
        <v>23</v>
      </c>
      <c r="T26" s="229">
        <v>25</v>
      </c>
      <c r="U26" s="230" t="str">
        <f>IF($AK8&gt;6,IF($AK7&gt;1,"/",""),"")</f>
        <v>/</v>
      </c>
      <c r="V26" s="231">
        <v>15</v>
      </c>
      <c r="W26" s="229">
        <v>25</v>
      </c>
      <c r="X26" s="230" t="str">
        <f>IF($AK8&gt;7,IF($AK7&gt;1,"/",""),"")</f>
        <v>/</v>
      </c>
      <c r="Y26" s="231">
        <v>19</v>
      </c>
      <c r="Z26" s="229">
        <v>25</v>
      </c>
      <c r="AA26" s="230" t="str">
        <f>IF($AK8&gt;8,IF($AK7&gt;1,"/",""),"")</f>
        <v>/</v>
      </c>
      <c r="AB26" s="231">
        <v>13</v>
      </c>
      <c r="AC26" s="229">
        <v>25</v>
      </c>
      <c r="AD26" s="230" t="str">
        <f>IF($AK8&gt;9,IF($AK7&gt;1,"/",""),"")</f>
        <v>/</v>
      </c>
      <c r="AE26" s="231">
        <v>19</v>
      </c>
      <c r="AF26" s="222" t="str">
        <f>IF($AK9&gt;2,"Team 3","")</f>
        <v>Team 3</v>
      </c>
      <c r="AG26" s="228" t="str">
        <f>IF($AK9&lt;3,"",IF($AK8&lt;1,"",IF(B24=3,B30-D30,IF(D24=3,D30-B30,""))))</f>
        <v/>
      </c>
      <c r="AH26" s="228" t="str">
        <f>IF($AK9&lt;3,"",IF($AK8&lt;2,"",IF(E24=3,E30-G30,IF(G24=3,G30-E30,""))))</f>
        <v/>
      </c>
      <c r="AI26" s="228">
        <f>IF($AK9&lt;3,"",IF($AK8&lt;3,"",IF(H24=3,H30-J30,IF(J24=3,J30-H30,""))))</f>
        <v>-13</v>
      </c>
      <c r="AJ26" s="228" t="str">
        <f>IF($AK9&lt;3,"",IF($AK8&lt;4,"",IF(K24=3,K30-M30,IF(M24=3,M30-K30,""))))</f>
        <v/>
      </c>
      <c r="AK26" s="228">
        <f>IF($AK9&lt;3,"",IF($AK8&lt;5,"",IF(N24=3,N30-P30,IF(P24=3,P30-N30,""))))</f>
        <v>-5</v>
      </c>
      <c r="AL26" s="228" t="str">
        <f>IF($AK9&lt;3,"",IF($AK8&lt;6,"",IF(Q24=3,Q30-S30,IF(S24=3,S30-Q30,""))))</f>
        <v/>
      </c>
      <c r="AM26" s="228">
        <f>IF($AK9&lt;3,"",IF($AK8&lt;7,"",IF(T24=3,T30-V30,IF(V24=3,V30-T30,""))))</f>
        <v>-14</v>
      </c>
      <c r="AN26" s="228" t="str">
        <f>IF($AK9&lt;3,"",IF($AK8&lt;8,"",IF(W24=3,W30-Y30,IF(Y24=3,Y30-W30,""))))</f>
        <v/>
      </c>
      <c r="AO26" s="228">
        <f>IF($AK9&lt;3,"",IF($AK8&lt;9,"",IF(Z24=3,Z30-AB30,IF(AB24=3,AB30-Z30,""))))</f>
        <v>10</v>
      </c>
      <c r="AP26" s="228" t="str">
        <f>IF($AK9&lt;3,"",IF($AK8&lt;9,"",IF(AC24=3,AC30-AE30,IF(AE24=3,AE30-AC30,""))))</f>
        <v/>
      </c>
      <c r="AQ26" s="224">
        <f>SUM(AG26:AP26)</f>
        <v>-22</v>
      </c>
      <c r="AT26" s="194"/>
      <c r="AU26" s="194"/>
      <c r="AV26" s="194"/>
      <c r="AW26" s="188"/>
    </row>
    <row r="27" spans="1:52" ht="15" x14ac:dyDescent="0.2">
      <c r="A27" s="191" t="str">
        <f>IF($AK7&gt;2,"Game 3","")</f>
        <v/>
      </c>
      <c r="B27" s="229"/>
      <c r="C27" s="230" t="s">
        <v>53</v>
      </c>
      <c r="D27" s="231"/>
      <c r="E27" s="229"/>
      <c r="F27" s="230" t="str">
        <f>IF($AK8&gt;1,IF($AK7&gt;2,"/",""),"")</f>
        <v/>
      </c>
      <c r="G27" s="231"/>
      <c r="H27" s="229"/>
      <c r="I27" s="230" t="str">
        <f>IF($AK8&gt;2,IF($AK7&gt;2,"/",""),"")</f>
        <v/>
      </c>
      <c r="J27" s="231"/>
      <c r="K27" s="229"/>
      <c r="L27" s="230" t="str">
        <f>IF($AK8&gt;3,IF($AK7&gt;2,"/",""),"")</f>
        <v/>
      </c>
      <c r="M27" s="231"/>
      <c r="N27" s="229"/>
      <c r="O27" s="230" t="str">
        <f>IF($AK8&gt;4,IF($AK7&gt;2,"/",""),"")</f>
        <v/>
      </c>
      <c r="P27" s="231"/>
      <c r="Q27" s="229"/>
      <c r="R27" s="230" t="str">
        <f>IF($AK8&gt;5,IF($AK7&gt;2,"/",""),"")</f>
        <v/>
      </c>
      <c r="S27" s="231"/>
      <c r="T27" s="229"/>
      <c r="U27" s="230" t="str">
        <f>IF($AK8&gt;6,IF($AK7&gt;2,"/",""),"")</f>
        <v/>
      </c>
      <c r="V27" s="231"/>
      <c r="W27" s="229"/>
      <c r="X27" s="230" t="str">
        <f>IF($AK8&gt;7,IF($AK7&gt;2,"/",""),"")</f>
        <v/>
      </c>
      <c r="Y27" s="231"/>
      <c r="Z27" s="229"/>
      <c r="AA27" s="230" t="str">
        <f>IF($AK8&gt;8,IF($AK7&gt;2,"/",""),"")</f>
        <v/>
      </c>
      <c r="AB27" s="231"/>
      <c r="AC27" s="229"/>
      <c r="AD27" s="230" t="str">
        <f>IF($AK8&gt;9,IF($AK7&gt;2,"/",""),"")</f>
        <v/>
      </c>
      <c r="AE27" s="231"/>
      <c r="AF27" s="222" t="str">
        <f>IF($AK9&gt;3,"Team 4","")</f>
        <v>Team 4</v>
      </c>
      <c r="AG27" s="228" t="str">
        <f>IF($AK9&lt;4,"",IF($AK8&lt;1,"",IF(B24=4,B30-D30,IF(D24=4,D30-B30,""))))</f>
        <v/>
      </c>
      <c r="AH27" s="228">
        <f>IF($AK9&lt;4,"",IF($AK8&lt;2,"",IF(E24=4,E30-G30,IF(G24=4,G30-E30,""))))</f>
        <v>-14</v>
      </c>
      <c r="AI27" s="228" t="str">
        <f>IF($AK9&lt;4,"",IF($AK8&lt;3,"",IF(H24=4,H30-J30,IF(J24=4,J30-H30,""))))</f>
        <v/>
      </c>
      <c r="AJ27" s="228">
        <f>IF($AK9&lt;4,"",IF($AK8&lt;4,"",IF(K24=4,K30-M30,IF(M24=4,M30-K30,""))))</f>
        <v>-13</v>
      </c>
      <c r="AK27" s="228" t="str">
        <f>IF($AK9&lt;4,"",IF($AK8&lt;5,"",IF(N24=4,N30-P30,IF(P24=4,P30-N30,""))))</f>
        <v/>
      </c>
      <c r="AL27" s="228">
        <f>IF($AK9&lt;4,"",IF($AK8&lt;6,"",IF(Q24=4,Q30-S30,IF(S24=4,S30-Q30,""))))</f>
        <v>6</v>
      </c>
      <c r="AM27" s="228" t="str">
        <f>IF($AK9&lt;4,"",IF($AK8&lt;7,"",IF(T24=4,T30-V30,IF(V24=4,V30-T30,""))))</f>
        <v/>
      </c>
      <c r="AN27" s="228" t="str">
        <f>IF($AK9&lt;4,"",IF($AK8&lt;8,"",IF(W24=4,W30-Y30,IF(Y24=4,Y30-W30,""))))</f>
        <v/>
      </c>
      <c r="AO27" s="228">
        <f>IF($AK9&lt;4,"",IF($AK8&lt;9,"",IF(Z24=4,Z30-AB30,IF(AB24=4,AB30-Z30,""))))</f>
        <v>-10</v>
      </c>
      <c r="AP27" s="228" t="str">
        <f>IF($AK9&lt;4,"",IF($AK8&lt;10,"",IF(AC24=4,AC30-AE30,IF(AE24=4,AE30-AC30,""))))</f>
        <v/>
      </c>
      <c r="AQ27" s="224">
        <f>SUM(AG27:AP27)</f>
        <v>-31</v>
      </c>
      <c r="AW27" s="188"/>
    </row>
    <row r="28" spans="1:52" ht="15" x14ac:dyDescent="0.2">
      <c r="A28" s="191" t="str">
        <f>IF($AK7&gt;3,"Game 4","")</f>
        <v/>
      </c>
      <c r="B28" s="229"/>
      <c r="C28" s="230" t="s">
        <v>53</v>
      </c>
      <c r="D28" s="231"/>
      <c r="E28" s="229"/>
      <c r="F28" s="230" t="str">
        <f>IF($AK8&gt;1,IF($AK7&gt;3,"/",""),"")</f>
        <v/>
      </c>
      <c r="G28" s="231"/>
      <c r="H28" s="229"/>
      <c r="I28" s="230" t="str">
        <f>IF($AK8&gt;2,IF($AK7&gt;3,"/",""),"")</f>
        <v/>
      </c>
      <c r="J28" s="231"/>
      <c r="K28" s="229"/>
      <c r="L28" s="230" t="str">
        <f>IF($AK8&gt;3,IF($AK7&gt;3,"/",""),"")</f>
        <v/>
      </c>
      <c r="M28" s="231"/>
      <c r="N28" s="229"/>
      <c r="O28" s="230" t="str">
        <f>IF($AK8&gt;4,IF($AK7&gt;3,"/",""),"")</f>
        <v/>
      </c>
      <c r="P28" s="231"/>
      <c r="Q28" s="229"/>
      <c r="R28" s="230" t="str">
        <f>IF($AK8&gt;5,IF($AK7&gt;3,"/",""),"")</f>
        <v/>
      </c>
      <c r="S28" s="231"/>
      <c r="T28" s="229"/>
      <c r="U28" s="230" t="str">
        <f>IF($AK8&gt;6,IF($AK7&gt;3,"/",""),"")</f>
        <v/>
      </c>
      <c r="V28" s="231"/>
      <c r="W28" s="229"/>
      <c r="X28" s="230" t="str">
        <f>IF($AK8&gt;7,IF($AK7&gt;3,"/",""),"")</f>
        <v/>
      </c>
      <c r="Y28" s="231"/>
      <c r="Z28" s="229"/>
      <c r="AA28" s="230" t="str">
        <f>IF($AK8&gt;8,IF($AK7&gt;3,"/",""),"")</f>
        <v/>
      </c>
      <c r="AB28" s="231"/>
      <c r="AC28" s="229"/>
      <c r="AD28" s="230" t="str">
        <f>IF($AK8&gt;9,IF($AK7&gt;3,"/",""),"")</f>
        <v/>
      </c>
      <c r="AE28" s="231"/>
      <c r="AF28" s="222" t="str">
        <f>IF($AK9&gt;4,"Team 5","")</f>
        <v>Team 5</v>
      </c>
      <c r="AG28" s="232">
        <f>IF($AK9&lt;5,"",IF($AK8&lt;1,"",IF(B24=5,B30-D30,IF(D24=5,D30-B30,""))))</f>
        <v>-17</v>
      </c>
      <c r="AH28" s="228" t="str">
        <f>IF($AK9&lt;5,"",IF($AK8&lt;2,"",IF(E24=5,E30-G30,IF(G24=5,G30-E30,""))))</f>
        <v/>
      </c>
      <c r="AI28" s="228">
        <f>IF($AK9&lt;5,"",IF($AK8&lt;3,"",IF(H24=5,H30-J30,IF(J24=5,J30-H30,""))))</f>
        <v>13</v>
      </c>
      <c r="AJ28" s="228" t="str">
        <f>IF($AK9&lt;5,"",IF($AK8&lt;4,"",IF(K24=5,K30-M30,IF(M24=5,M30-K30,""))))</f>
        <v/>
      </c>
      <c r="AK28" s="228" t="str">
        <f>IF($AK9&lt;5,"",IF($AK8&lt;5,"",IF(N24=5,N30-P30,IF(P24=5,P30-N30,""))))</f>
        <v/>
      </c>
      <c r="AL28" s="228">
        <f>IF($AK9&lt;5,"",IF($AK8&lt;6,"",IF(Q24=5,Q30-S30,IF(S24=5,S30-Q30,""))))</f>
        <v>-6</v>
      </c>
      <c r="AM28" s="228" t="str">
        <f>IF($AK9&lt;5,"",IF($AK8&lt;7,"",IF(T24=5,T30-V30,IF(V24=5,V30-T30,""))))</f>
        <v/>
      </c>
      <c r="AN28" s="228">
        <f>IF($AK9&lt;5,"",IF($AK8&lt;8,"",IF(W24=5,W30-Y30,IF(Y24=5,Y30-W30,""))))</f>
        <v>4</v>
      </c>
      <c r="AO28" s="228" t="str">
        <f>IF($AK9&lt;5,"",IF($AK8&lt;9,"",IF(Z24=5,Z30-AB30,IF(AB24=5,AB30-Z30,""))))</f>
        <v/>
      </c>
      <c r="AP28" s="228" t="str">
        <f>IF($AK9&lt;5,"",IF($AK8&lt;10,"",IF(AC24=5,AC30-AE30,IF(AE24=5,AE30-AC30,""))))</f>
        <v/>
      </c>
      <c r="AQ28" s="224">
        <f>SUM(AG28:AP28)</f>
        <v>-6</v>
      </c>
      <c r="AW28" s="194"/>
      <c r="AX28" s="194"/>
      <c r="AY28" s="194"/>
    </row>
    <row r="29" spans="1:52" ht="15" x14ac:dyDescent="0.2">
      <c r="A29" s="191" t="str">
        <f>IF($AK7&gt;4,"Game 5","")</f>
        <v/>
      </c>
      <c r="B29" s="229"/>
      <c r="C29" s="230" t="s">
        <v>53</v>
      </c>
      <c r="D29" s="231"/>
      <c r="E29" s="229"/>
      <c r="F29" s="230" t="str">
        <f>IF($AK8&gt;1,IF($AK7&gt;4,"/",""),"")</f>
        <v/>
      </c>
      <c r="G29" s="231"/>
      <c r="H29" s="229"/>
      <c r="I29" s="230" t="str">
        <f>IF($AK8&gt;2,IF($AK7&gt;4,"/",""),"")</f>
        <v/>
      </c>
      <c r="J29" s="231"/>
      <c r="K29" s="229"/>
      <c r="L29" s="230" t="str">
        <f>IF($AK8&gt;3,IF($AK7&gt;4,"/",""),"")</f>
        <v/>
      </c>
      <c r="M29" s="231"/>
      <c r="N29" s="229"/>
      <c r="O29" s="230" t="str">
        <f>IF($AK8&gt;4,IF($AK7&gt;4,"/",""),"")</f>
        <v/>
      </c>
      <c r="P29" s="231"/>
      <c r="Q29" s="229"/>
      <c r="R29" s="230" t="str">
        <f>IF($AK8&gt;5,IF($AK7&gt;4,"/",""),"")</f>
        <v/>
      </c>
      <c r="S29" s="231"/>
      <c r="T29" s="229"/>
      <c r="U29" s="230" t="str">
        <f>IF($AK8&gt;6,IF($AK7&gt;4,"/",""),"")</f>
        <v/>
      </c>
      <c r="V29" s="231"/>
      <c r="W29" s="229"/>
      <c r="X29" s="230" t="str">
        <f>IF($AK8&gt;7,IF($AK7&gt;4,"/",""),"")</f>
        <v/>
      </c>
      <c r="Y29" s="231"/>
      <c r="Z29" s="229"/>
      <c r="AA29" s="230" t="str">
        <f>IF($AK8&gt;8,IF($AK7&gt;4,"/",""),"")</f>
        <v/>
      </c>
      <c r="AB29" s="231"/>
      <c r="AC29" s="229"/>
      <c r="AD29" s="230" t="str">
        <f>IF($AK8&gt;9,IF($AK7&gt;4,"/",""),"")</f>
        <v/>
      </c>
      <c r="AE29" s="231"/>
      <c r="AF29" s="195"/>
      <c r="AG29" s="195"/>
      <c r="AH29" s="195"/>
      <c r="AI29" s="195"/>
      <c r="AJ29" s="195"/>
      <c r="AK29" s="195"/>
      <c r="AL29" s="195"/>
      <c r="AM29" s="195"/>
      <c r="AN29" s="195"/>
      <c r="AO29" s="195"/>
      <c r="AP29" s="195"/>
      <c r="AQ29" s="195"/>
      <c r="AW29" s="194"/>
      <c r="AX29" s="194"/>
      <c r="AY29" s="194"/>
    </row>
    <row r="30" spans="1:52" hidden="1" x14ac:dyDescent="0.2">
      <c r="A30" s="233"/>
      <c r="B30" s="233">
        <f>IF($AK7=5,SUM(B25:B29),IF($AK7=4,SUM(B25:B28),IF($AK7=3,SUM(B25:B27),IF($AK7=2,SUM(B25:B26),B25))))</f>
        <v>50</v>
      </c>
      <c r="C30" s="233"/>
      <c r="D30" s="233">
        <f>IF($AK7=5,SUM(D25:D29),IF($AK7=4,SUM(D25:D28),IF($AK7=3,SUM(D25:D27),IF($AK7=2,SUM(D25:D26),D25))))</f>
        <v>33</v>
      </c>
      <c r="E30" s="233">
        <f>IF($AK7=5,SUM(E25:E29),IF($AK7=4,SUM(E25:E28),IF($AK7=3,SUM(E25:E27),IF($AK7=2,SUM(E25:E26),E25))))</f>
        <v>50</v>
      </c>
      <c r="F30" s="233"/>
      <c r="G30" s="233">
        <f>IF($AK7=5,SUM(G25:G29),IF($AK7=4,SUM(G25:G28),IF($AK7=3,SUM(G25:G27),IF($AK7=2,SUM(G25:G26),G25))))</f>
        <v>36</v>
      </c>
      <c r="H30" s="233">
        <f>IF($AK7=5,SUM(H25:H29),IF($AK7=4,SUM(H25:H28),IF($AK7=3,SUM(H25:H27),IF($AK7=2,SUM(H25:H26),H25))))</f>
        <v>39</v>
      </c>
      <c r="I30" s="233"/>
      <c r="J30" s="233">
        <f>IF($AK7=5,SUM(J25:J29),IF($AK7=4,SUM(J25:J28),IF($AK7=3,SUM(J25:J27),IF($AK7=2,SUM(J25:J26),J25))))</f>
        <v>52</v>
      </c>
      <c r="K30" s="233">
        <f>IF($AK7=5,SUM(K25:K29),IF($AK7=4,SUM(K25:K28),IF($AK7=3,SUM(K25:K27),IF($AK7=2,SUM(K25:K26),K25))))</f>
        <v>50</v>
      </c>
      <c r="L30" s="233"/>
      <c r="M30" s="233">
        <f>IF($AK7=5,SUM(M25:M29),IF($AK7=4,SUM(M25:M28),IF($AK7=3,SUM(M25:M27),IF($AK7=2,SUM(M25:M26),M25))))</f>
        <v>37</v>
      </c>
      <c r="N30" s="233">
        <f>IF($AK7=5,SUM(N25:N29),IF($AK7=4,SUM(N25:N28),IF($AK7=3,SUM(N25:N27),IF($AK7=2,SUM(N25:N26),N25))))</f>
        <v>47</v>
      </c>
      <c r="O30" s="233"/>
      <c r="P30" s="233">
        <f>IF($AK7=5,SUM(P25:P29),IF($AK7=4,SUM(P25:P28),IF($AK7=3,SUM(P25:P27),IF($AK7=2,SUM(P25:P26),P25))))</f>
        <v>42</v>
      </c>
      <c r="Q30" s="233">
        <f>IF($AK7=5,SUM(Q25:Q29),IF($AK7=4,SUM(Q25:Q28),IF($AK7=3,SUM(Q25:Q27),IF($AK7=2,SUM(Q25:Q26),Q25))))</f>
        <v>50</v>
      </c>
      <c r="R30" s="233"/>
      <c r="S30" s="233">
        <f>IF($AK7=5,SUM(S25:S29),IF($AK7=4,SUM(S25:S28),IF($AK7=3,SUM(S25:S27),IF($AK7=2,SUM(S25:S26),S25))))</f>
        <v>44</v>
      </c>
      <c r="T30" s="233">
        <f>IF($AK7=5,SUM(T25:T29),IF($AK7=4,SUM(T25:T28),IF($AK7=3,SUM(T25:T27),IF($AK7=2,SUM(T25:T26),T25))))</f>
        <v>50</v>
      </c>
      <c r="U30" s="233"/>
      <c r="V30" s="233">
        <f>IF($AK7=5,SUM(V25:V29),IF($AK7=4,SUM(V25:V28),IF($AK7=3,SUM(V25:V27),IF($AK7=2,SUM(V25:V26),V25))))</f>
        <v>36</v>
      </c>
      <c r="W30" s="233">
        <f>IF($AK7=5,SUM(W25:W29),IF($AK7=4,SUM(W25:W28),IF($AK7=3,SUM(W25:W27),IF($AK7=2,SUM(W25:W26),W25))))</f>
        <v>40</v>
      </c>
      <c r="X30" s="233"/>
      <c r="Y30" s="233">
        <f>IF($AK7=5,SUM(Y25:Y29),IF($AK7=4,SUM(Y25:Y28),IF($AK7=3,SUM(Y25:Y27),IF($AK7=2,SUM(Y25:Y26),Y25))))</f>
        <v>44</v>
      </c>
      <c r="Z30" s="233">
        <f>IF($AK7=5,SUM(Z25:Z29),IF($AK7=4,SUM(Z25:Z28),IF($AK7=3,SUM(Z25:Z27),IF($AK7=2,SUM(Z25:Z26),Z25))))</f>
        <v>48</v>
      </c>
      <c r="AA30" s="233"/>
      <c r="AB30" s="233">
        <f>IF($AK7=5,SUM(AB25:AB29),IF($AK7=4,SUM(AB25:AB28),IF($AK7=3,SUM(AB25:AB27),IF($AK7=2,SUM(AB25:AB26),AB25))))</f>
        <v>38</v>
      </c>
      <c r="AC30" s="233">
        <f>IF($AK7=5,SUM(AC25:AC29),IF($AK7=4,SUM(AC25:AC28),IF($AK7=3,SUM(AC25:AC27),IF($AK7=2,SUM(AC25:AC26),AC25))))</f>
        <v>50</v>
      </c>
      <c r="AD30" s="233"/>
      <c r="AE30" s="233">
        <f>IF($AK7=5,SUM(AE25:AE29),IF($AK7=4,SUM(AE25:AE28),IF($AK7=3,SUM(AE25:AE27),IF($AK7=2,SUM(AE25:AE26),AE25))))</f>
        <v>39</v>
      </c>
      <c r="AF30" s="195"/>
      <c r="AG30" s="195"/>
      <c r="AH30" s="195"/>
      <c r="AI30" s="195"/>
      <c r="AJ30" s="195"/>
      <c r="AK30" s="195"/>
      <c r="AL30" s="195"/>
      <c r="AM30" s="195"/>
      <c r="AN30" s="195"/>
      <c r="AO30" s="195"/>
      <c r="AP30" s="195"/>
      <c r="AQ30" s="195"/>
    </row>
    <row r="31" spans="1:52" s="235" customFormat="1" ht="12.75" hidden="1" customHeight="1" x14ac:dyDescent="0.2">
      <c r="A31" s="235" t="s">
        <v>54</v>
      </c>
      <c r="B31" s="236">
        <f>IF(AND(B25&gt;D25,$AK8&gt;0,ISNUMBER(B25),ISNUMBER(D25)),1,0)</f>
        <v>1</v>
      </c>
      <c r="C31" s="236"/>
      <c r="D31" s="237">
        <f>IF(AND(D25&gt;B25,$AK8&gt;0,ISNUMBER(B25),ISNUMBER(D25)),1,0)</f>
        <v>0</v>
      </c>
      <c r="E31" s="236">
        <f>IF(AND(E25&gt;G25,$AK8&gt;1,ISNUMBER(E25),ISNUMBER(G25)),1,0)</f>
        <v>1</v>
      </c>
      <c r="F31" s="236"/>
      <c r="G31" s="237">
        <f>IF(AND(G25&gt;E25,$AK8&gt;1,ISNUMBER(E25),ISNUMBER(G25)),1,0)</f>
        <v>0</v>
      </c>
      <c r="H31" s="236">
        <f>IF(AND(H25&gt;J25,$AK8&gt;2,ISNUMBER(H25),ISNUMBER(J25)),1,0)</f>
        <v>0</v>
      </c>
      <c r="I31" s="236"/>
      <c r="J31" s="237">
        <f>IF(AND(J25&gt;H25,$AK8&gt;2,ISNUMBER(H25),ISNUMBER(J25)),1,0)</f>
        <v>1</v>
      </c>
      <c r="K31" s="236">
        <f>IF(AND(K25&gt;M25,$AK8&gt;3,ISNUMBER(K25),ISNUMBER(M25)),1,0)</f>
        <v>1</v>
      </c>
      <c r="L31" s="236"/>
      <c r="M31" s="237">
        <f>IF(AND(M25&gt;K25,$AK8&gt;3,ISNUMBER(K25),ISNUMBER(M25)),1,0)</f>
        <v>0</v>
      </c>
      <c r="N31" s="236">
        <f>IF(AND(N25&gt;P25,$AK8&gt;4,ISNUMBER(N25),ISNUMBER(P25)),1,0)</f>
        <v>0</v>
      </c>
      <c r="O31" s="236"/>
      <c r="P31" s="237">
        <f>IF(AND(P25&gt;N25,$AK8&gt;4,ISNUMBER(N25),ISNUMBER(P25)),1,0)</f>
        <v>1</v>
      </c>
      <c r="Q31" s="236">
        <f>IF(AND(Q25&gt;S25,$AK8&gt;5,ISNUMBER(Q25),ISNUMBER(S25)),1,0)</f>
        <v>1</v>
      </c>
      <c r="R31" s="236"/>
      <c r="S31" s="237">
        <f>IF(AND(S25&gt;Q25,$AK8&gt;5,ISNUMBER(Q25),ISNUMBER(S25)),1,0)</f>
        <v>0</v>
      </c>
      <c r="T31" s="236">
        <f>IF(AND(T25&gt;V25,$AK8&gt;6,ISNUMBER(T25),ISNUMBER(V25)),1,0)</f>
        <v>1</v>
      </c>
      <c r="U31" s="236"/>
      <c r="V31" s="237">
        <f>IF(AND(V25&gt;T25,$AK8&gt;6,ISNUMBER(T25),ISNUMBER(V25)),1,0)</f>
        <v>0</v>
      </c>
      <c r="W31" s="236">
        <f>IF(AND(W25&gt;Y25,$AK8&gt;7,ISNUMBER(W25),ISNUMBER(Y25)),1,0)</f>
        <v>0</v>
      </c>
      <c r="X31" s="236"/>
      <c r="Y31" s="237">
        <f>IF(AND(Y25&gt;W25,$AK8&gt;7,ISNUMBER(W25),ISNUMBER(Y25)),1,0)</f>
        <v>1</v>
      </c>
      <c r="Z31" s="236">
        <f>IF(AND(Z25&gt;AB25,$AK8&gt;8,ISNUMBER(Z25),ISNUMBER(AB25)),1,0)</f>
        <v>0</v>
      </c>
      <c r="AA31" s="236"/>
      <c r="AB31" s="237">
        <f>IF(AND(AB25&gt;Z25,$AK8&gt;8,ISNUMBER(Z25),ISNUMBER(AB25)),1,0)</f>
        <v>1</v>
      </c>
      <c r="AC31" s="236">
        <f>IF(AND(AC25&gt;AE25,$AK8&gt;9,ISNUMBER(AC25),ISNUMBER(AE25)),1,0)</f>
        <v>1</v>
      </c>
      <c r="AD31" s="236"/>
      <c r="AE31" s="237">
        <f>IF(AND(AE25&gt;AC25,$AK8&gt;9,ISNUMBER(AC25),ISNUMBER(AE25)),1,0)</f>
        <v>0</v>
      </c>
      <c r="AW31" s="238"/>
    </row>
    <row r="32" spans="1:52" s="235" customFormat="1" ht="12.75" hidden="1" customHeight="1" x14ac:dyDescent="0.2">
      <c r="A32" s="235" t="s">
        <v>55</v>
      </c>
      <c r="B32" s="236">
        <f>IF(AND(B26&gt;D26,$AK8&gt;0,$AK7&gt;1,ISNUMBER(B26),ISNUMBER(D26)),1,0)</f>
        <v>1</v>
      </c>
      <c r="C32" s="236"/>
      <c r="D32" s="237">
        <f>IF(AND(D26&gt;B26,$AK8&gt;0,$AK7&gt;1,ISNUMBER(B26),ISNUMBER(D26)),1,0)</f>
        <v>0</v>
      </c>
      <c r="E32" s="236">
        <f>IF(AND(E26&gt;G26,$AK8&gt;1,$AK7&gt;1,ISNUMBER(E26),ISNUMBER(G26)),1,0)</f>
        <v>1</v>
      </c>
      <c r="F32" s="236"/>
      <c r="G32" s="237">
        <f>IF(AND(G26&gt;E26,$AK8&gt;1,$AK7&gt;1,ISNUMBER(E26),ISNUMBER(G26)),1,0)</f>
        <v>0</v>
      </c>
      <c r="H32" s="236">
        <f>IF(AND(H26&gt;J26,$AK8&gt;2,$AK7&gt;1,ISNUMBER(H26),ISNUMBER(J26)),1,0)</f>
        <v>0</v>
      </c>
      <c r="I32" s="236"/>
      <c r="J32" s="237">
        <f>IF(AND(J26&gt;H26,$AK8&gt;2,$AK7&gt;1,ISNUMBER(H26),ISNUMBER(J26)),1,0)</f>
        <v>1</v>
      </c>
      <c r="K32" s="236">
        <f>IF(AND(K26&gt;M26,$AK8&gt;3,$AK7&gt;1,ISNUMBER(K26),ISNUMBER(M26)),1,0)</f>
        <v>1</v>
      </c>
      <c r="L32" s="236"/>
      <c r="M32" s="237">
        <f>IF(AND(M26&gt;K26,$AK8&gt;3,$AK7&gt;1,ISNUMBER(K26),ISNUMBER(M26)),1,0)</f>
        <v>0</v>
      </c>
      <c r="N32" s="236">
        <f>IF(AND(N26&gt;P26,$AK8&gt;4,$AK7&gt;1,ISNUMBER(N26),ISNUMBER(P26)),1,0)</f>
        <v>1</v>
      </c>
      <c r="O32" s="236"/>
      <c r="P32" s="237">
        <f>IF(AND(P26&gt;N26,$AK8&gt;4,$AK7&gt;1,ISNUMBER(N26),ISNUMBER(P26)),1,0)</f>
        <v>0</v>
      </c>
      <c r="Q32" s="236">
        <f>IF(AND(Q26&gt;S26,$AK8&gt;5,$AK7&gt;1,ISNUMBER(Q26),ISNUMBER(S26)),1,0)</f>
        <v>1</v>
      </c>
      <c r="R32" s="236"/>
      <c r="S32" s="237">
        <f>IF(AND(S26&gt;Q26,$AK8&gt;5,$AK7&gt;1,ISNUMBER(Q26),ISNUMBER(S26)),1,0)</f>
        <v>0</v>
      </c>
      <c r="T32" s="236">
        <f>IF(AND(T26&gt;V26,$AK8&gt;6,$AK7&gt;1,ISNUMBER(T26),ISNUMBER(V26)),1,0)</f>
        <v>1</v>
      </c>
      <c r="U32" s="236"/>
      <c r="V32" s="237">
        <f>IF(AND(V26&gt;T26,$AK8&gt;6,$AK7&gt;1,ISNUMBER(T26),ISNUMBER(V26)),1,0)</f>
        <v>0</v>
      </c>
      <c r="W32" s="236">
        <f>IF(AND(W26&gt;Y26,$AK8&gt;7,$AK7&gt;1,ISNUMBER(W26),ISNUMBER(Y26)),1,0)</f>
        <v>1</v>
      </c>
      <c r="X32" s="236"/>
      <c r="Y32" s="237">
        <f>IF(AND(Y26&gt;W26,$AK8&gt;7,$AK7&gt;1,ISNUMBER(W26),ISNUMBER(Y26)),1,0)</f>
        <v>0</v>
      </c>
      <c r="Z32" s="236">
        <f>IF(AND(Z26&gt;AB26,$AK8&gt;8,$AK7&gt;1,ISNUMBER(Z26),ISNUMBER(AB26)),1,0)</f>
        <v>1</v>
      </c>
      <c r="AA32" s="236"/>
      <c r="AB32" s="237">
        <f>IF(AND(AB26&gt;Z26,$AK8&gt;8,$AK7&gt;1,ISNUMBER(Z26),ISNUMBER(AB26)),1,0)</f>
        <v>0</v>
      </c>
      <c r="AC32" s="236">
        <f>IF(AND(AC26&gt;AE26,$AK8&gt;9,$AK7&gt;1,ISNUMBER(AC26),ISNUMBER(AE26)),1,0)</f>
        <v>1</v>
      </c>
      <c r="AD32" s="236"/>
      <c r="AE32" s="237">
        <f>IF(AND(AE26&gt;AC26,$AK8&gt;9,$AK7&gt;1,ISNUMBER(AC26),ISNUMBER(AE26)),1,0)</f>
        <v>0</v>
      </c>
      <c r="AW32" s="238"/>
    </row>
    <row r="33" spans="1:49" s="235" customFormat="1" ht="12.75" hidden="1" customHeight="1" x14ac:dyDescent="0.2">
      <c r="A33" s="235" t="s">
        <v>56</v>
      </c>
      <c r="B33" s="236">
        <f>IF(AND(B27&gt;D27,$AK8&gt;0,$AK7&gt;2,ISNUMBER(B27),ISNUMBER(D27)),1,0)</f>
        <v>0</v>
      </c>
      <c r="C33" s="236"/>
      <c r="D33" s="237">
        <f>IF(AND(D27&gt;B27,$AK8&gt;0,$AK7&gt;2,ISNUMBER(B27),ISNUMBER(D27)),1,0)</f>
        <v>0</v>
      </c>
      <c r="E33" s="236">
        <f>IF(AND(E27&gt;G27,$AK8&gt;1,$AK7&gt;2,ISNUMBER(E27),ISNUMBER(G27)),1,0)</f>
        <v>0</v>
      </c>
      <c r="F33" s="236"/>
      <c r="G33" s="237">
        <f>IF(AND(G27&gt;E27,$AK8&gt;1,$AK7&gt;2,ISNUMBER(E27),ISNUMBER(G27)),1,0)</f>
        <v>0</v>
      </c>
      <c r="H33" s="236">
        <f>IF(AND(H27&gt;J27,$AK8&gt;2,$AK7&gt;2,ISNUMBER(H27),ISNUMBER(J27)),1,0)</f>
        <v>0</v>
      </c>
      <c r="I33" s="236"/>
      <c r="J33" s="237">
        <f>IF(AND(J27&gt;H27,$AK8&gt;2,$AK7&gt;2,ISNUMBER(H27),ISNUMBER(J27)),1,0)</f>
        <v>0</v>
      </c>
      <c r="K33" s="236">
        <f>IF(AND(K27&gt;M27,$AK8&gt;3,$AK7&gt;2,ISNUMBER(K27),ISNUMBER(M27)),1,0)</f>
        <v>0</v>
      </c>
      <c r="L33" s="236"/>
      <c r="M33" s="237">
        <f>IF(AND(M27&gt;K27,$AK8&gt;3,$AK7&gt;2,ISNUMBER(K27),ISNUMBER(M27)),1,0)</f>
        <v>0</v>
      </c>
      <c r="N33" s="236">
        <f>IF(AND(N27&gt;P27,$AK8&gt;4,$AK7&gt;2,ISNUMBER(N27),ISNUMBER(P27)),1,0)</f>
        <v>0</v>
      </c>
      <c r="O33" s="236"/>
      <c r="P33" s="237">
        <f>IF(AND(P27&gt;N27,$AK8&gt;4,$AK7&gt;2,ISNUMBER(N27),ISNUMBER(P27)),1,0)</f>
        <v>0</v>
      </c>
      <c r="Q33" s="236">
        <f>IF(AND(Q27&gt;S27,$AK8&gt;5,$AK7&gt;2,ISNUMBER(Q27),ISNUMBER(S27)),1,0)</f>
        <v>0</v>
      </c>
      <c r="R33" s="236"/>
      <c r="S33" s="237">
        <f>IF(AND(S27&gt;Q27,$AK8&gt;5,$AK7&gt;2,ISNUMBER(Q27),ISNUMBER(S27)),1,0)</f>
        <v>0</v>
      </c>
      <c r="T33" s="236">
        <f>IF(AND(T27&gt;V27,$AK8&gt;6,$AK7&gt;2,ISNUMBER(T27),ISNUMBER(V27)),1,0)</f>
        <v>0</v>
      </c>
      <c r="U33" s="236"/>
      <c r="V33" s="237">
        <f>IF(AND(V27&gt;T27,$AK8&gt;6,$AK7&gt;2,ISNUMBER(T27),ISNUMBER(V27)),1,0)</f>
        <v>0</v>
      </c>
      <c r="W33" s="236">
        <f>IF(AND(W27&gt;Y27,$AK8&gt;7,$AK7&gt;2,ISNUMBER(W27),ISNUMBER(Y27)),1,0)</f>
        <v>0</v>
      </c>
      <c r="X33" s="236"/>
      <c r="Y33" s="237">
        <f>IF(AND(Y27&gt;W27,$AK8&gt;7,$AK7&gt;2,ISNUMBER(W27),ISNUMBER(Y27)),1,0)</f>
        <v>0</v>
      </c>
      <c r="Z33" s="236">
        <f>IF(AND(Z27&gt;AB27,$AK8&gt;8,$AK7&gt;2,ISNUMBER(Z27),ISNUMBER(AB27)),1,0)</f>
        <v>0</v>
      </c>
      <c r="AA33" s="236"/>
      <c r="AB33" s="237">
        <f>IF(AND(AB27&gt;Z27,$AK8&gt;8,$AK7&gt;2,ISNUMBER(Z27),ISNUMBER(AB27)),1,0)</f>
        <v>0</v>
      </c>
      <c r="AC33" s="236">
        <f>IF(AND(AC27&gt;AE27,$AK8&gt;9,$AK7&gt;2,ISNUMBER(AC27),ISNUMBER(AE27)),1,0)</f>
        <v>0</v>
      </c>
      <c r="AD33" s="236"/>
      <c r="AE33" s="237">
        <f>IF(AND(AE27&gt;AC27,$AK8&gt;9,$AK7&gt;2,ISNUMBER(AC27),ISNUMBER(AE27)),1,0)</f>
        <v>0</v>
      </c>
      <c r="AW33" s="238"/>
    </row>
    <row r="34" spans="1:49" s="235" customFormat="1" ht="12.75" hidden="1" customHeight="1" x14ac:dyDescent="0.2">
      <c r="A34" s="235" t="s">
        <v>57</v>
      </c>
      <c r="B34" s="236">
        <f>IF(AND(B28&gt;D28,$AK8&gt;0,$AK7&gt;3,ISNUMBER(B28),ISNUMBER(D28)),1,0)</f>
        <v>0</v>
      </c>
      <c r="C34" s="236"/>
      <c r="D34" s="237">
        <f>IF(AND(D28&gt;B28,$AK8&gt;0,$AK7&gt;3,ISNUMBER(B28),ISNUMBER(D28)),1,0)</f>
        <v>0</v>
      </c>
      <c r="E34" s="236">
        <f>IF(AND(E28&gt;G28,$AK8&gt;1,$AK7&gt;3,ISNUMBER(E28),ISNUMBER(G28)),1,0)</f>
        <v>0</v>
      </c>
      <c r="F34" s="236"/>
      <c r="G34" s="237">
        <f>IF(AND(G28&gt;E28,$AK8&gt;1,$AK7&gt;3,ISNUMBER(E28),ISNUMBER(G28)),1,0)</f>
        <v>0</v>
      </c>
      <c r="H34" s="236">
        <f>IF(AND(H28&gt;J28,$AK8&gt;2,$AK7&gt;3,ISNUMBER(H28),ISNUMBER(J28)),1,0)</f>
        <v>0</v>
      </c>
      <c r="I34" s="236"/>
      <c r="J34" s="237">
        <f>IF(AND(J28&gt;H28,$AK8&gt;2,$AK7&gt;3,ISNUMBER(H28),ISNUMBER(J28)),1,0)</f>
        <v>0</v>
      </c>
      <c r="K34" s="236">
        <f>IF(AND(K28&gt;M28,$AK8&gt;3,$AK7&gt;3,ISNUMBER(K28),ISNUMBER(M28)),1,0)</f>
        <v>0</v>
      </c>
      <c r="L34" s="236"/>
      <c r="M34" s="237">
        <f>IF(AND(M28&gt;K28,$AK8&gt;3,$AK7&gt;3,ISNUMBER(K28),ISNUMBER(M28)),1,0)</f>
        <v>0</v>
      </c>
      <c r="N34" s="236">
        <f>IF(AND(N28&gt;P28,$AK8&gt;4,$AK7&gt;3,ISNUMBER(N28),ISNUMBER(P28)),1,0)</f>
        <v>0</v>
      </c>
      <c r="O34" s="236"/>
      <c r="P34" s="237">
        <f>IF(AND(P28&gt;N28,$AK8&gt;4,$AK7&gt;3,ISNUMBER(N28),ISNUMBER(P28)),1,0)</f>
        <v>0</v>
      </c>
      <c r="Q34" s="236">
        <f>IF(AND(Q28&gt;S28,$AK8&gt;5,$AK7&gt;3,ISNUMBER(Q28),ISNUMBER(S28)),1,0)</f>
        <v>0</v>
      </c>
      <c r="R34" s="236"/>
      <c r="S34" s="237">
        <f>IF(AND(S28&gt;Q28,$AK8&gt;5,$AK7&gt;3,ISNUMBER(Q28),ISNUMBER(S28)),1,0)</f>
        <v>0</v>
      </c>
      <c r="T34" s="236">
        <f>IF(AND(T28&gt;V28,$AK8&gt;6,$AK7&gt;3,ISNUMBER(T28),ISNUMBER(V28)),1,0)</f>
        <v>0</v>
      </c>
      <c r="U34" s="236"/>
      <c r="V34" s="237">
        <f>IF(AND(V28&gt;T28,$AK8&gt;6,$AK7&gt;3,ISNUMBER(T28),ISNUMBER(V28)),1,0)</f>
        <v>0</v>
      </c>
      <c r="W34" s="236">
        <f>IF(AND(W28&gt;Y28,$AK8&gt;7,$AK7&gt;3,ISNUMBER(W28),ISNUMBER(Y28)),1,0)</f>
        <v>0</v>
      </c>
      <c r="X34" s="236"/>
      <c r="Y34" s="237">
        <f>IF(AND(Y28&gt;W28,$AK8&gt;7,$AK7&gt;3,ISNUMBER(W28),ISNUMBER(Y28)),1,0)</f>
        <v>0</v>
      </c>
      <c r="Z34" s="236">
        <f>IF(AND(Z28&gt;AB28,$AK8&gt;8,$AK7&gt;3,ISNUMBER(Z28),ISNUMBER(AB28)),1,0)</f>
        <v>0</v>
      </c>
      <c r="AA34" s="236"/>
      <c r="AB34" s="237">
        <f>IF(AND(AB28&gt;Z28,$AK8&gt;8,$AK7&gt;3,ISNUMBER(Z28),ISNUMBER(AB28)),1,0)</f>
        <v>0</v>
      </c>
      <c r="AC34" s="236">
        <f>IF(AND(AC28&gt;AE28,$AK8&gt;9,$AK7&gt;3,ISNUMBER(AC28),ISNUMBER(AE28)),1,0)</f>
        <v>0</v>
      </c>
      <c r="AD34" s="236"/>
      <c r="AE34" s="237">
        <f>IF(AND(AE28&gt;AC28,$AK8&gt;9,$AK7&gt;3,ISNUMBER(AC28),ISNUMBER(AE28)),1,0)</f>
        <v>0</v>
      </c>
      <c r="AW34" s="238"/>
    </row>
    <row r="35" spans="1:49" s="235" customFormat="1" ht="12.75" hidden="1" customHeight="1" x14ac:dyDescent="0.2">
      <c r="A35" s="235" t="s">
        <v>58</v>
      </c>
      <c r="B35" s="236">
        <f>IF(AND(B29&gt;D29,$AK8&gt;0,$AK7&gt;4,ISNUMBER(B29),ISNUMBER(D29)),1,0)</f>
        <v>0</v>
      </c>
      <c r="C35" s="236"/>
      <c r="D35" s="237">
        <f>IF(AND(D29&gt;B29,$AK8&gt;0,$AK7&gt;4,ISNUMBER(B29),ISNUMBER(D29)),1,0)</f>
        <v>0</v>
      </c>
      <c r="E35" s="236">
        <f>IF(AND(E29&gt;G29,$AK8&gt;1,$AK7&gt;4,ISNUMBER(E29),ISNUMBER(G29)),1,0)</f>
        <v>0</v>
      </c>
      <c r="F35" s="236"/>
      <c r="G35" s="237">
        <f>IF(AND(G29&gt;E29,$AK8&gt;1,$AK7&gt;4,ISNUMBER(E29),ISNUMBER(G29)),1,0)</f>
        <v>0</v>
      </c>
      <c r="H35" s="236">
        <f>IF(AND(H29&gt;J29,$AK8&gt;2,$AK7&gt;4,ISNUMBER(H29),ISNUMBER(J29)),1,0)</f>
        <v>0</v>
      </c>
      <c r="I35" s="236"/>
      <c r="J35" s="237">
        <f>IF(AND(J29&gt;H29,$AK8&gt;2,$AK7&gt;4,ISNUMBER(H29),ISNUMBER(J29)),1,0)</f>
        <v>0</v>
      </c>
      <c r="K35" s="236">
        <f>IF(AND(K29&gt;M29,$AK8&gt;3,$AK7&gt;4,ISNUMBER(K29),ISNUMBER(M29)),1,0)</f>
        <v>0</v>
      </c>
      <c r="L35" s="236"/>
      <c r="M35" s="237">
        <f>IF(AND(M29&gt;K29,$AK8&gt;3,$AK7&gt;4,ISNUMBER(K29),ISNUMBER(M29)),1,0)</f>
        <v>0</v>
      </c>
      <c r="N35" s="236">
        <f>IF(AND(N29&gt;P29,$AK8&gt;4,$AK7&gt;4,ISNUMBER(N29),ISNUMBER(P29)),1,0)</f>
        <v>0</v>
      </c>
      <c r="O35" s="236"/>
      <c r="P35" s="237">
        <f>IF(AND(P29&gt;N29,$AK8&gt;4,$AK7&gt;4,ISNUMBER(N29),ISNUMBER(P29)),1,0)</f>
        <v>0</v>
      </c>
      <c r="Q35" s="236">
        <f>IF(AND(Q29&gt;S29,$AK8&gt;5,$AK7&gt;4,ISNUMBER(Q29),ISNUMBER(S29)),1,0)</f>
        <v>0</v>
      </c>
      <c r="R35" s="236"/>
      <c r="S35" s="237">
        <f>IF(AND(S29&gt;Q29,$AK8&gt;5,$AK7&gt;4,ISNUMBER(Q29),ISNUMBER(S29)),1,0)</f>
        <v>0</v>
      </c>
      <c r="T35" s="236">
        <f>IF(AND(T29&gt;V29,$AK8&gt;6,$AK7&gt;4,ISNUMBER(T29),ISNUMBER(V29)),1,0)</f>
        <v>0</v>
      </c>
      <c r="U35" s="236"/>
      <c r="V35" s="237">
        <f>IF(AND(V29&gt;T29,$AK8&gt;6,$AK7&gt;4,ISNUMBER(T29),ISNUMBER(V29)),1,0)</f>
        <v>0</v>
      </c>
      <c r="W35" s="236">
        <f>IF(AND(W29&gt;Y29,$AK8&gt;7,$AK7&gt;4,ISNUMBER(W29),ISNUMBER(Y29)),1,0)</f>
        <v>0</v>
      </c>
      <c r="X35" s="236"/>
      <c r="Y35" s="237">
        <f>IF(AND(Y29&gt;W29,$AK8&gt;7,$AK7&gt;4,ISNUMBER(W29),ISNUMBER(Y29)),1,0)</f>
        <v>0</v>
      </c>
      <c r="Z35" s="236">
        <f>IF(AND(Z29&gt;AB29,$AK8&gt;8,$AK7&gt;4,ISNUMBER(Z29),ISNUMBER(AB29)),1,0)</f>
        <v>0</v>
      </c>
      <c r="AA35" s="236"/>
      <c r="AB35" s="237">
        <f>IF(AND(AB29&gt;Z29,$AK8&gt;8,$AK7&gt;4,ISNUMBER(Z29),ISNUMBER(AB29)),1,0)</f>
        <v>0</v>
      </c>
      <c r="AC35" s="236">
        <f>IF(AND(AC29&gt;AE29,$AK8&gt;9,$AK7&gt;4,ISNUMBER(AC29),ISNUMBER(AE29)),1,0)</f>
        <v>0</v>
      </c>
      <c r="AD35" s="236"/>
      <c r="AE35" s="237">
        <f>IF(AND(AE29&gt;AC29,$AK8&gt;9,$AK7&gt;4,ISNUMBER(AC29),ISNUMBER(AE29)),1,0)</f>
        <v>0</v>
      </c>
      <c r="AW35" s="238"/>
    </row>
    <row r="36" spans="1:49" s="235" customFormat="1" ht="38.25" hidden="1" customHeight="1" x14ac:dyDescent="0.2">
      <c r="A36" s="239" t="s">
        <v>59</v>
      </c>
      <c r="B36" s="235">
        <f>SUM(B31:B35)</f>
        <v>2</v>
      </c>
      <c r="D36" s="240">
        <f>SUM(D31:D35)</f>
        <v>0</v>
      </c>
      <c r="E36" s="235">
        <f>SUM(E31:E35)</f>
        <v>2</v>
      </c>
      <c r="G36" s="240">
        <f>SUM(G31:G35)</f>
        <v>0</v>
      </c>
      <c r="H36" s="235">
        <f>SUM(H31:H35)</f>
        <v>0</v>
      </c>
      <c r="J36" s="240">
        <f>SUM(J31:J35)</f>
        <v>2</v>
      </c>
      <c r="K36" s="235">
        <f>SUM(K31:K35)</f>
        <v>2</v>
      </c>
      <c r="M36" s="240">
        <f>SUM(M31:M35)</f>
        <v>0</v>
      </c>
      <c r="N36" s="235">
        <f>SUM(N31:N35)</f>
        <v>1</v>
      </c>
      <c r="P36" s="240">
        <f>SUM(P31:P35)</f>
        <v>1</v>
      </c>
      <c r="Q36" s="235">
        <f>SUM(Q31:Q35)</f>
        <v>2</v>
      </c>
      <c r="S36" s="240">
        <f>SUM(S31:S35)</f>
        <v>0</v>
      </c>
      <c r="T36" s="235">
        <f>SUM(T31:T35)</f>
        <v>2</v>
      </c>
      <c r="V36" s="240">
        <f>SUM(V31:V35)</f>
        <v>0</v>
      </c>
      <c r="W36" s="235">
        <f>SUM(W31:W35)</f>
        <v>1</v>
      </c>
      <c r="Y36" s="240">
        <f>SUM(Y31:Y35)</f>
        <v>1</v>
      </c>
      <c r="Z36" s="235">
        <f>SUM(Z31:Z35)</f>
        <v>1</v>
      </c>
      <c r="AB36" s="240">
        <f>SUM(AB31:AB35)</f>
        <v>1</v>
      </c>
      <c r="AC36" s="235">
        <f>SUM(AC31:AC35)</f>
        <v>2</v>
      </c>
      <c r="AE36" s="240">
        <f>SUM(AE31:AE35)</f>
        <v>0</v>
      </c>
      <c r="AW36" s="238"/>
    </row>
    <row r="37" spans="1:49" s="235" customFormat="1" ht="25.5" hidden="1" customHeight="1" x14ac:dyDescent="0.2">
      <c r="A37" s="239" t="s">
        <v>60</v>
      </c>
      <c r="B37" s="235">
        <f>IF(B36&gt;D36,IF(C71=AK7,1,IF(C71=AK7-1,1,0)),0)</f>
        <v>1</v>
      </c>
      <c r="C37" s="235">
        <f>B37+D37</f>
        <v>1</v>
      </c>
      <c r="D37" s="240">
        <f>IF(D36&gt;B36,IF(C71=AK7,1,IF(C71=AK7-1,1,0)),0)</f>
        <v>0</v>
      </c>
      <c r="E37" s="235">
        <f>IF(E36&gt;G36,IF(F71=AK7,1,IF(F71=AK7-1,1,0)),0)</f>
        <v>1</v>
      </c>
      <c r="F37" s="235">
        <f>E37+G37</f>
        <v>1</v>
      </c>
      <c r="G37" s="240">
        <f>IF(G36&gt;E36,IF(F71=AK7,1,IF(F71=AK7-1,1,0)),0)</f>
        <v>0</v>
      </c>
      <c r="H37" s="235">
        <f>IF(H36&gt;J36,IF(I71=AK7,1,IF(I71=AK7-1,1,0)),0)</f>
        <v>0</v>
      </c>
      <c r="I37" s="235">
        <f>H37+J37</f>
        <v>1</v>
      </c>
      <c r="J37" s="240">
        <f>IF(J36&gt;H36,IF(I71=AK7,1,IF(I71=AK7-1,1,0)),0)</f>
        <v>1</v>
      </c>
      <c r="K37" s="235">
        <f>IF(K36&gt;M36,IF(L71=AK7,1,IF(L71=AK7-1,1,0)),0)</f>
        <v>1</v>
      </c>
      <c r="L37" s="235">
        <f>K37+M37</f>
        <v>1</v>
      </c>
      <c r="M37" s="240">
        <f>IF(M36&gt;K36,IF(L71=AK7,1,IF(L71=AK7-1,1,0)),0)</f>
        <v>0</v>
      </c>
      <c r="N37" s="235">
        <f>IF(N36&gt;P36,IF(O71=AK7,1,IF(O71=AK7-1,1,0)),0)</f>
        <v>0</v>
      </c>
      <c r="O37" s="235">
        <f>N37+P37</f>
        <v>0</v>
      </c>
      <c r="P37" s="240">
        <f>IF(P36&gt;N36,IF(O71=AK7,1,IF(O71=AK7-1,1,0)),0)</f>
        <v>0</v>
      </c>
      <c r="Q37" s="235">
        <f>IF(Q36&gt;S36,IF(R71=AK7,1,IF(R71=AK7-1,1,0)),0)</f>
        <v>1</v>
      </c>
      <c r="R37" s="235">
        <f>Q37+S37</f>
        <v>1</v>
      </c>
      <c r="S37" s="240">
        <f>IF(S36&gt;Q36,IF(R71=AK7,1,IF(R71=AK7-1,1,0)),0)</f>
        <v>0</v>
      </c>
      <c r="T37" s="235">
        <f>IF(T36&gt;V36,IF(U71=AK7,1,IF(U71=AK7-1,1,0)),0)</f>
        <v>1</v>
      </c>
      <c r="U37" s="235">
        <f>T37+V37</f>
        <v>1</v>
      </c>
      <c r="V37" s="240">
        <f>IF(V36&gt;T36,IF(U71=AK7,1,IF(U71=AK7-1,1,0)),0)</f>
        <v>0</v>
      </c>
      <c r="W37" s="235">
        <f>IF(W36&gt;Y36,IF(X71=AK7,1,IF(X71=AK7-1,1,0)),0)</f>
        <v>0</v>
      </c>
      <c r="X37" s="235">
        <f>W37+Y37</f>
        <v>0</v>
      </c>
      <c r="Y37" s="240">
        <f>IF(Y36&gt;W36,IF(X71=AK7,1,IF(X71=AK7-1,1,0)),0)</f>
        <v>0</v>
      </c>
      <c r="Z37" s="235">
        <f>IF(Z36&gt;AB36,IF(AA71=AK7,1,IF(AA71=AK7-1,1,0)),0)</f>
        <v>0</v>
      </c>
      <c r="AA37" s="235">
        <f>Z37+AB37</f>
        <v>0</v>
      </c>
      <c r="AB37" s="240">
        <f>IF(AB36&gt;Z36,IF(AA71=AK7,1,IF(AA71=AK7-1,1,0)),0)</f>
        <v>0</v>
      </c>
      <c r="AC37" s="235">
        <f>IF(AC36&gt;AE36,IF(AD71=AK7,1,IF(AD71=AK7-1,1,0)),0)</f>
        <v>1</v>
      </c>
      <c r="AD37" s="235">
        <f>AC37+AE37</f>
        <v>1</v>
      </c>
      <c r="AE37" s="240">
        <f>IF(AE36&gt;AC36,IF(AD71=AK7,1,IF(AD71=AK7-1,1,0)),0)</f>
        <v>0</v>
      </c>
      <c r="AW37" s="238"/>
    </row>
    <row r="38" spans="1:49" s="235" customFormat="1" ht="25.5" hidden="1" customHeight="1" x14ac:dyDescent="0.2">
      <c r="A38" s="239"/>
      <c r="D38" s="240"/>
      <c r="G38" s="240"/>
      <c r="J38" s="240"/>
      <c r="M38" s="240"/>
      <c r="P38" s="240"/>
      <c r="S38" s="240"/>
      <c r="V38" s="240"/>
      <c r="Y38" s="240"/>
      <c r="AB38" s="240"/>
      <c r="AE38" s="240"/>
      <c r="AW38" s="238"/>
    </row>
    <row r="39" spans="1:49" s="235" customFormat="1" ht="12.75" hidden="1" customHeight="1" x14ac:dyDescent="0.2">
      <c r="A39" s="235" t="s">
        <v>61</v>
      </c>
      <c r="B39" s="235">
        <f>IF(B31=1,B25,0)</f>
        <v>25</v>
      </c>
      <c r="D39" s="240">
        <f t="shared" ref="D39:E43" si="2">IF(D31=1,D25,0)</f>
        <v>0</v>
      </c>
      <c r="E39" s="235">
        <f t="shared" si="2"/>
        <v>25</v>
      </c>
      <c r="G39" s="240">
        <f t="shared" ref="G39:H43" si="3">IF(G31=1,G25,0)</f>
        <v>0</v>
      </c>
      <c r="H39" s="235">
        <f t="shared" si="3"/>
        <v>0</v>
      </c>
      <c r="J39" s="240">
        <f t="shared" ref="J39:K43" si="4">IF(J31=1,J25,0)</f>
        <v>27</v>
      </c>
      <c r="K39" s="235">
        <f t="shared" si="4"/>
        <v>25</v>
      </c>
      <c r="M39" s="240">
        <f t="shared" ref="M39:N43" si="5">IF(M31=1,M25,0)</f>
        <v>0</v>
      </c>
      <c r="N39" s="235">
        <f t="shared" si="5"/>
        <v>0</v>
      </c>
      <c r="P39" s="240">
        <f t="shared" ref="P39:Q43" si="6">IF(P31=1,P25,0)</f>
        <v>25</v>
      </c>
      <c r="Q39" s="235">
        <f t="shared" si="6"/>
        <v>25</v>
      </c>
      <c r="S39" s="240">
        <f t="shared" ref="S39:T43" si="7">IF(S31=1,S25,0)</f>
        <v>0</v>
      </c>
      <c r="T39" s="235">
        <f t="shared" si="7"/>
        <v>25</v>
      </c>
      <c r="V39" s="240">
        <f t="shared" ref="V39:W43" si="8">IF(V31=1,V25,0)</f>
        <v>0</v>
      </c>
      <c r="W39" s="235">
        <f t="shared" si="8"/>
        <v>0</v>
      </c>
      <c r="Y39" s="240">
        <f t="shared" ref="Y39:Z43" si="9">IF(Y31=1,Y25,0)</f>
        <v>25</v>
      </c>
      <c r="Z39" s="235">
        <f t="shared" si="9"/>
        <v>0</v>
      </c>
      <c r="AB39" s="240">
        <f t="shared" ref="AB39:AC43" si="10">IF(AB31=1,AB25,0)</f>
        <v>25</v>
      </c>
      <c r="AC39" s="235">
        <f t="shared" si="10"/>
        <v>25</v>
      </c>
      <c r="AE39" s="240">
        <f>IF(AE31=1,AE25,0)</f>
        <v>0</v>
      </c>
      <c r="AW39" s="238"/>
    </row>
    <row r="40" spans="1:49" s="235" customFormat="1" ht="12.75" hidden="1" customHeight="1" x14ac:dyDescent="0.2">
      <c r="A40" s="235" t="s">
        <v>62</v>
      </c>
      <c r="B40" s="235">
        <f>IF(B32=1,B26,0)</f>
        <v>25</v>
      </c>
      <c r="D40" s="240">
        <f t="shared" si="2"/>
        <v>0</v>
      </c>
      <c r="E40" s="235">
        <f t="shared" si="2"/>
        <v>25</v>
      </c>
      <c r="G40" s="240">
        <f t="shared" si="3"/>
        <v>0</v>
      </c>
      <c r="H40" s="235">
        <f t="shared" si="3"/>
        <v>0</v>
      </c>
      <c r="J40" s="240">
        <f t="shared" si="4"/>
        <v>25</v>
      </c>
      <c r="K40" s="235">
        <f t="shared" si="4"/>
        <v>25</v>
      </c>
      <c r="M40" s="240">
        <f t="shared" si="5"/>
        <v>0</v>
      </c>
      <c r="N40" s="235">
        <f t="shared" si="5"/>
        <v>25</v>
      </c>
      <c r="P40" s="240">
        <f t="shared" si="6"/>
        <v>0</v>
      </c>
      <c r="Q40" s="235">
        <f t="shared" si="6"/>
        <v>25</v>
      </c>
      <c r="S40" s="240">
        <f t="shared" si="7"/>
        <v>0</v>
      </c>
      <c r="T40" s="235">
        <f t="shared" si="7"/>
        <v>25</v>
      </c>
      <c r="V40" s="240">
        <f t="shared" si="8"/>
        <v>0</v>
      </c>
      <c r="W40" s="235">
        <f t="shared" si="8"/>
        <v>25</v>
      </c>
      <c r="Y40" s="240">
        <f t="shared" si="9"/>
        <v>0</v>
      </c>
      <c r="Z40" s="235">
        <f t="shared" si="9"/>
        <v>25</v>
      </c>
      <c r="AB40" s="240">
        <f t="shared" si="10"/>
        <v>0</v>
      </c>
      <c r="AC40" s="235">
        <f t="shared" si="10"/>
        <v>25</v>
      </c>
      <c r="AE40" s="240">
        <f>IF(AE32=1,AE26,0)</f>
        <v>0</v>
      </c>
      <c r="AW40" s="238"/>
    </row>
    <row r="41" spans="1:49" s="235" customFormat="1" ht="12.75" hidden="1" customHeight="1" x14ac:dyDescent="0.2">
      <c r="A41" s="235" t="s">
        <v>63</v>
      </c>
      <c r="B41" s="235">
        <f>IF(B33=1,B27,0)</f>
        <v>0</v>
      </c>
      <c r="D41" s="240">
        <f t="shared" si="2"/>
        <v>0</v>
      </c>
      <c r="E41" s="235">
        <f t="shared" si="2"/>
        <v>0</v>
      </c>
      <c r="G41" s="240">
        <f t="shared" si="3"/>
        <v>0</v>
      </c>
      <c r="H41" s="235">
        <f t="shared" si="3"/>
        <v>0</v>
      </c>
      <c r="J41" s="240">
        <f t="shared" si="4"/>
        <v>0</v>
      </c>
      <c r="K41" s="235">
        <f t="shared" si="4"/>
        <v>0</v>
      </c>
      <c r="M41" s="240">
        <f t="shared" si="5"/>
        <v>0</v>
      </c>
      <c r="N41" s="235">
        <f t="shared" si="5"/>
        <v>0</v>
      </c>
      <c r="P41" s="240">
        <f t="shared" si="6"/>
        <v>0</v>
      </c>
      <c r="Q41" s="235">
        <f t="shared" si="6"/>
        <v>0</v>
      </c>
      <c r="S41" s="240">
        <f t="shared" si="7"/>
        <v>0</v>
      </c>
      <c r="T41" s="235">
        <f t="shared" si="7"/>
        <v>0</v>
      </c>
      <c r="V41" s="240">
        <f t="shared" si="8"/>
        <v>0</v>
      </c>
      <c r="W41" s="235">
        <f t="shared" si="8"/>
        <v>0</v>
      </c>
      <c r="Y41" s="240">
        <f t="shared" si="9"/>
        <v>0</v>
      </c>
      <c r="Z41" s="235">
        <f t="shared" si="9"/>
        <v>0</v>
      </c>
      <c r="AB41" s="240">
        <f t="shared" si="10"/>
        <v>0</v>
      </c>
      <c r="AC41" s="235">
        <f t="shared" si="10"/>
        <v>0</v>
      </c>
      <c r="AE41" s="240">
        <f>IF(AE33=1,AE27,0)</f>
        <v>0</v>
      </c>
      <c r="AW41" s="238"/>
    </row>
    <row r="42" spans="1:49" s="235" customFormat="1" ht="12.75" hidden="1" customHeight="1" x14ac:dyDescent="0.2">
      <c r="A42" s="235" t="s">
        <v>64</v>
      </c>
      <c r="B42" s="235">
        <f>IF(B34=1,B28,0)</f>
        <v>0</v>
      </c>
      <c r="D42" s="240">
        <f t="shared" si="2"/>
        <v>0</v>
      </c>
      <c r="E42" s="235">
        <f t="shared" si="2"/>
        <v>0</v>
      </c>
      <c r="G42" s="240">
        <f t="shared" si="3"/>
        <v>0</v>
      </c>
      <c r="H42" s="235">
        <f t="shared" si="3"/>
        <v>0</v>
      </c>
      <c r="J42" s="240">
        <f t="shared" si="4"/>
        <v>0</v>
      </c>
      <c r="K42" s="235">
        <f t="shared" si="4"/>
        <v>0</v>
      </c>
      <c r="M42" s="240">
        <f t="shared" si="5"/>
        <v>0</v>
      </c>
      <c r="N42" s="235">
        <f t="shared" si="5"/>
        <v>0</v>
      </c>
      <c r="P42" s="240">
        <f t="shared" si="6"/>
        <v>0</v>
      </c>
      <c r="Q42" s="235">
        <f t="shared" si="6"/>
        <v>0</v>
      </c>
      <c r="S42" s="240">
        <f t="shared" si="7"/>
        <v>0</v>
      </c>
      <c r="T42" s="235">
        <f t="shared" si="7"/>
        <v>0</v>
      </c>
      <c r="V42" s="240">
        <f t="shared" si="8"/>
        <v>0</v>
      </c>
      <c r="W42" s="235">
        <f t="shared" si="8"/>
        <v>0</v>
      </c>
      <c r="Y42" s="240">
        <f t="shared" si="9"/>
        <v>0</v>
      </c>
      <c r="Z42" s="235">
        <f t="shared" si="9"/>
        <v>0</v>
      </c>
      <c r="AB42" s="240">
        <f t="shared" si="10"/>
        <v>0</v>
      </c>
      <c r="AC42" s="235">
        <f t="shared" si="10"/>
        <v>0</v>
      </c>
      <c r="AE42" s="240">
        <f>IF(AE34=1,AE28,0)</f>
        <v>0</v>
      </c>
      <c r="AW42" s="238"/>
    </row>
    <row r="43" spans="1:49" s="235" customFormat="1" ht="12.75" hidden="1" customHeight="1" x14ac:dyDescent="0.2">
      <c r="A43" s="235" t="s">
        <v>65</v>
      </c>
      <c r="B43" s="235">
        <f>IF(B35=1,B29,0)</f>
        <v>0</v>
      </c>
      <c r="D43" s="240">
        <f t="shared" si="2"/>
        <v>0</v>
      </c>
      <c r="E43" s="235">
        <f t="shared" si="2"/>
        <v>0</v>
      </c>
      <c r="G43" s="240">
        <f t="shared" si="3"/>
        <v>0</v>
      </c>
      <c r="H43" s="235">
        <f t="shared" si="3"/>
        <v>0</v>
      </c>
      <c r="J43" s="240">
        <f t="shared" si="4"/>
        <v>0</v>
      </c>
      <c r="K43" s="235">
        <f t="shared" si="4"/>
        <v>0</v>
      </c>
      <c r="M43" s="240">
        <f t="shared" si="5"/>
        <v>0</v>
      </c>
      <c r="N43" s="235">
        <f t="shared" si="5"/>
        <v>0</v>
      </c>
      <c r="P43" s="240">
        <f t="shared" si="6"/>
        <v>0</v>
      </c>
      <c r="Q43" s="235">
        <f t="shared" si="6"/>
        <v>0</v>
      </c>
      <c r="S43" s="240">
        <f t="shared" si="7"/>
        <v>0</v>
      </c>
      <c r="T43" s="235">
        <f t="shared" si="7"/>
        <v>0</v>
      </c>
      <c r="V43" s="240">
        <f t="shared" si="8"/>
        <v>0</v>
      </c>
      <c r="W43" s="235">
        <f t="shared" si="8"/>
        <v>0</v>
      </c>
      <c r="Y43" s="240">
        <f t="shared" si="9"/>
        <v>0</v>
      </c>
      <c r="Z43" s="235">
        <f t="shared" si="9"/>
        <v>0</v>
      </c>
      <c r="AB43" s="240">
        <f t="shared" si="10"/>
        <v>0</v>
      </c>
      <c r="AC43" s="235">
        <f t="shared" si="10"/>
        <v>0</v>
      </c>
      <c r="AE43" s="240">
        <f>IF(AE35=1,AE29,0)</f>
        <v>0</v>
      </c>
      <c r="AW43" s="238"/>
    </row>
    <row r="44" spans="1:49" s="235" customFormat="1" ht="38.25" hidden="1" customHeight="1" x14ac:dyDescent="0.2">
      <c r="A44" s="239" t="s">
        <v>66</v>
      </c>
      <c r="B44" s="235">
        <f>SUM(B39:D43)</f>
        <v>50</v>
      </c>
      <c r="D44" s="240"/>
      <c r="E44" s="235">
        <f>SUM(E39:G43)</f>
        <v>50</v>
      </c>
      <c r="G44" s="240"/>
      <c r="H44" s="235">
        <f>SUM(H39:J43)</f>
        <v>52</v>
      </c>
      <c r="J44" s="240"/>
      <c r="K44" s="235">
        <f>SUM(K39:M43)</f>
        <v>50</v>
      </c>
      <c r="M44" s="240"/>
      <c r="N44" s="235">
        <f>SUM(N39:P43)</f>
        <v>50</v>
      </c>
      <c r="P44" s="240"/>
      <c r="Q44" s="235">
        <f>SUM(Q39:S43)</f>
        <v>50</v>
      </c>
      <c r="S44" s="240"/>
      <c r="T44" s="235">
        <f>SUM(T39:V43)</f>
        <v>50</v>
      </c>
      <c r="V44" s="240"/>
      <c r="W44" s="235">
        <f>SUM(W39:Y43)</f>
        <v>50</v>
      </c>
      <c r="Y44" s="240"/>
      <c r="Z44" s="235">
        <f>SUM(Z39:AB43)</f>
        <v>50</v>
      </c>
      <c r="AB44" s="240"/>
      <c r="AC44" s="235">
        <f>SUM(AC39:AE43)</f>
        <v>50</v>
      </c>
      <c r="AE44" s="240"/>
      <c r="AW44" s="238"/>
    </row>
    <row r="45" spans="1:49" s="235" customFormat="1" ht="38.25" hidden="1" customHeight="1" x14ac:dyDescent="0.2">
      <c r="A45" s="235" t="s">
        <v>67</v>
      </c>
      <c r="D45" s="240"/>
      <c r="G45" s="240"/>
      <c r="J45" s="240"/>
      <c r="M45" s="240"/>
      <c r="P45" s="240"/>
      <c r="S45" s="240"/>
      <c r="V45" s="240"/>
      <c r="Y45" s="240"/>
      <c r="AB45" s="240"/>
      <c r="AE45" s="240"/>
      <c r="AF45" s="239" t="s">
        <v>68</v>
      </c>
      <c r="AG45" s="235" t="s">
        <v>69</v>
      </c>
      <c r="AW45" s="238"/>
    </row>
    <row r="46" spans="1:49" s="235" customFormat="1" ht="12.75" hidden="1" customHeight="1" x14ac:dyDescent="0.2">
      <c r="A46" s="235" t="s">
        <v>70</v>
      </c>
      <c r="B46" s="235">
        <f>IF(B24=1,IF(B37=1,1,0),0)</f>
        <v>0</v>
      </c>
      <c r="D46" s="240">
        <f>IF(D24=1,IF(D37=1,1,0),0)</f>
        <v>0</v>
      </c>
      <c r="E46" s="235">
        <f>IF(E24=1,IF(E37=1,1,0),0)</f>
        <v>1</v>
      </c>
      <c r="G46" s="240">
        <f>IF(G24=1,IF(G37=1,1,0),0)</f>
        <v>0</v>
      </c>
      <c r="H46" s="235">
        <f>IF(H24=1,IF(H37=1,1,0),0)</f>
        <v>0</v>
      </c>
      <c r="J46" s="240">
        <f>IF(J24=1,IF(J37=1,1,0),0)</f>
        <v>0</v>
      </c>
      <c r="K46" s="235">
        <f>IF(K24=1,IF(K37=1,1,0),0)</f>
        <v>0</v>
      </c>
      <c r="M46" s="240">
        <f>IF(M24=1,IF(M37=1,1,0),0)</f>
        <v>0</v>
      </c>
      <c r="N46" s="235">
        <f>IF(N24=1,IF(N37=1,1,0),0)</f>
        <v>0</v>
      </c>
      <c r="P46" s="240">
        <f>IF(P24=1,IF(P37=1,1,0),0)</f>
        <v>0</v>
      </c>
      <c r="Q46" s="235">
        <f>IF(Q24=1,IF(Q37=1,1,0),0)</f>
        <v>0</v>
      </c>
      <c r="S46" s="240">
        <f>IF(S24=1,IF(S37=1,1,0),0)</f>
        <v>0</v>
      </c>
      <c r="T46" s="235">
        <f>IF(T24=1,IF(T37=1,1,0),0)</f>
        <v>0</v>
      </c>
      <c r="V46" s="240">
        <f>IF(V24=1,IF(V37=1,1,0),0)</f>
        <v>0</v>
      </c>
      <c r="W46" s="235">
        <f>IF(W24=1,IF(W37=1,1,0),0)</f>
        <v>0</v>
      </c>
      <c r="Y46" s="240">
        <f>IF(Y24=1,IF(Y37=1,1,0),0)</f>
        <v>0</v>
      </c>
      <c r="Z46" s="235">
        <f>IF(Z24=1,IF(Z37=1,1,0),0)</f>
        <v>0</v>
      </c>
      <c r="AB46" s="240">
        <f>IF(AB24=1,IF(AB37=1,1,0),0)</f>
        <v>0</v>
      </c>
      <c r="AC46" s="235">
        <f>IF(AC24=1,IF(AC37=1,1,0),0)</f>
        <v>1</v>
      </c>
      <c r="AE46" s="240">
        <f>IF(AE24=1,IF(AE37=1,1,0),0)</f>
        <v>0</v>
      </c>
      <c r="AF46" s="235">
        <f>SUM(B46:AE46)</f>
        <v>2</v>
      </c>
      <c r="AG46" s="235">
        <f>AF52-AF46</f>
        <v>0</v>
      </c>
      <c r="AW46" s="238"/>
    </row>
    <row r="47" spans="1:49" s="235" customFormat="1" ht="12.75" hidden="1" customHeight="1" x14ac:dyDescent="0.2">
      <c r="A47" s="235" t="s">
        <v>71</v>
      </c>
      <c r="B47" s="235">
        <f>IF(B24=2,IF(B37=1,1,0),0)</f>
        <v>1</v>
      </c>
      <c r="D47" s="240">
        <f>IF(D24=2,IF(D37=1,1,0),0)</f>
        <v>0</v>
      </c>
      <c r="E47" s="235">
        <f>IF(E24=2,IF(E37=1,1,0),0)</f>
        <v>0</v>
      </c>
      <c r="G47" s="240">
        <f>IF(G24=2,IF(G37=1,1,0),0)</f>
        <v>0</v>
      </c>
      <c r="H47" s="235">
        <f>IF(H24=2,IF(H37=1,1,0),0)</f>
        <v>0</v>
      </c>
      <c r="J47" s="240">
        <f>IF(J24=2,IF(J37=1,1,0),0)</f>
        <v>0</v>
      </c>
      <c r="K47" s="235">
        <f>IF(K24=2,IF(K37=1,1,0),0)</f>
        <v>1</v>
      </c>
      <c r="M47" s="240">
        <f>IF(M24=2,IF(M37=1,1,0),0)</f>
        <v>0</v>
      </c>
      <c r="N47" s="235">
        <f>IF(N24=2,IF(N37=1,1,0),0)</f>
        <v>0</v>
      </c>
      <c r="P47" s="240">
        <f>IF(P24=2,IF(P37=1,1,0),0)</f>
        <v>0</v>
      </c>
      <c r="Q47" s="235">
        <f>IF(Q24=2,IF(Q37=1,1,0),0)</f>
        <v>0</v>
      </c>
      <c r="S47" s="240">
        <f>IF(S24=2,IF(S37=1,1,0),0)</f>
        <v>0</v>
      </c>
      <c r="T47" s="235">
        <f>IF(T24=2,IF(T37=1,1,0),0)</f>
        <v>1</v>
      </c>
      <c r="V47" s="240">
        <f>IF(V24=2,IF(V37=1,1,0),0)</f>
        <v>0</v>
      </c>
      <c r="W47" s="235">
        <f>IF(W24=2,IF(W37=1,1,0),0)</f>
        <v>0</v>
      </c>
      <c r="Y47" s="240">
        <f>IF(Y24=2,IF(Y37=1,1,0),0)</f>
        <v>0</v>
      </c>
      <c r="Z47" s="235">
        <f>IF(Z24=2,IF(Z37=1,1,0),0)</f>
        <v>0</v>
      </c>
      <c r="AB47" s="240">
        <f>IF(AB24=2,IF(AB37=1,1,0),0)</f>
        <v>0</v>
      </c>
      <c r="AC47" s="235">
        <f>IF(AC24=2,IF(AC37=1,1,0),0)</f>
        <v>0</v>
      </c>
      <c r="AE47" s="240">
        <f>IF(AE24=2,IF(AE37=1,1,0),0)</f>
        <v>0</v>
      </c>
      <c r="AF47" s="235">
        <f>SUM(B47:AE47)</f>
        <v>3</v>
      </c>
      <c r="AG47" s="235">
        <f>AF53-AF47</f>
        <v>1</v>
      </c>
      <c r="AW47" s="238"/>
    </row>
    <row r="48" spans="1:49" s="235" customFormat="1" ht="12.75" hidden="1" customHeight="1" x14ac:dyDescent="0.2">
      <c r="A48" s="235" t="s">
        <v>72</v>
      </c>
      <c r="B48" s="235">
        <f>IF(B24=3,IF(B37=1,1,0),0)</f>
        <v>0</v>
      </c>
      <c r="D48" s="240">
        <f>IF(D24=3,IF(D37=1,1,0),0)</f>
        <v>0</v>
      </c>
      <c r="E48" s="235">
        <f>IF(E24=3,IF(E37=1,1,0),0)</f>
        <v>0</v>
      </c>
      <c r="G48" s="240">
        <f>IF(G24=3,IF(G37=1,1,0),0)</f>
        <v>0</v>
      </c>
      <c r="H48" s="235">
        <f>IF(H24=3,IF(H37=1,1,0),0)</f>
        <v>0</v>
      </c>
      <c r="J48" s="240">
        <f>IF(J24=3,IF(J37=1,1,0),0)</f>
        <v>0</v>
      </c>
      <c r="K48" s="235">
        <f>IF(K24=3,IF(K37=1,1,0),0)</f>
        <v>0</v>
      </c>
      <c r="M48" s="240">
        <f>IF(M24=3,IF(M37=1,1,0),0)</f>
        <v>0</v>
      </c>
      <c r="N48" s="235">
        <f>IF(N24=3,IF(N37=1,1,0),0)</f>
        <v>0</v>
      </c>
      <c r="P48" s="240">
        <f>IF(P24=3,IF(P37=1,1,0),0)</f>
        <v>0</v>
      </c>
      <c r="Q48" s="235">
        <f>IF(Q24=3,IF(Q37=1,1,0),0)</f>
        <v>0</v>
      </c>
      <c r="S48" s="240">
        <f>IF(S24=3,IF(S37=1,1,0),0)</f>
        <v>0</v>
      </c>
      <c r="T48" s="235">
        <f>IF(T24=3,IF(T37=1,1,0),0)</f>
        <v>0</v>
      </c>
      <c r="V48" s="240">
        <f>IF(V24=3,IF(V37=1,1,0),0)</f>
        <v>0</v>
      </c>
      <c r="W48" s="235">
        <f>IF(W24=3,IF(W37=1,1,0),0)</f>
        <v>0</v>
      </c>
      <c r="Y48" s="240">
        <f>IF(Y24=3,IF(Y37=1,1,0),0)</f>
        <v>0</v>
      </c>
      <c r="Z48" s="235">
        <f>IF(Z24=3,IF(Z37=1,1,0),0)</f>
        <v>0</v>
      </c>
      <c r="AB48" s="240">
        <f>IF(AB24=3,IF(AB37=1,1,0),0)</f>
        <v>0</v>
      </c>
      <c r="AC48" s="235">
        <f>IF(AC24=3,IF(AC37=1,1,0),0)</f>
        <v>0</v>
      </c>
      <c r="AE48" s="240">
        <f>IF(AE24=3,IF(AE37=1,1,0),0)</f>
        <v>0</v>
      </c>
      <c r="AF48" s="235">
        <f>SUM(B48:AE48)</f>
        <v>0</v>
      </c>
      <c r="AG48" s="235">
        <f>AF54-AF48</f>
        <v>2</v>
      </c>
      <c r="AW48" s="238"/>
    </row>
    <row r="49" spans="1:49" s="235" customFormat="1" ht="12.75" hidden="1" customHeight="1" x14ac:dyDescent="0.2">
      <c r="A49" s="235" t="s">
        <v>73</v>
      </c>
      <c r="B49" s="235">
        <f>IF(B24=4,IF(B37=1,1,0),0)</f>
        <v>0</v>
      </c>
      <c r="D49" s="240">
        <f>IF(D24=4,IF(D37=1,1,0),0)</f>
        <v>0</v>
      </c>
      <c r="E49" s="235">
        <f>IF(E24=4,IF(E37=1,1,0),0)</f>
        <v>0</v>
      </c>
      <c r="G49" s="240">
        <f>IF(G24=4,IF(G37=1,1,0),0)</f>
        <v>0</v>
      </c>
      <c r="H49" s="235">
        <f>IF(H24=4,IF(H37=1,1,0),0)</f>
        <v>0</v>
      </c>
      <c r="J49" s="240">
        <f>IF(J24=4,IF(J37=1,1,0),0)</f>
        <v>0</v>
      </c>
      <c r="K49" s="235">
        <f>IF(K24=4,IF(K37=1,1,0),0)</f>
        <v>0</v>
      </c>
      <c r="M49" s="240">
        <f>IF(M24=4,IF(M37=1,1,0),0)</f>
        <v>0</v>
      </c>
      <c r="N49" s="235">
        <f>IF(N24=4,IF(N37=1,1,0),0)</f>
        <v>0</v>
      </c>
      <c r="P49" s="240">
        <f>IF(P24=4,IF(P37=1,1,0),0)</f>
        <v>0</v>
      </c>
      <c r="Q49" s="235">
        <f>IF(Q24=4,IF(Q37=1,1,0),0)</f>
        <v>1</v>
      </c>
      <c r="S49" s="240">
        <f>IF(S24=4,IF(S37=1,1,0),0)</f>
        <v>0</v>
      </c>
      <c r="T49" s="235">
        <f>IF(T24=4,IF(T37=1,1,0),0)</f>
        <v>0</v>
      </c>
      <c r="V49" s="240">
        <f>IF(V24=4,IF(V37=1,1,0),0)</f>
        <v>0</v>
      </c>
      <c r="W49" s="235">
        <f>IF(W24=4,IF(W37=1,1,0),0)</f>
        <v>0</v>
      </c>
      <c r="Y49" s="240">
        <f>IF(Y24=4,IF(Y37=1,1,0),0)</f>
        <v>0</v>
      </c>
      <c r="Z49" s="235">
        <f>IF(Z24=4,IF(Z37=1,1,0),0)</f>
        <v>0</v>
      </c>
      <c r="AB49" s="240">
        <f>IF(AB24=4,IF(AB37=1,1,0),0)</f>
        <v>0</v>
      </c>
      <c r="AC49" s="235">
        <f>IF(AC24=4,IF(AC37=1,1,0),0)</f>
        <v>0</v>
      </c>
      <c r="AE49" s="240">
        <f>IF(AE24=4,IF(AE37=1,1,0),0)</f>
        <v>0</v>
      </c>
      <c r="AF49" s="235">
        <f>SUM(B49:AE49)</f>
        <v>1</v>
      </c>
      <c r="AG49" s="235">
        <f>AF55-AF49</f>
        <v>2</v>
      </c>
      <c r="AW49" s="238"/>
    </row>
    <row r="50" spans="1:49" s="235" customFormat="1" ht="12.75" hidden="1" customHeight="1" x14ac:dyDescent="0.2">
      <c r="A50" s="235" t="s">
        <v>74</v>
      </c>
      <c r="B50" s="235">
        <f>IF(B24=5,IF(B37=1,1,0),0)</f>
        <v>0</v>
      </c>
      <c r="D50" s="240">
        <f>IF(D24=5,IF(D37=1,1,0),0)</f>
        <v>0</v>
      </c>
      <c r="E50" s="235">
        <f>IF(E24=5,IF(E37=1,1,0),0)</f>
        <v>0</v>
      </c>
      <c r="G50" s="240">
        <f>IF(G24=5,IF(G37=1,1,0),0)</f>
        <v>0</v>
      </c>
      <c r="H50" s="235">
        <f>IF(H24=5,IF(H37=1,1,0),0)</f>
        <v>0</v>
      </c>
      <c r="J50" s="240">
        <f>IF(J24=5,IF(J37=1,1,0),0)</f>
        <v>1</v>
      </c>
      <c r="K50" s="235">
        <f>IF(K24=5,IF(K37=1,1,0),0)</f>
        <v>0</v>
      </c>
      <c r="M50" s="240">
        <f>IF(M24=5,IF(M37=1,1,0),0)</f>
        <v>0</v>
      </c>
      <c r="N50" s="235">
        <f>IF(N24=5,IF(N37=1,1,0),0)</f>
        <v>0</v>
      </c>
      <c r="P50" s="240">
        <f>IF(P24=5,IF(P37=1,1,0),0)</f>
        <v>0</v>
      </c>
      <c r="Q50" s="235">
        <f>IF(Q24=5,IF(Q37=1,1,0),0)</f>
        <v>0</v>
      </c>
      <c r="S50" s="240">
        <f>IF(S24=5,IF(S37=1,1,0),0)</f>
        <v>0</v>
      </c>
      <c r="T50" s="235">
        <f>IF(T24=5,IF(T37=1,1,0),0)</f>
        <v>0</v>
      </c>
      <c r="V50" s="240">
        <f>IF(V24=5,IF(V37=1,1,0),0)</f>
        <v>0</v>
      </c>
      <c r="W50" s="235">
        <f>IF(W24=5,IF(W37=1,1,0),0)</f>
        <v>0</v>
      </c>
      <c r="Y50" s="240">
        <f>IF(Y24=5,IF(Y37=1,1,0),0)</f>
        <v>0</v>
      </c>
      <c r="Z50" s="235">
        <f>IF(Z24=5,IF(Z37=1,1,0),0)</f>
        <v>0</v>
      </c>
      <c r="AB50" s="240">
        <f>IF(AB24=5,IF(AB37=1,1,0),0)</f>
        <v>0</v>
      </c>
      <c r="AC50" s="235">
        <f>IF(AC24=5,IF(AC37=1,1,0),0)</f>
        <v>0</v>
      </c>
      <c r="AE50" s="240">
        <f>IF(AE24=5,IF(AE37=1,1,0),0)</f>
        <v>0</v>
      </c>
      <c r="AF50" s="235">
        <f>SUM(B50:AE50)</f>
        <v>1</v>
      </c>
      <c r="AG50" s="235">
        <f>AF56-AF50</f>
        <v>2</v>
      </c>
      <c r="AW50" s="238"/>
    </row>
    <row r="51" spans="1:49" s="235" customFormat="1" ht="38.25" hidden="1" customHeight="1" x14ac:dyDescent="0.2">
      <c r="A51" s="239"/>
      <c r="D51" s="240"/>
      <c r="G51" s="240"/>
      <c r="J51" s="240"/>
      <c r="M51" s="240"/>
      <c r="P51" s="240"/>
      <c r="S51" s="240"/>
      <c r="V51" s="240"/>
      <c r="Y51" s="240"/>
      <c r="AB51" s="240"/>
      <c r="AE51" s="240"/>
      <c r="AF51" s="239" t="s">
        <v>75</v>
      </c>
      <c r="AW51" s="238"/>
    </row>
    <row r="52" spans="1:49" s="235" customFormat="1" ht="12.75" hidden="1" customHeight="1" x14ac:dyDescent="0.2">
      <c r="A52" s="235" t="s">
        <v>76</v>
      </c>
      <c r="B52" s="235">
        <f>IF(B24=1,IF(C37=1,1,0),0)</f>
        <v>0</v>
      </c>
      <c r="D52" s="240">
        <f>IF(D24=1,IF(C37=1,1,0),0)</f>
        <v>0</v>
      </c>
      <c r="E52" s="235">
        <f>IF(E24=1,IF(F37=1,1,0),0)</f>
        <v>1</v>
      </c>
      <c r="G52" s="240">
        <f>IF(G24=1,IF(F37=1,1,0),0)</f>
        <v>0</v>
      </c>
      <c r="H52" s="235">
        <f>IF(H24=1,IF(I37=1,1,0),0)</f>
        <v>0</v>
      </c>
      <c r="J52" s="240">
        <f>IF(J24=1,IF(I37=1,1,0),0)</f>
        <v>0</v>
      </c>
      <c r="K52" s="235">
        <f>IF(K24=1,IF(L37=1,1,0),0)</f>
        <v>0</v>
      </c>
      <c r="M52" s="240">
        <f>IF(M24=1,IF(L37=1,1,0),0)</f>
        <v>0</v>
      </c>
      <c r="N52" s="235">
        <f>IF(N24=1,IF(O37=1,1,0),0)</f>
        <v>0</v>
      </c>
      <c r="P52" s="240">
        <f>IF(P24=1,IF(O37=1,1,0),0)</f>
        <v>0</v>
      </c>
      <c r="Q52" s="235">
        <f>IF(Q24=1,IF(R37=1,1,0),0)</f>
        <v>0</v>
      </c>
      <c r="S52" s="240">
        <f>IF(S24=1,IF(R37=1,1,0),0)</f>
        <v>0</v>
      </c>
      <c r="T52" s="235">
        <f>IF(T24=1,IF(U37=1,1,0),0)</f>
        <v>0</v>
      </c>
      <c r="V52" s="240">
        <f>IF(V24=1,IF(U37=1,1,0),0)</f>
        <v>0</v>
      </c>
      <c r="W52" s="235">
        <f>IF(W24=1,IF(X37=1,1,0),0)</f>
        <v>0</v>
      </c>
      <c r="Y52" s="240">
        <f>IF(Y24=1,IF(X37=1,1,0),0)</f>
        <v>0</v>
      </c>
      <c r="Z52" s="235">
        <f>IF(Z24=1,IF(AA37=1,1,0),0)</f>
        <v>0</v>
      </c>
      <c r="AB52" s="240">
        <f>IF(AB24=1,IF(AA37=1,1,0),0)</f>
        <v>0</v>
      </c>
      <c r="AC52" s="235">
        <f>IF(AC24=1,IF(AD37=1,1,0),0)</f>
        <v>1</v>
      </c>
      <c r="AE52" s="240">
        <f>IF(AE24=1,IF(AD37=1,1,0),0)</f>
        <v>0</v>
      </c>
      <c r="AF52" s="235">
        <f>SUM(B52:AE52)</f>
        <v>2</v>
      </c>
      <c r="AW52" s="238"/>
    </row>
    <row r="53" spans="1:49" s="235" customFormat="1" ht="12.75" hidden="1" customHeight="1" x14ac:dyDescent="0.2">
      <c r="A53" s="235" t="s">
        <v>77</v>
      </c>
      <c r="B53" s="235">
        <f>IF(B24=2,IF(C37=1,1,0),0)</f>
        <v>1</v>
      </c>
      <c r="D53" s="240">
        <f>IF(D24=2,IF(C37=1,1,0),0)</f>
        <v>0</v>
      </c>
      <c r="E53" s="235">
        <f>IF(E24=2,IF(F37=1,1,0),0)</f>
        <v>0</v>
      </c>
      <c r="G53" s="240">
        <f>IF(G24=2,IF(F37=1,1,0),0)</f>
        <v>0</v>
      </c>
      <c r="H53" s="235">
        <f>IF(H24=2,IF(I37=1,1,0),0)</f>
        <v>0</v>
      </c>
      <c r="J53" s="240">
        <f>IF(J24=2,IF(I37=1,1,0),0)</f>
        <v>0</v>
      </c>
      <c r="K53" s="235">
        <f>IF(K24=2,IF(L37=1,1,0),0)</f>
        <v>1</v>
      </c>
      <c r="M53" s="240">
        <f>IF(M24=2,IF(L37=1,1,0),0)</f>
        <v>0</v>
      </c>
      <c r="N53" s="235">
        <f>IF(N24=2,IF(O37=1,1,0),0)</f>
        <v>0</v>
      </c>
      <c r="P53" s="240">
        <f>IF(P24=2,IF(O37=1,1,0),0)</f>
        <v>0</v>
      </c>
      <c r="Q53" s="235">
        <f>IF(Q24=2,IF(R37=1,1,0),0)</f>
        <v>0</v>
      </c>
      <c r="S53" s="240">
        <f>IF(S24=2,IF(R37=1,1,0),0)</f>
        <v>0</v>
      </c>
      <c r="T53" s="235">
        <f>IF(T24=2,IF(U37=1,1,0),0)</f>
        <v>1</v>
      </c>
      <c r="V53" s="240">
        <f>IF(V24=2,IF(U37=1,1,0),0)</f>
        <v>0</v>
      </c>
      <c r="W53" s="235">
        <f>IF(W24=2,IF(X37=1,1,0),0)</f>
        <v>0</v>
      </c>
      <c r="Y53" s="240">
        <f>IF(Y24=2,IF(X37=1,1,0),0)</f>
        <v>0</v>
      </c>
      <c r="Z53" s="235">
        <f>IF(Z24=2,IF(AA37=1,1,0),0)</f>
        <v>0</v>
      </c>
      <c r="AB53" s="240">
        <f>IF(AB24=2,IF(AA37=1,1,0),0)</f>
        <v>0</v>
      </c>
      <c r="AC53" s="235">
        <f>IF(AC24=2,IF(AD37=1,1,0),0)</f>
        <v>0</v>
      </c>
      <c r="AE53" s="240">
        <f>IF(AE24=2,IF(AD37=1,1,0),0)</f>
        <v>1</v>
      </c>
      <c r="AF53" s="235">
        <f>SUM(B53:AE53)</f>
        <v>4</v>
      </c>
      <c r="AW53" s="238"/>
    </row>
    <row r="54" spans="1:49" s="235" customFormat="1" ht="12.75" hidden="1" customHeight="1" x14ac:dyDescent="0.2">
      <c r="A54" s="235" t="s">
        <v>78</v>
      </c>
      <c r="B54" s="235">
        <f>IF(B24=3,IF(C37=1,1,0),0)</f>
        <v>0</v>
      </c>
      <c r="D54" s="240">
        <f>IF(D24=3,IF(C37=1,1,0),0)</f>
        <v>0</v>
      </c>
      <c r="E54" s="235">
        <f>IF(E24=3,IF(F37=1,1,0),0)</f>
        <v>0</v>
      </c>
      <c r="G54" s="240">
        <f>IF(G24=3,IF(F37=1,1,0),0)</f>
        <v>0</v>
      </c>
      <c r="H54" s="235">
        <f>IF(H24=3,IF(I37=1,1,0),0)</f>
        <v>1</v>
      </c>
      <c r="J54" s="240">
        <f>IF(J24=3,IF(I37=1,1,0),0)</f>
        <v>0</v>
      </c>
      <c r="K54" s="235">
        <f>IF(K24=3,IF(L37=1,1,0),0)</f>
        <v>0</v>
      </c>
      <c r="M54" s="240">
        <f>IF(M24=3,IF(L37=1,1,0),0)</f>
        <v>0</v>
      </c>
      <c r="N54" s="235">
        <f>IF(N24=3,IF(O37=1,1,0),0)</f>
        <v>0</v>
      </c>
      <c r="P54" s="240">
        <f>IF(P24=3,IF(O37=1,1,0),0)</f>
        <v>0</v>
      </c>
      <c r="Q54" s="235">
        <f>IF(Q24=3,IF(R37=1,1,0),0)</f>
        <v>0</v>
      </c>
      <c r="S54" s="240">
        <f>IF(S24=3,IF(R37=1,1,0),0)</f>
        <v>0</v>
      </c>
      <c r="T54" s="235">
        <f>IF(T24=3,IF(U37=1,1,0),0)</f>
        <v>0</v>
      </c>
      <c r="V54" s="240">
        <f>IF(V24=3,IF(U37=1,1,0),0)</f>
        <v>1</v>
      </c>
      <c r="W54" s="235">
        <f>IF(W24=3,IF(X37=1,1,0),0)</f>
        <v>0</v>
      </c>
      <c r="Y54" s="240">
        <f>IF(Y24=3,IF(X37=1,1,0),0)</f>
        <v>0</v>
      </c>
      <c r="Z54" s="235">
        <f>IF(Z24=3,IF(AA37=1,1,0),0)</f>
        <v>0</v>
      </c>
      <c r="AB54" s="240">
        <f>IF(AB24=3,IF(AA37=1,1,0),0)</f>
        <v>0</v>
      </c>
      <c r="AC54" s="235">
        <f>IF(AC24=3,IF(AD37=1,1,0),0)</f>
        <v>0</v>
      </c>
      <c r="AE54" s="240">
        <f>IF(AE24=3,IF(AD37=1,1,0),0)</f>
        <v>0</v>
      </c>
      <c r="AF54" s="235">
        <f>SUM(B54:AE54)</f>
        <v>2</v>
      </c>
      <c r="AW54" s="238"/>
    </row>
    <row r="55" spans="1:49" s="235" customFormat="1" ht="12.75" hidden="1" customHeight="1" x14ac:dyDescent="0.2">
      <c r="A55" s="235" t="s">
        <v>79</v>
      </c>
      <c r="B55" s="235">
        <f>IF(B24=4,IF(C37=1,1,0),0)</f>
        <v>0</v>
      </c>
      <c r="D55" s="240">
        <f>IF(D24=4,IF(C37=1,1,0),0)</f>
        <v>0</v>
      </c>
      <c r="E55" s="235">
        <f>IF(E24=4,IF(F37=1,1,0),0)</f>
        <v>0</v>
      </c>
      <c r="G55" s="240">
        <f>IF(G24=4,IF(F37=1,1,0),0)</f>
        <v>1</v>
      </c>
      <c r="H55" s="235">
        <f>IF(H24=4,IF(I37=1,1,0),0)</f>
        <v>0</v>
      </c>
      <c r="J55" s="240">
        <f>IF(J24=4,IF(I37=1,1,0),0)</f>
        <v>0</v>
      </c>
      <c r="K55" s="235">
        <f>IF(K24=4,IF(L37=1,1,0),0)</f>
        <v>0</v>
      </c>
      <c r="M55" s="240">
        <f>IF(M24=4,IF(L37=1,1,0),0)</f>
        <v>1</v>
      </c>
      <c r="N55" s="235">
        <f>IF(N24=4,IF(O37=1,1,0),0)</f>
        <v>0</v>
      </c>
      <c r="P55" s="240">
        <f>IF(P24=4,IF(O37=1,1,0),0)</f>
        <v>0</v>
      </c>
      <c r="Q55" s="235">
        <f>IF(Q24=4,IF(R37=1,1,0),0)</f>
        <v>1</v>
      </c>
      <c r="S55" s="240">
        <f>IF(S24=4,IF(R37=1,1,0),0)</f>
        <v>0</v>
      </c>
      <c r="T55" s="235">
        <f>IF(T24=4,IF(U37=1,1,0),0)</f>
        <v>0</v>
      </c>
      <c r="V55" s="240">
        <f>IF(V24=4,IF(U37=1,1,0),0)</f>
        <v>0</v>
      </c>
      <c r="W55" s="235">
        <f>IF(W24=4,IF(X37=1,1,0),0)</f>
        <v>0</v>
      </c>
      <c r="Y55" s="240">
        <f>IF(Y24=4,IF(X37=1,1,0),0)</f>
        <v>0</v>
      </c>
      <c r="Z55" s="235">
        <f>IF(Z24=4,IF(AA37=1,1,0),0)</f>
        <v>0</v>
      </c>
      <c r="AB55" s="240">
        <f>IF(AB24=4,IF(AA37=1,1,0),0)</f>
        <v>0</v>
      </c>
      <c r="AC55" s="235">
        <f>IF(AC24=4,IF(AD37=1,1,0),0)</f>
        <v>0</v>
      </c>
      <c r="AE55" s="240">
        <f>IF(AE24=4,IF(AD37=1,1,0),0)</f>
        <v>0</v>
      </c>
      <c r="AF55" s="235">
        <f>SUM(B55:AE55)</f>
        <v>3</v>
      </c>
      <c r="AW55" s="238"/>
    </row>
    <row r="56" spans="1:49" s="235" customFormat="1" ht="12.75" hidden="1" customHeight="1" x14ac:dyDescent="0.2">
      <c r="A56" s="235" t="s">
        <v>80</v>
      </c>
      <c r="B56" s="235">
        <f>IF(B24=5,IF(C37=1,1,0),0)</f>
        <v>0</v>
      </c>
      <c r="D56" s="240">
        <f>IF(D24=5,IF(C37=1,1,0),0)</f>
        <v>1</v>
      </c>
      <c r="E56" s="235">
        <f>IF(E24=5,IF(F37=1,1,0),0)</f>
        <v>0</v>
      </c>
      <c r="G56" s="240">
        <f>IF(G24=5,IF(F37=1,1,0),0)</f>
        <v>0</v>
      </c>
      <c r="H56" s="235">
        <f>IF(H24=5,IF(I37=1,1,0),0)</f>
        <v>0</v>
      </c>
      <c r="J56" s="240">
        <f>IF(J24=5,IF(I37=1,1,0),0)</f>
        <v>1</v>
      </c>
      <c r="K56" s="235">
        <f>IF(K24=5,IF(L37=1,1,0),0)</f>
        <v>0</v>
      </c>
      <c r="M56" s="240">
        <f>IF(M24=5,IF(L37=1,1,0),0)</f>
        <v>0</v>
      </c>
      <c r="N56" s="235">
        <f>IF(N24=5,IF(O37=1,1,0),0)</f>
        <v>0</v>
      </c>
      <c r="P56" s="240">
        <f>IF(P24=5,IF(O37=1,1,0),0)</f>
        <v>0</v>
      </c>
      <c r="Q56" s="235">
        <f>IF(Q24=5,IF(R37=1,1,0),0)</f>
        <v>0</v>
      </c>
      <c r="S56" s="240">
        <f>IF(S24=5,IF(R37=1,1,0),0)</f>
        <v>1</v>
      </c>
      <c r="T56" s="235">
        <f>IF(T24=5,IF(U37=1,1,0),0)</f>
        <v>0</v>
      </c>
      <c r="V56" s="240">
        <f>IF(V24=5,IF(U37=1,1,0),0)</f>
        <v>0</v>
      </c>
      <c r="W56" s="235">
        <f>IF(W24=5,IF(X37=1,1,0),0)</f>
        <v>0</v>
      </c>
      <c r="Y56" s="240">
        <f>IF(Y24=5,IF(X37=1,1,0),0)</f>
        <v>0</v>
      </c>
      <c r="Z56" s="235">
        <f>IF(Z24=5,IF(AA37=1,1,0),0)</f>
        <v>0</v>
      </c>
      <c r="AB56" s="240">
        <f>IF(AB24=5,IF(AA37=1,1,0),0)</f>
        <v>0</v>
      </c>
      <c r="AC56" s="235">
        <f>IF(AC24=5,IF(AD37=1,1,0),0)</f>
        <v>0</v>
      </c>
      <c r="AE56" s="240">
        <f>IF(AE24=5,IF(AD37=1,1,0),0)</f>
        <v>0</v>
      </c>
      <c r="AF56" s="235">
        <f>SUM(B56:AE56)</f>
        <v>3</v>
      </c>
      <c r="AW56" s="238"/>
    </row>
    <row r="57" spans="1:49" s="235" customFormat="1" ht="38.25" hidden="1" customHeight="1" x14ac:dyDescent="0.2">
      <c r="A57" s="239"/>
      <c r="D57" s="240"/>
      <c r="G57" s="240"/>
      <c r="J57" s="240"/>
      <c r="M57" s="240"/>
      <c r="P57" s="240"/>
      <c r="S57" s="240"/>
      <c r="V57" s="240"/>
      <c r="Y57" s="240"/>
      <c r="AB57" s="240"/>
      <c r="AE57" s="240"/>
      <c r="AF57" s="239" t="s">
        <v>81</v>
      </c>
      <c r="AG57" s="524"/>
      <c r="AH57" s="524"/>
      <c r="AI57" s="524"/>
      <c r="AJ57" s="524"/>
      <c r="AK57" s="524"/>
      <c r="AW57" s="238"/>
    </row>
    <row r="58" spans="1:49" s="235" customFormat="1" ht="12.75" hidden="1" customHeight="1" x14ac:dyDescent="0.2">
      <c r="A58" s="235" t="s">
        <v>76</v>
      </c>
      <c r="B58" s="235">
        <f>IF(B24=1,B44,0)</f>
        <v>0</v>
      </c>
      <c r="D58" s="240">
        <f>IF(D24=1,B44,0)</f>
        <v>0</v>
      </c>
      <c r="E58" s="235">
        <f>IF(E24=1,E44,0)</f>
        <v>50</v>
      </c>
      <c r="G58" s="240">
        <f>IF(G24=1,E44,0)</f>
        <v>0</v>
      </c>
      <c r="H58" s="235">
        <f>IF(H24=1,H44,0)</f>
        <v>0</v>
      </c>
      <c r="J58" s="240">
        <f>IF(J24=1,H44,0)</f>
        <v>0</v>
      </c>
      <c r="K58" s="235">
        <f>IF(K24=1,K44,0)</f>
        <v>0</v>
      </c>
      <c r="M58" s="240">
        <f>IF(M24=1,K44,0)</f>
        <v>0</v>
      </c>
      <c r="N58" s="235">
        <f>IF(N24=1,N44,0)</f>
        <v>50</v>
      </c>
      <c r="P58" s="240">
        <f>IF(P24=1,N44,0)</f>
        <v>0</v>
      </c>
      <c r="Q58" s="235">
        <f>IF(Q24=1,Q44,0)</f>
        <v>0</v>
      </c>
      <c r="S58" s="240">
        <f>IF(S24=1,Q44,0)</f>
        <v>0</v>
      </c>
      <c r="T58" s="235">
        <f>IF(T24=1,T44,0)</f>
        <v>0</v>
      </c>
      <c r="V58" s="240">
        <f>IF(V24=1,T44,0)</f>
        <v>0</v>
      </c>
      <c r="W58" s="235">
        <f>IF(W24=1,W44,0)</f>
        <v>50</v>
      </c>
      <c r="Y58" s="240">
        <f>IF(Y24=1,W44,0)</f>
        <v>0</v>
      </c>
      <c r="Z58" s="235">
        <f>IF(Z24=1,Z44,0)</f>
        <v>0</v>
      </c>
      <c r="AB58" s="240">
        <f>IF(AB24=1,Z44,0)</f>
        <v>0</v>
      </c>
      <c r="AC58" s="235">
        <f>IF(AC24=1,AC44,0)</f>
        <v>50</v>
      </c>
      <c r="AE58" s="240">
        <f>IF(AE24=1,AC44,0)</f>
        <v>0</v>
      </c>
      <c r="AF58" s="235">
        <f>SUM(B58:AE58)</f>
        <v>200</v>
      </c>
      <c r="AW58" s="238"/>
    </row>
    <row r="59" spans="1:49" s="235" customFormat="1" ht="12.75" hidden="1" customHeight="1" x14ac:dyDescent="0.2">
      <c r="A59" s="235" t="s">
        <v>77</v>
      </c>
      <c r="B59" s="235">
        <f>IF(B24=2,B44,0)</f>
        <v>50</v>
      </c>
      <c r="D59" s="240">
        <f>IF(D24=2,B44,0)</f>
        <v>0</v>
      </c>
      <c r="E59" s="235">
        <f>IF(E24=2,E44,0)</f>
        <v>0</v>
      </c>
      <c r="G59" s="240">
        <f>IF(G24=2,E44,0)</f>
        <v>0</v>
      </c>
      <c r="H59" s="235">
        <f>IF(H24=2,H44,0)</f>
        <v>0</v>
      </c>
      <c r="J59" s="240">
        <f>IF(J24=2,H44,0)</f>
        <v>0</v>
      </c>
      <c r="K59" s="235">
        <f>IF(K24=2,K44,0)</f>
        <v>50</v>
      </c>
      <c r="M59" s="240">
        <f>IF(M24=2,K44,0)</f>
        <v>0</v>
      </c>
      <c r="N59" s="235">
        <f>IF(N24=2,N44,0)</f>
        <v>0</v>
      </c>
      <c r="P59" s="240">
        <f>IF(P24=2,N44,0)</f>
        <v>0</v>
      </c>
      <c r="Q59" s="235">
        <f>IF(Q24=2,Q44,0)</f>
        <v>0</v>
      </c>
      <c r="S59" s="240">
        <f>IF(S24=2,Q44,0)</f>
        <v>0</v>
      </c>
      <c r="T59" s="235">
        <f>IF(T24=2,T44,0)</f>
        <v>50</v>
      </c>
      <c r="V59" s="240">
        <f>IF(V24=2,T44,0)</f>
        <v>0</v>
      </c>
      <c r="W59" s="235">
        <f>IF(W24=2,W44,0)</f>
        <v>0</v>
      </c>
      <c r="Y59" s="240">
        <f>IF(Y24=2,W44,0)</f>
        <v>0</v>
      </c>
      <c r="Z59" s="235">
        <f>IF(Z24=2,Z44,0)</f>
        <v>0</v>
      </c>
      <c r="AB59" s="240">
        <f>IF(AB24=2,Z44,0)</f>
        <v>0</v>
      </c>
      <c r="AC59" s="235">
        <f>IF(AC24=2,AC44,0)</f>
        <v>0</v>
      </c>
      <c r="AE59" s="240">
        <f>IF(AE24=2,AC44,0)</f>
        <v>50</v>
      </c>
      <c r="AF59" s="235">
        <f>SUM(B59:AE59)</f>
        <v>200</v>
      </c>
      <c r="AW59" s="238"/>
    </row>
    <row r="60" spans="1:49" s="235" customFormat="1" ht="12.75" hidden="1" customHeight="1" x14ac:dyDescent="0.2">
      <c r="A60" s="235" t="s">
        <v>78</v>
      </c>
      <c r="B60" s="235">
        <f>IF(B24=3,B44,0)</f>
        <v>0</v>
      </c>
      <c r="D60" s="240">
        <f>IF(D24=3,B44,0)</f>
        <v>0</v>
      </c>
      <c r="E60" s="235">
        <f>IF(E24=3,E44,0)</f>
        <v>0</v>
      </c>
      <c r="G60" s="240">
        <f>IF(G24=3,E44,0)</f>
        <v>0</v>
      </c>
      <c r="H60" s="235">
        <f>IF(H24=3,H44,0)</f>
        <v>52</v>
      </c>
      <c r="J60" s="240">
        <f>IF(J24=3,H44,0)</f>
        <v>0</v>
      </c>
      <c r="K60" s="235">
        <f>IF(K24=3,K44,0)</f>
        <v>0</v>
      </c>
      <c r="M60" s="240">
        <f>IF(M24=3,K44,0)</f>
        <v>0</v>
      </c>
      <c r="N60" s="235">
        <f>IF(N24=3,N44,0)</f>
        <v>0</v>
      </c>
      <c r="P60" s="240">
        <f>IF(P24=3,N44,0)</f>
        <v>50</v>
      </c>
      <c r="Q60" s="235">
        <f>IF(Q24=3,Q44,0)</f>
        <v>0</v>
      </c>
      <c r="S60" s="240">
        <f>IF(S24=3,Q44,0)</f>
        <v>0</v>
      </c>
      <c r="T60" s="235">
        <f>IF(T24=3,T44,0)</f>
        <v>0</v>
      </c>
      <c r="V60" s="240">
        <f>IF(V24=3,T44,0)</f>
        <v>50</v>
      </c>
      <c r="W60" s="235">
        <f>IF(W24=3,W44,0)</f>
        <v>0</v>
      </c>
      <c r="Y60" s="240">
        <f>IF(Y24=3,W44,0)</f>
        <v>0</v>
      </c>
      <c r="Z60" s="235">
        <f>IF(Z24=3,Z44,0)</f>
        <v>50</v>
      </c>
      <c r="AB60" s="240">
        <f>IF(AB24=3,Z44,0)</f>
        <v>0</v>
      </c>
      <c r="AC60" s="235">
        <f>IF(AC24=3,AC44,0)</f>
        <v>0</v>
      </c>
      <c r="AE60" s="240">
        <f>IF(AE24=3,AC44,0)</f>
        <v>0</v>
      </c>
      <c r="AF60" s="235">
        <f>SUM(B60:AE60)</f>
        <v>202</v>
      </c>
      <c r="AW60" s="238"/>
    </row>
    <row r="61" spans="1:49" s="235" customFormat="1" ht="12.75" hidden="1" customHeight="1" x14ac:dyDescent="0.2">
      <c r="A61" s="235" t="s">
        <v>79</v>
      </c>
      <c r="B61" s="235">
        <f>IF(B24=4,B44,0)</f>
        <v>0</v>
      </c>
      <c r="D61" s="240">
        <f>IF(D24=4,B44,0)</f>
        <v>0</v>
      </c>
      <c r="E61" s="235">
        <f>IF(E24=4,E44,0)</f>
        <v>0</v>
      </c>
      <c r="G61" s="240">
        <f>IF(G24=4,E44,0)</f>
        <v>50</v>
      </c>
      <c r="H61" s="235">
        <f>IF(H24=4,H44,0)</f>
        <v>0</v>
      </c>
      <c r="J61" s="240">
        <f>IF(J24=4,H44,0)</f>
        <v>0</v>
      </c>
      <c r="K61" s="235">
        <f>IF(K24=4,K44,0)</f>
        <v>0</v>
      </c>
      <c r="M61" s="240">
        <f>IF(M24=4,K44,0)</f>
        <v>50</v>
      </c>
      <c r="N61" s="235">
        <f>IF(N24=4,N44,0)</f>
        <v>0</v>
      </c>
      <c r="P61" s="240">
        <f>IF(P24=4,N44,0)</f>
        <v>0</v>
      </c>
      <c r="Q61" s="235">
        <f>IF(Q24=4,Q44,0)</f>
        <v>50</v>
      </c>
      <c r="S61" s="240">
        <f>IF(S24=4,Q44,0)</f>
        <v>0</v>
      </c>
      <c r="T61" s="235">
        <f>IF(T24=4,T44,0)</f>
        <v>0</v>
      </c>
      <c r="V61" s="240">
        <f>IF(V24=4,T44,0)</f>
        <v>0</v>
      </c>
      <c r="W61" s="235">
        <f>IF(W24=4,W44,0)</f>
        <v>0</v>
      </c>
      <c r="Y61" s="240">
        <f>IF(Y24=4,W44,0)</f>
        <v>0</v>
      </c>
      <c r="Z61" s="235">
        <f>IF(Z24=4,Z44,0)</f>
        <v>0</v>
      </c>
      <c r="AB61" s="240">
        <f>IF(AB24=4,Z44,0)</f>
        <v>50</v>
      </c>
      <c r="AC61" s="235">
        <f>IF(AC24=4,AC44,0)</f>
        <v>0</v>
      </c>
      <c r="AE61" s="240">
        <f>IF(AE24=4,AC44,0)</f>
        <v>0</v>
      </c>
      <c r="AF61" s="235">
        <f>SUM(B61:AE61)</f>
        <v>200</v>
      </c>
      <c r="AW61" s="238"/>
    </row>
    <row r="62" spans="1:49" s="235" customFormat="1" ht="12.75" hidden="1" customHeight="1" x14ac:dyDescent="0.2">
      <c r="A62" s="235" t="s">
        <v>80</v>
      </c>
      <c r="B62" s="235">
        <f>IF(B24=5,B44,0)</f>
        <v>0</v>
      </c>
      <c r="D62" s="240">
        <f>IF(D24=5,B44,0)</f>
        <v>50</v>
      </c>
      <c r="E62" s="235">
        <f>IF(E24=5,E44,0)</f>
        <v>0</v>
      </c>
      <c r="G62" s="240">
        <f>IF(G24=5,E44,0)</f>
        <v>0</v>
      </c>
      <c r="H62" s="235">
        <f>IF(H24=5,H44,0)</f>
        <v>0</v>
      </c>
      <c r="J62" s="240">
        <f>IF(J24=5,H44,0)</f>
        <v>52</v>
      </c>
      <c r="K62" s="235">
        <f>IF(K24=5,K44,0)</f>
        <v>0</v>
      </c>
      <c r="M62" s="240">
        <f>IF(M24=5,K44,0)</f>
        <v>0</v>
      </c>
      <c r="N62" s="235">
        <f>IF(N24=5,N44,0)</f>
        <v>0</v>
      </c>
      <c r="P62" s="240">
        <f>IF(P24=5,N44,0)</f>
        <v>0</v>
      </c>
      <c r="Q62" s="235">
        <f>IF(Q24=5,Q44,0)</f>
        <v>0</v>
      </c>
      <c r="S62" s="240">
        <f>IF(S24=5,Q44,0)</f>
        <v>50</v>
      </c>
      <c r="T62" s="235">
        <f>IF(T24=5,T44,0)</f>
        <v>0</v>
      </c>
      <c r="V62" s="240">
        <f>IF(V24=5,T44,0)</f>
        <v>0</v>
      </c>
      <c r="W62" s="235">
        <f>IF(W24=5,W44,0)</f>
        <v>0</v>
      </c>
      <c r="Y62" s="240">
        <f>IF(Y24=5,W44,0)</f>
        <v>50</v>
      </c>
      <c r="Z62" s="235">
        <f>IF(Z24=5,Z44,0)</f>
        <v>0</v>
      </c>
      <c r="AB62" s="240">
        <f>IF(AB24=5,Z44,0)</f>
        <v>0</v>
      </c>
      <c r="AC62" s="235">
        <f>IF(AC24=5,AC44,0)</f>
        <v>0</v>
      </c>
      <c r="AE62" s="240">
        <f>IF(AE24=5,AC44,0)</f>
        <v>0</v>
      </c>
      <c r="AF62" s="235">
        <f>SUM(B62:AE62)</f>
        <v>202</v>
      </c>
      <c r="AW62" s="238"/>
    </row>
    <row r="63" spans="1:49" s="235" customFormat="1" ht="38.25" hidden="1" customHeight="1" x14ac:dyDescent="0.2">
      <c r="A63" s="235" t="s">
        <v>82</v>
      </c>
      <c r="D63" s="240"/>
      <c r="G63" s="240"/>
      <c r="J63" s="240"/>
      <c r="M63" s="240"/>
      <c r="P63" s="240"/>
      <c r="S63" s="240"/>
      <c r="V63" s="240"/>
      <c r="Y63" s="240"/>
      <c r="AB63" s="240"/>
      <c r="AE63" s="240"/>
      <c r="AF63" s="239" t="s">
        <v>83</v>
      </c>
      <c r="AG63" s="235" t="s">
        <v>84</v>
      </c>
      <c r="AW63" s="238"/>
    </row>
    <row r="64" spans="1:49" s="235" customFormat="1" ht="12.75" hidden="1" customHeight="1" x14ac:dyDescent="0.2">
      <c r="A64" s="235" t="s">
        <v>70</v>
      </c>
      <c r="B64" s="235">
        <f>IF(B24=1,SUMIF(B31:B35,"&gt;0"),0)</f>
        <v>0</v>
      </c>
      <c r="D64" s="240">
        <f>IF(D24=1,SUMIF(D31:D35,"&gt;0"),0)</f>
        <v>0</v>
      </c>
      <c r="E64" s="235">
        <f>IF(E24=1,SUMIF(E31:E35,"&gt;0"),0)</f>
        <v>2</v>
      </c>
      <c r="G64" s="240">
        <f>IF(G24=1,SUMIF(G31:G35,"&gt;0"),0)</f>
        <v>0</v>
      </c>
      <c r="H64" s="235">
        <f>IF(H24=1,SUMIF(H31:H35,"&gt;0"),0)</f>
        <v>0</v>
      </c>
      <c r="J64" s="240">
        <f>IF(J24=1,SUMIF(J31:J35,"&gt;0"),0)</f>
        <v>0</v>
      </c>
      <c r="K64" s="235">
        <f>IF(K24=1,SUMIF(K31:K35,"&gt;0"),0)</f>
        <v>0</v>
      </c>
      <c r="M64" s="240">
        <f>IF(M24=1,SUMIF(M31:M35,"&gt;0"),0)</f>
        <v>0</v>
      </c>
      <c r="N64" s="235">
        <f>IF(N24=1,SUMIF(N31:N35,"&gt;0"),0)</f>
        <v>1</v>
      </c>
      <c r="P64" s="240">
        <f>IF(P24=1,SUMIF(P31:P35,"&gt;0"),0)</f>
        <v>0</v>
      </c>
      <c r="Q64" s="235">
        <f>IF(Q24=1,SUMIF(Q31:Q35,"&gt;0"),0)</f>
        <v>0</v>
      </c>
      <c r="S64" s="240">
        <f>IF(S24=1,SUMIF(S31:S35,"&gt;0"),0)</f>
        <v>0</v>
      </c>
      <c r="T64" s="235">
        <f>IF(T24=1,SUMIF(T31:T35,"&gt;0"),0)</f>
        <v>0</v>
      </c>
      <c r="V64" s="240">
        <f>IF(V24=1,SUMIF(V31:V35,"&gt;0"),0)</f>
        <v>0</v>
      </c>
      <c r="W64" s="235">
        <f>IF(W24=1,SUMIF(W31:W35,"&gt;0"),0)</f>
        <v>1</v>
      </c>
      <c r="Y64" s="240">
        <f>IF(Y24=1,SUMIF(Y31:Y35,"&gt;0"),0)</f>
        <v>0</v>
      </c>
      <c r="Z64" s="235">
        <f>IF(Z24=1,SUMIF(Z31:Z35,"&gt;0"),0)</f>
        <v>0</v>
      </c>
      <c r="AB64" s="240">
        <f>IF(AB24=1,SUMIF(AB31:AB35,"&gt;0"),0)</f>
        <v>0</v>
      </c>
      <c r="AC64" s="235">
        <f>IF(AC24=1,SUMIF(AC31:AC35,"&gt;0"),0)</f>
        <v>2</v>
      </c>
      <c r="AE64" s="240">
        <f>IF(AE24=1,SUMIF(AE31:AE35,"&gt;0"),0)</f>
        <v>0</v>
      </c>
      <c r="AF64" s="235">
        <f>SUM(B64:AE64)</f>
        <v>6</v>
      </c>
      <c r="AG64" s="235">
        <f>AF72-AF64</f>
        <v>2</v>
      </c>
      <c r="AW64" s="238"/>
    </row>
    <row r="65" spans="1:54" s="235" customFormat="1" ht="12.75" hidden="1" customHeight="1" x14ac:dyDescent="0.2">
      <c r="A65" s="235" t="s">
        <v>71</v>
      </c>
      <c r="B65" s="235">
        <f>IF(B24=2,SUMIF(B31:B35,"&gt;0"),0)</f>
        <v>2</v>
      </c>
      <c r="D65" s="240">
        <f>IF(D24=2,SUMIF(D31:D35,"&gt;0"),0)</f>
        <v>0</v>
      </c>
      <c r="E65" s="235">
        <f>IF(E24=2,SUMIF(E31:E35,"&gt;0"),0)</f>
        <v>0</v>
      </c>
      <c r="G65" s="240">
        <f>IF(G24=2,SUMIF(G31:G35,"&gt;0"),0)</f>
        <v>0</v>
      </c>
      <c r="H65" s="235">
        <f>IF(H24=2,SUMIF(H31:H35,"&gt;0"),0)</f>
        <v>0</v>
      </c>
      <c r="J65" s="240">
        <f>IF(J24=2,SUMIF(J31:J35,"&gt;0"),0)</f>
        <v>0</v>
      </c>
      <c r="K65" s="235">
        <f>IF(K24=2,SUMIF(K31:K35,"&gt;0"),0)</f>
        <v>2</v>
      </c>
      <c r="M65" s="240">
        <f>IF(M24=2,SUMIF(M31:M35,"&gt;0"),0)</f>
        <v>0</v>
      </c>
      <c r="N65" s="235">
        <f>IF(N24=2,SUMIF(N31:N35,"&gt;0"),0)</f>
        <v>0</v>
      </c>
      <c r="P65" s="240">
        <f>IF(P24=2,SUMIF(P31:P35,"&gt;0"),0)</f>
        <v>0</v>
      </c>
      <c r="Q65" s="235">
        <f>IF(Q24=2,SUMIF(Q31:Q35,"&gt;0"),0)</f>
        <v>0</v>
      </c>
      <c r="S65" s="240">
        <f>IF(S24=2,SUMIF(S31:S35,"&gt;0"),0)</f>
        <v>0</v>
      </c>
      <c r="T65" s="235">
        <f>IF(T24=2,SUMIF(T31:T35,"&gt;0"),0)</f>
        <v>2</v>
      </c>
      <c r="V65" s="240">
        <f>IF(V24=2,SUMIF(V31:V35,"&gt;0"),0)</f>
        <v>0</v>
      </c>
      <c r="W65" s="235">
        <f>IF(W24=2,SUMIF(W31:W35,"&gt;0"),0)</f>
        <v>0</v>
      </c>
      <c r="Y65" s="240">
        <f>IF(Y24=2,SUMIF(Y31:Y35,"&gt;0"),0)</f>
        <v>0</v>
      </c>
      <c r="Z65" s="235">
        <f>IF(Z24=2,SUMIF(Z31:Z35,"&gt;0"),0)</f>
        <v>0</v>
      </c>
      <c r="AB65" s="240">
        <f>IF(AB24=2,SUMIF(AB31:AB35,"&gt;0"),0)</f>
        <v>0</v>
      </c>
      <c r="AC65" s="235">
        <f>IF(AC24=2,SUMIF(AC31:AC35,"&gt;0"),0)</f>
        <v>0</v>
      </c>
      <c r="AE65" s="240">
        <f>IF(AE24=2,SUMIF(AE31:AE35,"&gt;0"),0)</f>
        <v>0</v>
      </c>
      <c r="AF65" s="235">
        <f>SUM(B65:AE65)</f>
        <v>6</v>
      </c>
      <c r="AG65" s="235">
        <f>AF73-AF65</f>
        <v>2</v>
      </c>
      <c r="AW65" s="238"/>
    </row>
    <row r="66" spans="1:54" s="235" customFormat="1" ht="12.75" hidden="1" customHeight="1" x14ac:dyDescent="0.2">
      <c r="A66" s="235" t="s">
        <v>72</v>
      </c>
      <c r="B66" s="235">
        <f>IF(B24=3,SUMIF(B31:B35,"&gt;0"),0)</f>
        <v>0</v>
      </c>
      <c r="D66" s="240">
        <f>IF(D24=3,SUMIF(D31:D35,"&gt;0"),0)</f>
        <v>0</v>
      </c>
      <c r="E66" s="235">
        <f>IF(E24=3,SUMIF(E31:E35,"&gt;0"),0)</f>
        <v>0</v>
      </c>
      <c r="G66" s="240">
        <f>IF(G24=3,SUMIF(G31:G35,"&gt;0"),0)</f>
        <v>0</v>
      </c>
      <c r="H66" s="235">
        <f>IF(H24=3,SUMIF(H31:H35,"&gt;0"),0)</f>
        <v>0</v>
      </c>
      <c r="J66" s="240">
        <f>IF(J24=3,SUMIF(J31:J35,"&gt;0"),0)</f>
        <v>0</v>
      </c>
      <c r="K66" s="235">
        <f>IF(K24=3,SUMIF(K31:K35,"&gt;0"),0)</f>
        <v>0</v>
      </c>
      <c r="M66" s="240">
        <f>IF(M24=3,SUMIF(M31:M35,"&gt;0"),0)</f>
        <v>0</v>
      </c>
      <c r="N66" s="235">
        <f>IF(N24=3,SUMIF(N31:N35,"&gt;0"),0)</f>
        <v>0</v>
      </c>
      <c r="P66" s="240">
        <f>IF(P24=3,SUMIF(P31:P35,"&gt;0"),0)</f>
        <v>1</v>
      </c>
      <c r="Q66" s="235">
        <f>IF(Q24=3,SUMIF(Q31:Q35,"&gt;0"),0)</f>
        <v>0</v>
      </c>
      <c r="S66" s="240">
        <f>IF(S24=3,SUMIF(S31:S35,"&gt;0"),0)</f>
        <v>0</v>
      </c>
      <c r="T66" s="235">
        <f>IF(T24=3,SUMIF(T31:T35,"&gt;0"),0)</f>
        <v>0</v>
      </c>
      <c r="V66" s="240">
        <f>IF(V24=3,SUMIF(V31:V35,"&gt;0"),0)</f>
        <v>0</v>
      </c>
      <c r="W66" s="235">
        <f>IF(W24=3,SUMIF(W31:W35,"&gt;0"),0)</f>
        <v>0</v>
      </c>
      <c r="Y66" s="240">
        <f>IF(Y24=3,SUMIF(Y31:Y35,"&gt;0"),0)</f>
        <v>0</v>
      </c>
      <c r="Z66" s="235">
        <f>IF(Z24=3,SUMIF(Z31:Z35,"&gt;0"),0)</f>
        <v>1</v>
      </c>
      <c r="AB66" s="240">
        <f>IF(AB24=3,SUMIF(AB31:AB35,"&gt;0"),0)</f>
        <v>0</v>
      </c>
      <c r="AC66" s="235">
        <f>IF(AC24=3,SUMIF(AC31:AC35,"&gt;0"),0)</f>
        <v>0</v>
      </c>
      <c r="AE66" s="240">
        <f>IF(AE24=3,SUMIF(AE31:AE35,"&gt;0"),0)</f>
        <v>0</v>
      </c>
      <c r="AF66" s="235">
        <f>SUM(B66:AE66)</f>
        <v>2</v>
      </c>
      <c r="AG66" s="235">
        <f>AF74-AF66</f>
        <v>6</v>
      </c>
      <c r="AW66" s="238"/>
    </row>
    <row r="67" spans="1:54" s="235" customFormat="1" ht="12.75" hidden="1" customHeight="1" x14ac:dyDescent="0.2">
      <c r="A67" s="235" t="s">
        <v>73</v>
      </c>
      <c r="B67" s="235">
        <f>IF(B24=4,SUMIF(B31:B35,"&gt;0"),0)</f>
        <v>0</v>
      </c>
      <c r="D67" s="240">
        <f>IF(D24=4,SUMIF(D31:D35,"&gt;0"),0)</f>
        <v>0</v>
      </c>
      <c r="E67" s="235">
        <f>IF(E24=4,SUMIF(E31:E35,"&gt;0"),0)</f>
        <v>0</v>
      </c>
      <c r="G67" s="240">
        <f>IF(G24=4,SUMIF(G31:G35,"&gt;0"),0)</f>
        <v>0</v>
      </c>
      <c r="H67" s="235">
        <f>IF(H24=4,SUMIF(H31:H35,"&gt;0"),0)</f>
        <v>0</v>
      </c>
      <c r="J67" s="240">
        <f>IF(J24=4,SUMIF(J31:J35,"&gt;0"),0)</f>
        <v>0</v>
      </c>
      <c r="K67" s="235">
        <f>IF(K24=4,SUMIF(K31:K35,"&gt;0"),0)</f>
        <v>0</v>
      </c>
      <c r="M67" s="240">
        <f>IF(M24=4,SUMIF(M31:M35,"&gt;0"),0)</f>
        <v>0</v>
      </c>
      <c r="N67" s="235">
        <f>IF(N24=4,SUMIF(N31:N35,"&gt;0"),0)</f>
        <v>0</v>
      </c>
      <c r="P67" s="240">
        <f>IF(P24=4,SUMIF(P31:P35,"&gt;0"),0)</f>
        <v>0</v>
      </c>
      <c r="Q67" s="235">
        <f>IF(Q24=4,SUMIF(Q31:Q35,"&gt;0"),0)</f>
        <v>2</v>
      </c>
      <c r="S67" s="240">
        <f>IF(S24=4,SUMIF(S31:S35,"&gt;0"),0)</f>
        <v>0</v>
      </c>
      <c r="T67" s="235">
        <f>IF(T24=4,SUMIF(T31:T35,"&gt;0"),0)</f>
        <v>0</v>
      </c>
      <c r="V67" s="240">
        <f>IF(V24=4,SUMIF(V31:V35,"&gt;0"),0)</f>
        <v>0</v>
      </c>
      <c r="W67" s="235">
        <f>IF(W24=4,SUMIF(W31:W35,"&gt;0"),0)</f>
        <v>0</v>
      </c>
      <c r="Y67" s="240">
        <f>IF(Y24=4,SUMIF(Y31:Y35,"&gt;0"),0)</f>
        <v>0</v>
      </c>
      <c r="Z67" s="235">
        <f>IF(Z24=4,SUMIF(Z31:Z35,"&gt;0"),0)</f>
        <v>0</v>
      </c>
      <c r="AB67" s="240">
        <f>IF(AB24=4,SUMIF(AB31:AB35,"&gt;0"),0)</f>
        <v>1</v>
      </c>
      <c r="AC67" s="235">
        <f>IF(AC24=4,SUMIF(AC31:AC35,"&gt;0"),0)</f>
        <v>0</v>
      </c>
      <c r="AE67" s="240">
        <f>IF(AE24=4,SUMIF(AE31:AE35,"&gt;0"),0)</f>
        <v>0</v>
      </c>
      <c r="AF67" s="235">
        <f>SUM(B67:AE67)</f>
        <v>3</v>
      </c>
      <c r="AG67" s="235">
        <f>AF75-AF67</f>
        <v>5</v>
      </c>
      <c r="AW67" s="238"/>
    </row>
    <row r="68" spans="1:54" s="235" customFormat="1" ht="12.75" hidden="1" customHeight="1" x14ac:dyDescent="0.2">
      <c r="A68" s="235" t="s">
        <v>74</v>
      </c>
      <c r="B68" s="235">
        <f>IF(B24=5,SUMIF(B31:B35,"&gt;0"),0)</f>
        <v>0</v>
      </c>
      <c r="D68" s="240">
        <f>IF(D24=5,SUMIF(D31:D35,"&gt;0"),0)</f>
        <v>0</v>
      </c>
      <c r="E68" s="235">
        <f>IF(E24=5,SUMIF(E31:E35,"&gt;0"),0)</f>
        <v>0</v>
      </c>
      <c r="G68" s="240">
        <f>IF(G24=5,SUMIF(G31:G35,"&gt;0"),0)</f>
        <v>0</v>
      </c>
      <c r="H68" s="235">
        <f>IF(H24=5,SUMIF(H31:H35,"&gt;0"),0)</f>
        <v>0</v>
      </c>
      <c r="J68" s="240">
        <f>IF(J24=5,SUMIF(J31:J35,"&gt;0"),0)</f>
        <v>2</v>
      </c>
      <c r="K68" s="235">
        <f>IF(K24=5,SUMIF(K31:K35,"&gt;0"),0)</f>
        <v>0</v>
      </c>
      <c r="M68" s="240">
        <f>IF(M24=5,SUMIF(M31:M35,"&gt;0"),0)</f>
        <v>0</v>
      </c>
      <c r="N68" s="235">
        <f>IF(N24=5,SUMIF(N31:N35,"&gt;0"),0)</f>
        <v>0</v>
      </c>
      <c r="P68" s="240">
        <f>IF(P24=5,SUMIF(P31:P35,"&gt;0"),0)</f>
        <v>0</v>
      </c>
      <c r="Q68" s="235">
        <f>IF(Q24=5,SUMIF(Q31:Q35,"&gt;0"),0)</f>
        <v>0</v>
      </c>
      <c r="S68" s="240">
        <f>IF(S24=5,SUMIF(S31:S35,"&gt;0"),0)</f>
        <v>0</v>
      </c>
      <c r="T68" s="235">
        <f>IF(T24=5,SUMIF(T31:T35,"&gt;0"),0)</f>
        <v>0</v>
      </c>
      <c r="V68" s="240">
        <f>IF(V24=5,SUMIF(V31:V35,"&gt;0"),0)</f>
        <v>0</v>
      </c>
      <c r="W68" s="235">
        <f>IF(W24=5,SUMIF(W31:W35,"&gt;0"),0)</f>
        <v>0</v>
      </c>
      <c r="Y68" s="240">
        <f>IF(Y24=5,SUMIF(Y31:Y35,"&gt;0"),0)</f>
        <v>1</v>
      </c>
      <c r="Z68" s="235">
        <f>IF(Z24=5,SUMIF(Z31:Z35,"&gt;0"),0)</f>
        <v>0</v>
      </c>
      <c r="AB68" s="240">
        <f>IF(AB24=5,SUMIF(AB31:AB35,"&gt;0"),0)</f>
        <v>0</v>
      </c>
      <c r="AC68" s="235">
        <f>IF(AC24=5,SUMIF(AC31:AC35,"&gt;0"),0)</f>
        <v>0</v>
      </c>
      <c r="AE68" s="240">
        <f>IF(AE24=5,SUMIF(AE31:AE35,"&gt;0"),0)</f>
        <v>0</v>
      </c>
      <c r="AF68" s="235">
        <f>SUM(B68:AE68)</f>
        <v>3</v>
      </c>
      <c r="AG68" s="235">
        <f>AF76-AF68</f>
        <v>5</v>
      </c>
      <c r="AW68" s="238"/>
    </row>
    <row r="69" spans="1:54" s="235" customFormat="1" ht="12.75" hidden="1" customHeight="1" x14ac:dyDescent="0.2">
      <c r="D69" s="240"/>
      <c r="G69" s="240"/>
      <c r="J69" s="240"/>
      <c r="M69" s="240"/>
      <c r="P69" s="240"/>
      <c r="S69" s="240"/>
      <c r="V69" s="240"/>
      <c r="Y69" s="240"/>
      <c r="AB69" s="240"/>
      <c r="AE69" s="240"/>
      <c r="AW69" s="238"/>
    </row>
    <row r="70" spans="1:54" s="235" customFormat="1" ht="12.75" hidden="1" customHeight="1" x14ac:dyDescent="0.2">
      <c r="D70" s="240"/>
      <c r="G70" s="240"/>
      <c r="J70" s="240"/>
      <c r="M70" s="240"/>
      <c r="P70" s="240"/>
      <c r="S70" s="240"/>
      <c r="V70" s="240"/>
      <c r="Y70" s="240"/>
      <c r="AB70" s="240"/>
      <c r="AE70" s="240"/>
      <c r="AW70" s="238"/>
    </row>
    <row r="71" spans="1:54" s="235" customFormat="1" ht="51" hidden="1" customHeight="1" x14ac:dyDescent="0.2">
      <c r="A71" s="239" t="s">
        <v>85</v>
      </c>
      <c r="C71" s="235">
        <f>SUMIF(B64:D68,"&gt;0")</f>
        <v>2</v>
      </c>
      <c r="D71" s="240"/>
      <c r="F71" s="235">
        <f>SUMIF(E64:G68,"&gt;0")</f>
        <v>2</v>
      </c>
      <c r="G71" s="240"/>
      <c r="I71" s="235">
        <f>SUMIF(H64:J68,"&gt;0")</f>
        <v>2</v>
      </c>
      <c r="J71" s="240"/>
      <c r="L71" s="235">
        <f>SUMIF(K64:M68,"&gt;0")</f>
        <v>2</v>
      </c>
      <c r="M71" s="240"/>
      <c r="O71" s="235">
        <f>SUMIF(N64:P68,"&gt;0")</f>
        <v>2</v>
      </c>
      <c r="P71" s="240"/>
      <c r="R71" s="235">
        <f>SUMIF(Q64:S68,"&gt;0")</f>
        <v>2</v>
      </c>
      <c r="S71" s="240"/>
      <c r="U71" s="235">
        <f>SUMIF(T64:V68,"&gt;0")</f>
        <v>2</v>
      </c>
      <c r="V71" s="240"/>
      <c r="X71" s="235">
        <f>SUMIF(W64:Y68,"&gt;0")</f>
        <v>2</v>
      </c>
      <c r="Y71" s="240"/>
      <c r="AA71" s="235">
        <f>SUMIF(Z64:AB68,"&gt;0")</f>
        <v>2</v>
      </c>
      <c r="AB71" s="240"/>
      <c r="AD71" s="235">
        <f>SUMIF(AC64:AE68,"&gt;0")</f>
        <v>2</v>
      </c>
      <c r="AE71" s="240"/>
      <c r="AF71" s="239" t="s">
        <v>86</v>
      </c>
      <c r="AW71" s="238"/>
    </row>
    <row r="72" spans="1:54" s="235" customFormat="1" ht="12.75" hidden="1" customHeight="1" x14ac:dyDescent="0.2">
      <c r="A72" s="235" t="s">
        <v>76</v>
      </c>
      <c r="B72" s="235">
        <f>IF(B24=1,C71,0)</f>
        <v>0</v>
      </c>
      <c r="D72" s="240">
        <f>IF(D24=1,C71,0)</f>
        <v>0</v>
      </c>
      <c r="E72" s="235">
        <f>IF(E24=1,F71,0)</f>
        <v>2</v>
      </c>
      <c r="G72" s="240">
        <f>IF(G24=1,F71,0)</f>
        <v>0</v>
      </c>
      <c r="H72" s="235">
        <f>IF(H24=1,I71,0)</f>
        <v>0</v>
      </c>
      <c r="J72" s="240">
        <f>IF(J24=1,I71,0)</f>
        <v>0</v>
      </c>
      <c r="K72" s="235">
        <f>IF(K24=1,L71,0)</f>
        <v>0</v>
      </c>
      <c r="M72" s="240">
        <f>IF(M24=1,L71,0)</f>
        <v>0</v>
      </c>
      <c r="N72" s="235">
        <f>IF(N24=1,O71,0)</f>
        <v>2</v>
      </c>
      <c r="P72" s="240">
        <f>IF(P24=1,O71,0)</f>
        <v>0</v>
      </c>
      <c r="Q72" s="235">
        <f>IF(Q24=1,R71,0)</f>
        <v>0</v>
      </c>
      <c r="S72" s="240">
        <f>IF(S24=1,R71,0)</f>
        <v>0</v>
      </c>
      <c r="T72" s="235">
        <f>IF(T24=1,U71,0)</f>
        <v>0</v>
      </c>
      <c r="V72" s="240">
        <f>IF(V24=1,U71,0)</f>
        <v>0</v>
      </c>
      <c r="W72" s="235">
        <f>IF(W24=1,X71,0)</f>
        <v>2</v>
      </c>
      <c r="Y72" s="240">
        <f>IF(Y24=1,X71,0)</f>
        <v>0</v>
      </c>
      <c r="Z72" s="235">
        <f>IF(Z24=1,AA71,0)</f>
        <v>0</v>
      </c>
      <c r="AB72" s="240">
        <f>IF(AB24=1,AA71,0)</f>
        <v>0</v>
      </c>
      <c r="AC72" s="235">
        <f>IF(AC24=1,AD71,0)</f>
        <v>2</v>
      </c>
      <c r="AE72" s="240">
        <f>IF(AE24=1,AD71,0)</f>
        <v>0</v>
      </c>
      <c r="AF72" s="235">
        <f>SUM(B72:AE72)</f>
        <v>8</v>
      </c>
      <c r="AW72" s="238"/>
    </row>
    <row r="73" spans="1:54" s="235" customFormat="1" ht="12.75" hidden="1" customHeight="1" x14ac:dyDescent="0.2">
      <c r="A73" s="235" t="s">
        <v>77</v>
      </c>
      <c r="B73" s="235">
        <f>IF(B24=2,C71,0)</f>
        <v>2</v>
      </c>
      <c r="D73" s="240">
        <f>IF(D24=2,C71,0)</f>
        <v>0</v>
      </c>
      <c r="E73" s="235">
        <f>IF(E24=2,F71,0)</f>
        <v>0</v>
      </c>
      <c r="G73" s="240">
        <f>IF(G24=2,F71,0)</f>
        <v>0</v>
      </c>
      <c r="H73" s="235">
        <f>IF(H24=2,I71,0)</f>
        <v>0</v>
      </c>
      <c r="J73" s="240">
        <f>IF(J24=2,I71,0)</f>
        <v>0</v>
      </c>
      <c r="K73" s="235">
        <f>IF(K24=2,L71,0)</f>
        <v>2</v>
      </c>
      <c r="M73" s="240">
        <f>IF(M24=2,L71,0)</f>
        <v>0</v>
      </c>
      <c r="N73" s="235">
        <f>IF(N24=2,O71,0)</f>
        <v>0</v>
      </c>
      <c r="P73" s="240">
        <f>IF(P24=2,O71,0)</f>
        <v>0</v>
      </c>
      <c r="Q73" s="235">
        <f>IF(Q24=2,R71,0)</f>
        <v>0</v>
      </c>
      <c r="S73" s="240">
        <f>IF(S24=2,R71,0)</f>
        <v>0</v>
      </c>
      <c r="T73" s="235">
        <f>IF(T24=2,U71,0)</f>
        <v>2</v>
      </c>
      <c r="V73" s="240">
        <f>IF(V24=2,U71,0)</f>
        <v>0</v>
      </c>
      <c r="W73" s="235">
        <f>IF(W24=2,X71,0)</f>
        <v>0</v>
      </c>
      <c r="Y73" s="240">
        <f>IF(Y24=2,X71,0)</f>
        <v>0</v>
      </c>
      <c r="Z73" s="235">
        <f>IF(Z24=2,AA71,0)</f>
        <v>0</v>
      </c>
      <c r="AB73" s="240">
        <f>IF(AB24=2,AA71,0)</f>
        <v>0</v>
      </c>
      <c r="AC73" s="235">
        <f>IF(AC24=2,AD71,0)</f>
        <v>0</v>
      </c>
      <c r="AE73" s="240">
        <f>IF(AE24=2,AD71,0)</f>
        <v>2</v>
      </c>
      <c r="AF73" s="235">
        <f>SUM(B73:AE73)</f>
        <v>8</v>
      </c>
      <c r="AW73" s="238"/>
    </row>
    <row r="74" spans="1:54" s="235" customFormat="1" ht="12.75" hidden="1" customHeight="1" x14ac:dyDescent="0.2">
      <c r="A74" s="235" t="s">
        <v>78</v>
      </c>
      <c r="B74" s="235">
        <f>IF(B24=3,C71,0)</f>
        <v>0</v>
      </c>
      <c r="D74" s="240">
        <f>IF(D24=3,C71,0)</f>
        <v>0</v>
      </c>
      <c r="E74" s="235">
        <f>IF(E24=3,F71,0)</f>
        <v>0</v>
      </c>
      <c r="G74" s="240">
        <f>IF(G24=3,F71,0)</f>
        <v>0</v>
      </c>
      <c r="H74" s="235">
        <f>IF(H24=3,I71,0)</f>
        <v>2</v>
      </c>
      <c r="J74" s="240">
        <f>IF(J24=3,I71,0)</f>
        <v>0</v>
      </c>
      <c r="K74" s="235">
        <f>IF(K24=3,L71,0)</f>
        <v>0</v>
      </c>
      <c r="M74" s="240">
        <f>IF(M24=3,L71,0)</f>
        <v>0</v>
      </c>
      <c r="N74" s="235">
        <f>IF(N24=3,O71,0)</f>
        <v>0</v>
      </c>
      <c r="P74" s="240">
        <f>IF(P24=3,O71,0)</f>
        <v>2</v>
      </c>
      <c r="Q74" s="235">
        <f>IF(Q24=3,R71,0)</f>
        <v>0</v>
      </c>
      <c r="S74" s="240">
        <f>IF(S24=3,R71,0)</f>
        <v>0</v>
      </c>
      <c r="T74" s="235">
        <f>IF(T24=3,U71,0)</f>
        <v>0</v>
      </c>
      <c r="V74" s="240">
        <f>IF(V24=3,U71,0)</f>
        <v>2</v>
      </c>
      <c r="W74" s="235">
        <f>IF(W24=3,X71,0)</f>
        <v>0</v>
      </c>
      <c r="Y74" s="240">
        <f>IF(Y24=3,X71,0)</f>
        <v>0</v>
      </c>
      <c r="Z74" s="235">
        <f>IF(Z24=3,AA71,0)</f>
        <v>2</v>
      </c>
      <c r="AB74" s="240">
        <f>IF(AB24=3,AA71,0)</f>
        <v>0</v>
      </c>
      <c r="AC74" s="235">
        <f>IF(AC24=3,AD71,0)</f>
        <v>0</v>
      </c>
      <c r="AE74" s="240">
        <f>IF(AE24=3,AD71,0)</f>
        <v>0</v>
      </c>
      <c r="AF74" s="235">
        <f>SUM(B74:AE74)</f>
        <v>8</v>
      </c>
      <c r="AW74" s="238"/>
    </row>
    <row r="75" spans="1:54" s="235" customFormat="1" ht="12.75" hidden="1" customHeight="1" x14ac:dyDescent="0.2">
      <c r="A75" s="235" t="s">
        <v>79</v>
      </c>
      <c r="B75" s="235">
        <f>IF(B24=4,C71,0)</f>
        <v>0</v>
      </c>
      <c r="D75" s="240">
        <f>IF(D24=4,C71,0)</f>
        <v>0</v>
      </c>
      <c r="E75" s="235">
        <f>IF(E24=4,F71,0)</f>
        <v>0</v>
      </c>
      <c r="G75" s="240">
        <f>IF(G24=4,F71,0)</f>
        <v>2</v>
      </c>
      <c r="H75" s="235">
        <f>IF(H24=4,I71,0)</f>
        <v>0</v>
      </c>
      <c r="J75" s="240">
        <f>IF(J24=4,I71,0)</f>
        <v>0</v>
      </c>
      <c r="K75" s="235">
        <f>IF(K24=4,L71,0)</f>
        <v>0</v>
      </c>
      <c r="M75" s="240">
        <f>IF(M24=4,L71,0)</f>
        <v>2</v>
      </c>
      <c r="N75" s="235">
        <f>IF(N24=4,O71,0)</f>
        <v>0</v>
      </c>
      <c r="P75" s="240">
        <f>IF(P24=4,O71,0)</f>
        <v>0</v>
      </c>
      <c r="Q75" s="235">
        <f>IF(Q24=4,R71,0)</f>
        <v>2</v>
      </c>
      <c r="S75" s="240">
        <f>IF(S24=4,R71,0)</f>
        <v>0</v>
      </c>
      <c r="T75" s="235">
        <f>IF(T24=4,U71,0)</f>
        <v>0</v>
      </c>
      <c r="V75" s="240">
        <f>IF(V24=4,U71,0)</f>
        <v>0</v>
      </c>
      <c r="W75" s="235">
        <f>IF(W24=4,X71,0)</f>
        <v>0</v>
      </c>
      <c r="Y75" s="240">
        <f>IF(Y24=4,X71,0)</f>
        <v>0</v>
      </c>
      <c r="Z75" s="235">
        <f>IF(Z24=4,AA71,0)</f>
        <v>0</v>
      </c>
      <c r="AB75" s="240">
        <f>IF(AB24=4,AA71,0)</f>
        <v>2</v>
      </c>
      <c r="AC75" s="235">
        <f>IF(AC24=4,AD71,0)</f>
        <v>0</v>
      </c>
      <c r="AE75" s="240">
        <f>IF(AE24=4,AD71,0)</f>
        <v>0</v>
      </c>
      <c r="AF75" s="235">
        <f>SUM(B75:AE75)</f>
        <v>8</v>
      </c>
      <c r="AW75" s="238"/>
    </row>
    <row r="76" spans="1:54" s="235" customFormat="1" ht="12.75" hidden="1" customHeight="1" x14ac:dyDescent="0.2">
      <c r="A76" s="235" t="s">
        <v>80</v>
      </c>
      <c r="B76" s="235">
        <f>IF(B24=5,C71,0)</f>
        <v>0</v>
      </c>
      <c r="D76" s="240">
        <f>IF(D24=5,C71,0)</f>
        <v>2</v>
      </c>
      <c r="E76" s="235">
        <f>IF(E24=5,F71,0)</f>
        <v>0</v>
      </c>
      <c r="G76" s="240">
        <f>IF(G24=5,F71,0)</f>
        <v>0</v>
      </c>
      <c r="H76" s="235">
        <f>IF(H24=5,I71,0)</f>
        <v>0</v>
      </c>
      <c r="J76" s="240">
        <f>IF(J24=5,I71,0)</f>
        <v>2</v>
      </c>
      <c r="K76" s="235">
        <f>IF(K24=5,L71,0)</f>
        <v>0</v>
      </c>
      <c r="M76" s="240">
        <f>IF(M24=5,L71,0)</f>
        <v>0</v>
      </c>
      <c r="N76" s="235">
        <f>IF(N24=5,O71,0)</f>
        <v>0</v>
      </c>
      <c r="P76" s="240">
        <f>IF(P24=5,O71,0)</f>
        <v>0</v>
      </c>
      <c r="Q76" s="235">
        <f>IF(Q24=5,R71,0)</f>
        <v>0</v>
      </c>
      <c r="S76" s="240">
        <f>IF(S24=5,R71,0)</f>
        <v>2</v>
      </c>
      <c r="T76" s="235">
        <f>IF(T24=5,U71,0)</f>
        <v>0</v>
      </c>
      <c r="V76" s="240">
        <f>IF(V24=5,U71,0)</f>
        <v>0</v>
      </c>
      <c r="W76" s="235">
        <f>IF(W24=5,X71,0)</f>
        <v>0</v>
      </c>
      <c r="Y76" s="240">
        <f>IF(Y24=5,X71,0)</f>
        <v>2</v>
      </c>
      <c r="Z76" s="235">
        <f>IF(Z24=5,AA71,0)</f>
        <v>0</v>
      </c>
      <c r="AB76" s="240">
        <f>IF(AB24=5,AA71,0)</f>
        <v>0</v>
      </c>
      <c r="AC76" s="235">
        <f>IF(AC24=5,AD71,0)</f>
        <v>0</v>
      </c>
      <c r="AE76" s="240">
        <f>IF(AE24=5,AD71,0)</f>
        <v>0</v>
      </c>
      <c r="AF76" s="235">
        <f>SUM(B76:AE76)</f>
        <v>8</v>
      </c>
      <c r="AW76" s="238"/>
    </row>
    <row r="77" spans="1:54" hidden="1" x14ac:dyDescent="0.2">
      <c r="A77" s="242"/>
      <c r="B77" s="242"/>
      <c r="C77" s="242"/>
      <c r="D77" s="242"/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P77" s="242"/>
      <c r="Q77" s="242"/>
      <c r="R77" s="242"/>
      <c r="S77" s="242"/>
      <c r="T77" s="242"/>
      <c r="U77" s="242"/>
      <c r="V77" s="242"/>
      <c r="W77" s="242"/>
      <c r="X77" s="242"/>
      <c r="Y77" s="242"/>
      <c r="Z77" s="242"/>
      <c r="AA77" s="242"/>
      <c r="AB77" s="242"/>
      <c r="AC77" s="242"/>
      <c r="AD77" s="242"/>
      <c r="AE77" s="242"/>
      <c r="AF77" s="242"/>
      <c r="AG77" s="242"/>
      <c r="AH77" s="242"/>
      <c r="AI77" s="242"/>
      <c r="AJ77" s="242"/>
      <c r="AK77" s="242"/>
      <c r="AL77" s="242"/>
      <c r="AM77" s="242"/>
      <c r="AN77" s="243"/>
      <c r="AO77" s="243"/>
      <c r="AP77" s="243"/>
      <c r="AQ77" s="243"/>
      <c r="AR77" s="241"/>
      <c r="AS77" s="241"/>
      <c r="AT77" s="241"/>
      <c r="AU77" s="241"/>
      <c r="AV77" s="241"/>
      <c r="BB77" s="234"/>
    </row>
    <row r="78" spans="1:54" s="241" customFormat="1" hidden="1" x14ac:dyDescent="0.2">
      <c r="A78" s="244"/>
      <c r="B78" s="244"/>
      <c r="C78" s="244" t="s">
        <v>87</v>
      </c>
      <c r="D78" s="244">
        <v>1</v>
      </c>
      <c r="E78" s="244"/>
      <c r="F78" s="244"/>
      <c r="G78" s="244">
        <v>2</v>
      </c>
      <c r="H78" s="244"/>
      <c r="I78" s="244"/>
      <c r="J78" s="244">
        <v>3</v>
      </c>
      <c r="K78" s="244"/>
      <c r="L78" s="244"/>
      <c r="M78" s="244">
        <v>4</v>
      </c>
      <c r="N78" s="244"/>
      <c r="O78" s="244"/>
      <c r="P78" s="244">
        <v>5</v>
      </c>
      <c r="Q78" s="244"/>
      <c r="R78" s="244"/>
      <c r="S78" s="244">
        <v>6</v>
      </c>
      <c r="T78" s="244"/>
      <c r="U78" s="244"/>
      <c r="V78" s="244">
        <v>7</v>
      </c>
      <c r="W78" s="244"/>
      <c r="X78" s="244"/>
      <c r="Y78" s="244">
        <v>8</v>
      </c>
      <c r="Z78" s="244"/>
      <c r="AA78" s="244"/>
      <c r="AB78" s="244">
        <v>9</v>
      </c>
      <c r="AC78" s="244"/>
      <c r="AD78" s="244"/>
      <c r="AE78" s="244">
        <v>10</v>
      </c>
      <c r="AF78" s="188"/>
      <c r="AG78" s="244"/>
      <c r="AI78" s="245"/>
      <c r="AJ78" s="188"/>
      <c r="AK78" s="188"/>
      <c r="AL78" s="188"/>
      <c r="AM78" s="188"/>
      <c r="AN78" s="188"/>
      <c r="AO78" s="188"/>
      <c r="AT78" s="245" t="s">
        <v>88</v>
      </c>
      <c r="AW78" s="246"/>
      <c r="BB78" s="246"/>
    </row>
    <row r="79" spans="1:54" s="241" customFormat="1" hidden="1" x14ac:dyDescent="0.2">
      <c r="A79" s="247">
        <v>1</v>
      </c>
      <c r="B79" s="247" t="str">
        <f>E8</f>
        <v>C1VB 12 Reg Royal Pickens</v>
      </c>
      <c r="C79" s="247">
        <f>VLOOKUP(B79,AU$3:BB$33,3,FALSE)</f>
        <v>1552.5217618694735</v>
      </c>
      <c r="D79" s="247">
        <f>IF(B72,B87,IF(D72,D87,C79))</f>
        <v>1552.5217618694735</v>
      </c>
      <c r="E79" s="247"/>
      <c r="F79" s="247"/>
      <c r="G79" s="247">
        <f>IF(E72,E87,IF(G72,G87,D79))</f>
        <v>1567.1004306465368</v>
      </c>
      <c r="H79" s="247"/>
      <c r="I79" s="247"/>
      <c r="J79" s="247">
        <f>IF(H72,H87,IF(J72,J87,G79))</f>
        <v>1567.1004306465368</v>
      </c>
      <c r="K79" s="247"/>
      <c r="L79" s="247"/>
      <c r="M79" s="247">
        <f>IF(K72,K87,IF(M72,M87,J79))</f>
        <v>1567.1004306465368</v>
      </c>
      <c r="N79" s="247"/>
      <c r="O79" s="247"/>
      <c r="P79" s="247">
        <f>IF(N72,N87,IF(P72,P87,M79))</f>
        <v>1553.1231674057251</v>
      </c>
      <c r="Q79" s="247"/>
      <c r="R79" s="247"/>
      <c r="S79" s="247">
        <f>IF(Q72,Q87,IF(S72,S87,P79))</f>
        <v>1553.1231674057251</v>
      </c>
      <c r="T79" s="247"/>
      <c r="U79" s="247"/>
      <c r="V79" s="247">
        <f>IF(T72,T87,IF(V72,V87,S79))</f>
        <v>1553.1231674057251</v>
      </c>
      <c r="W79" s="247"/>
      <c r="X79" s="247"/>
      <c r="Y79" s="247">
        <f>IF(W72,W87,IF(Y72,Y87,V79))</f>
        <v>1539.7037684032159</v>
      </c>
      <c r="Z79" s="247"/>
      <c r="AA79" s="247"/>
      <c r="AB79" s="247">
        <f>IF(Z72,Z87,IF(AB72,AB87,Y79))</f>
        <v>1539.7037684032159</v>
      </c>
      <c r="AC79" s="247"/>
      <c r="AD79" s="247"/>
      <c r="AE79" s="247">
        <f>IF(AC72,AC87,IF(AE72,AE87,AB79))</f>
        <v>1569.7710046940956</v>
      </c>
      <c r="AF79" s="188"/>
      <c r="AG79" s="188"/>
      <c r="AJ79" s="188"/>
      <c r="AK79" s="188"/>
      <c r="AL79" s="188"/>
      <c r="AM79" s="188"/>
      <c r="AN79" s="188"/>
      <c r="AO79" s="188"/>
      <c r="AT79" s="241" t="str">
        <f>B79</f>
        <v>C1VB 12 Reg Royal Pickens</v>
      </c>
      <c r="AU79" s="241">
        <f>AE79</f>
        <v>1569.7710046940956</v>
      </c>
      <c r="AW79" s="246"/>
      <c r="BB79" s="246"/>
    </row>
    <row r="80" spans="1:54" s="241" customFormat="1" hidden="1" x14ac:dyDescent="0.2">
      <c r="A80" s="247">
        <v>2</v>
      </c>
      <c r="B80" s="247" t="str">
        <f>E10</f>
        <v>Excell U12 Club</v>
      </c>
      <c r="C80" s="247">
        <f>VLOOKUP(B80,AU$3:BB$33,3,FALSE)</f>
        <v>1442.8319701170221</v>
      </c>
      <c r="D80" s="247">
        <f>IF(B73,B87,IF(D73,D87,C80))</f>
        <v>1474.4109600968545</v>
      </c>
      <c r="E80" s="247"/>
      <c r="F80" s="247"/>
      <c r="G80" s="247">
        <f>IF(E73,E87,IF(G73,G87,D80))</f>
        <v>1474.4109600968545</v>
      </c>
      <c r="H80" s="247"/>
      <c r="I80" s="247"/>
      <c r="J80" s="247">
        <f>IF(H73,H87,IF(J73,J87,G80))</f>
        <v>1474.4109600968545</v>
      </c>
      <c r="K80" s="247"/>
      <c r="L80" s="247"/>
      <c r="M80" s="247">
        <f>IF(K73,K87,IF(M73,M87,J80))</f>
        <v>1493.5062315769237</v>
      </c>
      <c r="N80" s="247"/>
      <c r="O80" s="247"/>
      <c r="P80" s="247">
        <f>IF(N73,N87,IF(P73,P87,M80))</f>
        <v>1493.5062315769237</v>
      </c>
      <c r="Q80" s="247"/>
      <c r="R80" s="247"/>
      <c r="S80" s="247">
        <f>IF(Q73,Q87,IF(S73,S87,P80))</f>
        <v>1493.5062315769237</v>
      </c>
      <c r="T80" s="247"/>
      <c r="U80" s="247"/>
      <c r="V80" s="247">
        <f>IF(T73,T87,IF(V73,V87,S80))</f>
        <v>1518.6934794869358</v>
      </c>
      <c r="W80" s="247"/>
      <c r="X80" s="247"/>
      <c r="Y80" s="247">
        <f>IF(W73,W87,IF(Y73,Y87,V80))</f>
        <v>1518.6934794869358</v>
      </c>
      <c r="Z80" s="247"/>
      <c r="AA80" s="247"/>
      <c r="AB80" s="247">
        <f>IF(Z73,Z87,IF(AB73,AB87,Y80))</f>
        <v>1518.6934794869358</v>
      </c>
      <c r="AC80" s="247"/>
      <c r="AD80" s="247"/>
      <c r="AE80" s="247">
        <f>IF(AC73,AC87,IF(AE73,AE87,AB80))</f>
        <v>1488.6262431960561</v>
      </c>
      <c r="AF80" s="188"/>
      <c r="AG80" s="188"/>
      <c r="AJ80" s="188"/>
      <c r="AL80" s="188"/>
      <c r="AM80" s="188"/>
      <c r="AN80" s="188"/>
      <c r="AO80" s="188"/>
      <c r="AT80" s="241" t="str">
        <f>B80</f>
        <v>Excell U12 Club</v>
      </c>
      <c r="AU80" s="241">
        <f>AE80</f>
        <v>1488.6262431960561</v>
      </c>
      <c r="AW80" s="246"/>
      <c r="BB80" s="246"/>
    </row>
    <row r="81" spans="1:54" s="241" customFormat="1" hidden="1" x14ac:dyDescent="0.2">
      <c r="A81" s="247">
        <v>3</v>
      </c>
      <c r="B81" s="247" t="str">
        <f>E12</f>
        <v>RHVC 12 Club Brooke</v>
      </c>
      <c r="C81" s="247">
        <f>VLOOKUP(B81,AU$3:BB$33,3,FALSE)</f>
        <v>1439.4176887113954</v>
      </c>
      <c r="D81" s="247">
        <f>IF(B74,B87,IF(D74,D87,C81))</f>
        <v>1439.4176887113954</v>
      </c>
      <c r="E81" s="247"/>
      <c r="F81" s="247"/>
      <c r="G81" s="247">
        <f>IF(E74,E87,IF(G74,G87,D81))</f>
        <v>1439.4176887113954</v>
      </c>
      <c r="H81" s="247"/>
      <c r="I81" s="247"/>
      <c r="J81" s="247">
        <f>IF(H74,H87,IF(J74,J87,G81))</f>
        <v>1404.4114797465913</v>
      </c>
      <c r="K81" s="247"/>
      <c r="L81" s="247"/>
      <c r="M81" s="247">
        <f>IF(K74,K87,IF(M74,M87,J81))</f>
        <v>1404.4114797465913</v>
      </c>
      <c r="N81" s="247"/>
      <c r="O81" s="247"/>
      <c r="P81" s="247">
        <f>IF(N74,N87,IF(P74,P87,M81))</f>
        <v>1418.388742987403</v>
      </c>
      <c r="Q81" s="247"/>
      <c r="R81" s="247"/>
      <c r="S81" s="247">
        <f>IF(Q74,Q87,IF(S74,S87,P81))</f>
        <v>1418.388742987403</v>
      </c>
      <c r="T81" s="247"/>
      <c r="U81" s="247"/>
      <c r="V81" s="247">
        <f>IF(T74,T87,IF(V74,V87,S81))</f>
        <v>1393.2014950773912</v>
      </c>
      <c r="W81" s="247"/>
      <c r="X81" s="247"/>
      <c r="Y81" s="247">
        <f>IF(W74,W87,IF(Y74,Y87,V81))</f>
        <v>1393.2014950773912</v>
      </c>
      <c r="Z81" s="247"/>
      <c r="AA81" s="247"/>
      <c r="AB81" s="247">
        <f>IF(Z74,Z87,IF(AB74,AB87,Y81))</f>
        <v>1389.2978929267476</v>
      </c>
      <c r="AC81" s="247"/>
      <c r="AD81" s="247"/>
      <c r="AE81" s="247">
        <f>IF(AC74,AC87,IF(AE74,AE87,AB81))</f>
        <v>1389.2978929267476</v>
      </c>
      <c r="AF81" s="188"/>
      <c r="AG81" s="188"/>
      <c r="AJ81" s="188"/>
      <c r="AL81" s="188"/>
      <c r="AM81" s="188"/>
      <c r="AN81" s="188"/>
      <c r="AO81" s="188"/>
      <c r="AT81" s="241" t="str">
        <f>B81</f>
        <v>RHVC 12 Club Brooke</v>
      </c>
      <c r="AU81" s="241">
        <f>AE81</f>
        <v>1389.2978929267476</v>
      </c>
      <c r="AW81" s="246"/>
      <c r="BB81" s="246"/>
    </row>
    <row r="82" spans="1:54" s="241" customFormat="1" hidden="1" x14ac:dyDescent="0.2">
      <c r="A82" s="247">
        <v>4</v>
      </c>
      <c r="B82" s="247" t="str">
        <f>E14</f>
        <v>Soar Court 12U</v>
      </c>
      <c r="C82" s="247">
        <f>VLOOKUP(B82,AU$3:BB$33,3,FALSE)</f>
        <v>1340.443133695343</v>
      </c>
      <c r="D82" s="247">
        <f>IF(B75,B87,IF(D75,D87,C82))</f>
        <v>1340.443133695343</v>
      </c>
      <c r="E82" s="247"/>
      <c r="F82" s="247"/>
      <c r="G82" s="247">
        <f>IF(E75,E87,IF(G75,G87,D82))</f>
        <v>1325.8644649182797</v>
      </c>
      <c r="H82" s="247"/>
      <c r="I82" s="247"/>
      <c r="J82" s="247">
        <f>IF(H75,H87,IF(J75,J87,G82))</f>
        <v>1325.8644649182797</v>
      </c>
      <c r="K82" s="247"/>
      <c r="L82" s="247"/>
      <c r="M82" s="247">
        <f>IF(K75,K87,IF(M75,M87,J82))</f>
        <v>1306.7691934382106</v>
      </c>
      <c r="N82" s="247"/>
      <c r="O82" s="247"/>
      <c r="P82" s="247">
        <f>IF(N75,N87,IF(P75,P87,M82))</f>
        <v>1306.7691934382106</v>
      </c>
      <c r="Q82" s="247"/>
      <c r="R82" s="247"/>
      <c r="S82" s="247">
        <f>IF(Q75,Q87,IF(S75,S87,P82))</f>
        <v>1350.6065435237647</v>
      </c>
      <c r="T82" s="247"/>
      <c r="U82" s="247"/>
      <c r="V82" s="247">
        <f>IF(T75,T87,IF(V75,V87,S82))</f>
        <v>1350.6065435237647</v>
      </c>
      <c r="W82" s="247"/>
      <c r="X82" s="247"/>
      <c r="Y82" s="247">
        <f>IF(W75,W87,IF(Y75,Y87,V82))</f>
        <v>1350.6065435237647</v>
      </c>
      <c r="Z82" s="247"/>
      <c r="AA82" s="247"/>
      <c r="AB82" s="247">
        <f>IF(Z75,Z87,IF(AB75,AB87,Y82))</f>
        <v>1354.5101456744082</v>
      </c>
      <c r="AC82" s="247"/>
      <c r="AD82" s="247"/>
      <c r="AE82" s="247">
        <f>IF(AC75,AC87,IF(AE75,AE87,AB82))</f>
        <v>1354.5101456744082</v>
      </c>
      <c r="AF82" s="188"/>
      <c r="AG82" s="188"/>
      <c r="AJ82" s="188"/>
      <c r="AL82" s="188"/>
      <c r="AM82" s="188"/>
      <c r="AN82" s="188"/>
      <c r="AO82" s="188"/>
      <c r="AT82" s="241" t="str">
        <f>B82</f>
        <v>Soar Court 12U</v>
      </c>
      <c r="AU82" s="241">
        <f>AE82</f>
        <v>1354.5101456744082</v>
      </c>
      <c r="AW82" s="246"/>
      <c r="BB82" s="246"/>
    </row>
    <row r="83" spans="1:54" s="241" customFormat="1" hidden="1" x14ac:dyDescent="0.2">
      <c r="A83" s="247">
        <v>5</v>
      </c>
      <c r="B83" s="247" t="str">
        <f>E16</f>
        <v>SC Midlands 12 Black</v>
      </c>
      <c r="C83" s="247">
        <f>VLOOKUP(B83,AU$3:BB$33,3,FALSE)</f>
        <v>1438.2606481323326</v>
      </c>
      <c r="D83" s="247">
        <f>IF(B76,B87,IF(D76,D87,C83))</f>
        <v>1406.6816581525002</v>
      </c>
      <c r="E83" s="247"/>
      <c r="F83" s="247"/>
      <c r="G83" s="247">
        <f>IF(E76,E87,IF(G76,G87,D83))</f>
        <v>1406.6816581525002</v>
      </c>
      <c r="H83" s="247"/>
      <c r="I83" s="247"/>
      <c r="J83" s="247">
        <f>IF(H76,H87,IF(J76,J87,G83))</f>
        <v>1441.6878671173042</v>
      </c>
      <c r="K83" s="247"/>
      <c r="L83" s="247"/>
      <c r="M83" s="247">
        <f>IF(K76,K87,IF(M76,M87,J83))</f>
        <v>1441.6878671173042</v>
      </c>
      <c r="N83" s="247"/>
      <c r="O83" s="247"/>
      <c r="P83" s="247">
        <f>IF(N76,N87,IF(P76,P87,M83))</f>
        <v>1441.6878671173042</v>
      </c>
      <c r="Q83" s="247"/>
      <c r="R83" s="247"/>
      <c r="S83" s="247">
        <f>IF(Q76,Q87,IF(S76,S87,P83))</f>
        <v>1397.8505170317499</v>
      </c>
      <c r="T83" s="247"/>
      <c r="U83" s="247"/>
      <c r="V83" s="247">
        <f>IF(T76,T87,IF(V76,V87,S83))</f>
        <v>1397.8505170317499</v>
      </c>
      <c r="W83" s="247"/>
      <c r="X83" s="247"/>
      <c r="Y83" s="247">
        <f>IF(W76,W87,IF(Y76,Y87,V83))</f>
        <v>1411.269916034259</v>
      </c>
      <c r="Z83" s="247"/>
      <c r="AA83" s="247"/>
      <c r="AB83" s="247">
        <f>IF(Z76,Z87,IF(AB76,AB87,Y83))</f>
        <v>1411.269916034259</v>
      </c>
      <c r="AC83" s="247"/>
      <c r="AD83" s="247"/>
      <c r="AE83" s="247">
        <f>IF(AC76,AC87,IF(AE76,AE87,AB83))</f>
        <v>1411.269916034259</v>
      </c>
      <c r="AF83" s="188"/>
      <c r="AG83" s="188"/>
      <c r="AJ83" s="188"/>
      <c r="AL83" s="188"/>
      <c r="AM83" s="188"/>
      <c r="AN83" s="188"/>
      <c r="AO83" s="188"/>
      <c r="AT83" s="241" t="str">
        <f>B83</f>
        <v>SC Midlands 12 Black</v>
      </c>
      <c r="AU83" s="241">
        <f>AE83</f>
        <v>1411.269916034259</v>
      </c>
      <c r="AW83" s="246"/>
      <c r="BB83" s="246"/>
    </row>
    <row r="84" spans="1:54" s="241" customFormat="1" hidden="1" x14ac:dyDescent="0.2">
      <c r="A84" s="247"/>
      <c r="B84" s="247"/>
      <c r="C84" s="247"/>
      <c r="D84" s="247"/>
      <c r="E84" s="247"/>
      <c r="F84" s="247"/>
      <c r="G84" s="247"/>
      <c r="H84" s="247"/>
      <c r="I84" s="247"/>
      <c r="J84" s="247"/>
      <c r="K84" s="247"/>
      <c r="L84" s="247"/>
      <c r="M84" s="247"/>
      <c r="N84" s="247"/>
      <c r="O84" s="247"/>
      <c r="P84" s="247"/>
      <c r="Q84" s="247"/>
      <c r="R84" s="247"/>
      <c r="S84" s="247"/>
      <c r="T84" s="247"/>
      <c r="U84" s="247"/>
      <c r="V84" s="247"/>
      <c r="W84" s="247"/>
      <c r="X84" s="247"/>
      <c r="Y84" s="247"/>
      <c r="Z84" s="247"/>
      <c r="AA84" s="247"/>
      <c r="AB84" s="247"/>
      <c r="AC84" s="247"/>
      <c r="AD84" s="247"/>
      <c r="AE84" s="247"/>
      <c r="AF84" s="188"/>
      <c r="AG84" s="188"/>
      <c r="AJ84" s="188"/>
      <c r="AL84" s="188"/>
      <c r="AM84" s="188"/>
      <c r="AN84" s="188"/>
      <c r="AO84" s="188"/>
      <c r="AW84" s="246"/>
      <c r="BB84" s="246"/>
    </row>
    <row r="85" spans="1:54" s="241" customFormat="1" hidden="1" x14ac:dyDescent="0.2">
      <c r="A85" s="247" t="s">
        <v>89</v>
      </c>
      <c r="B85" s="247">
        <f>VLOOKUP(B24,$A79:$AE83,3,FALSE)</f>
        <v>1442.8319701170221</v>
      </c>
      <c r="C85" s="247">
        <v>1</v>
      </c>
      <c r="D85" s="247">
        <f>VLOOKUP(D24,$A79:$AE83,3,FALSE)</f>
        <v>1438.2606481323326</v>
      </c>
      <c r="E85" s="247">
        <f>VLOOKUP(E24,$A79:$AE83,4,FALSE)</f>
        <v>1552.5217618694735</v>
      </c>
      <c r="F85" s="247">
        <v>2</v>
      </c>
      <c r="G85" s="247">
        <f>VLOOKUP(G24,$A79:$AE83,4,FALSE)</f>
        <v>1340.443133695343</v>
      </c>
      <c r="H85" s="247">
        <f>VLOOKUP(H24,$A79:$AE83,7,FALSE)</f>
        <v>1439.4176887113954</v>
      </c>
      <c r="I85" s="247">
        <v>3</v>
      </c>
      <c r="J85" s="247">
        <f>VLOOKUP(J24,$A79:$AE83,7,FALSE)</f>
        <v>1406.6816581525002</v>
      </c>
      <c r="K85" s="247">
        <f>VLOOKUP(K24,$A79:$AE83,10,FALSE)</f>
        <v>1474.4109600968545</v>
      </c>
      <c r="L85" s="247">
        <v>4</v>
      </c>
      <c r="M85" s="247">
        <f>VLOOKUP(M24,$A79:$AE83,10,FALSE)</f>
        <v>1325.8644649182797</v>
      </c>
      <c r="N85" s="247">
        <f>VLOOKUP(N24,$A79:$AE83,13,FALSE)</f>
        <v>1567.1004306465368</v>
      </c>
      <c r="O85" s="247">
        <v>5</v>
      </c>
      <c r="P85" s="247">
        <f>VLOOKUP(P24,$A79:$AE83,13,FALSE)</f>
        <v>1404.4114797465913</v>
      </c>
      <c r="Q85" s="247">
        <f>VLOOKUP(Q24,$A79:$AE83,16,FALSE)</f>
        <v>1306.7691934382106</v>
      </c>
      <c r="R85" s="247">
        <v>6</v>
      </c>
      <c r="S85" s="247">
        <f>VLOOKUP(S24,$A79:$AE83,16,FALSE)</f>
        <v>1441.6878671173042</v>
      </c>
      <c r="T85" s="247">
        <f>VLOOKUP(T24,$A79:$AE83,19,FALSE)</f>
        <v>1493.5062315769237</v>
      </c>
      <c r="U85" s="247">
        <v>7</v>
      </c>
      <c r="V85" s="247">
        <f>VLOOKUP(V24,$A79:$AE83,19,FALSE)</f>
        <v>1418.388742987403</v>
      </c>
      <c r="W85" s="247">
        <f>VLOOKUP(W24,$A79:$AE83,22,FALSE)</f>
        <v>1553.1231674057251</v>
      </c>
      <c r="X85" s="247">
        <v>8</v>
      </c>
      <c r="Y85" s="247">
        <f>VLOOKUP(Y24,$A79:$AE83,22,FALSE)</f>
        <v>1397.8505170317499</v>
      </c>
      <c r="Z85" s="247">
        <f>VLOOKUP(Z24,$A79:$AE83,25,FALSE)</f>
        <v>1393.2014950773912</v>
      </c>
      <c r="AA85" s="247">
        <v>9</v>
      </c>
      <c r="AB85" s="247">
        <f>VLOOKUP(AB24,$A79:$AE83,25,FALSE)</f>
        <v>1350.6065435237647</v>
      </c>
      <c r="AC85" s="247">
        <f>VLOOKUP(AC24,$A79:$AE83,28,FALSE)</f>
        <v>1539.7037684032159</v>
      </c>
      <c r="AD85" s="247">
        <v>10</v>
      </c>
      <c r="AE85" s="247">
        <f>VLOOKUP(AE24,$A79:$AE83,28,FALSE)</f>
        <v>1518.6934794869358</v>
      </c>
      <c r="AF85" s="188"/>
      <c r="AG85" s="242"/>
      <c r="AH85" s="242"/>
      <c r="AI85" s="242"/>
      <c r="AJ85" s="242"/>
      <c r="AK85" s="242"/>
      <c r="AL85" s="242"/>
      <c r="AM85" s="242"/>
      <c r="AN85" s="243"/>
      <c r="AO85" s="243"/>
      <c r="AP85" s="243"/>
      <c r="AQ85" s="243"/>
      <c r="AW85" s="246"/>
      <c r="BB85" s="246"/>
    </row>
    <row r="86" spans="1:54" s="252" customFormat="1" hidden="1" x14ac:dyDescent="0.2">
      <c r="A86" s="248" t="s">
        <v>90</v>
      </c>
      <c r="B86" s="248">
        <f>1/(1+(10^-((B85-D85)/400)))*(B36+D36)</f>
        <v>1.0131565631302411</v>
      </c>
      <c r="C86" s="248"/>
      <c r="D86" s="248">
        <f>1/(1+(10^-((D85-B85)/400)))*(B36+D36)</f>
        <v>0.98684343686975895</v>
      </c>
      <c r="E86" s="248">
        <f>1/(1+(10^-((E85-G85)/400)))*(E36+G36)</f>
        <v>1.544416600716773</v>
      </c>
      <c r="F86" s="248"/>
      <c r="G86" s="248">
        <f>1/(1+(10^-((G85-E85)/400)))*(E36+G36)</f>
        <v>0.45558339928322711</v>
      </c>
      <c r="H86" s="248">
        <f>1/(1+(10^-((H85-J85)/400)))*(H36+J36)</f>
        <v>1.0939440301501246</v>
      </c>
      <c r="I86" s="248"/>
      <c r="J86" s="248">
        <f>1/(1+(10^-((J85-H85)/400)))*(H36+J36)</f>
        <v>0.90605596984987546</v>
      </c>
      <c r="K86" s="248">
        <f>1/(1+(10^-((K85-M85)/400)))*(K36+M36)</f>
        <v>1.4032727662478373</v>
      </c>
      <c r="L86" s="248"/>
      <c r="M86" s="248">
        <f>1/(1+(10^-((M85-K85)/400)))*(K36+M36)</f>
        <v>0.59672723375216274</v>
      </c>
      <c r="N86" s="248">
        <f>1/(1+(10^-((N85-P85)/400)))*(N36+P36)</f>
        <v>1.4367894762753624</v>
      </c>
      <c r="O86" s="248"/>
      <c r="P86" s="248">
        <f>1/(1+(10^-((P85-N85)/400)))*(N36+P36)</f>
        <v>0.56321052372463754</v>
      </c>
      <c r="Q86" s="248">
        <f>1/(1+(10^-((Q85-S85)/400)))*(Q36+S36)</f>
        <v>0.63008280982642961</v>
      </c>
      <c r="R86" s="248"/>
      <c r="S86" s="248">
        <f>1/(1+(10^-((S85-Q85)/400)))*(Q36+S36)</f>
        <v>1.3699171901735705</v>
      </c>
      <c r="T86" s="248">
        <f>1/(1+(10^-((T85-V85)/400)))*(T36+V36)</f>
        <v>1.2128985028121271</v>
      </c>
      <c r="U86" s="248"/>
      <c r="V86" s="248">
        <f>1/(1+(10^-((V85-T85)/400)))*(T36+V36)</f>
        <v>0.7871014971878727</v>
      </c>
      <c r="W86" s="248">
        <f>1/(1+(10^-((W85-Y85)/400)))*(W36+Y36)</f>
        <v>1.4193562188284103</v>
      </c>
      <c r="X86" s="248"/>
      <c r="Y86" s="248">
        <f>1/(1+(10^-((Y85-W85)/400)))*(W36+Y36)</f>
        <v>0.58064378117158977</v>
      </c>
      <c r="Z86" s="248">
        <f>1/(1+(10^-((Z85-AB85)/400)))*(Z36+AB36)</f>
        <v>1.1219875672076114</v>
      </c>
      <c r="AA86" s="248"/>
      <c r="AB86" s="248">
        <f>1/(1+(10^-((AB85-Z85)/400)))*(Z36+AB36)</f>
        <v>0.8780124327923885</v>
      </c>
      <c r="AC86" s="248">
        <f>1/(1+(10^-((AC85-AE85)/400)))*(AC36+AE36)</f>
        <v>1.0603988659100119</v>
      </c>
      <c r="AD86" s="248"/>
      <c r="AE86" s="248">
        <f>1/(1+(10^-((AE85-AC85)/400)))*(AC36+AE36)</f>
        <v>0.93960113408998813</v>
      </c>
      <c r="AF86" s="249"/>
      <c r="AG86" s="250"/>
      <c r="AH86" s="250"/>
      <c r="AI86" s="250"/>
      <c r="AJ86" s="250"/>
      <c r="AK86" s="250"/>
      <c r="AL86" s="250"/>
      <c r="AM86" s="250"/>
      <c r="AN86" s="251"/>
      <c r="AO86" s="251"/>
      <c r="AP86" s="251"/>
      <c r="AQ86" s="251"/>
      <c r="AW86" s="253"/>
      <c r="BB86" s="253"/>
    </row>
    <row r="87" spans="1:54" s="258" customFormat="1" hidden="1" x14ac:dyDescent="0.2">
      <c r="A87" s="254" t="s">
        <v>91</v>
      </c>
      <c r="B87" s="254">
        <f>B85+(B36-B86)*$BA$1</f>
        <v>1474.4109600968545</v>
      </c>
      <c r="C87" s="254"/>
      <c r="D87" s="254">
        <f>D85+(D36-D86)*$BA$1</f>
        <v>1406.6816581525002</v>
      </c>
      <c r="E87" s="254">
        <f>E85+(E36-E86)*$BA$1</f>
        <v>1567.1004306465368</v>
      </c>
      <c r="F87" s="254"/>
      <c r="G87" s="254">
        <f>G85+(G36-G86)*$BA$1</f>
        <v>1325.8644649182797</v>
      </c>
      <c r="H87" s="254">
        <f>H85+(H36-H86)*$BA$1</f>
        <v>1404.4114797465913</v>
      </c>
      <c r="I87" s="254"/>
      <c r="J87" s="254">
        <f>J85+(J36-J86)*$BA$1</f>
        <v>1441.6878671173042</v>
      </c>
      <c r="K87" s="254">
        <f>K85+(K36-K86)*$BA$1</f>
        <v>1493.5062315769237</v>
      </c>
      <c r="L87" s="254"/>
      <c r="M87" s="254">
        <f>M85+(M36-M86)*$BA$1</f>
        <v>1306.7691934382106</v>
      </c>
      <c r="N87" s="254">
        <f>N85+(N36-N86)*$BA$1</f>
        <v>1553.1231674057251</v>
      </c>
      <c r="O87" s="254"/>
      <c r="P87" s="254">
        <f>P85+(P36-P86)*$BA$1</f>
        <v>1418.388742987403</v>
      </c>
      <c r="Q87" s="254">
        <f>Q85+(Q36-Q86)*$BA$1</f>
        <v>1350.6065435237647</v>
      </c>
      <c r="R87" s="254"/>
      <c r="S87" s="254">
        <f>S85+(S36-S86)*$BA$1</f>
        <v>1397.8505170317499</v>
      </c>
      <c r="T87" s="254">
        <f>T85+(T36-T86)*$BA$1</f>
        <v>1518.6934794869358</v>
      </c>
      <c r="U87" s="254"/>
      <c r="V87" s="254">
        <f>V85+(V36-V86)*$BA$1</f>
        <v>1393.2014950773912</v>
      </c>
      <c r="W87" s="254">
        <f>W85+(W36-W86)*$BA$1</f>
        <v>1539.7037684032159</v>
      </c>
      <c r="X87" s="254"/>
      <c r="Y87" s="254">
        <f>Y85+(Y36-Y86)*$BA$1</f>
        <v>1411.269916034259</v>
      </c>
      <c r="Z87" s="254">
        <f>Z85+(Z36-Z86)*$BA$1</f>
        <v>1389.2978929267476</v>
      </c>
      <c r="AA87" s="254"/>
      <c r="AB87" s="254">
        <f>AB85+(AB36-AB86)*$BA$1</f>
        <v>1354.5101456744082</v>
      </c>
      <c r="AC87" s="254">
        <f>AC85+(AC36-AC86)*$BA$1</f>
        <v>1569.7710046940956</v>
      </c>
      <c r="AD87" s="254"/>
      <c r="AE87" s="254">
        <f>AE85+(AE36-AE86)*$BA$1</f>
        <v>1488.6262431960561</v>
      </c>
      <c r="AF87" s="255"/>
      <c r="AG87" s="256"/>
      <c r="AH87" s="256"/>
      <c r="AI87" s="256"/>
      <c r="AJ87" s="256"/>
      <c r="AK87" s="256"/>
      <c r="AL87" s="256"/>
      <c r="AM87" s="256"/>
      <c r="AN87" s="257"/>
      <c r="AO87" s="257"/>
      <c r="AP87" s="257"/>
      <c r="AQ87" s="257"/>
      <c r="AW87" s="259"/>
      <c r="BB87" s="259"/>
    </row>
    <row r="88" spans="1:54" s="258" customFormat="1" hidden="1" x14ac:dyDescent="0.2">
      <c r="A88" s="254"/>
      <c r="B88" s="254"/>
      <c r="C88" s="254"/>
      <c r="D88" s="254"/>
      <c r="E88" s="254"/>
      <c r="F88" s="254"/>
      <c r="G88" s="254"/>
      <c r="H88" s="254"/>
      <c r="I88" s="254"/>
      <c r="J88" s="254"/>
      <c r="K88" s="254"/>
      <c r="L88" s="254"/>
      <c r="M88" s="254"/>
      <c r="N88" s="254"/>
      <c r="O88" s="254"/>
      <c r="P88" s="254"/>
      <c r="Q88" s="254"/>
      <c r="R88" s="254"/>
      <c r="S88" s="254"/>
      <c r="T88" s="254"/>
      <c r="U88" s="254"/>
      <c r="V88" s="254"/>
      <c r="W88" s="254"/>
      <c r="X88" s="254"/>
      <c r="Y88" s="254"/>
      <c r="Z88" s="254"/>
      <c r="AA88" s="254"/>
      <c r="AB88" s="254"/>
      <c r="AC88" s="254"/>
      <c r="AD88" s="254"/>
      <c r="AE88" s="254"/>
      <c r="AF88" s="255"/>
      <c r="AG88" s="256"/>
      <c r="AH88" s="256"/>
      <c r="AI88" s="256"/>
      <c r="AJ88" s="256"/>
      <c r="AK88" s="256"/>
      <c r="AL88" s="256"/>
      <c r="AM88" s="256"/>
      <c r="AN88" s="257"/>
      <c r="AO88" s="257"/>
      <c r="AP88" s="257"/>
      <c r="AQ88" s="257"/>
      <c r="AW88" s="259"/>
      <c r="BB88" s="259"/>
    </row>
    <row r="89" spans="1:54" s="241" customFormat="1" x14ac:dyDescent="0.2">
      <c r="A89" s="525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525"/>
      <c r="C89" s="525"/>
      <c r="D89" s="525"/>
      <c r="E89" s="525"/>
      <c r="F89" s="525"/>
      <c r="G89" s="525"/>
      <c r="H89" s="525"/>
      <c r="I89" s="525"/>
      <c r="J89" s="525"/>
      <c r="K89" s="525"/>
      <c r="L89" s="525"/>
      <c r="M89" s="525"/>
      <c r="N89" s="525"/>
      <c r="O89" s="525"/>
      <c r="P89" s="525"/>
      <c r="Q89" s="525"/>
      <c r="R89" s="525"/>
      <c r="S89" s="525"/>
      <c r="T89" s="525"/>
      <c r="U89" s="525"/>
      <c r="V89" s="525"/>
      <c r="W89" s="525"/>
      <c r="X89" s="525"/>
      <c r="Y89" s="525"/>
      <c r="Z89" s="525"/>
      <c r="AA89" s="525"/>
      <c r="AB89" s="525"/>
      <c r="AC89" s="525"/>
      <c r="AD89" s="525"/>
      <c r="AE89" s="525"/>
      <c r="AF89" s="525"/>
      <c r="AG89" s="525"/>
      <c r="AH89" s="525"/>
      <c r="AI89" s="525"/>
      <c r="AJ89" s="525"/>
      <c r="AK89" s="525"/>
      <c r="AL89" s="525"/>
      <c r="AM89" s="525"/>
      <c r="AN89" s="432"/>
      <c r="AO89" s="432"/>
      <c r="AP89" s="432"/>
      <c r="AQ89" s="432"/>
      <c r="AW89" s="246"/>
    </row>
    <row r="90" spans="1:54" s="241" customFormat="1" ht="13.5" thickBot="1" x14ac:dyDescent="0.25">
      <c r="A90" s="526"/>
      <c r="B90" s="526"/>
      <c r="C90" s="526"/>
      <c r="D90" s="526"/>
      <c r="E90" s="526"/>
      <c r="F90" s="526"/>
      <c r="G90" s="526"/>
      <c r="H90" s="526"/>
      <c r="I90" s="526"/>
      <c r="J90" s="526"/>
      <c r="K90" s="526"/>
      <c r="L90" s="526"/>
      <c r="M90" s="526"/>
      <c r="N90" s="526"/>
      <c r="O90" s="526"/>
      <c r="P90" s="526"/>
      <c r="Q90" s="526"/>
      <c r="R90" s="526"/>
      <c r="S90" s="526"/>
      <c r="T90" s="526"/>
      <c r="U90" s="526"/>
      <c r="V90" s="526"/>
      <c r="W90" s="526"/>
      <c r="X90" s="526"/>
      <c r="Y90" s="526"/>
      <c r="Z90" s="526"/>
      <c r="AA90" s="526"/>
      <c r="AB90" s="526"/>
      <c r="AC90" s="526"/>
      <c r="AD90" s="526"/>
      <c r="AE90" s="526"/>
      <c r="AF90" s="526"/>
      <c r="AG90" s="526"/>
      <c r="AH90" s="526"/>
      <c r="AI90" s="526"/>
      <c r="AJ90" s="526"/>
      <c r="AK90" s="526"/>
      <c r="AL90" s="526"/>
      <c r="AM90" s="526"/>
      <c r="AN90" s="526"/>
      <c r="AO90" s="526"/>
      <c r="AP90" s="526"/>
      <c r="AQ90" s="526"/>
      <c r="AW90" s="246"/>
    </row>
    <row r="91" spans="1:54" ht="24" customHeight="1" thickBot="1" x14ac:dyDescent="0.25">
      <c r="A91" s="207" t="s">
        <v>22</v>
      </c>
      <c r="B91" s="208" t="s">
        <v>92</v>
      </c>
      <c r="C91" s="600" t="s">
        <v>24</v>
      </c>
      <c r="D91" s="601"/>
      <c r="E91" s="601"/>
      <c r="F91" s="601"/>
      <c r="G91" s="601"/>
      <c r="H91" s="602"/>
      <c r="I91" s="603">
        <v>2</v>
      </c>
      <c r="J91" s="604"/>
      <c r="K91" s="605" t="str">
        <f>"Pool "&amp;B91&amp;" - Round 1 - Court "&amp;I91</f>
        <v>Pool B - Round 1 - Court 2</v>
      </c>
      <c r="L91" s="606"/>
      <c r="M91" s="606"/>
      <c r="N91" s="606"/>
      <c r="O91" s="606"/>
      <c r="P91" s="606"/>
      <c r="Q91" s="606"/>
      <c r="R91" s="606"/>
      <c r="S91" s="606"/>
      <c r="T91" s="606"/>
      <c r="U91" s="606"/>
      <c r="V91" s="606"/>
      <c r="W91" s="606"/>
      <c r="X91" s="606"/>
      <c r="Y91" s="606"/>
      <c r="Z91" s="606"/>
      <c r="AA91" s="606"/>
      <c r="AB91" s="606"/>
      <c r="AC91" s="606"/>
      <c r="AD91" s="606"/>
      <c r="AE91" s="606"/>
      <c r="AF91" s="606"/>
      <c r="AG91" s="606"/>
      <c r="AH91" s="606"/>
      <c r="AI91" s="607"/>
      <c r="AJ91" s="195"/>
      <c r="AK91" s="195"/>
      <c r="AL91" s="195"/>
      <c r="AM91" s="195"/>
      <c r="AN91" s="195"/>
      <c r="AO91" s="195"/>
      <c r="AP91" s="195"/>
      <c r="AQ91" s="195"/>
    </row>
    <row r="92" spans="1:54" ht="27" customHeight="1" thickBot="1" x14ac:dyDescent="0.25">
      <c r="A92" s="209" t="s">
        <v>25</v>
      </c>
      <c r="B92" s="608" t="s">
        <v>7</v>
      </c>
      <c r="C92" s="609"/>
      <c r="D92" s="609"/>
      <c r="E92" s="609"/>
      <c r="F92" s="609"/>
      <c r="G92" s="609"/>
      <c r="H92" s="609"/>
      <c r="I92" s="609"/>
      <c r="J92" s="609"/>
      <c r="K92" s="609"/>
      <c r="L92" s="608" t="str">
        <f>IF($AK95=0,"Games Won","Matches Won")</f>
        <v>Games Won</v>
      </c>
      <c r="M92" s="609"/>
      <c r="N92" s="609"/>
      <c r="O92" s="609"/>
      <c r="P92" s="609"/>
      <c r="Q92" s="610"/>
      <c r="R92" s="608" t="str">
        <f>IF($AK95=0,"Games Lost","Matches Lost")</f>
        <v>Games Lost</v>
      </c>
      <c r="S92" s="611"/>
      <c r="T92" s="611"/>
      <c r="U92" s="611"/>
      <c r="V92" s="612"/>
      <c r="W92" s="613" t="s">
        <v>26</v>
      </c>
      <c r="X92" s="614"/>
      <c r="Y92" s="615"/>
      <c r="Z92" s="613" t="s">
        <v>27</v>
      </c>
      <c r="AA92" s="614"/>
      <c r="AB92" s="615"/>
      <c r="AC92" s="616" t="s">
        <v>28</v>
      </c>
      <c r="AD92" s="617"/>
      <c r="AE92" s="618"/>
      <c r="AF92" s="210" t="s">
        <v>29</v>
      </c>
      <c r="AG92" s="211" t="s">
        <v>6</v>
      </c>
      <c r="AH92" s="598" t="s">
        <v>30</v>
      </c>
      <c r="AI92" s="599"/>
      <c r="AJ92" s="212"/>
      <c r="AK92" s="213">
        <v>2</v>
      </c>
      <c r="AL92" s="214" t="s">
        <v>31</v>
      </c>
      <c r="AM92" s="214"/>
      <c r="AN92" s="214"/>
      <c r="AO92" s="214"/>
      <c r="AP92" s="214"/>
      <c r="AQ92" s="214"/>
      <c r="AR92" s="215"/>
    </row>
    <row r="93" spans="1:54" ht="18.75" customHeight="1" x14ac:dyDescent="0.2">
      <c r="A93" s="564" t="str">
        <f>IF($AK94&gt;0,"1","")</f>
        <v>1</v>
      </c>
      <c r="B93" s="595" t="s">
        <v>7</v>
      </c>
      <c r="C93" s="596"/>
      <c r="D93" s="597"/>
      <c r="E93" s="587" t="str">
        <f>AU4</f>
        <v>C1VB 12 Regional Grvl</v>
      </c>
      <c r="F93" s="588"/>
      <c r="G93" s="588"/>
      <c r="H93" s="588"/>
      <c r="I93" s="588"/>
      <c r="J93" s="588"/>
      <c r="K93" s="589"/>
      <c r="L93" s="571">
        <f>IF($AK95=0,AF149,AF131)</f>
        <v>8</v>
      </c>
      <c r="M93" s="572"/>
      <c r="N93" s="572"/>
      <c r="O93" s="572"/>
      <c r="P93" s="572"/>
      <c r="Q93" s="610"/>
      <c r="R93" s="571">
        <f>IF($AK95=0,AG149,AG131)</f>
        <v>0</v>
      </c>
      <c r="S93" s="572"/>
      <c r="T93" s="572"/>
      <c r="U93" s="572"/>
      <c r="V93" s="572"/>
      <c r="W93" s="571">
        <f>AQ109</f>
        <v>86</v>
      </c>
      <c r="X93" s="572"/>
      <c r="Y93" s="572"/>
      <c r="Z93" s="544">
        <f>IF(AF143&gt;0,(AQ109/AF143),0)</f>
        <v>0.43</v>
      </c>
      <c r="AA93" s="545"/>
      <c r="AB93" s="545"/>
      <c r="AC93" s="548">
        <f>IF(AF157=0,0,(AF149/AF157))</f>
        <v>1</v>
      </c>
      <c r="AD93" s="549"/>
      <c r="AE93" s="550"/>
      <c r="AF93" s="554">
        <v>1</v>
      </c>
      <c r="AG93" s="554">
        <v>1</v>
      </c>
      <c r="AH93" s="556">
        <v>1</v>
      </c>
      <c r="AI93" s="557"/>
      <c r="AJ93" s="212"/>
      <c r="AK93" s="213">
        <v>10</v>
      </c>
      <c r="AL93" s="214" t="s">
        <v>32</v>
      </c>
      <c r="AM93" s="214"/>
      <c r="AN93" s="214"/>
      <c r="AO93" s="214"/>
      <c r="AP93" s="214"/>
      <c r="AQ93" s="214"/>
      <c r="AR93" s="215"/>
    </row>
    <row r="94" spans="1:54" ht="18.75" customHeight="1" thickBot="1" x14ac:dyDescent="0.25">
      <c r="A94" s="565"/>
      <c r="B94" s="592" t="s">
        <v>8</v>
      </c>
      <c r="C94" s="593"/>
      <c r="D94" s="594"/>
      <c r="E94" s="585" t="str">
        <f>AV4</f>
        <v>fj2crone1pm</v>
      </c>
      <c r="F94" s="586"/>
      <c r="G94" s="586"/>
      <c r="H94" s="586"/>
      <c r="I94" s="586"/>
      <c r="J94" s="586"/>
      <c r="K94" s="586"/>
      <c r="L94" s="590"/>
      <c r="M94" s="591"/>
      <c r="N94" s="591"/>
      <c r="O94" s="591"/>
      <c r="P94" s="591"/>
      <c r="Q94" s="610"/>
      <c r="R94" s="590"/>
      <c r="S94" s="591"/>
      <c r="T94" s="591"/>
      <c r="U94" s="591"/>
      <c r="V94" s="591"/>
      <c r="W94" s="590"/>
      <c r="X94" s="591"/>
      <c r="Y94" s="591"/>
      <c r="Z94" s="575"/>
      <c r="AA94" s="576"/>
      <c r="AB94" s="576"/>
      <c r="AC94" s="577"/>
      <c r="AD94" s="578"/>
      <c r="AE94" s="579"/>
      <c r="AF94" s="580"/>
      <c r="AG94" s="580"/>
      <c r="AH94" s="581"/>
      <c r="AI94" s="582"/>
      <c r="AJ94" s="212"/>
      <c r="AK94" s="213">
        <v>5</v>
      </c>
      <c r="AL94" s="214" t="s">
        <v>33</v>
      </c>
      <c r="AM94" s="212"/>
      <c r="AN94" s="212"/>
      <c r="AO94" s="212"/>
      <c r="AP94" s="212"/>
      <c r="AQ94" s="212"/>
      <c r="AR94" s="191"/>
    </row>
    <row r="95" spans="1:54" ht="18.75" customHeight="1" x14ac:dyDescent="0.2">
      <c r="A95" s="564" t="str">
        <f>IF($AK94&gt;1,"2","")</f>
        <v>2</v>
      </c>
      <c r="B95" s="595" t="s">
        <v>7</v>
      </c>
      <c r="C95" s="596"/>
      <c r="D95" s="597"/>
      <c r="E95" s="587" t="str">
        <f>AU7</f>
        <v>SC Midlands 13 Garnet</v>
      </c>
      <c r="F95" s="588"/>
      <c r="G95" s="588"/>
      <c r="H95" s="588"/>
      <c r="I95" s="588"/>
      <c r="J95" s="588"/>
      <c r="K95" s="589"/>
      <c r="L95" s="571">
        <f>IF($AK95=0,AF150,AF132)</f>
        <v>5</v>
      </c>
      <c r="M95" s="572"/>
      <c r="N95" s="572"/>
      <c r="O95" s="572"/>
      <c r="P95" s="572"/>
      <c r="Q95" s="610"/>
      <c r="R95" s="571">
        <f>IF($AK95=0,AG150,AG132)</f>
        <v>3</v>
      </c>
      <c r="S95" s="572"/>
      <c r="T95" s="572"/>
      <c r="U95" s="572"/>
      <c r="V95" s="572"/>
      <c r="W95" s="571">
        <f>AQ110</f>
        <v>1</v>
      </c>
      <c r="X95" s="572"/>
      <c r="Y95" s="572"/>
      <c r="Z95" s="544">
        <f>IF(AF144&gt;0,(AQ110/AF144),0)</f>
        <v>5.0000000000000001E-3</v>
      </c>
      <c r="AA95" s="545"/>
      <c r="AB95" s="545"/>
      <c r="AC95" s="548">
        <f>IF(AF158=0,0,(AF150/AF158))</f>
        <v>0.625</v>
      </c>
      <c r="AD95" s="549"/>
      <c r="AE95" s="550"/>
      <c r="AF95" s="554">
        <v>2</v>
      </c>
      <c r="AG95" s="554">
        <v>1</v>
      </c>
      <c r="AH95" s="556">
        <v>7</v>
      </c>
      <c r="AI95" s="557"/>
      <c r="AJ95" s="212"/>
      <c r="AK95" s="213">
        <v>0</v>
      </c>
      <c r="AL95" s="214" t="s">
        <v>34</v>
      </c>
      <c r="AM95" s="214"/>
      <c r="AN95" s="214"/>
      <c r="AO95" s="214"/>
      <c r="AP95" s="214"/>
      <c r="AQ95" s="214"/>
      <c r="AR95" s="215"/>
    </row>
    <row r="96" spans="1:54" ht="18.75" customHeight="1" thickBot="1" x14ac:dyDescent="0.25">
      <c r="A96" s="565"/>
      <c r="B96" s="583" t="s">
        <v>8</v>
      </c>
      <c r="C96" s="584"/>
      <c r="D96" s="584"/>
      <c r="E96" s="585" t="str">
        <f>AV7</f>
        <v>fj3scmid3pm</v>
      </c>
      <c r="F96" s="586"/>
      <c r="G96" s="586"/>
      <c r="H96" s="586"/>
      <c r="I96" s="586"/>
      <c r="J96" s="586"/>
      <c r="K96" s="586"/>
      <c r="L96" s="590"/>
      <c r="M96" s="591"/>
      <c r="N96" s="591"/>
      <c r="O96" s="591"/>
      <c r="P96" s="591"/>
      <c r="Q96" s="610"/>
      <c r="R96" s="590"/>
      <c r="S96" s="591"/>
      <c r="T96" s="591"/>
      <c r="U96" s="591"/>
      <c r="V96" s="591"/>
      <c r="W96" s="590"/>
      <c r="X96" s="591"/>
      <c r="Y96" s="591"/>
      <c r="Z96" s="575"/>
      <c r="AA96" s="576"/>
      <c r="AB96" s="576"/>
      <c r="AC96" s="577"/>
      <c r="AD96" s="578"/>
      <c r="AE96" s="579"/>
      <c r="AF96" s="580"/>
      <c r="AG96" s="580"/>
      <c r="AH96" s="581"/>
      <c r="AI96" s="582"/>
      <c r="AJ96" s="212"/>
      <c r="AK96" s="213">
        <v>1</v>
      </c>
      <c r="AL96" s="214" t="s">
        <v>35</v>
      </c>
      <c r="AM96" s="212"/>
      <c r="AN96" s="212"/>
      <c r="AO96" s="212"/>
      <c r="AP96" s="212"/>
      <c r="AQ96" s="212"/>
      <c r="AR96" s="191"/>
    </row>
    <row r="97" spans="1:44" ht="18.75" customHeight="1" x14ac:dyDescent="0.2">
      <c r="A97" s="564" t="str">
        <f>IF($AK94&gt;2,"3","")</f>
        <v>3</v>
      </c>
      <c r="B97" s="566" t="s">
        <v>7</v>
      </c>
      <c r="C97" s="567"/>
      <c r="D97" s="567"/>
      <c r="E97" s="587" t="str">
        <f>AU10</f>
        <v>MOTO 13-2 IGNITE</v>
      </c>
      <c r="F97" s="588"/>
      <c r="G97" s="588"/>
      <c r="H97" s="588"/>
      <c r="I97" s="588"/>
      <c r="J97" s="588"/>
      <c r="K97" s="589"/>
      <c r="L97" s="571">
        <f>IF($AK95=0,AF151,AF133)</f>
        <v>0</v>
      </c>
      <c r="M97" s="572"/>
      <c r="N97" s="572"/>
      <c r="O97" s="572"/>
      <c r="P97" s="572"/>
      <c r="Q97" s="610"/>
      <c r="R97" s="571">
        <f>IF($AK95=0,AG151,AG133)</f>
        <v>8</v>
      </c>
      <c r="S97" s="572"/>
      <c r="T97" s="572"/>
      <c r="U97" s="572"/>
      <c r="V97" s="572"/>
      <c r="W97" s="571">
        <f>AQ111</f>
        <v>-56</v>
      </c>
      <c r="X97" s="572"/>
      <c r="Y97" s="572"/>
      <c r="Z97" s="544">
        <f>IF(AF145&gt;0,(AQ111/AF145),0)</f>
        <v>-0.28000000000000003</v>
      </c>
      <c r="AA97" s="545"/>
      <c r="AB97" s="545"/>
      <c r="AC97" s="548">
        <f>IF(AF159=0,0,(AF151/AF159))</f>
        <v>0</v>
      </c>
      <c r="AD97" s="549"/>
      <c r="AE97" s="550"/>
      <c r="AF97" s="554">
        <v>5</v>
      </c>
      <c r="AG97" s="554">
        <v>1</v>
      </c>
      <c r="AH97" s="556">
        <v>13</v>
      </c>
      <c r="AI97" s="557"/>
      <c r="AJ97" s="216"/>
      <c r="AK97" s="213">
        <v>8</v>
      </c>
      <c r="AL97" s="217" t="s">
        <v>36</v>
      </c>
      <c r="AM97" s="214"/>
      <c r="AN97" s="214"/>
      <c r="AO97" s="214"/>
      <c r="AP97" s="214"/>
      <c r="AQ97" s="214"/>
      <c r="AR97" s="215"/>
    </row>
    <row r="98" spans="1:44" ht="18.75" customHeight="1" thickBot="1" x14ac:dyDescent="0.25">
      <c r="A98" s="565"/>
      <c r="B98" s="583" t="s">
        <v>8</v>
      </c>
      <c r="C98" s="584"/>
      <c r="D98" s="584"/>
      <c r="E98" s="585" t="str">
        <f>AV10</f>
        <v>fj3motoj2pm</v>
      </c>
      <c r="F98" s="586"/>
      <c r="G98" s="586"/>
      <c r="H98" s="586"/>
      <c r="I98" s="586"/>
      <c r="J98" s="586"/>
      <c r="K98" s="586"/>
      <c r="L98" s="590"/>
      <c r="M98" s="591"/>
      <c r="N98" s="591"/>
      <c r="O98" s="591"/>
      <c r="P98" s="591"/>
      <c r="Q98" s="610"/>
      <c r="R98" s="590"/>
      <c r="S98" s="591"/>
      <c r="T98" s="591"/>
      <c r="U98" s="591"/>
      <c r="V98" s="591"/>
      <c r="W98" s="590"/>
      <c r="X98" s="591"/>
      <c r="Y98" s="591"/>
      <c r="Z98" s="575"/>
      <c r="AA98" s="576"/>
      <c r="AB98" s="576"/>
      <c r="AC98" s="577"/>
      <c r="AD98" s="578"/>
      <c r="AE98" s="579"/>
      <c r="AF98" s="580"/>
      <c r="AG98" s="580"/>
      <c r="AH98" s="581"/>
      <c r="AI98" s="582"/>
      <c r="AJ98" s="216"/>
      <c r="AK98" s="218"/>
      <c r="AL98" s="219"/>
      <c r="AM98" s="219"/>
      <c r="AN98" s="219"/>
      <c r="AO98" s="219"/>
      <c r="AP98" s="219"/>
      <c r="AQ98" s="212"/>
      <c r="AR98" s="191"/>
    </row>
    <row r="99" spans="1:44" ht="18.75" customHeight="1" x14ac:dyDescent="0.2">
      <c r="A99" s="564" t="str">
        <f>IF($AK94&gt;3,"4","")</f>
        <v>4</v>
      </c>
      <c r="B99" s="566" t="s">
        <v>7</v>
      </c>
      <c r="C99" s="567"/>
      <c r="D99" s="567"/>
      <c r="E99" s="587" t="str">
        <f>AU13</f>
        <v>P31 Volleyball Club 12-1</v>
      </c>
      <c r="F99" s="588"/>
      <c r="G99" s="588"/>
      <c r="H99" s="588"/>
      <c r="I99" s="588"/>
      <c r="J99" s="588"/>
      <c r="K99" s="589"/>
      <c r="L99" s="571">
        <f>IF($AK95=0,AF152,AF134)</f>
        <v>3</v>
      </c>
      <c r="M99" s="572"/>
      <c r="N99" s="572"/>
      <c r="O99" s="572"/>
      <c r="P99" s="572"/>
      <c r="Q99" s="610"/>
      <c r="R99" s="571">
        <f>IF($AK95=0,AG152,AG134)</f>
        <v>5</v>
      </c>
      <c r="S99" s="572"/>
      <c r="T99" s="572"/>
      <c r="U99" s="572"/>
      <c r="V99" s="572"/>
      <c r="W99" s="571">
        <f>AQ112</f>
        <v>-38</v>
      </c>
      <c r="X99" s="572"/>
      <c r="Y99" s="572"/>
      <c r="Z99" s="544">
        <f>IF(AF146&gt;0,(AQ112/AF146),0)</f>
        <v>-0.18811881188118812</v>
      </c>
      <c r="AA99" s="545"/>
      <c r="AB99" s="545"/>
      <c r="AC99" s="548">
        <f>IF(AF160=0,0,(AF152/AF160))</f>
        <v>0.375</v>
      </c>
      <c r="AD99" s="549"/>
      <c r="AE99" s="550"/>
      <c r="AF99" s="554">
        <v>4</v>
      </c>
      <c r="AG99" s="554">
        <v>1</v>
      </c>
      <c r="AH99" s="556">
        <v>11</v>
      </c>
      <c r="AI99" s="557"/>
      <c r="AJ99" s="195"/>
      <c r="AK99" s="219"/>
      <c r="AL99" s="219"/>
      <c r="AM99" s="219"/>
      <c r="AN99" s="219"/>
      <c r="AO99" s="219"/>
      <c r="AP99" s="219"/>
      <c r="AQ99" s="214"/>
      <c r="AR99" s="215"/>
    </row>
    <row r="100" spans="1:44" ht="18.75" customHeight="1" thickBot="1" x14ac:dyDescent="0.25">
      <c r="A100" s="565"/>
      <c r="B100" s="583" t="s">
        <v>8</v>
      </c>
      <c r="C100" s="584"/>
      <c r="D100" s="584"/>
      <c r="E100" s="585" t="str">
        <f>AV13</f>
        <v>fj2ptvbc1so</v>
      </c>
      <c r="F100" s="586"/>
      <c r="G100" s="586"/>
      <c r="H100" s="586"/>
      <c r="I100" s="586"/>
      <c r="J100" s="586"/>
      <c r="K100" s="586"/>
      <c r="L100" s="590"/>
      <c r="M100" s="591"/>
      <c r="N100" s="591"/>
      <c r="O100" s="591"/>
      <c r="P100" s="591"/>
      <c r="Q100" s="610"/>
      <c r="R100" s="590"/>
      <c r="S100" s="591"/>
      <c r="T100" s="591"/>
      <c r="U100" s="591"/>
      <c r="V100" s="591"/>
      <c r="W100" s="590"/>
      <c r="X100" s="591"/>
      <c r="Y100" s="591"/>
      <c r="Z100" s="575"/>
      <c r="AA100" s="576"/>
      <c r="AB100" s="576"/>
      <c r="AC100" s="577"/>
      <c r="AD100" s="578"/>
      <c r="AE100" s="579"/>
      <c r="AF100" s="580"/>
      <c r="AG100" s="580"/>
      <c r="AH100" s="581"/>
      <c r="AI100" s="582"/>
      <c r="AJ100" s="195"/>
      <c r="AK100" s="219"/>
      <c r="AL100" s="219"/>
      <c r="AM100" s="219"/>
      <c r="AN100" s="219"/>
      <c r="AO100" s="219"/>
      <c r="AP100" s="219"/>
      <c r="AQ100" s="195"/>
      <c r="AR100" s="191"/>
    </row>
    <row r="101" spans="1:44" ht="18.75" customHeight="1" x14ac:dyDescent="0.2">
      <c r="A101" s="564" t="str">
        <f>IF($AK94&gt;4,"5","")</f>
        <v>5</v>
      </c>
      <c r="B101" s="566" t="s">
        <v>7</v>
      </c>
      <c r="C101" s="567"/>
      <c r="D101" s="567"/>
      <c r="E101" s="587" t="str">
        <f>AU16</f>
        <v>SOAR RISE 12U</v>
      </c>
      <c r="F101" s="588"/>
      <c r="G101" s="588"/>
      <c r="H101" s="588"/>
      <c r="I101" s="588"/>
      <c r="J101" s="588"/>
      <c r="K101" s="589"/>
      <c r="L101" s="571">
        <f>IF($AK95=0,AF153,AF135)</f>
        <v>4</v>
      </c>
      <c r="M101" s="572"/>
      <c r="N101" s="572"/>
      <c r="O101" s="572"/>
      <c r="P101" s="572"/>
      <c r="Q101" s="610"/>
      <c r="R101" s="571">
        <f>IF($AK95=0,AG153,AG135)</f>
        <v>4</v>
      </c>
      <c r="S101" s="572"/>
      <c r="T101" s="572"/>
      <c r="U101" s="572"/>
      <c r="V101" s="572"/>
      <c r="W101" s="571">
        <f>AQ113</f>
        <v>7</v>
      </c>
      <c r="X101" s="572"/>
      <c r="Y101" s="572"/>
      <c r="Z101" s="544">
        <f>IF(AF147&gt;0,(AQ113/AF147),0)</f>
        <v>3.4653465346534656E-2</v>
      </c>
      <c r="AA101" s="545"/>
      <c r="AB101" s="545"/>
      <c r="AC101" s="548">
        <f>IF(AF161=0,0,(AF153/AF161))</f>
        <v>0.5</v>
      </c>
      <c r="AD101" s="549"/>
      <c r="AE101" s="550"/>
      <c r="AF101" s="554">
        <v>3</v>
      </c>
      <c r="AG101" s="554">
        <v>1</v>
      </c>
      <c r="AH101" s="556">
        <v>10</v>
      </c>
      <c r="AI101" s="557"/>
      <c r="AJ101" s="195"/>
      <c r="AK101" s="219"/>
      <c r="AL101" s="219"/>
      <c r="AM101" s="219"/>
      <c r="AN101" s="219"/>
      <c r="AO101" s="219"/>
      <c r="AP101" s="219"/>
      <c r="AQ101" s="195"/>
      <c r="AR101" s="191"/>
    </row>
    <row r="102" spans="1:44" ht="18.75" customHeight="1" thickBot="1" x14ac:dyDescent="0.25">
      <c r="A102" s="565"/>
      <c r="B102" s="560" t="s">
        <v>8</v>
      </c>
      <c r="C102" s="561"/>
      <c r="D102" s="561"/>
      <c r="E102" s="619" t="str">
        <f>AV16</f>
        <v>fj2soarj1pm</v>
      </c>
      <c r="F102" s="620"/>
      <c r="G102" s="620"/>
      <c r="H102" s="620"/>
      <c r="I102" s="620"/>
      <c r="J102" s="620"/>
      <c r="K102" s="620"/>
      <c r="L102" s="573"/>
      <c r="M102" s="574"/>
      <c r="N102" s="574"/>
      <c r="O102" s="574"/>
      <c r="P102" s="574"/>
      <c r="Q102" s="610"/>
      <c r="R102" s="573"/>
      <c r="S102" s="574"/>
      <c r="T102" s="574"/>
      <c r="U102" s="574"/>
      <c r="V102" s="574"/>
      <c r="W102" s="573"/>
      <c r="X102" s="574"/>
      <c r="Y102" s="574"/>
      <c r="Z102" s="546"/>
      <c r="AA102" s="547"/>
      <c r="AB102" s="547"/>
      <c r="AC102" s="551"/>
      <c r="AD102" s="552"/>
      <c r="AE102" s="553"/>
      <c r="AF102" s="555"/>
      <c r="AG102" s="555"/>
      <c r="AH102" s="558"/>
      <c r="AI102" s="559"/>
      <c r="AJ102" s="195"/>
      <c r="AK102" s="219"/>
      <c r="AL102" s="219"/>
      <c r="AM102" s="219"/>
      <c r="AN102" s="219"/>
      <c r="AO102" s="219"/>
      <c r="AP102" s="219"/>
      <c r="AQ102" s="195"/>
      <c r="AR102" s="191"/>
    </row>
    <row r="103" spans="1:44" ht="21" customHeight="1" thickTop="1" thickBot="1" x14ac:dyDescent="0.25">
      <c r="A103" s="220"/>
      <c r="B103" s="541" t="s">
        <v>168</v>
      </c>
      <c r="C103" s="542"/>
      <c r="D103" s="542"/>
      <c r="E103" s="542"/>
      <c r="F103" s="542"/>
      <c r="G103" s="542"/>
      <c r="H103" s="542"/>
      <c r="I103" s="542"/>
      <c r="J103" s="542"/>
      <c r="K103" s="542"/>
      <c r="L103" s="542"/>
      <c r="M103" s="542"/>
      <c r="N103" s="542"/>
      <c r="O103" s="542"/>
      <c r="P103" s="542"/>
      <c r="Q103" s="542"/>
      <c r="R103" s="542"/>
      <c r="S103" s="542"/>
      <c r="T103" s="542"/>
      <c r="U103" s="542"/>
      <c r="V103" s="542"/>
      <c r="W103" s="542"/>
      <c r="X103" s="542"/>
      <c r="Y103" s="542"/>
      <c r="Z103" s="542"/>
      <c r="AA103" s="542"/>
      <c r="AB103" s="542"/>
      <c r="AC103" s="542"/>
      <c r="AD103" s="542"/>
      <c r="AE103" s="542"/>
      <c r="AF103" s="542"/>
      <c r="AG103" s="542"/>
      <c r="AH103" s="542"/>
      <c r="AI103" s="543"/>
      <c r="AJ103" s="195"/>
      <c r="AK103" s="219"/>
      <c r="AL103" s="219"/>
      <c r="AM103" s="219"/>
      <c r="AN103" s="219"/>
      <c r="AO103" s="219"/>
      <c r="AP103" s="219"/>
      <c r="AQ103" s="195"/>
      <c r="AR103" s="191"/>
    </row>
    <row r="104" spans="1:44" ht="13.5" thickTop="1" x14ac:dyDescent="0.2">
      <c r="A104" s="188" t="s">
        <v>39</v>
      </c>
      <c r="B104" s="530">
        <v>0.35416666666666669</v>
      </c>
      <c r="C104" s="531"/>
      <c r="D104" s="532"/>
      <c r="E104" s="530">
        <v>0.38194444444444442</v>
      </c>
      <c r="F104" s="531"/>
      <c r="G104" s="532"/>
      <c r="H104" s="530">
        <v>0.40972222222222227</v>
      </c>
      <c r="I104" s="531"/>
      <c r="J104" s="532"/>
      <c r="K104" s="530">
        <v>0.4375</v>
      </c>
      <c r="L104" s="531"/>
      <c r="M104" s="532"/>
      <c r="N104" s="530">
        <v>0.46527777777777773</v>
      </c>
      <c r="O104" s="531"/>
      <c r="P104" s="532"/>
      <c r="Q104" s="530">
        <v>0.49305555555555558</v>
      </c>
      <c r="R104" s="531"/>
      <c r="S104" s="532"/>
      <c r="T104" s="530">
        <v>0.52083333333333337</v>
      </c>
      <c r="U104" s="531"/>
      <c r="V104" s="532"/>
      <c r="W104" s="530">
        <v>4.8611111111111112E-2</v>
      </c>
      <c r="X104" s="531"/>
      <c r="Y104" s="532"/>
      <c r="Z104" s="530">
        <v>7.6388888888888895E-2</v>
      </c>
      <c r="AA104" s="531"/>
      <c r="AB104" s="532"/>
      <c r="AC104" s="530">
        <v>0.10416666666666667</v>
      </c>
      <c r="AD104" s="531"/>
      <c r="AE104" s="532"/>
      <c r="AF104" s="533" t="s">
        <v>40</v>
      </c>
      <c r="AG104" s="534"/>
      <c r="AH104" s="534"/>
      <c r="AI104" s="534"/>
      <c r="AJ104" s="535"/>
      <c r="AK104" s="535"/>
      <c r="AL104" s="535"/>
      <c r="AM104" s="535"/>
      <c r="AN104" s="535"/>
      <c r="AO104" s="535"/>
      <c r="AP104" s="535"/>
      <c r="AQ104" s="536"/>
    </row>
    <row r="105" spans="1:44" x14ac:dyDescent="0.2">
      <c r="A105" s="221" t="s">
        <v>41</v>
      </c>
      <c r="B105" s="527">
        <v>0.36458333333333331</v>
      </c>
      <c r="C105" s="528"/>
      <c r="D105" s="529"/>
      <c r="E105" s="527">
        <v>0.40069444444444446</v>
      </c>
      <c r="F105" s="528"/>
      <c r="G105" s="529"/>
      <c r="H105" s="527">
        <v>0.43055555555555558</v>
      </c>
      <c r="I105" s="528"/>
      <c r="J105" s="529"/>
      <c r="K105" s="527">
        <v>0.45833333333333331</v>
      </c>
      <c r="L105" s="528"/>
      <c r="M105" s="529"/>
      <c r="N105" s="527">
        <v>0.49305555555555558</v>
      </c>
      <c r="O105" s="528"/>
      <c r="P105" s="529"/>
      <c r="Q105" s="527">
        <v>0.52152777777777781</v>
      </c>
      <c r="R105" s="528"/>
      <c r="S105" s="529"/>
      <c r="T105" s="527">
        <v>5.5555555555555552E-2</v>
      </c>
      <c r="U105" s="528"/>
      <c r="V105" s="529"/>
      <c r="W105" s="527">
        <v>8.3333333333333329E-2</v>
      </c>
      <c r="X105" s="528"/>
      <c r="Y105" s="529"/>
      <c r="Z105" s="527"/>
      <c r="AA105" s="528"/>
      <c r="AB105" s="529"/>
      <c r="AC105" s="527"/>
      <c r="AD105" s="528"/>
      <c r="AE105" s="529"/>
      <c r="AF105" s="533"/>
      <c r="AG105" s="534"/>
      <c r="AH105" s="534"/>
      <c r="AI105" s="534"/>
      <c r="AJ105" s="534"/>
      <c r="AK105" s="534"/>
      <c r="AL105" s="534"/>
      <c r="AM105" s="534"/>
      <c r="AN105" s="534"/>
      <c r="AO105" s="534"/>
      <c r="AP105" s="534"/>
      <c r="AQ105" s="537"/>
    </row>
    <row r="106" spans="1:44" x14ac:dyDescent="0.2">
      <c r="A106" s="221" t="s">
        <v>42</v>
      </c>
      <c r="B106" s="527">
        <v>0.39583333333333331</v>
      </c>
      <c r="C106" s="528"/>
      <c r="D106" s="529"/>
      <c r="E106" s="527">
        <v>0.42152777777777778</v>
      </c>
      <c r="F106" s="528"/>
      <c r="G106" s="529"/>
      <c r="H106" s="527">
        <v>0.4548611111111111</v>
      </c>
      <c r="I106" s="528"/>
      <c r="J106" s="529"/>
      <c r="K106" s="527">
        <v>0.4861111111111111</v>
      </c>
      <c r="L106" s="528"/>
      <c r="M106" s="529"/>
      <c r="N106" s="527">
        <v>0.51388888888888895</v>
      </c>
      <c r="O106" s="528"/>
      <c r="P106" s="529"/>
      <c r="Q106" s="527">
        <v>4.8611111111111112E-2</v>
      </c>
      <c r="R106" s="528"/>
      <c r="S106" s="529"/>
      <c r="T106" s="527">
        <v>7.6388888888888895E-2</v>
      </c>
      <c r="U106" s="528"/>
      <c r="V106" s="529"/>
      <c r="W106" s="527">
        <v>0.11944444444444445</v>
      </c>
      <c r="X106" s="528"/>
      <c r="Y106" s="529"/>
      <c r="Z106" s="527"/>
      <c r="AA106" s="528"/>
      <c r="AB106" s="529"/>
      <c r="AC106" s="527"/>
      <c r="AD106" s="528"/>
      <c r="AE106" s="529"/>
      <c r="AF106" s="533"/>
      <c r="AG106" s="534"/>
      <c r="AH106" s="534"/>
      <c r="AI106" s="534"/>
      <c r="AJ106" s="534"/>
      <c r="AK106" s="534"/>
      <c r="AL106" s="534"/>
      <c r="AM106" s="534"/>
      <c r="AN106" s="534"/>
      <c r="AO106" s="534"/>
      <c r="AP106" s="534"/>
      <c r="AQ106" s="537"/>
    </row>
    <row r="107" spans="1:44" ht="13.5" thickBot="1" x14ac:dyDescent="0.25">
      <c r="A107" s="195"/>
      <c r="B107" s="394" t="s">
        <v>43</v>
      </c>
      <c r="C107" s="392"/>
      <c r="D107" s="393"/>
      <c r="E107" s="394" t="str">
        <f>IF(AK93&gt;1,"Match 2","")</f>
        <v>Match 2</v>
      </c>
      <c r="F107" s="392"/>
      <c r="G107" s="393"/>
      <c r="H107" s="394" t="str">
        <f>IF(AK93&gt;2,"Match 3","")</f>
        <v>Match 3</v>
      </c>
      <c r="I107" s="392"/>
      <c r="J107" s="393"/>
      <c r="K107" s="394" t="str">
        <f>IF(AK93&gt;3,"Match 4","")</f>
        <v>Match 4</v>
      </c>
      <c r="L107" s="392"/>
      <c r="M107" s="393"/>
      <c r="N107" s="394" t="str">
        <f>IF(AK93&gt;4,"Match 5","")</f>
        <v>Match 5</v>
      </c>
      <c r="O107" s="392"/>
      <c r="P107" s="393"/>
      <c r="Q107" s="394" t="str">
        <f>IF(AK93&gt;5,"Match 6","")</f>
        <v>Match 6</v>
      </c>
      <c r="R107" s="392"/>
      <c r="S107" s="393"/>
      <c r="T107" s="394" t="str">
        <f>IF(AK93&gt;6,"Match 7","")</f>
        <v>Match 7</v>
      </c>
      <c r="U107" s="392"/>
      <c r="V107" s="393"/>
      <c r="W107" s="394" t="str">
        <f>IF(AK93&gt;7,"Match 8","")</f>
        <v>Match 8</v>
      </c>
      <c r="X107" s="392"/>
      <c r="Y107" s="393"/>
      <c r="Z107" s="394" t="str">
        <f>IF(AK93&gt;8,"Match 9","")</f>
        <v>Match 9</v>
      </c>
      <c r="AA107" s="392"/>
      <c r="AB107" s="393"/>
      <c r="AC107" s="394" t="str">
        <f>IF(AK93&gt;9,"Match 10","")</f>
        <v>Match 10</v>
      </c>
      <c r="AD107" s="392"/>
      <c r="AE107" s="393"/>
      <c r="AF107" s="538"/>
      <c r="AG107" s="539"/>
      <c r="AH107" s="539"/>
      <c r="AI107" s="539"/>
      <c r="AJ107" s="539"/>
      <c r="AK107" s="539"/>
      <c r="AL107" s="539"/>
      <c r="AM107" s="539"/>
      <c r="AN107" s="539"/>
      <c r="AO107" s="539"/>
      <c r="AP107" s="539"/>
      <c r="AQ107" s="540"/>
    </row>
    <row r="108" spans="1:44" ht="15.75" x14ac:dyDescent="0.25">
      <c r="A108" s="195"/>
      <c r="B108" s="521" t="s">
        <v>44</v>
      </c>
      <c r="C108" s="522"/>
      <c r="D108" s="523"/>
      <c r="E108" s="521" t="s">
        <v>45</v>
      </c>
      <c r="F108" s="522"/>
      <c r="G108" s="523"/>
      <c r="H108" s="521" t="s">
        <v>46</v>
      </c>
      <c r="I108" s="522"/>
      <c r="J108" s="523"/>
      <c r="K108" s="521" t="s">
        <v>47</v>
      </c>
      <c r="L108" s="522"/>
      <c r="M108" s="523"/>
      <c r="N108" s="521" t="s">
        <v>48</v>
      </c>
      <c r="O108" s="522"/>
      <c r="P108" s="523"/>
      <c r="Q108" s="521" t="s">
        <v>46</v>
      </c>
      <c r="R108" s="522"/>
      <c r="S108" s="523"/>
      <c r="T108" s="521" t="s">
        <v>44</v>
      </c>
      <c r="U108" s="522"/>
      <c r="V108" s="523"/>
      <c r="W108" s="521" t="s">
        <v>48</v>
      </c>
      <c r="X108" s="522"/>
      <c r="Y108" s="523"/>
      <c r="Z108" s="521" t="s">
        <v>47</v>
      </c>
      <c r="AA108" s="522"/>
      <c r="AB108" s="523"/>
      <c r="AC108" s="521" t="s">
        <v>45</v>
      </c>
      <c r="AD108" s="522"/>
      <c r="AE108" s="523"/>
      <c r="AF108" s="222" t="s">
        <v>49</v>
      </c>
      <c r="AG108" s="223">
        <v>1</v>
      </c>
      <c r="AH108" s="223">
        <v>2</v>
      </c>
      <c r="AI108" s="223">
        <v>3</v>
      </c>
      <c r="AJ108" s="223">
        <v>4</v>
      </c>
      <c r="AK108" s="223">
        <v>5</v>
      </c>
      <c r="AL108" s="223">
        <v>6</v>
      </c>
      <c r="AM108" s="223">
        <v>7</v>
      </c>
      <c r="AN108" s="223">
        <v>8</v>
      </c>
      <c r="AO108" s="223">
        <v>9</v>
      </c>
      <c r="AP108" s="223">
        <v>10</v>
      </c>
      <c r="AQ108" s="224" t="s">
        <v>50</v>
      </c>
    </row>
    <row r="109" spans="1:44" ht="15.75" x14ac:dyDescent="0.25">
      <c r="A109" s="195"/>
      <c r="B109" s="225">
        <v>2</v>
      </c>
      <c r="C109" s="226" t="s">
        <v>51</v>
      </c>
      <c r="D109" s="227">
        <v>5</v>
      </c>
      <c r="E109" s="225">
        <v>1</v>
      </c>
      <c r="F109" s="226" t="str">
        <f>IF(AK93&gt;1,"v","")</f>
        <v>v</v>
      </c>
      <c r="G109" s="227">
        <v>4</v>
      </c>
      <c r="H109" s="225">
        <v>3</v>
      </c>
      <c r="I109" s="226" t="str">
        <f>IF(AK93&gt;2,"v","")</f>
        <v>v</v>
      </c>
      <c r="J109" s="227">
        <v>5</v>
      </c>
      <c r="K109" s="225">
        <v>2</v>
      </c>
      <c r="L109" s="226" t="str">
        <f>IF(AK93&gt;3,"v","")</f>
        <v>v</v>
      </c>
      <c r="M109" s="227">
        <v>4</v>
      </c>
      <c r="N109" s="225">
        <v>1</v>
      </c>
      <c r="O109" s="226" t="str">
        <f>IF(AK93&gt;4,"v","")</f>
        <v>v</v>
      </c>
      <c r="P109" s="227">
        <v>3</v>
      </c>
      <c r="Q109" s="225">
        <v>4</v>
      </c>
      <c r="R109" s="226" t="str">
        <f>IF(AK93&gt;5,"v","")</f>
        <v>v</v>
      </c>
      <c r="S109" s="227">
        <v>5</v>
      </c>
      <c r="T109" s="225">
        <v>2</v>
      </c>
      <c r="U109" s="226" t="str">
        <f>IF(AK93&gt;6,"v","")</f>
        <v>v</v>
      </c>
      <c r="V109" s="227">
        <v>3</v>
      </c>
      <c r="W109" s="225">
        <v>1</v>
      </c>
      <c r="X109" s="226" t="str">
        <f>IF(AK93&gt;7,"v","")</f>
        <v>v</v>
      </c>
      <c r="Y109" s="227">
        <v>5</v>
      </c>
      <c r="Z109" s="225">
        <v>3</v>
      </c>
      <c r="AA109" s="226" t="str">
        <f>IF(AK93&gt;8,"v","")</f>
        <v>v</v>
      </c>
      <c r="AB109" s="227">
        <v>4</v>
      </c>
      <c r="AC109" s="225">
        <v>1</v>
      </c>
      <c r="AD109" s="226" t="str">
        <f>IF(AK93&gt;9,"v","")</f>
        <v>v</v>
      </c>
      <c r="AE109" s="227">
        <v>2</v>
      </c>
      <c r="AF109" s="222" t="str">
        <f>IF(AK94&gt;0,"Team 1","")</f>
        <v>Team 1</v>
      </c>
      <c r="AG109" s="228" t="str">
        <f>IF(AK94&lt;1,"",IF(AK93&lt;1,"",IF(B109=1,B115-D115,IF(D109=1,D115-B115,""))))</f>
        <v/>
      </c>
      <c r="AH109" s="228">
        <f>IF(AK94&lt;1,"",IF(AK93&lt;2,"",IF(E109=1,E115-G115,IF(G109=1,G115-E115,""))))</f>
        <v>26</v>
      </c>
      <c r="AI109" s="228" t="str">
        <f>IF(AK94&lt;1,"",IF(AK93&lt;3,"",IF(H109=1,H115-J115,IF(J109=1,J115-H115,""))))</f>
        <v/>
      </c>
      <c r="AJ109" s="228" t="str">
        <f>IF(AK94&lt;1,"",IF(AK93&lt;4,"",IF(K109=1,K115-M115,IF(M109=1,M115-K115,""))))</f>
        <v/>
      </c>
      <c r="AK109" s="228">
        <f>IF(AK94&lt;1,"",IF(AK93&lt;5,"",IF(N109=1,N115-P115,IF(P109=1,P115-N115,""))))</f>
        <v>26</v>
      </c>
      <c r="AL109" s="228" t="str">
        <f>IF(AK94&lt;1,"",IF(AK93&lt;6,"",IF(Q109=1,Q115-S115,IF(S109=1,S115-Q115,""))))</f>
        <v/>
      </c>
      <c r="AM109" s="228" t="str">
        <f>IF(AK94&lt;1,"",IF(AK93&lt;7,"",IF(T109=1,T115-V115,IF(V109=1,V115-T115,""))))</f>
        <v/>
      </c>
      <c r="AN109" s="228">
        <f>IF(AK94&lt;1,"",IF(AK93&lt;8,"",IF(W109=1,W115-Y115,IF(Y109=1,Y115-W115,""))))</f>
        <v>12</v>
      </c>
      <c r="AO109" s="228" t="str">
        <f>IF(AK94&lt;1,"",IF(AK93&lt;9,"",IF(Z109=1,Z115-AB115,IF(AB109=1,AB115-Z115,""))))</f>
        <v/>
      </c>
      <c r="AP109" s="228">
        <f>IF(AK94&lt;1,"",IF(AK93&lt;10,"",IF(AC109=1,AC115-AE115,IF(AE109=1,AE115-AC115,""))))</f>
        <v>22</v>
      </c>
      <c r="AQ109" s="224">
        <f>SUM(AG109:AP109)</f>
        <v>86</v>
      </c>
    </row>
    <row r="110" spans="1:44" ht="15" x14ac:dyDescent="0.2">
      <c r="A110" s="188" t="s">
        <v>52</v>
      </c>
      <c r="B110" s="229">
        <v>23</v>
      </c>
      <c r="C110" s="230" t="s">
        <v>53</v>
      </c>
      <c r="D110" s="231">
        <v>25</v>
      </c>
      <c r="E110" s="229">
        <v>25</v>
      </c>
      <c r="F110" s="230" t="str">
        <f>IF(AK93&gt;1,"/","")</f>
        <v>/</v>
      </c>
      <c r="G110" s="231">
        <v>9</v>
      </c>
      <c r="H110" s="229">
        <v>20</v>
      </c>
      <c r="I110" s="230" t="str">
        <f>IF(AK93&gt;2,"/","")</f>
        <v>/</v>
      </c>
      <c r="J110" s="231">
        <v>25</v>
      </c>
      <c r="K110" s="229">
        <v>25</v>
      </c>
      <c r="L110" s="230" t="str">
        <f>IF(AK93&gt;3,"/","")</f>
        <v>/</v>
      </c>
      <c r="M110" s="231">
        <v>20</v>
      </c>
      <c r="N110" s="229">
        <v>25</v>
      </c>
      <c r="O110" s="230" t="str">
        <f>IF(AK93&gt;4,"/","")</f>
        <v>/</v>
      </c>
      <c r="P110" s="231">
        <v>13</v>
      </c>
      <c r="Q110" s="229">
        <v>13</v>
      </c>
      <c r="R110" s="230" t="str">
        <f>IF(AK93&gt;5,"/","")</f>
        <v>/</v>
      </c>
      <c r="S110" s="231">
        <v>25</v>
      </c>
      <c r="T110" s="229">
        <v>25</v>
      </c>
      <c r="U110" s="230" t="str">
        <f>IF(AK93&gt;6,"/","")</f>
        <v>/</v>
      </c>
      <c r="V110" s="231">
        <v>19</v>
      </c>
      <c r="W110" s="229">
        <v>25</v>
      </c>
      <c r="X110" s="230" t="str">
        <f>IF(AK93&gt;7,"/","")</f>
        <v>/</v>
      </c>
      <c r="Y110" s="231">
        <v>18</v>
      </c>
      <c r="Z110" s="229">
        <v>22</v>
      </c>
      <c r="AA110" s="230" t="str">
        <f>IF(AK93&gt;8,"/","")</f>
        <v>/</v>
      </c>
      <c r="AB110" s="231">
        <v>25</v>
      </c>
      <c r="AC110" s="229">
        <v>25</v>
      </c>
      <c r="AD110" s="230" t="str">
        <f>IF(AK93&gt;9,"/","")</f>
        <v>/</v>
      </c>
      <c r="AE110" s="231">
        <v>15</v>
      </c>
      <c r="AF110" s="222" t="str">
        <f>IF(AK94&gt;1,"Team 2","")</f>
        <v>Team 2</v>
      </c>
      <c r="AG110" s="228">
        <f>IF(AK94&lt;2,"",IF(AK93&lt;1,"",IF(B109=2,B115-D115,IF(D109=2,D115-B115,""))))</f>
        <v>0</v>
      </c>
      <c r="AH110" s="228" t="str">
        <f>IF(AK94&lt;2,"",IF(AK93&lt;2,"",IF(E109=2,E115-G115,IF(G109=2,G115-E115,""))))</f>
        <v/>
      </c>
      <c r="AI110" s="228" t="str">
        <f>IF(AK94&lt;2,"",IF(AK93&lt;3,"",IF(H109=2,H115-J115,IF(J109=2,J115-H115,""))))</f>
        <v/>
      </c>
      <c r="AJ110" s="228">
        <f>IF(AK94&lt;2,"",IF(AK93&lt;4,"",IF(K109=2,K115-M115,IF(M109=2,M115-K115,""))))</f>
        <v>8</v>
      </c>
      <c r="AK110" s="228" t="str">
        <f>IF(AK94&lt;2,"",IF(AK93&lt;5,"",IF(N109=2,N115-P115,IF(P109=2,P115-N115,""))))</f>
        <v/>
      </c>
      <c r="AL110" s="228" t="str">
        <f>IF(AK94&lt;2,"",IF(AK93&lt;6,"",IF(Q109=2,Q115-S115,IF(S109=2,S115-Q115,""))))</f>
        <v/>
      </c>
      <c r="AM110" s="228">
        <f>IF(AK94&lt;2,"",IF(AK93&lt;7,"",IF(T109=2,T115-V115,IF(V109=2,V115-T115,""))))</f>
        <v>15</v>
      </c>
      <c r="AN110" s="228" t="str">
        <f>IF(AK94&lt;2,"",IF(AK93&lt;8,"",IF(W109=2,W115-Y115,IF(Y109=2,Y115-W115,""))))</f>
        <v/>
      </c>
      <c r="AO110" s="228" t="str">
        <f>IF(AK94&lt;2,"",IF(AK93&lt;9,"",IF(Z109=2,Z115-AB115,IF(AB109=2,AB115-Z115,""))))</f>
        <v/>
      </c>
      <c r="AP110" s="228">
        <f>IF(AK94&lt;2,"",IF(AK93&lt;10,"",IF(AC109=2,AC115-AE115,IF(AE109=2,AE115-AC115,""))))</f>
        <v>-22</v>
      </c>
      <c r="AQ110" s="224">
        <f>SUM(AG110:AP110)</f>
        <v>1</v>
      </c>
    </row>
    <row r="111" spans="1:44" ht="15" x14ac:dyDescent="0.2">
      <c r="A111" s="191" t="str">
        <f>IF(AK92&gt;1,"Game 2","")</f>
        <v>Game 2</v>
      </c>
      <c r="B111" s="229">
        <v>25</v>
      </c>
      <c r="C111" s="230" t="s">
        <v>53</v>
      </c>
      <c r="D111" s="231">
        <v>23</v>
      </c>
      <c r="E111" s="229">
        <v>25</v>
      </c>
      <c r="F111" s="230" t="str">
        <f>IF(AK93&gt;1,IF(AK92&gt;1,"/",""),"")</f>
        <v>/</v>
      </c>
      <c r="G111" s="231">
        <v>15</v>
      </c>
      <c r="H111" s="229">
        <v>22</v>
      </c>
      <c r="I111" s="230" t="str">
        <f>IF(AK93&gt;2,IF(AK92&gt;1,"/",""),"")</f>
        <v>/</v>
      </c>
      <c r="J111" s="231">
        <v>25</v>
      </c>
      <c r="K111" s="229">
        <v>25</v>
      </c>
      <c r="L111" s="230" t="str">
        <f>IF(AK93&gt;3,IF(AK92&gt;1,"/",""),"")</f>
        <v>/</v>
      </c>
      <c r="M111" s="231">
        <v>22</v>
      </c>
      <c r="N111" s="229">
        <v>25</v>
      </c>
      <c r="O111" s="230" t="str">
        <f>IF(AK93&gt;4,IF(AK92&gt;1,"/",""),"")</f>
        <v>/</v>
      </c>
      <c r="P111" s="231">
        <v>11</v>
      </c>
      <c r="Q111" s="229">
        <v>27</v>
      </c>
      <c r="R111" s="230" t="str">
        <f>IF(AK93&gt;5,IF(AK92&gt;1,"/",""),"")</f>
        <v>/</v>
      </c>
      <c r="S111" s="231">
        <v>26</v>
      </c>
      <c r="T111" s="229">
        <v>25</v>
      </c>
      <c r="U111" s="230" t="str">
        <f>IF(AK93&gt;6,IF(AK92&gt;1,"/",""),"")</f>
        <v>/</v>
      </c>
      <c r="V111" s="231">
        <v>16</v>
      </c>
      <c r="W111" s="229">
        <v>25</v>
      </c>
      <c r="X111" s="230" t="str">
        <f>IF(AK93&gt;7,IF(AK92&gt;1,"/",""),"")</f>
        <v>/</v>
      </c>
      <c r="Y111" s="231">
        <v>20</v>
      </c>
      <c r="Z111" s="229">
        <v>21</v>
      </c>
      <c r="AA111" s="230" t="str">
        <f>IF(AK93&gt;8,IF(AK92&gt;1,"/",""),"")</f>
        <v>/</v>
      </c>
      <c r="AB111" s="231">
        <v>25</v>
      </c>
      <c r="AC111" s="229">
        <v>25</v>
      </c>
      <c r="AD111" s="230" t="str">
        <f>IF(AK93&gt;9,IF(AK92&gt;1,"/",""),"")</f>
        <v>/</v>
      </c>
      <c r="AE111" s="231">
        <v>13</v>
      </c>
      <c r="AF111" s="222" t="str">
        <f>IF(AK94&gt;2,"Team 3","")</f>
        <v>Team 3</v>
      </c>
      <c r="AG111" s="228" t="str">
        <f>IF(AK94&lt;3,"",IF(AK93&lt;1,"",IF(B109=3,B115-D115,IF(D109=3,D115-B115,""))))</f>
        <v/>
      </c>
      <c r="AH111" s="228" t="str">
        <f>IF(AK94&lt;3,"",IF(AK93&lt;2,"",IF(E109=3,E115-G115,IF(G109=3,G115-E115,""))))</f>
        <v/>
      </c>
      <c r="AI111" s="228">
        <f>IF(AK94&lt;3,"",IF(AK93&lt;3,"",IF(H109=3,H115-J115,IF(J109=3,J115-H115,""))))</f>
        <v>-8</v>
      </c>
      <c r="AJ111" s="228" t="str">
        <f>IF(AK94&lt;3,"",IF(AK93&lt;4,"",IF(K109=3,K115-M115,IF(M109=3,M115-K115,""))))</f>
        <v/>
      </c>
      <c r="AK111" s="228">
        <f>IF(AK94&lt;3,"",IF(AK93&lt;5,"",IF(N109=3,N115-P115,IF(P109=3,P115-N115,""))))</f>
        <v>-26</v>
      </c>
      <c r="AL111" s="228" t="str">
        <f>IF(AK94&lt;3,"",IF(AK93&lt;6,"",IF(Q109=3,Q115-S115,IF(S109=3,S115-Q115,""))))</f>
        <v/>
      </c>
      <c r="AM111" s="228">
        <f>IF(AK94&lt;3,"",IF(AK93&lt;7,"",IF(T109=3,T115-V115,IF(V109=3,V115-T115,""))))</f>
        <v>-15</v>
      </c>
      <c r="AN111" s="228" t="str">
        <f>IF(AK94&lt;3,"",IF(AK93&lt;8,"",IF(W109=3,W115-Y115,IF(Y109=3,Y115-W115,""))))</f>
        <v/>
      </c>
      <c r="AO111" s="228">
        <f>IF(AK94&lt;3,"",IF(AK93&lt;9,"",IF(Z109=3,Z115-AB115,IF(AB109=3,AB115-Z115,""))))</f>
        <v>-7</v>
      </c>
      <c r="AP111" s="228" t="str">
        <f>IF(AK94&lt;3,"",IF(AK93&lt;9,"",IF(AC109=3,AC115-AE115,IF(AE109=3,AE115-AC115,""))))</f>
        <v/>
      </c>
      <c r="AQ111" s="224">
        <f>SUM(AG111:AP111)</f>
        <v>-56</v>
      </c>
    </row>
    <row r="112" spans="1:44" ht="15" x14ac:dyDescent="0.2">
      <c r="A112" s="191" t="str">
        <f>IF(AK92&gt;2,"Game 3","")</f>
        <v/>
      </c>
      <c r="B112" s="229"/>
      <c r="C112" s="230" t="s">
        <v>53</v>
      </c>
      <c r="D112" s="231"/>
      <c r="E112" s="229"/>
      <c r="F112" s="230" t="str">
        <f>IF(AK93&gt;1,IF(AK92&gt;2,"/",""),"")</f>
        <v/>
      </c>
      <c r="G112" s="231"/>
      <c r="H112" s="229"/>
      <c r="I112" s="230" t="str">
        <f>IF(AK93&gt;2,IF(AK92&gt;2,"/",""),"")</f>
        <v/>
      </c>
      <c r="J112" s="231"/>
      <c r="K112" s="229"/>
      <c r="L112" s="230" t="str">
        <f>IF(AK93&gt;3,IF(AK92&gt;2,"/",""),"")</f>
        <v/>
      </c>
      <c r="M112" s="231"/>
      <c r="N112" s="229"/>
      <c r="O112" s="230" t="str">
        <f>IF(AK93&gt;4,IF(AK92&gt;2,"/",""),"")</f>
        <v/>
      </c>
      <c r="P112" s="231"/>
      <c r="Q112" s="229"/>
      <c r="R112" s="230" t="str">
        <f>IF(AK93&gt;5,IF(AK92&gt;2,"/",""),"")</f>
        <v/>
      </c>
      <c r="S112" s="231"/>
      <c r="T112" s="229"/>
      <c r="U112" s="230" t="str">
        <f>IF(AK93&gt;6,IF(AK92&gt;2,"/",""),"")</f>
        <v/>
      </c>
      <c r="V112" s="231"/>
      <c r="W112" s="229"/>
      <c r="X112" s="230" t="str">
        <f>IF(AK93&gt;7,IF(AK92&gt;2,"/",""),"")</f>
        <v/>
      </c>
      <c r="Y112" s="231"/>
      <c r="Z112" s="229"/>
      <c r="AA112" s="230" t="str">
        <f>IF(AK93&gt;8,IF(AK92&gt;2,"/",""),"")</f>
        <v/>
      </c>
      <c r="AB112" s="231"/>
      <c r="AC112" s="229"/>
      <c r="AD112" s="230" t="str">
        <f>IF(AK93&gt;9,IF(AK92&gt;2,"/",""),"")</f>
        <v/>
      </c>
      <c r="AE112" s="231"/>
      <c r="AF112" s="222" t="str">
        <f>IF(AK94&gt;3,"Team 4","")</f>
        <v>Team 4</v>
      </c>
      <c r="AG112" s="228" t="str">
        <f>IF(AK94&lt;4,"",IF(AK93&lt;1,"",IF(B109=4,B115-D115,IF(D109=4,D115-B115,""))))</f>
        <v/>
      </c>
      <c r="AH112" s="228">
        <f>IF(AK94&lt;4,"",IF(AK93&lt;2,"",IF(E109=4,E115-G115,IF(G109=4,G115-E115,""))))</f>
        <v>-26</v>
      </c>
      <c r="AI112" s="228" t="str">
        <f>IF(AK94&lt;4,"",IF(AK93&lt;3,"",IF(H109=4,H115-J115,IF(J109=4,J115-H115,""))))</f>
        <v/>
      </c>
      <c r="AJ112" s="228">
        <f>IF(AK94&lt;4,"",IF(AK93&lt;4,"",IF(K109=4,K115-M115,IF(M109=4,M115-K115,""))))</f>
        <v>-8</v>
      </c>
      <c r="AK112" s="228" t="str">
        <f>IF(AK94&lt;4,"",IF(AK93&lt;5,"",IF(N109=4,N115-P115,IF(P109=4,P115-N115,""))))</f>
        <v/>
      </c>
      <c r="AL112" s="228">
        <f>IF(AK94&lt;4,"",IF(AK93&lt;6,"",IF(Q109=4,Q115-S115,IF(S109=4,S115-Q115,""))))</f>
        <v>-11</v>
      </c>
      <c r="AM112" s="228" t="str">
        <f>IF(AK94&lt;4,"",IF(AK93&lt;7,"",IF(T109=4,T115-V115,IF(V109=4,V115-T115,""))))</f>
        <v/>
      </c>
      <c r="AN112" s="228" t="str">
        <f>IF(AK94&lt;4,"",IF(AK93&lt;8,"",IF(W109=4,W115-Y115,IF(Y109=4,Y115-W115,""))))</f>
        <v/>
      </c>
      <c r="AO112" s="228">
        <f>IF(AK94&lt;4,"",IF(AK93&lt;9,"",IF(Z109=4,Z115-AB115,IF(AB109=4,AB115-Z115,""))))</f>
        <v>7</v>
      </c>
      <c r="AP112" s="228" t="str">
        <f>IF(AK94&lt;4,"",IF(AK93&lt;10,"",IF(AC109=4,AC115-AE115,IF(AE109=4,AE115-AC115,""))))</f>
        <v/>
      </c>
      <c r="AQ112" s="224">
        <f>SUM(AG112:AP112)</f>
        <v>-38</v>
      </c>
    </row>
    <row r="113" spans="1:49" ht="15" x14ac:dyDescent="0.2">
      <c r="A113" s="191" t="str">
        <f>IF(AK92&gt;3,"Game 4","")</f>
        <v/>
      </c>
      <c r="B113" s="229"/>
      <c r="C113" s="230" t="s">
        <v>53</v>
      </c>
      <c r="D113" s="231"/>
      <c r="E113" s="229"/>
      <c r="F113" s="230" t="str">
        <f>IF(AK93&gt;1,IF(AK92&gt;3,"/",""),"")</f>
        <v/>
      </c>
      <c r="G113" s="231"/>
      <c r="H113" s="229"/>
      <c r="I113" s="230" t="str">
        <f>IF(AK93&gt;2,IF(AK92&gt;3,"/",""),"")</f>
        <v/>
      </c>
      <c r="J113" s="231"/>
      <c r="K113" s="229"/>
      <c r="L113" s="230" t="str">
        <f>IF(AK93&gt;3,IF(AK92&gt;3,"/",""),"")</f>
        <v/>
      </c>
      <c r="M113" s="231"/>
      <c r="N113" s="229"/>
      <c r="O113" s="230" t="str">
        <f>IF(AK93&gt;4,IF(AK92&gt;3,"/",""),"")</f>
        <v/>
      </c>
      <c r="P113" s="231"/>
      <c r="Q113" s="229"/>
      <c r="R113" s="230" t="str">
        <f>IF(AK93&gt;5,IF(AK92&gt;3,"/",""),"")</f>
        <v/>
      </c>
      <c r="S113" s="231"/>
      <c r="T113" s="229"/>
      <c r="U113" s="230" t="str">
        <f>IF(AK93&gt;6,IF(AK92&gt;3,"/",""),"")</f>
        <v/>
      </c>
      <c r="V113" s="231"/>
      <c r="W113" s="229"/>
      <c r="X113" s="230" t="str">
        <f>IF(AK93&gt;7,IF(AK92&gt;3,"/",""),"")</f>
        <v/>
      </c>
      <c r="Y113" s="231"/>
      <c r="Z113" s="229"/>
      <c r="AA113" s="230" t="str">
        <f>IF(AK93&gt;8,IF(AK92&gt;3,"/",""),"")</f>
        <v/>
      </c>
      <c r="AB113" s="231"/>
      <c r="AC113" s="229"/>
      <c r="AD113" s="230" t="str">
        <f>IF(AK93&gt;9,IF(AK92&gt;3,"/",""),"")</f>
        <v/>
      </c>
      <c r="AE113" s="231"/>
      <c r="AF113" s="222" t="str">
        <f>IF(AK94&gt;4,"Team 5","")</f>
        <v>Team 5</v>
      </c>
      <c r="AG113" s="232">
        <f>IF(AK94&lt;5,"",IF(AK93&lt;1,"",IF(B109=5,B115-D115,IF(D109=5,D115-B115,""))))</f>
        <v>0</v>
      </c>
      <c r="AH113" s="228" t="str">
        <f>IF(AK94&lt;5,"",IF(AK93&lt;2,"",IF(E109=5,E115-G115,IF(G109=5,G115-E115,""))))</f>
        <v/>
      </c>
      <c r="AI113" s="228">
        <f>IF(AK94&lt;5,"",IF(AK93&lt;3,"",IF(H109=5,H115-J115,IF(J109=5,J115-H115,""))))</f>
        <v>8</v>
      </c>
      <c r="AJ113" s="228" t="str">
        <f>IF(AK94&lt;5,"",IF(AK93&lt;4,"",IF(K109=5,K115-M115,IF(M109=5,M115-K115,""))))</f>
        <v/>
      </c>
      <c r="AK113" s="228" t="str">
        <f>IF(AK94&lt;5,"",IF(AK93&lt;5,"",IF(N109=5,N115-P115,IF(P109=5,P115-N115,""))))</f>
        <v/>
      </c>
      <c r="AL113" s="228">
        <f>IF(AK94&lt;5,"",IF(AK93&lt;6,"",IF(Q109=5,Q115-S115,IF(S109=5,S115-Q115,""))))</f>
        <v>11</v>
      </c>
      <c r="AM113" s="228" t="str">
        <f>IF(AK94&lt;5,"",IF(AK93&lt;7,"",IF(T109=5,T115-V115,IF(V109=5,V115-T115,""))))</f>
        <v/>
      </c>
      <c r="AN113" s="228">
        <f>IF(AK94&lt;5,"",IF(AK93&lt;8,"",IF(W109=5,W115-Y115,IF(Y109=5,Y115-W115,""))))</f>
        <v>-12</v>
      </c>
      <c r="AO113" s="228" t="str">
        <f>IF(AK94&lt;5,"",IF(AK93&lt;9,"",IF(Z109=5,Z115-AB115,IF(AB109=5,AB115-Z115,""))))</f>
        <v/>
      </c>
      <c r="AP113" s="228" t="str">
        <f>IF(AK94&lt;5,"",IF(AK93&lt;10,"",IF(AC109=5,AC115-AE115,IF(AE109=5,AE115-AC115,""))))</f>
        <v/>
      </c>
      <c r="AQ113" s="224">
        <f>SUM(AG113:AP113)</f>
        <v>7</v>
      </c>
    </row>
    <row r="114" spans="1:49" ht="15" x14ac:dyDescent="0.2">
      <c r="A114" s="191" t="str">
        <f>IF(AK92&gt;4,"Game 5","")</f>
        <v/>
      </c>
      <c r="B114" s="229"/>
      <c r="C114" s="230" t="s">
        <v>53</v>
      </c>
      <c r="D114" s="231"/>
      <c r="E114" s="229"/>
      <c r="F114" s="230" t="str">
        <f>IF(AK93&gt;1,IF(AK92&gt;4,"/",""),"")</f>
        <v/>
      </c>
      <c r="G114" s="231"/>
      <c r="H114" s="229"/>
      <c r="I114" s="230" t="str">
        <f>IF(AK93&gt;2,IF(AK92&gt;4,"/",""),"")</f>
        <v/>
      </c>
      <c r="J114" s="231"/>
      <c r="K114" s="229"/>
      <c r="L114" s="230" t="str">
        <f>IF(AK93&gt;3,IF(AK92&gt;4,"/",""),"")</f>
        <v/>
      </c>
      <c r="M114" s="231"/>
      <c r="N114" s="229"/>
      <c r="O114" s="230" t="str">
        <f>IF(AK93&gt;4,IF(AK92&gt;4,"/",""),"")</f>
        <v/>
      </c>
      <c r="P114" s="231"/>
      <c r="Q114" s="229"/>
      <c r="R114" s="230" t="str">
        <f>IF(AK93&gt;5,IF(AK92&gt;4,"/",""),"")</f>
        <v/>
      </c>
      <c r="S114" s="231"/>
      <c r="T114" s="229"/>
      <c r="U114" s="230" t="str">
        <f>IF(AK93&gt;6,IF(AK92&gt;4,"/",""),"")</f>
        <v/>
      </c>
      <c r="V114" s="231"/>
      <c r="W114" s="229"/>
      <c r="X114" s="230" t="str">
        <f>IF(AK93&gt;7,IF(AK92&gt;4,"/",""),"")</f>
        <v/>
      </c>
      <c r="Y114" s="231"/>
      <c r="Z114" s="229"/>
      <c r="AA114" s="230" t="str">
        <f>IF(AK93&gt;8,IF(AK92&gt;4,"/",""),"")</f>
        <v/>
      </c>
      <c r="AB114" s="231"/>
      <c r="AC114" s="229"/>
      <c r="AD114" s="230" t="str">
        <f>IF(AK93&gt;9,IF(AK92&gt;4,"/",""),"")</f>
        <v/>
      </c>
      <c r="AE114" s="231"/>
      <c r="AF114" s="195"/>
      <c r="AG114" s="195"/>
      <c r="AH114" s="195"/>
      <c r="AI114" s="195"/>
      <c r="AJ114" s="195"/>
      <c r="AK114" s="195"/>
      <c r="AL114" s="195"/>
      <c r="AM114" s="195"/>
      <c r="AN114" s="195"/>
      <c r="AO114" s="195"/>
      <c r="AP114" s="195"/>
      <c r="AQ114" s="195"/>
    </row>
    <row r="115" spans="1:49" hidden="1" x14ac:dyDescent="0.2">
      <c r="A115" s="233"/>
      <c r="B115" s="233">
        <f>IF($AK92=5,SUM(B110:B114),IF($AK92=4,SUM(B110:B113),IF($AK92=3,SUM(B110:B112),IF($AK92=2,SUM(B110:B111),B110))))</f>
        <v>48</v>
      </c>
      <c r="C115" s="233"/>
      <c r="D115" s="233">
        <f>IF($AK92=5,SUM(D110:D114),IF($AK92=4,SUM(D110:D113),IF($AK92=3,SUM(D110:D112),IF($AK92=2,SUM(D110:D111),D110))))</f>
        <v>48</v>
      </c>
      <c r="E115" s="233">
        <f>IF($AK92=5,SUM(E110:E114),IF($AK92=4,SUM(E110:E113),IF($AK92=3,SUM(E110:E112),IF($AK92=2,SUM(E110:E111),E110))))</f>
        <v>50</v>
      </c>
      <c r="F115" s="233"/>
      <c r="G115" s="233">
        <f>IF($AK92=5,SUM(G110:G114),IF($AK92=4,SUM(G110:G113),IF($AK92=3,SUM(G110:G112),IF($AK92=2,SUM(G110:G111),G110))))</f>
        <v>24</v>
      </c>
      <c r="H115" s="233">
        <f>IF($AK92=5,SUM(H110:H114),IF($AK92=4,SUM(H110:H113),IF($AK92=3,SUM(H110:H112),IF($AK92=2,SUM(H110:H111),H110))))</f>
        <v>42</v>
      </c>
      <c r="I115" s="233"/>
      <c r="J115" s="233">
        <f>IF($AK92=5,SUM(J110:J114),IF($AK92=4,SUM(J110:J113),IF($AK92=3,SUM(J110:J112),IF($AK92=2,SUM(J110:J111),J110))))</f>
        <v>50</v>
      </c>
      <c r="K115" s="233">
        <f>IF($AK92=5,SUM(K110:K114),IF($AK92=4,SUM(K110:K113),IF($AK92=3,SUM(K110:K112),IF($AK92=2,SUM(K110:K111),K110))))</f>
        <v>50</v>
      </c>
      <c r="L115" s="233"/>
      <c r="M115" s="233">
        <f>IF($AK92=5,SUM(M110:M114),IF($AK92=4,SUM(M110:M113),IF($AK92=3,SUM(M110:M112),IF($AK92=2,SUM(M110:M111),M110))))</f>
        <v>42</v>
      </c>
      <c r="N115" s="233">
        <f>IF($AK92=5,SUM(N110:N114),IF($AK92=4,SUM(N110:N113),IF($AK92=3,SUM(N110:N112),IF($AK92=2,SUM(N110:N111),N110))))</f>
        <v>50</v>
      </c>
      <c r="O115" s="233"/>
      <c r="P115" s="233">
        <f>IF($AK92=5,SUM(P110:P114),IF($AK92=4,SUM(P110:P113),IF($AK92=3,SUM(P110:P112),IF($AK92=2,SUM(P110:P111),P110))))</f>
        <v>24</v>
      </c>
      <c r="Q115" s="233">
        <f>IF($AK92=5,SUM(Q110:Q114),IF($AK92=4,SUM(Q110:Q113),IF($AK92=3,SUM(Q110:Q112),IF($AK92=2,SUM(Q110:Q111),Q110))))</f>
        <v>40</v>
      </c>
      <c r="R115" s="233"/>
      <c r="S115" s="233">
        <f>IF($AK92=5,SUM(S110:S114),IF($AK92=4,SUM(S110:S113),IF($AK92=3,SUM(S110:S112),IF($AK92=2,SUM(S110:S111),S110))))</f>
        <v>51</v>
      </c>
      <c r="T115" s="233">
        <f>IF($AK92=5,SUM(T110:T114),IF($AK92=4,SUM(T110:T113),IF($AK92=3,SUM(T110:T112),IF($AK92=2,SUM(T110:T111),T110))))</f>
        <v>50</v>
      </c>
      <c r="U115" s="233"/>
      <c r="V115" s="233">
        <f>IF($AK92=5,SUM(V110:V114),IF($AK92=4,SUM(V110:V113),IF($AK92=3,SUM(V110:V112),IF($AK92=2,SUM(V110:V111),V110))))</f>
        <v>35</v>
      </c>
      <c r="W115" s="233">
        <f>IF($AK92=5,SUM(W110:W114),IF($AK92=4,SUM(W110:W113),IF($AK92=3,SUM(W110:W112),IF($AK92=2,SUM(W110:W111),W110))))</f>
        <v>50</v>
      </c>
      <c r="X115" s="233"/>
      <c r="Y115" s="233">
        <f>IF($AK92=5,SUM(Y110:Y114),IF($AK92=4,SUM(Y110:Y113),IF($AK92=3,SUM(Y110:Y112),IF($AK92=2,SUM(Y110:Y111),Y110))))</f>
        <v>38</v>
      </c>
      <c r="Z115" s="233">
        <f>IF($AK92=5,SUM(Z110:Z114),IF($AK92=4,SUM(Z110:Z113),IF($AK92=3,SUM(Z110:Z112),IF($AK92=2,SUM(Z110:Z111),Z110))))</f>
        <v>43</v>
      </c>
      <c r="AA115" s="233"/>
      <c r="AB115" s="233">
        <f>IF($AK92=5,SUM(AB110:AB114),IF($AK92=4,SUM(AB110:AB113),IF($AK92=3,SUM(AB110:AB112),IF($AK92=2,SUM(AB110:AB111),AB110))))</f>
        <v>50</v>
      </c>
      <c r="AC115" s="233">
        <f>IF($AK92=5,SUM(AC110:AC114),IF($AK92=4,SUM(AC110:AC113),IF($AK92=3,SUM(AC110:AC112),IF($AK92=2,SUM(AC110:AC111),AC110))))</f>
        <v>50</v>
      </c>
      <c r="AD115" s="233"/>
      <c r="AE115" s="233">
        <f>IF($AK92=5,SUM(AE110:AE114),IF($AK92=4,SUM(AE110:AE113),IF($AK92=3,SUM(AE110:AE112),IF($AK92=2,SUM(AE110:AE111),AE110))))</f>
        <v>28</v>
      </c>
      <c r="AF115" s="195"/>
      <c r="AG115" s="195"/>
      <c r="AH115" s="195"/>
      <c r="AI115" s="195"/>
      <c r="AJ115" s="195"/>
      <c r="AK115" s="195"/>
      <c r="AL115" s="195"/>
      <c r="AM115" s="195"/>
      <c r="AN115" s="195"/>
      <c r="AO115" s="195"/>
      <c r="AP115" s="195"/>
      <c r="AQ115" s="195"/>
    </row>
    <row r="116" spans="1:49" s="235" customFormat="1" ht="12.75" hidden="1" customHeight="1" x14ac:dyDescent="0.2">
      <c r="A116" s="235" t="s">
        <v>54</v>
      </c>
      <c r="B116" s="236">
        <f>IF(AND(B110&gt;D110,$AK93&gt;0,ISNUMBER(B110),ISNUMBER(D110)),1,0)</f>
        <v>0</v>
      </c>
      <c r="C116" s="236"/>
      <c r="D116" s="237">
        <f>IF(AND(D110&gt;B110,$AK93&gt;0,ISNUMBER(B110),ISNUMBER(D110)),1,0)</f>
        <v>1</v>
      </c>
      <c r="E116" s="236">
        <f>IF(AND(E110&gt;G110,$AK93&gt;1,ISNUMBER(E110),ISNUMBER(G110)),1,0)</f>
        <v>1</v>
      </c>
      <c r="F116" s="236"/>
      <c r="G116" s="237">
        <f>IF(AND(G110&gt;E110,$AK93&gt;1,ISNUMBER(E110),ISNUMBER(G110)),1,0)</f>
        <v>0</v>
      </c>
      <c r="H116" s="236">
        <f>IF(AND(H110&gt;J110,$AK93&gt;2,ISNUMBER(H110),ISNUMBER(J110)),1,0)</f>
        <v>0</v>
      </c>
      <c r="I116" s="236"/>
      <c r="J116" s="237">
        <f>IF(AND(J110&gt;H110,$AK93&gt;2,ISNUMBER(H110),ISNUMBER(J110)),1,0)</f>
        <v>1</v>
      </c>
      <c r="K116" s="236">
        <f>IF(AND(K110&gt;M110,$AK93&gt;3,ISNUMBER(K110),ISNUMBER(M110)),1,0)</f>
        <v>1</v>
      </c>
      <c r="L116" s="236"/>
      <c r="M116" s="237">
        <f>IF(AND(M110&gt;K110,$AK93&gt;3,ISNUMBER(K110),ISNUMBER(M110)),1,0)</f>
        <v>0</v>
      </c>
      <c r="N116" s="236">
        <f>IF(AND(N110&gt;P110,$AK93&gt;4,ISNUMBER(N110),ISNUMBER(P110)),1,0)</f>
        <v>1</v>
      </c>
      <c r="O116" s="236"/>
      <c r="P116" s="237">
        <f>IF(AND(P110&gt;N110,$AK93&gt;4,ISNUMBER(N110),ISNUMBER(P110)),1,0)</f>
        <v>0</v>
      </c>
      <c r="Q116" s="236">
        <f>IF(AND(Q110&gt;S110,$AK93&gt;5,ISNUMBER(Q110),ISNUMBER(S110)),1,0)</f>
        <v>0</v>
      </c>
      <c r="R116" s="236"/>
      <c r="S116" s="237">
        <f>IF(AND(S110&gt;Q110,$AK93&gt;5,ISNUMBER(Q110),ISNUMBER(S110)),1,0)</f>
        <v>1</v>
      </c>
      <c r="T116" s="236">
        <f>IF(AND(T110&gt;V110,$AK93&gt;6,ISNUMBER(T110),ISNUMBER(V110)),1,0)</f>
        <v>1</v>
      </c>
      <c r="U116" s="236"/>
      <c r="V116" s="237">
        <f>IF(AND(V110&gt;T110,$AK93&gt;6,ISNUMBER(T110),ISNUMBER(V110)),1,0)</f>
        <v>0</v>
      </c>
      <c r="W116" s="236">
        <f>IF(AND(W110&gt;Y110,$AK93&gt;7,ISNUMBER(W110),ISNUMBER(Y110)),1,0)</f>
        <v>1</v>
      </c>
      <c r="X116" s="236"/>
      <c r="Y116" s="237">
        <f>IF(AND(Y110&gt;W110,$AK93&gt;7,ISNUMBER(W110),ISNUMBER(Y110)),1,0)</f>
        <v>0</v>
      </c>
      <c r="Z116" s="236">
        <f>IF(AND(Z110&gt;AB110,$AK93&gt;8,ISNUMBER(Z110),ISNUMBER(AB110)),1,0)</f>
        <v>0</v>
      </c>
      <c r="AA116" s="236"/>
      <c r="AB116" s="237">
        <f>IF(AND(AB110&gt;Z110,$AK93&gt;8,ISNUMBER(Z110),ISNUMBER(AB110)),1,0)</f>
        <v>1</v>
      </c>
      <c r="AC116" s="236">
        <f>IF(AND(AC110&gt;AE110,$AK93&gt;9,ISNUMBER(AC110),ISNUMBER(AE110)),1,0)</f>
        <v>1</v>
      </c>
      <c r="AD116" s="236"/>
      <c r="AE116" s="237">
        <f>IF(AND(AE110&gt;AC110,$AK93&gt;9,ISNUMBER(AC110),ISNUMBER(AE110)),1,0)</f>
        <v>0</v>
      </c>
      <c r="AW116" s="238"/>
    </row>
    <row r="117" spans="1:49" s="235" customFormat="1" ht="12.75" hidden="1" customHeight="1" x14ac:dyDescent="0.2">
      <c r="A117" s="235" t="s">
        <v>55</v>
      </c>
      <c r="B117" s="236">
        <f>IF(AND(B111&gt;D111,$AK93&gt;0,$AK92&gt;1,ISNUMBER(B111),ISNUMBER(D111)),1,0)</f>
        <v>1</v>
      </c>
      <c r="C117" s="236"/>
      <c r="D117" s="237">
        <f>IF(AND(D111&gt;B111,$AK93&gt;0,$AK92&gt;1,ISNUMBER(B111),ISNUMBER(D111)),1,0)</f>
        <v>0</v>
      </c>
      <c r="E117" s="236">
        <f>IF(AND(E111&gt;G111,$AK93&gt;1,$AK92&gt;1,ISNUMBER(E111),ISNUMBER(G111)),1,0)</f>
        <v>1</v>
      </c>
      <c r="F117" s="236"/>
      <c r="G117" s="237">
        <f>IF(AND(G111&gt;E111,$AK93&gt;1,$AK92&gt;1,ISNUMBER(E111),ISNUMBER(G111)),1,0)</f>
        <v>0</v>
      </c>
      <c r="H117" s="236">
        <f>IF(AND(H111&gt;J111,$AK93&gt;2,$AK92&gt;1,ISNUMBER(H111),ISNUMBER(J111)),1,0)</f>
        <v>0</v>
      </c>
      <c r="I117" s="236"/>
      <c r="J117" s="237">
        <f>IF(AND(J111&gt;H111,$AK93&gt;2,$AK92&gt;1,ISNUMBER(H111),ISNUMBER(J111)),1,0)</f>
        <v>1</v>
      </c>
      <c r="K117" s="236">
        <f>IF(AND(K111&gt;M111,$AK93&gt;3,$AK92&gt;1,ISNUMBER(K111),ISNUMBER(M111)),1,0)</f>
        <v>1</v>
      </c>
      <c r="L117" s="236"/>
      <c r="M117" s="237">
        <f>IF(AND(M111&gt;K111,$AK93&gt;3,$AK92&gt;1,ISNUMBER(K111),ISNUMBER(M111)),1,0)</f>
        <v>0</v>
      </c>
      <c r="N117" s="236">
        <f>IF(AND(N111&gt;P111,$AK93&gt;4,$AK92&gt;1,ISNUMBER(N111),ISNUMBER(P111)),1,0)</f>
        <v>1</v>
      </c>
      <c r="O117" s="236"/>
      <c r="P117" s="237">
        <f>IF(AND(P111&gt;N111,$AK93&gt;4,$AK92&gt;1,ISNUMBER(N111),ISNUMBER(P111)),1,0)</f>
        <v>0</v>
      </c>
      <c r="Q117" s="236">
        <f>IF(AND(Q111&gt;S111,$AK93&gt;5,$AK92&gt;1,ISNUMBER(Q111),ISNUMBER(S111)),1,0)</f>
        <v>1</v>
      </c>
      <c r="R117" s="236"/>
      <c r="S117" s="237">
        <f>IF(AND(S111&gt;Q111,$AK93&gt;5,$AK92&gt;1,ISNUMBER(Q111),ISNUMBER(S111)),1,0)</f>
        <v>0</v>
      </c>
      <c r="T117" s="236">
        <f>IF(AND(T111&gt;V111,$AK93&gt;6,$AK92&gt;1,ISNUMBER(T111),ISNUMBER(V111)),1,0)</f>
        <v>1</v>
      </c>
      <c r="U117" s="236"/>
      <c r="V117" s="237">
        <f>IF(AND(V111&gt;T111,$AK93&gt;6,$AK92&gt;1,ISNUMBER(T111),ISNUMBER(V111)),1,0)</f>
        <v>0</v>
      </c>
      <c r="W117" s="236">
        <f>IF(AND(W111&gt;Y111,$AK93&gt;7,$AK92&gt;1,ISNUMBER(W111),ISNUMBER(Y111)),1,0)</f>
        <v>1</v>
      </c>
      <c r="X117" s="236"/>
      <c r="Y117" s="237">
        <f>IF(AND(Y111&gt;W111,$AK93&gt;7,$AK92&gt;1,ISNUMBER(W111),ISNUMBER(Y111)),1,0)</f>
        <v>0</v>
      </c>
      <c r="Z117" s="236">
        <f>IF(AND(Z111&gt;AB111,$AK93&gt;8,$AK92&gt;1,ISNUMBER(Z111),ISNUMBER(AB111)),1,0)</f>
        <v>0</v>
      </c>
      <c r="AA117" s="236"/>
      <c r="AB117" s="237">
        <f>IF(AND(AB111&gt;Z111,$AK93&gt;8,$AK92&gt;1,ISNUMBER(Z111),ISNUMBER(AB111)),1,0)</f>
        <v>1</v>
      </c>
      <c r="AC117" s="236">
        <f>IF(AND(AC111&gt;AE111,$AK93&gt;9,$AK92&gt;1,ISNUMBER(AC111),ISNUMBER(AE111)),1,0)</f>
        <v>1</v>
      </c>
      <c r="AD117" s="236"/>
      <c r="AE117" s="237">
        <f>IF(AND(AE111&gt;AC111,$AK93&gt;9,$AK92&gt;1,ISNUMBER(AC111),ISNUMBER(AE111)),1,0)</f>
        <v>0</v>
      </c>
      <c r="AW117" s="238"/>
    </row>
    <row r="118" spans="1:49" s="235" customFormat="1" ht="12.75" hidden="1" customHeight="1" x14ac:dyDescent="0.2">
      <c r="A118" s="235" t="s">
        <v>56</v>
      </c>
      <c r="B118" s="236">
        <f>IF(AND(B112&gt;D112,$AK93&gt;0,$AK92&gt;2,ISNUMBER(B112),ISNUMBER(D112)),1,0)</f>
        <v>0</v>
      </c>
      <c r="C118" s="236"/>
      <c r="D118" s="237">
        <f>IF(AND(D112&gt;B112,$AK93&gt;0,$AK92&gt;2,ISNUMBER(B112),ISNUMBER(D112)),1,0)</f>
        <v>0</v>
      </c>
      <c r="E118" s="236">
        <f>IF(AND(E112&gt;G112,$AK93&gt;1,$AK92&gt;2,ISNUMBER(E112),ISNUMBER(G112)),1,0)</f>
        <v>0</v>
      </c>
      <c r="F118" s="236"/>
      <c r="G118" s="237">
        <f>IF(AND(G112&gt;E112,$AK93&gt;1,$AK92&gt;2,ISNUMBER(E112),ISNUMBER(G112)),1,0)</f>
        <v>0</v>
      </c>
      <c r="H118" s="236">
        <f>IF(AND(H112&gt;J112,$AK93&gt;2,$AK92&gt;2,ISNUMBER(H112),ISNUMBER(J112)),1,0)</f>
        <v>0</v>
      </c>
      <c r="I118" s="236"/>
      <c r="J118" s="237">
        <f>IF(AND(J112&gt;H112,$AK93&gt;2,$AK92&gt;2,ISNUMBER(H112),ISNUMBER(J112)),1,0)</f>
        <v>0</v>
      </c>
      <c r="K118" s="236">
        <f>IF(AND(K112&gt;M112,$AK93&gt;3,$AK92&gt;2,ISNUMBER(K112),ISNUMBER(M112)),1,0)</f>
        <v>0</v>
      </c>
      <c r="L118" s="236"/>
      <c r="M118" s="237">
        <f>IF(AND(M112&gt;K112,$AK93&gt;3,$AK92&gt;2,ISNUMBER(K112),ISNUMBER(M112)),1,0)</f>
        <v>0</v>
      </c>
      <c r="N118" s="236">
        <f>IF(AND(N112&gt;P112,$AK93&gt;4,$AK92&gt;2,ISNUMBER(N112),ISNUMBER(P112)),1,0)</f>
        <v>0</v>
      </c>
      <c r="O118" s="236"/>
      <c r="P118" s="237">
        <f>IF(AND(P112&gt;N112,$AK93&gt;4,$AK92&gt;2,ISNUMBER(N112),ISNUMBER(P112)),1,0)</f>
        <v>0</v>
      </c>
      <c r="Q118" s="236">
        <f>IF(AND(Q112&gt;S112,$AK93&gt;5,$AK92&gt;2,ISNUMBER(Q112),ISNUMBER(S112)),1,0)</f>
        <v>0</v>
      </c>
      <c r="R118" s="236"/>
      <c r="S118" s="237">
        <f>IF(AND(S112&gt;Q112,$AK93&gt;5,$AK92&gt;2,ISNUMBER(Q112),ISNUMBER(S112)),1,0)</f>
        <v>0</v>
      </c>
      <c r="T118" s="236">
        <f>IF(AND(T112&gt;V112,$AK93&gt;6,$AK92&gt;2,ISNUMBER(T112),ISNUMBER(V112)),1,0)</f>
        <v>0</v>
      </c>
      <c r="U118" s="236"/>
      <c r="V118" s="237">
        <f>IF(AND(V112&gt;T112,$AK93&gt;6,$AK92&gt;2,ISNUMBER(T112),ISNUMBER(V112)),1,0)</f>
        <v>0</v>
      </c>
      <c r="W118" s="236">
        <f>IF(AND(W112&gt;Y112,$AK93&gt;7,$AK92&gt;2,ISNUMBER(W112),ISNUMBER(Y112)),1,0)</f>
        <v>0</v>
      </c>
      <c r="X118" s="236"/>
      <c r="Y118" s="237">
        <f>IF(AND(Y112&gt;W112,$AK93&gt;7,$AK92&gt;2,ISNUMBER(W112),ISNUMBER(Y112)),1,0)</f>
        <v>0</v>
      </c>
      <c r="Z118" s="236">
        <f>IF(AND(Z112&gt;AB112,$AK93&gt;8,$AK92&gt;2,ISNUMBER(Z112),ISNUMBER(AB112)),1,0)</f>
        <v>0</v>
      </c>
      <c r="AA118" s="236"/>
      <c r="AB118" s="237">
        <f>IF(AND(AB112&gt;Z112,$AK93&gt;8,$AK92&gt;2,ISNUMBER(Z112),ISNUMBER(AB112)),1,0)</f>
        <v>0</v>
      </c>
      <c r="AC118" s="236">
        <f>IF(AND(AC112&gt;AE112,$AK93&gt;9,$AK92&gt;2,ISNUMBER(AC112),ISNUMBER(AE112)),1,0)</f>
        <v>0</v>
      </c>
      <c r="AD118" s="236"/>
      <c r="AE118" s="237">
        <f>IF(AND(AE112&gt;AC112,$AK93&gt;9,$AK92&gt;2,ISNUMBER(AC112),ISNUMBER(AE112)),1,0)</f>
        <v>0</v>
      </c>
      <c r="AW118" s="238"/>
    </row>
    <row r="119" spans="1:49" s="235" customFormat="1" ht="12.75" hidden="1" customHeight="1" x14ac:dyDescent="0.2">
      <c r="A119" s="235" t="s">
        <v>57</v>
      </c>
      <c r="B119" s="236">
        <f>IF(AND(B113&gt;D113,$AK93&gt;0,$AK92&gt;3,ISNUMBER(B113),ISNUMBER(D113)),1,0)</f>
        <v>0</v>
      </c>
      <c r="C119" s="236"/>
      <c r="D119" s="237">
        <f>IF(AND(D113&gt;B113,$AK93&gt;0,$AK92&gt;3,ISNUMBER(B113),ISNUMBER(D113)),1,0)</f>
        <v>0</v>
      </c>
      <c r="E119" s="236">
        <f>IF(AND(E113&gt;G113,$AK93&gt;1,$AK92&gt;3,ISNUMBER(E113),ISNUMBER(G113)),1,0)</f>
        <v>0</v>
      </c>
      <c r="F119" s="236"/>
      <c r="G119" s="237">
        <f>IF(AND(G113&gt;E113,$AK93&gt;1,$AK92&gt;3,ISNUMBER(E113),ISNUMBER(G113)),1,0)</f>
        <v>0</v>
      </c>
      <c r="H119" s="236">
        <f>IF(AND(H113&gt;J113,$AK93&gt;2,$AK92&gt;3,ISNUMBER(H113),ISNUMBER(J113)),1,0)</f>
        <v>0</v>
      </c>
      <c r="I119" s="236"/>
      <c r="J119" s="237">
        <f>IF(AND(J113&gt;H113,$AK93&gt;2,$AK92&gt;3,ISNUMBER(H113),ISNUMBER(J113)),1,0)</f>
        <v>0</v>
      </c>
      <c r="K119" s="236">
        <f>IF(AND(K113&gt;M113,$AK93&gt;3,$AK92&gt;3,ISNUMBER(K113),ISNUMBER(M113)),1,0)</f>
        <v>0</v>
      </c>
      <c r="L119" s="236"/>
      <c r="M119" s="237">
        <f>IF(AND(M113&gt;K113,$AK93&gt;3,$AK92&gt;3,ISNUMBER(K113),ISNUMBER(M113)),1,0)</f>
        <v>0</v>
      </c>
      <c r="N119" s="236">
        <f>IF(AND(N113&gt;P113,$AK93&gt;4,$AK92&gt;3,ISNUMBER(N113),ISNUMBER(P113)),1,0)</f>
        <v>0</v>
      </c>
      <c r="O119" s="236"/>
      <c r="P119" s="237">
        <f>IF(AND(P113&gt;N113,$AK93&gt;4,$AK92&gt;3,ISNUMBER(N113),ISNUMBER(P113)),1,0)</f>
        <v>0</v>
      </c>
      <c r="Q119" s="236">
        <f>IF(AND(Q113&gt;S113,$AK93&gt;5,$AK92&gt;3,ISNUMBER(Q113),ISNUMBER(S113)),1,0)</f>
        <v>0</v>
      </c>
      <c r="R119" s="236"/>
      <c r="S119" s="237">
        <f>IF(AND(S113&gt;Q113,$AK93&gt;5,$AK92&gt;3,ISNUMBER(Q113),ISNUMBER(S113)),1,0)</f>
        <v>0</v>
      </c>
      <c r="T119" s="236">
        <f>IF(AND(T113&gt;V113,$AK93&gt;6,$AK92&gt;3,ISNUMBER(T113),ISNUMBER(V113)),1,0)</f>
        <v>0</v>
      </c>
      <c r="U119" s="236"/>
      <c r="V119" s="237">
        <f>IF(AND(V113&gt;T113,$AK93&gt;6,$AK92&gt;3,ISNUMBER(T113),ISNUMBER(V113)),1,0)</f>
        <v>0</v>
      </c>
      <c r="W119" s="236">
        <f>IF(AND(W113&gt;Y113,$AK93&gt;7,$AK92&gt;3,ISNUMBER(W113),ISNUMBER(Y113)),1,0)</f>
        <v>0</v>
      </c>
      <c r="X119" s="236"/>
      <c r="Y119" s="237">
        <f>IF(AND(Y113&gt;W113,$AK93&gt;7,$AK92&gt;3,ISNUMBER(W113),ISNUMBER(Y113)),1,0)</f>
        <v>0</v>
      </c>
      <c r="Z119" s="236">
        <f>IF(AND(Z113&gt;AB113,$AK93&gt;8,$AK92&gt;3,ISNUMBER(Z113),ISNUMBER(AB113)),1,0)</f>
        <v>0</v>
      </c>
      <c r="AA119" s="236"/>
      <c r="AB119" s="237">
        <f>IF(AND(AB113&gt;Z113,$AK93&gt;8,$AK92&gt;3,ISNUMBER(Z113),ISNUMBER(AB113)),1,0)</f>
        <v>0</v>
      </c>
      <c r="AC119" s="236">
        <f>IF(AND(AC113&gt;AE113,$AK93&gt;9,$AK92&gt;3,ISNUMBER(AC113),ISNUMBER(AE113)),1,0)</f>
        <v>0</v>
      </c>
      <c r="AD119" s="236"/>
      <c r="AE119" s="237">
        <f>IF(AND(AE113&gt;AC113,$AK93&gt;9,$AK92&gt;3,ISNUMBER(AC113),ISNUMBER(AE113)),1,0)</f>
        <v>0</v>
      </c>
      <c r="AW119" s="238"/>
    </row>
    <row r="120" spans="1:49" s="235" customFormat="1" ht="12.75" hidden="1" customHeight="1" x14ac:dyDescent="0.2">
      <c r="A120" s="235" t="s">
        <v>58</v>
      </c>
      <c r="B120" s="236">
        <f>IF(AND(B114&gt;D114,$AK93&gt;0,$AK92&gt;4,ISNUMBER(B114),ISNUMBER(D114)),1,0)</f>
        <v>0</v>
      </c>
      <c r="C120" s="236"/>
      <c r="D120" s="237">
        <f>IF(AND(D114&gt;B114,$AK93&gt;0,$AK92&gt;4,ISNUMBER(B114),ISNUMBER(D114)),1,0)</f>
        <v>0</v>
      </c>
      <c r="E120" s="236">
        <f>IF(AND(E114&gt;G114,$AK93&gt;1,$AK92&gt;4,ISNUMBER(E114),ISNUMBER(G114)),1,0)</f>
        <v>0</v>
      </c>
      <c r="F120" s="236"/>
      <c r="G120" s="237">
        <f>IF(AND(G114&gt;E114,$AK93&gt;1,$AK92&gt;4,ISNUMBER(E114),ISNUMBER(G114)),1,0)</f>
        <v>0</v>
      </c>
      <c r="H120" s="236">
        <f>IF(AND(H114&gt;J114,$AK93&gt;2,$AK92&gt;4,ISNUMBER(H114),ISNUMBER(J114)),1,0)</f>
        <v>0</v>
      </c>
      <c r="I120" s="236"/>
      <c r="J120" s="237">
        <f>IF(AND(J114&gt;H114,$AK93&gt;2,$AK92&gt;4,ISNUMBER(H114),ISNUMBER(J114)),1,0)</f>
        <v>0</v>
      </c>
      <c r="K120" s="236">
        <f>IF(AND(K114&gt;M114,$AK93&gt;3,$AK92&gt;4,ISNUMBER(K114),ISNUMBER(M114)),1,0)</f>
        <v>0</v>
      </c>
      <c r="L120" s="236"/>
      <c r="M120" s="237">
        <f>IF(AND(M114&gt;K114,$AK93&gt;3,$AK92&gt;4,ISNUMBER(K114),ISNUMBER(M114)),1,0)</f>
        <v>0</v>
      </c>
      <c r="N120" s="236">
        <f>IF(AND(N114&gt;P114,$AK93&gt;4,$AK92&gt;4,ISNUMBER(N114),ISNUMBER(P114)),1,0)</f>
        <v>0</v>
      </c>
      <c r="O120" s="236"/>
      <c r="P120" s="237">
        <f>IF(AND(P114&gt;N114,$AK93&gt;4,$AK92&gt;4,ISNUMBER(N114),ISNUMBER(P114)),1,0)</f>
        <v>0</v>
      </c>
      <c r="Q120" s="236">
        <f>IF(AND(Q114&gt;S114,$AK93&gt;5,$AK92&gt;4,ISNUMBER(Q114),ISNUMBER(S114)),1,0)</f>
        <v>0</v>
      </c>
      <c r="R120" s="236"/>
      <c r="S120" s="237">
        <f>IF(AND(S114&gt;Q114,$AK93&gt;5,$AK92&gt;4,ISNUMBER(Q114),ISNUMBER(S114)),1,0)</f>
        <v>0</v>
      </c>
      <c r="T120" s="236">
        <f>IF(AND(T114&gt;V114,$AK93&gt;6,$AK92&gt;4,ISNUMBER(T114),ISNUMBER(V114)),1,0)</f>
        <v>0</v>
      </c>
      <c r="U120" s="236"/>
      <c r="V120" s="237">
        <f>IF(AND(V114&gt;T114,$AK93&gt;6,$AK92&gt;4,ISNUMBER(T114),ISNUMBER(V114)),1,0)</f>
        <v>0</v>
      </c>
      <c r="W120" s="236">
        <f>IF(AND(W114&gt;Y114,$AK93&gt;7,$AK92&gt;4,ISNUMBER(W114),ISNUMBER(Y114)),1,0)</f>
        <v>0</v>
      </c>
      <c r="X120" s="236"/>
      <c r="Y120" s="237">
        <f>IF(AND(Y114&gt;W114,$AK93&gt;7,$AK92&gt;4,ISNUMBER(W114),ISNUMBER(Y114)),1,0)</f>
        <v>0</v>
      </c>
      <c r="Z120" s="236">
        <f>IF(AND(Z114&gt;AB114,$AK93&gt;8,$AK92&gt;4,ISNUMBER(Z114),ISNUMBER(AB114)),1,0)</f>
        <v>0</v>
      </c>
      <c r="AA120" s="236"/>
      <c r="AB120" s="237">
        <f>IF(AND(AB114&gt;Z114,$AK93&gt;8,$AK92&gt;4,ISNUMBER(Z114),ISNUMBER(AB114)),1,0)</f>
        <v>0</v>
      </c>
      <c r="AC120" s="236">
        <f>IF(AND(AC114&gt;AE114,$AK93&gt;9,$AK92&gt;4,ISNUMBER(AC114),ISNUMBER(AE114)),1,0)</f>
        <v>0</v>
      </c>
      <c r="AD120" s="236"/>
      <c r="AE120" s="237">
        <f>IF(AND(AE114&gt;AC114,$AK93&gt;9,$AK92&gt;4,ISNUMBER(AC114),ISNUMBER(AE114)),1,0)</f>
        <v>0</v>
      </c>
      <c r="AW120" s="238"/>
    </row>
    <row r="121" spans="1:49" s="235" customFormat="1" ht="38.25" hidden="1" customHeight="1" x14ac:dyDescent="0.2">
      <c r="A121" s="239" t="s">
        <v>59</v>
      </c>
      <c r="B121" s="235">
        <f>SUM(B116:B120)</f>
        <v>1</v>
      </c>
      <c r="D121" s="240">
        <f>SUM(D116:D120)</f>
        <v>1</v>
      </c>
      <c r="E121" s="235">
        <f>SUM(E116:E120)</f>
        <v>2</v>
      </c>
      <c r="G121" s="240">
        <f>SUM(G116:G120)</f>
        <v>0</v>
      </c>
      <c r="H121" s="235">
        <f>SUM(H116:H120)</f>
        <v>0</v>
      </c>
      <c r="J121" s="240">
        <f>SUM(J116:J120)</f>
        <v>2</v>
      </c>
      <c r="K121" s="235">
        <f>SUM(K116:K120)</f>
        <v>2</v>
      </c>
      <c r="M121" s="240">
        <f>SUM(M116:M120)</f>
        <v>0</v>
      </c>
      <c r="N121" s="235">
        <f>SUM(N116:N120)</f>
        <v>2</v>
      </c>
      <c r="P121" s="240">
        <f>SUM(P116:P120)</f>
        <v>0</v>
      </c>
      <c r="Q121" s="235">
        <f>SUM(Q116:Q120)</f>
        <v>1</v>
      </c>
      <c r="S121" s="240">
        <f>SUM(S116:S120)</f>
        <v>1</v>
      </c>
      <c r="T121" s="235">
        <f>SUM(T116:T120)</f>
        <v>2</v>
      </c>
      <c r="V121" s="240">
        <f>SUM(V116:V120)</f>
        <v>0</v>
      </c>
      <c r="W121" s="235">
        <f>SUM(W116:W120)</f>
        <v>2</v>
      </c>
      <c r="Y121" s="240">
        <f>SUM(Y116:Y120)</f>
        <v>0</v>
      </c>
      <c r="Z121" s="235">
        <f>SUM(Z116:Z120)</f>
        <v>0</v>
      </c>
      <c r="AB121" s="240">
        <f>SUM(AB116:AB120)</f>
        <v>2</v>
      </c>
      <c r="AC121" s="235">
        <f>SUM(AC116:AC120)</f>
        <v>2</v>
      </c>
      <c r="AE121" s="240">
        <f>SUM(AE116:AE120)</f>
        <v>0</v>
      </c>
      <c r="AW121" s="238"/>
    </row>
    <row r="122" spans="1:49" s="235" customFormat="1" ht="25.5" hidden="1" customHeight="1" x14ac:dyDescent="0.2">
      <c r="A122" s="239" t="s">
        <v>60</v>
      </c>
      <c r="B122" s="235">
        <f>IF(B121&gt;D121,IF(C156=AK92,1,IF(C156=AK92-1,1,0)),0)</f>
        <v>0</v>
      </c>
      <c r="C122" s="235">
        <f>B122+D122</f>
        <v>0</v>
      </c>
      <c r="D122" s="240">
        <f>IF(D121&gt;B121,IF(C156=AK92,1,IF(C156=AK92-1,1,0)),0)</f>
        <v>0</v>
      </c>
      <c r="E122" s="235">
        <f>IF(E121&gt;G121,IF(F156=AK92,1,IF(F156=AK92-1,1,0)),0)</f>
        <v>1</v>
      </c>
      <c r="F122" s="235">
        <f>E122+G122</f>
        <v>1</v>
      </c>
      <c r="G122" s="240">
        <f>IF(G121&gt;E121,IF(F156=AK92,1,IF(F156=AK92-1,1,0)),0)</f>
        <v>0</v>
      </c>
      <c r="H122" s="235">
        <f>IF(H121&gt;J121,IF(I156=AK92,1,IF(I156=AK92-1,1,0)),0)</f>
        <v>0</v>
      </c>
      <c r="I122" s="235">
        <f>H122+J122</f>
        <v>1</v>
      </c>
      <c r="J122" s="240">
        <f>IF(J121&gt;H121,IF(I156=AK92,1,IF(I156=AK92-1,1,0)),0)</f>
        <v>1</v>
      </c>
      <c r="K122" s="235">
        <f>IF(K121&gt;M121,IF(L156=AK92,1,IF(L156=AK92-1,1,0)),0)</f>
        <v>1</v>
      </c>
      <c r="L122" s="235">
        <f>K122+M122</f>
        <v>1</v>
      </c>
      <c r="M122" s="240">
        <f>IF(M121&gt;K121,IF(L156=AK92,1,IF(L156=AK92-1,1,0)),0)</f>
        <v>0</v>
      </c>
      <c r="N122" s="235">
        <f>IF(N121&gt;P121,IF(O156=AK92,1,IF(O156=AK92-1,1,0)),0)</f>
        <v>1</v>
      </c>
      <c r="O122" s="235">
        <f>N122+P122</f>
        <v>1</v>
      </c>
      <c r="P122" s="240">
        <f>IF(P121&gt;N121,IF(O156=AK92,1,IF(O156=AK92-1,1,0)),0)</f>
        <v>0</v>
      </c>
      <c r="Q122" s="235">
        <f>IF(Q121&gt;S121,IF(R156=AK92,1,IF(R156=AK92-1,1,0)),0)</f>
        <v>0</v>
      </c>
      <c r="R122" s="235">
        <f>Q122+S122</f>
        <v>0</v>
      </c>
      <c r="S122" s="240">
        <f>IF(S121&gt;Q121,IF(R156=AK92,1,IF(R156=AK92-1,1,0)),0)</f>
        <v>0</v>
      </c>
      <c r="T122" s="235">
        <f>IF(T121&gt;V121,IF(U156=AK92,1,IF(U156=AK92-1,1,0)),0)</f>
        <v>1</v>
      </c>
      <c r="U122" s="235">
        <f>T122+V122</f>
        <v>1</v>
      </c>
      <c r="V122" s="240">
        <f>IF(V121&gt;T121,IF(U156=AK92,1,IF(U156=AK92-1,1,0)),0)</f>
        <v>0</v>
      </c>
      <c r="W122" s="235">
        <f>IF(W121&gt;Y121,IF(X156=AK92,1,IF(X156=AK92-1,1,0)),0)</f>
        <v>1</v>
      </c>
      <c r="X122" s="235">
        <f>W122+Y122</f>
        <v>1</v>
      </c>
      <c r="Y122" s="240">
        <f>IF(Y121&gt;W121,IF(X156=AK92,1,IF(X156=AK92-1,1,0)),0)</f>
        <v>0</v>
      </c>
      <c r="Z122" s="235">
        <f>IF(Z121&gt;AB121,IF(AA156=AK92,1,IF(AA156=AK92-1,1,0)),0)</f>
        <v>0</v>
      </c>
      <c r="AA122" s="235">
        <f>Z122+AB122</f>
        <v>1</v>
      </c>
      <c r="AB122" s="240">
        <f>IF(AB121&gt;Z121,IF(AA156=AK92,1,IF(AA156=AK92-1,1,0)),0)</f>
        <v>1</v>
      </c>
      <c r="AC122" s="235">
        <f>IF(AC121&gt;AE121,IF(AD156=AK92,1,IF(AD156=AK92-1,1,0)),0)</f>
        <v>1</v>
      </c>
      <c r="AD122" s="235">
        <f>AC122+AE122</f>
        <v>1</v>
      </c>
      <c r="AE122" s="240">
        <f>IF(AE121&gt;AC121,IF(AD156=AK92,1,IF(AD156=AK92-1,1,0)),0)</f>
        <v>0</v>
      </c>
      <c r="AW122" s="238"/>
    </row>
    <row r="123" spans="1:49" s="235" customFormat="1" ht="25.5" hidden="1" customHeight="1" x14ac:dyDescent="0.2">
      <c r="A123" s="239"/>
      <c r="D123" s="240"/>
      <c r="G123" s="240"/>
      <c r="J123" s="240"/>
      <c r="M123" s="240"/>
      <c r="P123" s="240"/>
      <c r="S123" s="240"/>
      <c r="V123" s="240"/>
      <c r="Y123" s="240"/>
      <c r="AB123" s="240"/>
      <c r="AE123" s="240"/>
      <c r="AW123" s="238"/>
    </row>
    <row r="124" spans="1:49" s="235" customFormat="1" ht="12.75" hidden="1" customHeight="1" x14ac:dyDescent="0.2">
      <c r="A124" s="235" t="s">
        <v>61</v>
      </c>
      <c r="B124" s="235">
        <f>IF(B116=1,B110,0)</f>
        <v>0</v>
      </c>
      <c r="D124" s="240">
        <f t="shared" ref="D124:E128" si="11">IF(D116=1,D110,0)</f>
        <v>25</v>
      </c>
      <c r="E124" s="235">
        <f t="shared" si="11"/>
        <v>25</v>
      </c>
      <c r="G124" s="240">
        <f t="shared" ref="G124:H128" si="12">IF(G116=1,G110,0)</f>
        <v>0</v>
      </c>
      <c r="H124" s="235">
        <f t="shared" si="12"/>
        <v>0</v>
      </c>
      <c r="J124" s="240">
        <f t="shared" ref="J124:K128" si="13">IF(J116=1,J110,0)</f>
        <v>25</v>
      </c>
      <c r="K124" s="235">
        <f t="shared" si="13"/>
        <v>25</v>
      </c>
      <c r="M124" s="240">
        <f t="shared" ref="M124:N128" si="14">IF(M116=1,M110,0)</f>
        <v>0</v>
      </c>
      <c r="N124" s="235">
        <f t="shared" si="14"/>
        <v>25</v>
      </c>
      <c r="P124" s="240">
        <f t="shared" ref="P124:Q128" si="15">IF(P116=1,P110,0)</f>
        <v>0</v>
      </c>
      <c r="Q124" s="235">
        <f t="shared" si="15"/>
        <v>0</v>
      </c>
      <c r="S124" s="240">
        <f t="shared" ref="S124:T128" si="16">IF(S116=1,S110,0)</f>
        <v>25</v>
      </c>
      <c r="T124" s="235">
        <f t="shared" si="16"/>
        <v>25</v>
      </c>
      <c r="V124" s="240">
        <f t="shared" ref="V124:W128" si="17">IF(V116=1,V110,0)</f>
        <v>0</v>
      </c>
      <c r="W124" s="235">
        <f t="shared" si="17"/>
        <v>25</v>
      </c>
      <c r="Y124" s="240">
        <f t="shared" ref="Y124:Z128" si="18">IF(Y116=1,Y110,0)</f>
        <v>0</v>
      </c>
      <c r="Z124" s="235">
        <f t="shared" si="18"/>
        <v>0</v>
      </c>
      <c r="AB124" s="240">
        <f t="shared" ref="AB124:AC128" si="19">IF(AB116=1,AB110,0)</f>
        <v>25</v>
      </c>
      <c r="AC124" s="235">
        <f t="shared" si="19"/>
        <v>25</v>
      </c>
      <c r="AE124" s="240">
        <f>IF(AE116=1,AE110,0)</f>
        <v>0</v>
      </c>
      <c r="AW124" s="238"/>
    </row>
    <row r="125" spans="1:49" s="235" customFormat="1" ht="12.75" hidden="1" customHeight="1" x14ac:dyDescent="0.2">
      <c r="A125" s="235" t="s">
        <v>62</v>
      </c>
      <c r="B125" s="235">
        <f>IF(B117=1,B111,0)</f>
        <v>25</v>
      </c>
      <c r="D125" s="240">
        <f t="shared" si="11"/>
        <v>0</v>
      </c>
      <c r="E125" s="235">
        <f t="shared" si="11"/>
        <v>25</v>
      </c>
      <c r="G125" s="240">
        <f t="shared" si="12"/>
        <v>0</v>
      </c>
      <c r="H125" s="235">
        <f t="shared" si="12"/>
        <v>0</v>
      </c>
      <c r="J125" s="240">
        <f t="shared" si="13"/>
        <v>25</v>
      </c>
      <c r="K125" s="235">
        <f t="shared" si="13"/>
        <v>25</v>
      </c>
      <c r="M125" s="240">
        <f t="shared" si="14"/>
        <v>0</v>
      </c>
      <c r="N125" s="235">
        <f t="shared" si="14"/>
        <v>25</v>
      </c>
      <c r="P125" s="240">
        <f t="shared" si="15"/>
        <v>0</v>
      </c>
      <c r="Q125" s="235">
        <f t="shared" si="15"/>
        <v>27</v>
      </c>
      <c r="S125" s="240">
        <f t="shared" si="16"/>
        <v>0</v>
      </c>
      <c r="T125" s="235">
        <f t="shared" si="16"/>
        <v>25</v>
      </c>
      <c r="V125" s="240">
        <f t="shared" si="17"/>
        <v>0</v>
      </c>
      <c r="W125" s="235">
        <f t="shared" si="17"/>
        <v>25</v>
      </c>
      <c r="Y125" s="240">
        <f t="shared" si="18"/>
        <v>0</v>
      </c>
      <c r="Z125" s="235">
        <f t="shared" si="18"/>
        <v>0</v>
      </c>
      <c r="AB125" s="240">
        <f t="shared" si="19"/>
        <v>25</v>
      </c>
      <c r="AC125" s="235">
        <f t="shared" si="19"/>
        <v>25</v>
      </c>
      <c r="AE125" s="240">
        <f>IF(AE117=1,AE111,0)</f>
        <v>0</v>
      </c>
      <c r="AW125" s="238"/>
    </row>
    <row r="126" spans="1:49" s="235" customFormat="1" ht="12.75" hidden="1" customHeight="1" x14ac:dyDescent="0.2">
      <c r="A126" s="235" t="s">
        <v>63</v>
      </c>
      <c r="B126" s="235">
        <f>IF(B118=1,B112,0)</f>
        <v>0</v>
      </c>
      <c r="D126" s="240">
        <f t="shared" si="11"/>
        <v>0</v>
      </c>
      <c r="E126" s="235">
        <f t="shared" si="11"/>
        <v>0</v>
      </c>
      <c r="G126" s="240">
        <f t="shared" si="12"/>
        <v>0</v>
      </c>
      <c r="H126" s="235">
        <f t="shared" si="12"/>
        <v>0</v>
      </c>
      <c r="J126" s="240">
        <f t="shared" si="13"/>
        <v>0</v>
      </c>
      <c r="K126" s="235">
        <f t="shared" si="13"/>
        <v>0</v>
      </c>
      <c r="M126" s="240">
        <f t="shared" si="14"/>
        <v>0</v>
      </c>
      <c r="N126" s="235">
        <f t="shared" si="14"/>
        <v>0</v>
      </c>
      <c r="P126" s="240">
        <f t="shared" si="15"/>
        <v>0</v>
      </c>
      <c r="Q126" s="235">
        <f t="shared" si="15"/>
        <v>0</v>
      </c>
      <c r="S126" s="240">
        <f t="shared" si="16"/>
        <v>0</v>
      </c>
      <c r="T126" s="235">
        <f t="shared" si="16"/>
        <v>0</v>
      </c>
      <c r="V126" s="240">
        <f t="shared" si="17"/>
        <v>0</v>
      </c>
      <c r="W126" s="235">
        <f t="shared" si="17"/>
        <v>0</v>
      </c>
      <c r="Y126" s="240">
        <f t="shared" si="18"/>
        <v>0</v>
      </c>
      <c r="Z126" s="235">
        <f t="shared" si="18"/>
        <v>0</v>
      </c>
      <c r="AB126" s="240">
        <f t="shared" si="19"/>
        <v>0</v>
      </c>
      <c r="AC126" s="235">
        <f t="shared" si="19"/>
        <v>0</v>
      </c>
      <c r="AE126" s="240">
        <f>IF(AE118=1,AE112,0)</f>
        <v>0</v>
      </c>
      <c r="AW126" s="238"/>
    </row>
    <row r="127" spans="1:49" s="235" customFormat="1" ht="12.75" hidden="1" customHeight="1" x14ac:dyDescent="0.2">
      <c r="A127" s="235" t="s">
        <v>64</v>
      </c>
      <c r="B127" s="235">
        <f>IF(B119=1,B113,0)</f>
        <v>0</v>
      </c>
      <c r="D127" s="240">
        <f t="shared" si="11"/>
        <v>0</v>
      </c>
      <c r="E127" s="235">
        <f t="shared" si="11"/>
        <v>0</v>
      </c>
      <c r="G127" s="240">
        <f t="shared" si="12"/>
        <v>0</v>
      </c>
      <c r="H127" s="235">
        <f t="shared" si="12"/>
        <v>0</v>
      </c>
      <c r="J127" s="240">
        <f t="shared" si="13"/>
        <v>0</v>
      </c>
      <c r="K127" s="235">
        <f t="shared" si="13"/>
        <v>0</v>
      </c>
      <c r="M127" s="240">
        <f t="shared" si="14"/>
        <v>0</v>
      </c>
      <c r="N127" s="235">
        <f t="shared" si="14"/>
        <v>0</v>
      </c>
      <c r="P127" s="240">
        <f t="shared" si="15"/>
        <v>0</v>
      </c>
      <c r="Q127" s="235">
        <f t="shared" si="15"/>
        <v>0</v>
      </c>
      <c r="S127" s="240">
        <f t="shared" si="16"/>
        <v>0</v>
      </c>
      <c r="T127" s="235">
        <f t="shared" si="16"/>
        <v>0</v>
      </c>
      <c r="V127" s="240">
        <f t="shared" si="17"/>
        <v>0</v>
      </c>
      <c r="W127" s="235">
        <f t="shared" si="17"/>
        <v>0</v>
      </c>
      <c r="Y127" s="240">
        <f t="shared" si="18"/>
        <v>0</v>
      </c>
      <c r="Z127" s="235">
        <f t="shared" si="18"/>
        <v>0</v>
      </c>
      <c r="AB127" s="240">
        <f t="shared" si="19"/>
        <v>0</v>
      </c>
      <c r="AC127" s="235">
        <f t="shared" si="19"/>
        <v>0</v>
      </c>
      <c r="AE127" s="240">
        <f>IF(AE119=1,AE113,0)</f>
        <v>0</v>
      </c>
      <c r="AW127" s="238"/>
    </row>
    <row r="128" spans="1:49" s="235" customFormat="1" ht="12.75" hidden="1" customHeight="1" x14ac:dyDescent="0.2">
      <c r="A128" s="235" t="s">
        <v>65</v>
      </c>
      <c r="B128" s="235">
        <f>IF(B120=1,B114,0)</f>
        <v>0</v>
      </c>
      <c r="D128" s="240">
        <f t="shared" si="11"/>
        <v>0</v>
      </c>
      <c r="E128" s="235">
        <f t="shared" si="11"/>
        <v>0</v>
      </c>
      <c r="G128" s="240">
        <f t="shared" si="12"/>
        <v>0</v>
      </c>
      <c r="H128" s="235">
        <f t="shared" si="12"/>
        <v>0</v>
      </c>
      <c r="J128" s="240">
        <f t="shared" si="13"/>
        <v>0</v>
      </c>
      <c r="K128" s="235">
        <f t="shared" si="13"/>
        <v>0</v>
      </c>
      <c r="M128" s="240">
        <f t="shared" si="14"/>
        <v>0</v>
      </c>
      <c r="N128" s="235">
        <f t="shared" si="14"/>
        <v>0</v>
      </c>
      <c r="P128" s="240">
        <f t="shared" si="15"/>
        <v>0</v>
      </c>
      <c r="Q128" s="235">
        <f t="shared" si="15"/>
        <v>0</v>
      </c>
      <c r="S128" s="240">
        <f t="shared" si="16"/>
        <v>0</v>
      </c>
      <c r="T128" s="235">
        <f t="shared" si="16"/>
        <v>0</v>
      </c>
      <c r="V128" s="240">
        <f t="shared" si="17"/>
        <v>0</v>
      </c>
      <c r="W128" s="235">
        <f t="shared" si="17"/>
        <v>0</v>
      </c>
      <c r="Y128" s="240">
        <f t="shared" si="18"/>
        <v>0</v>
      </c>
      <c r="Z128" s="235">
        <f t="shared" si="18"/>
        <v>0</v>
      </c>
      <c r="AB128" s="240">
        <f t="shared" si="19"/>
        <v>0</v>
      </c>
      <c r="AC128" s="235">
        <f t="shared" si="19"/>
        <v>0</v>
      </c>
      <c r="AE128" s="240">
        <f>IF(AE120=1,AE114,0)</f>
        <v>0</v>
      </c>
      <c r="AW128" s="238"/>
    </row>
    <row r="129" spans="1:49" s="235" customFormat="1" ht="38.25" hidden="1" customHeight="1" x14ac:dyDescent="0.2">
      <c r="A129" s="239" t="s">
        <v>66</v>
      </c>
      <c r="B129" s="235">
        <f>SUM(B124:D128)</f>
        <v>50</v>
      </c>
      <c r="D129" s="240"/>
      <c r="E129" s="235">
        <f>SUM(E124:G128)</f>
        <v>50</v>
      </c>
      <c r="G129" s="240"/>
      <c r="H129" s="235">
        <f>SUM(H124:J128)</f>
        <v>50</v>
      </c>
      <c r="J129" s="240"/>
      <c r="K129" s="235">
        <f>SUM(K124:M128)</f>
        <v>50</v>
      </c>
      <c r="M129" s="240"/>
      <c r="N129" s="235">
        <f>SUM(N124:P128)</f>
        <v>50</v>
      </c>
      <c r="P129" s="240"/>
      <c r="Q129" s="235">
        <f>SUM(Q124:S128)</f>
        <v>52</v>
      </c>
      <c r="S129" s="240"/>
      <c r="T129" s="235">
        <f>SUM(T124:V128)</f>
        <v>50</v>
      </c>
      <c r="V129" s="240"/>
      <c r="W129" s="235">
        <f>SUM(W124:Y128)</f>
        <v>50</v>
      </c>
      <c r="Y129" s="240"/>
      <c r="Z129" s="235">
        <f>SUM(Z124:AB128)</f>
        <v>50</v>
      </c>
      <c r="AB129" s="240"/>
      <c r="AC129" s="235">
        <f>SUM(AC124:AE128)</f>
        <v>50</v>
      </c>
      <c r="AE129" s="240"/>
      <c r="AW129" s="238"/>
    </row>
    <row r="130" spans="1:49" s="235" customFormat="1" ht="38.25" hidden="1" customHeight="1" x14ac:dyDescent="0.2">
      <c r="A130" s="235" t="s">
        <v>67</v>
      </c>
      <c r="D130" s="240"/>
      <c r="G130" s="240"/>
      <c r="J130" s="240"/>
      <c r="M130" s="240"/>
      <c r="P130" s="240"/>
      <c r="S130" s="240"/>
      <c r="V130" s="240"/>
      <c r="Y130" s="240"/>
      <c r="AB130" s="240"/>
      <c r="AE130" s="240"/>
      <c r="AF130" s="239" t="s">
        <v>68</v>
      </c>
      <c r="AG130" s="235" t="s">
        <v>69</v>
      </c>
      <c r="AW130" s="238"/>
    </row>
    <row r="131" spans="1:49" s="235" customFormat="1" ht="12.75" hidden="1" customHeight="1" x14ac:dyDescent="0.2">
      <c r="A131" s="235" t="s">
        <v>70</v>
      </c>
      <c r="B131" s="235">
        <f>IF(B109=1,IF(B122=1,1,0),0)</f>
        <v>0</v>
      </c>
      <c r="D131" s="240">
        <f>IF(D109=1,IF(D122=1,1,0),0)</f>
        <v>0</v>
      </c>
      <c r="E131" s="235">
        <f>IF(E109=1,IF(E122=1,1,0),0)</f>
        <v>1</v>
      </c>
      <c r="G131" s="240">
        <f>IF(G109=1,IF(G122=1,1,0),0)</f>
        <v>0</v>
      </c>
      <c r="H131" s="235">
        <f>IF(H109=1,IF(H122=1,1,0),0)</f>
        <v>0</v>
      </c>
      <c r="J131" s="240">
        <f>IF(J109=1,IF(J122=1,1,0),0)</f>
        <v>0</v>
      </c>
      <c r="K131" s="235">
        <f>IF(K109=1,IF(K122=1,1,0),0)</f>
        <v>0</v>
      </c>
      <c r="M131" s="240">
        <f>IF(M109=1,IF(M122=1,1,0),0)</f>
        <v>0</v>
      </c>
      <c r="N131" s="235">
        <f>IF(N109=1,IF(N122=1,1,0),0)</f>
        <v>1</v>
      </c>
      <c r="P131" s="240">
        <f>IF(P109=1,IF(P122=1,1,0),0)</f>
        <v>0</v>
      </c>
      <c r="Q131" s="235">
        <f>IF(Q109=1,IF(Q122=1,1,0),0)</f>
        <v>0</v>
      </c>
      <c r="S131" s="240">
        <f>IF(S109=1,IF(S122=1,1,0),0)</f>
        <v>0</v>
      </c>
      <c r="T131" s="235">
        <f>IF(T109=1,IF(T122=1,1,0),0)</f>
        <v>0</v>
      </c>
      <c r="V131" s="240">
        <f>IF(V109=1,IF(V122=1,1,0),0)</f>
        <v>0</v>
      </c>
      <c r="W131" s="235">
        <f>IF(W109=1,IF(W122=1,1,0),0)</f>
        <v>1</v>
      </c>
      <c r="Y131" s="240">
        <f>IF(Y109=1,IF(Y122=1,1,0),0)</f>
        <v>0</v>
      </c>
      <c r="Z131" s="235">
        <f>IF(Z109=1,IF(Z122=1,1,0),0)</f>
        <v>0</v>
      </c>
      <c r="AB131" s="240">
        <f>IF(AB109=1,IF(AB122=1,1,0),0)</f>
        <v>0</v>
      </c>
      <c r="AC131" s="235">
        <f>IF(AC109=1,IF(AC122=1,1,0),0)</f>
        <v>1</v>
      </c>
      <c r="AE131" s="240">
        <f>IF(AE109=1,IF(AE122=1,1,0),0)</f>
        <v>0</v>
      </c>
      <c r="AF131" s="235">
        <f>SUM(B131:AE131)</f>
        <v>4</v>
      </c>
      <c r="AG131" s="235">
        <f>AF137-AF131</f>
        <v>0</v>
      </c>
      <c r="AW131" s="238"/>
    </row>
    <row r="132" spans="1:49" s="235" customFormat="1" ht="12.75" hidden="1" customHeight="1" x14ac:dyDescent="0.2">
      <c r="A132" s="235" t="s">
        <v>71</v>
      </c>
      <c r="B132" s="235">
        <f>IF(B109=2,IF(B122=1,1,0),0)</f>
        <v>0</v>
      </c>
      <c r="D132" s="240">
        <f>IF(D109=2,IF(D122=1,1,0),0)</f>
        <v>0</v>
      </c>
      <c r="E132" s="235">
        <f>IF(E109=2,IF(E122=1,1,0),0)</f>
        <v>0</v>
      </c>
      <c r="G132" s="240">
        <f>IF(G109=2,IF(G122=1,1,0),0)</f>
        <v>0</v>
      </c>
      <c r="H132" s="235">
        <f>IF(H109=2,IF(H122=1,1,0),0)</f>
        <v>0</v>
      </c>
      <c r="J132" s="240">
        <f>IF(J109=2,IF(J122=1,1,0),0)</f>
        <v>0</v>
      </c>
      <c r="K132" s="235">
        <f>IF(K109=2,IF(K122=1,1,0),0)</f>
        <v>1</v>
      </c>
      <c r="M132" s="240">
        <f>IF(M109=2,IF(M122=1,1,0),0)</f>
        <v>0</v>
      </c>
      <c r="N132" s="235">
        <f>IF(N109=2,IF(N122=1,1,0),0)</f>
        <v>0</v>
      </c>
      <c r="P132" s="240">
        <f>IF(P109=2,IF(P122=1,1,0),0)</f>
        <v>0</v>
      </c>
      <c r="Q132" s="235">
        <f>IF(Q109=2,IF(Q122=1,1,0),0)</f>
        <v>0</v>
      </c>
      <c r="S132" s="240">
        <f>IF(S109=2,IF(S122=1,1,0),0)</f>
        <v>0</v>
      </c>
      <c r="T132" s="235">
        <f>IF(T109=2,IF(T122=1,1,0),0)</f>
        <v>1</v>
      </c>
      <c r="V132" s="240">
        <f>IF(V109=2,IF(V122=1,1,0),0)</f>
        <v>0</v>
      </c>
      <c r="W132" s="235">
        <f>IF(W109=2,IF(W122=1,1,0),0)</f>
        <v>0</v>
      </c>
      <c r="Y132" s="240">
        <f>IF(Y109=2,IF(Y122=1,1,0),0)</f>
        <v>0</v>
      </c>
      <c r="Z132" s="235">
        <f>IF(Z109=2,IF(Z122=1,1,0),0)</f>
        <v>0</v>
      </c>
      <c r="AB132" s="240">
        <f>IF(AB109=2,IF(AB122=1,1,0),0)</f>
        <v>0</v>
      </c>
      <c r="AC132" s="235">
        <f>IF(AC109=2,IF(AC122=1,1,0),0)</f>
        <v>0</v>
      </c>
      <c r="AE132" s="240">
        <f>IF(AE109=2,IF(AE122=1,1,0),0)</f>
        <v>0</v>
      </c>
      <c r="AF132" s="235">
        <f>SUM(B132:AE132)</f>
        <v>2</v>
      </c>
      <c r="AG132" s="235">
        <f>AF138-AF132</f>
        <v>1</v>
      </c>
      <c r="AW132" s="238"/>
    </row>
    <row r="133" spans="1:49" s="235" customFormat="1" ht="12.75" hidden="1" customHeight="1" x14ac:dyDescent="0.2">
      <c r="A133" s="235" t="s">
        <v>72</v>
      </c>
      <c r="B133" s="235">
        <f>IF(B109=3,IF(B122=1,1,0),0)</f>
        <v>0</v>
      </c>
      <c r="D133" s="240">
        <f>IF(D109=3,IF(D122=1,1,0),0)</f>
        <v>0</v>
      </c>
      <c r="E133" s="235">
        <f>IF(E109=3,IF(E122=1,1,0),0)</f>
        <v>0</v>
      </c>
      <c r="G133" s="240">
        <f>IF(G109=3,IF(G122=1,1,0),0)</f>
        <v>0</v>
      </c>
      <c r="H133" s="235">
        <f>IF(H109=3,IF(H122=1,1,0),0)</f>
        <v>0</v>
      </c>
      <c r="J133" s="240">
        <f>IF(J109=3,IF(J122=1,1,0),0)</f>
        <v>0</v>
      </c>
      <c r="K133" s="235">
        <f>IF(K109=3,IF(K122=1,1,0),0)</f>
        <v>0</v>
      </c>
      <c r="M133" s="240">
        <f>IF(M109=3,IF(M122=1,1,0),0)</f>
        <v>0</v>
      </c>
      <c r="N133" s="235">
        <f>IF(N109=3,IF(N122=1,1,0),0)</f>
        <v>0</v>
      </c>
      <c r="P133" s="240">
        <f>IF(P109=3,IF(P122=1,1,0),0)</f>
        <v>0</v>
      </c>
      <c r="Q133" s="235">
        <f>IF(Q109=3,IF(Q122=1,1,0),0)</f>
        <v>0</v>
      </c>
      <c r="S133" s="240">
        <f>IF(S109=3,IF(S122=1,1,0),0)</f>
        <v>0</v>
      </c>
      <c r="T133" s="235">
        <f>IF(T109=3,IF(T122=1,1,0),0)</f>
        <v>0</v>
      </c>
      <c r="V133" s="240">
        <f>IF(V109=3,IF(V122=1,1,0),0)</f>
        <v>0</v>
      </c>
      <c r="W133" s="235">
        <f>IF(W109=3,IF(W122=1,1,0),0)</f>
        <v>0</v>
      </c>
      <c r="Y133" s="240">
        <f>IF(Y109=3,IF(Y122=1,1,0),0)</f>
        <v>0</v>
      </c>
      <c r="Z133" s="235">
        <f>IF(Z109=3,IF(Z122=1,1,0),0)</f>
        <v>0</v>
      </c>
      <c r="AB133" s="240">
        <f>IF(AB109=3,IF(AB122=1,1,0),0)</f>
        <v>0</v>
      </c>
      <c r="AC133" s="235">
        <f>IF(AC109=3,IF(AC122=1,1,0),0)</f>
        <v>0</v>
      </c>
      <c r="AE133" s="240">
        <f>IF(AE109=3,IF(AE122=1,1,0),0)</f>
        <v>0</v>
      </c>
      <c r="AF133" s="235">
        <f>SUM(B133:AE133)</f>
        <v>0</v>
      </c>
      <c r="AG133" s="235">
        <f>AF139-AF133</f>
        <v>4</v>
      </c>
      <c r="AW133" s="238"/>
    </row>
    <row r="134" spans="1:49" s="235" customFormat="1" ht="12.75" hidden="1" customHeight="1" x14ac:dyDescent="0.2">
      <c r="A134" s="235" t="s">
        <v>73</v>
      </c>
      <c r="B134" s="235">
        <f>IF(B109=4,IF(B122=1,1,0),0)</f>
        <v>0</v>
      </c>
      <c r="D134" s="240">
        <f>IF(D109=4,IF(D122=1,1,0),0)</f>
        <v>0</v>
      </c>
      <c r="E134" s="235">
        <f>IF(E109=4,IF(E122=1,1,0),0)</f>
        <v>0</v>
      </c>
      <c r="G134" s="240">
        <f>IF(G109=4,IF(G122=1,1,0),0)</f>
        <v>0</v>
      </c>
      <c r="H134" s="235">
        <f>IF(H109=4,IF(H122=1,1,0),0)</f>
        <v>0</v>
      </c>
      <c r="J134" s="240">
        <f>IF(J109=4,IF(J122=1,1,0),0)</f>
        <v>0</v>
      </c>
      <c r="K134" s="235">
        <f>IF(K109=4,IF(K122=1,1,0),0)</f>
        <v>0</v>
      </c>
      <c r="M134" s="240">
        <f>IF(M109=4,IF(M122=1,1,0),0)</f>
        <v>0</v>
      </c>
      <c r="N134" s="235">
        <f>IF(N109=4,IF(N122=1,1,0),0)</f>
        <v>0</v>
      </c>
      <c r="P134" s="240">
        <f>IF(P109=4,IF(P122=1,1,0),0)</f>
        <v>0</v>
      </c>
      <c r="Q134" s="235">
        <f>IF(Q109=4,IF(Q122=1,1,0),0)</f>
        <v>0</v>
      </c>
      <c r="S134" s="240">
        <f>IF(S109=4,IF(S122=1,1,0),0)</f>
        <v>0</v>
      </c>
      <c r="T134" s="235">
        <f>IF(T109=4,IF(T122=1,1,0),0)</f>
        <v>0</v>
      </c>
      <c r="V134" s="240">
        <f>IF(V109=4,IF(V122=1,1,0),0)</f>
        <v>0</v>
      </c>
      <c r="W134" s="235">
        <f>IF(W109=4,IF(W122=1,1,0),0)</f>
        <v>0</v>
      </c>
      <c r="Y134" s="240">
        <f>IF(Y109=4,IF(Y122=1,1,0),0)</f>
        <v>0</v>
      </c>
      <c r="Z134" s="235">
        <f>IF(Z109=4,IF(Z122=1,1,0),0)</f>
        <v>0</v>
      </c>
      <c r="AB134" s="240">
        <f>IF(AB109=4,IF(AB122=1,1,0),0)</f>
        <v>1</v>
      </c>
      <c r="AC134" s="235">
        <f>IF(AC109=4,IF(AC122=1,1,0),0)</f>
        <v>0</v>
      </c>
      <c r="AE134" s="240">
        <f>IF(AE109=4,IF(AE122=1,1,0),0)</f>
        <v>0</v>
      </c>
      <c r="AF134" s="235">
        <f>SUM(B134:AE134)</f>
        <v>1</v>
      </c>
      <c r="AG134" s="235">
        <f>AF140-AF134</f>
        <v>2</v>
      </c>
      <c r="AW134" s="238"/>
    </row>
    <row r="135" spans="1:49" s="235" customFormat="1" ht="12.75" hidden="1" customHeight="1" x14ac:dyDescent="0.2">
      <c r="A135" s="235" t="s">
        <v>74</v>
      </c>
      <c r="B135" s="235">
        <f>IF(B109=5,IF(B122=1,1,0),0)</f>
        <v>0</v>
      </c>
      <c r="D135" s="240">
        <f>IF(D109=5,IF(D122=1,1,0),0)</f>
        <v>0</v>
      </c>
      <c r="E135" s="235">
        <f>IF(E109=5,IF(E122=1,1,0),0)</f>
        <v>0</v>
      </c>
      <c r="G135" s="240">
        <f>IF(G109=5,IF(G122=1,1,0),0)</f>
        <v>0</v>
      </c>
      <c r="H135" s="235">
        <f>IF(H109=5,IF(H122=1,1,0),0)</f>
        <v>0</v>
      </c>
      <c r="J135" s="240">
        <f>IF(J109=5,IF(J122=1,1,0),0)</f>
        <v>1</v>
      </c>
      <c r="K135" s="235">
        <f>IF(K109=5,IF(K122=1,1,0),0)</f>
        <v>0</v>
      </c>
      <c r="M135" s="240">
        <f>IF(M109=5,IF(M122=1,1,0),0)</f>
        <v>0</v>
      </c>
      <c r="N135" s="235">
        <f>IF(N109=5,IF(N122=1,1,0),0)</f>
        <v>0</v>
      </c>
      <c r="P135" s="240">
        <f>IF(P109=5,IF(P122=1,1,0),0)</f>
        <v>0</v>
      </c>
      <c r="Q135" s="235">
        <f>IF(Q109=5,IF(Q122=1,1,0),0)</f>
        <v>0</v>
      </c>
      <c r="S135" s="240">
        <f>IF(S109=5,IF(S122=1,1,0),0)</f>
        <v>0</v>
      </c>
      <c r="T135" s="235">
        <f>IF(T109=5,IF(T122=1,1,0),0)</f>
        <v>0</v>
      </c>
      <c r="V135" s="240">
        <f>IF(V109=5,IF(V122=1,1,0),0)</f>
        <v>0</v>
      </c>
      <c r="W135" s="235">
        <f>IF(W109=5,IF(W122=1,1,0),0)</f>
        <v>0</v>
      </c>
      <c r="Y135" s="240">
        <f>IF(Y109=5,IF(Y122=1,1,0),0)</f>
        <v>0</v>
      </c>
      <c r="Z135" s="235">
        <f>IF(Z109=5,IF(Z122=1,1,0),0)</f>
        <v>0</v>
      </c>
      <c r="AB135" s="240">
        <f>IF(AB109=5,IF(AB122=1,1,0),0)</f>
        <v>0</v>
      </c>
      <c r="AC135" s="235">
        <f>IF(AC109=5,IF(AC122=1,1,0),0)</f>
        <v>0</v>
      </c>
      <c r="AE135" s="240">
        <f>IF(AE109=5,IF(AE122=1,1,0),0)</f>
        <v>0</v>
      </c>
      <c r="AF135" s="235">
        <f>SUM(B135:AE135)</f>
        <v>1</v>
      </c>
      <c r="AG135" s="235">
        <f>AF141-AF135</f>
        <v>1</v>
      </c>
      <c r="AW135" s="238"/>
    </row>
    <row r="136" spans="1:49" s="235" customFormat="1" ht="38.25" hidden="1" customHeight="1" x14ac:dyDescent="0.2">
      <c r="A136" s="239"/>
      <c r="D136" s="240"/>
      <c r="G136" s="240"/>
      <c r="J136" s="240"/>
      <c r="M136" s="240"/>
      <c r="P136" s="240"/>
      <c r="S136" s="240"/>
      <c r="V136" s="240"/>
      <c r="Y136" s="240"/>
      <c r="AB136" s="240"/>
      <c r="AE136" s="240"/>
      <c r="AF136" s="239" t="s">
        <v>75</v>
      </c>
      <c r="AW136" s="238"/>
    </row>
    <row r="137" spans="1:49" s="235" customFormat="1" ht="12.75" hidden="1" customHeight="1" x14ac:dyDescent="0.2">
      <c r="A137" s="235" t="s">
        <v>76</v>
      </c>
      <c r="B137" s="235">
        <f>IF(B109=1,IF(C122=1,1,0),0)</f>
        <v>0</v>
      </c>
      <c r="D137" s="240">
        <f>IF(D109=1,IF(C122=1,1,0),0)</f>
        <v>0</v>
      </c>
      <c r="E137" s="235">
        <f>IF(E109=1,IF(F122=1,1,0),0)</f>
        <v>1</v>
      </c>
      <c r="G137" s="240">
        <f>IF(G109=1,IF(F122=1,1,0),0)</f>
        <v>0</v>
      </c>
      <c r="H137" s="235">
        <f>IF(H109=1,IF(I122=1,1,0),0)</f>
        <v>0</v>
      </c>
      <c r="J137" s="240">
        <f>IF(J109=1,IF(I122=1,1,0),0)</f>
        <v>0</v>
      </c>
      <c r="K137" s="235">
        <f>IF(K109=1,IF(L122=1,1,0),0)</f>
        <v>0</v>
      </c>
      <c r="M137" s="240">
        <f>IF(M109=1,IF(L122=1,1,0),0)</f>
        <v>0</v>
      </c>
      <c r="N137" s="235">
        <f>IF(N109=1,IF(O122=1,1,0),0)</f>
        <v>1</v>
      </c>
      <c r="P137" s="240">
        <f>IF(P109=1,IF(O122=1,1,0),0)</f>
        <v>0</v>
      </c>
      <c r="Q137" s="235">
        <f>IF(Q109=1,IF(R122=1,1,0),0)</f>
        <v>0</v>
      </c>
      <c r="S137" s="240">
        <f>IF(S109=1,IF(R122=1,1,0),0)</f>
        <v>0</v>
      </c>
      <c r="T137" s="235">
        <f>IF(T109=1,IF(U122=1,1,0),0)</f>
        <v>0</v>
      </c>
      <c r="V137" s="240">
        <f>IF(V109=1,IF(U122=1,1,0),0)</f>
        <v>0</v>
      </c>
      <c r="W137" s="235">
        <f>IF(W109=1,IF(X122=1,1,0),0)</f>
        <v>1</v>
      </c>
      <c r="Y137" s="240">
        <f>IF(Y109=1,IF(X122=1,1,0),0)</f>
        <v>0</v>
      </c>
      <c r="Z137" s="235">
        <f>IF(Z109=1,IF(AA122=1,1,0),0)</f>
        <v>0</v>
      </c>
      <c r="AB137" s="240">
        <f>IF(AB109=1,IF(AA122=1,1,0),0)</f>
        <v>0</v>
      </c>
      <c r="AC137" s="235">
        <f>IF(AC109=1,IF(AD122=1,1,0),0)</f>
        <v>1</v>
      </c>
      <c r="AE137" s="240">
        <f>IF(AE109=1,IF(AD122=1,1,0),0)</f>
        <v>0</v>
      </c>
      <c r="AF137" s="235">
        <f>SUM(B137:AE137)</f>
        <v>4</v>
      </c>
      <c r="AW137" s="238"/>
    </row>
    <row r="138" spans="1:49" s="235" customFormat="1" ht="12.75" hidden="1" customHeight="1" x14ac:dyDescent="0.2">
      <c r="A138" s="235" t="s">
        <v>77</v>
      </c>
      <c r="B138" s="235">
        <f>IF(B109=2,IF(C122=1,1,0),0)</f>
        <v>0</v>
      </c>
      <c r="D138" s="240">
        <f>IF(D109=2,IF(C122=1,1,0),0)</f>
        <v>0</v>
      </c>
      <c r="E138" s="235">
        <f>IF(E109=2,IF(F122=1,1,0),0)</f>
        <v>0</v>
      </c>
      <c r="G138" s="240">
        <f>IF(G109=2,IF(F122=1,1,0),0)</f>
        <v>0</v>
      </c>
      <c r="H138" s="235">
        <f>IF(H109=2,IF(I122=1,1,0),0)</f>
        <v>0</v>
      </c>
      <c r="J138" s="240">
        <f>IF(J109=2,IF(I122=1,1,0),0)</f>
        <v>0</v>
      </c>
      <c r="K138" s="235">
        <f>IF(K109=2,IF(L122=1,1,0),0)</f>
        <v>1</v>
      </c>
      <c r="M138" s="240">
        <f>IF(M109=2,IF(L122=1,1,0),0)</f>
        <v>0</v>
      </c>
      <c r="N138" s="235">
        <f>IF(N109=2,IF(O122=1,1,0),0)</f>
        <v>0</v>
      </c>
      <c r="P138" s="240">
        <f>IF(P109=2,IF(O122=1,1,0),0)</f>
        <v>0</v>
      </c>
      <c r="Q138" s="235">
        <f>IF(Q109=2,IF(R122=1,1,0),0)</f>
        <v>0</v>
      </c>
      <c r="S138" s="240">
        <f>IF(S109=2,IF(R122=1,1,0),0)</f>
        <v>0</v>
      </c>
      <c r="T138" s="235">
        <f>IF(T109=2,IF(U122=1,1,0),0)</f>
        <v>1</v>
      </c>
      <c r="V138" s="240">
        <f>IF(V109=2,IF(U122=1,1,0),0)</f>
        <v>0</v>
      </c>
      <c r="W138" s="235">
        <f>IF(W109=2,IF(X122=1,1,0),0)</f>
        <v>0</v>
      </c>
      <c r="Y138" s="240">
        <f>IF(Y109=2,IF(X122=1,1,0),0)</f>
        <v>0</v>
      </c>
      <c r="Z138" s="235">
        <f>IF(Z109=2,IF(AA122=1,1,0),0)</f>
        <v>0</v>
      </c>
      <c r="AB138" s="240">
        <f>IF(AB109=2,IF(AA122=1,1,0),0)</f>
        <v>0</v>
      </c>
      <c r="AC138" s="235">
        <f>IF(AC109=2,IF(AD122=1,1,0),0)</f>
        <v>0</v>
      </c>
      <c r="AE138" s="240">
        <f>IF(AE109=2,IF(AD122=1,1,0),0)</f>
        <v>1</v>
      </c>
      <c r="AF138" s="235">
        <f>SUM(B138:AE138)</f>
        <v>3</v>
      </c>
      <c r="AW138" s="238"/>
    </row>
    <row r="139" spans="1:49" s="235" customFormat="1" ht="12.75" hidden="1" customHeight="1" x14ac:dyDescent="0.2">
      <c r="A139" s="235" t="s">
        <v>78</v>
      </c>
      <c r="B139" s="235">
        <f>IF(B109=3,IF(C122=1,1,0),0)</f>
        <v>0</v>
      </c>
      <c r="D139" s="240">
        <f>IF(D109=3,IF(C122=1,1,0),0)</f>
        <v>0</v>
      </c>
      <c r="E139" s="235">
        <f>IF(E109=3,IF(F122=1,1,0),0)</f>
        <v>0</v>
      </c>
      <c r="G139" s="240">
        <f>IF(G109=3,IF(F122=1,1,0),0)</f>
        <v>0</v>
      </c>
      <c r="H139" s="235">
        <f>IF(H109=3,IF(I122=1,1,0),0)</f>
        <v>1</v>
      </c>
      <c r="J139" s="240">
        <f>IF(J109=3,IF(I122=1,1,0),0)</f>
        <v>0</v>
      </c>
      <c r="K139" s="235">
        <f>IF(K109=3,IF(L122=1,1,0),0)</f>
        <v>0</v>
      </c>
      <c r="M139" s="240">
        <f>IF(M109=3,IF(L122=1,1,0),0)</f>
        <v>0</v>
      </c>
      <c r="N139" s="235">
        <f>IF(N109=3,IF(O122=1,1,0),0)</f>
        <v>0</v>
      </c>
      <c r="P139" s="240">
        <f>IF(P109=3,IF(O122=1,1,0),0)</f>
        <v>1</v>
      </c>
      <c r="Q139" s="235">
        <f>IF(Q109=3,IF(R122=1,1,0),0)</f>
        <v>0</v>
      </c>
      <c r="S139" s="240">
        <f>IF(S109=3,IF(R122=1,1,0),0)</f>
        <v>0</v>
      </c>
      <c r="T139" s="235">
        <f>IF(T109=3,IF(U122=1,1,0),0)</f>
        <v>0</v>
      </c>
      <c r="V139" s="240">
        <f>IF(V109=3,IF(U122=1,1,0),0)</f>
        <v>1</v>
      </c>
      <c r="W139" s="235">
        <f>IF(W109=3,IF(X122=1,1,0),0)</f>
        <v>0</v>
      </c>
      <c r="Y139" s="240">
        <f>IF(Y109=3,IF(X122=1,1,0),0)</f>
        <v>0</v>
      </c>
      <c r="Z139" s="235">
        <f>IF(Z109=3,IF(AA122=1,1,0),0)</f>
        <v>1</v>
      </c>
      <c r="AB139" s="240">
        <f>IF(AB109=3,IF(AA122=1,1,0),0)</f>
        <v>0</v>
      </c>
      <c r="AC139" s="235">
        <f>IF(AC109=3,IF(AD122=1,1,0),0)</f>
        <v>0</v>
      </c>
      <c r="AE139" s="240">
        <f>IF(AE109=3,IF(AD122=1,1,0),0)</f>
        <v>0</v>
      </c>
      <c r="AF139" s="235">
        <f>SUM(B139:AE139)</f>
        <v>4</v>
      </c>
      <c r="AW139" s="238"/>
    </row>
    <row r="140" spans="1:49" s="235" customFormat="1" ht="12.75" hidden="1" customHeight="1" x14ac:dyDescent="0.2">
      <c r="A140" s="235" t="s">
        <v>79</v>
      </c>
      <c r="B140" s="235">
        <f>IF(B109=4,IF(C122=1,1,0),0)</f>
        <v>0</v>
      </c>
      <c r="D140" s="240">
        <f>IF(D109=4,IF(C122=1,1,0),0)</f>
        <v>0</v>
      </c>
      <c r="E140" s="235">
        <f>IF(E109=4,IF(F122=1,1,0),0)</f>
        <v>0</v>
      </c>
      <c r="G140" s="240">
        <f>IF(G109=4,IF(F122=1,1,0),0)</f>
        <v>1</v>
      </c>
      <c r="H140" s="235">
        <f>IF(H109=4,IF(I122=1,1,0),0)</f>
        <v>0</v>
      </c>
      <c r="J140" s="240">
        <f>IF(J109=4,IF(I122=1,1,0),0)</f>
        <v>0</v>
      </c>
      <c r="K140" s="235">
        <f>IF(K109=4,IF(L122=1,1,0),0)</f>
        <v>0</v>
      </c>
      <c r="M140" s="240">
        <f>IF(M109=4,IF(L122=1,1,0),0)</f>
        <v>1</v>
      </c>
      <c r="N140" s="235">
        <f>IF(N109=4,IF(O122=1,1,0),0)</f>
        <v>0</v>
      </c>
      <c r="P140" s="240">
        <f>IF(P109=4,IF(O122=1,1,0),0)</f>
        <v>0</v>
      </c>
      <c r="Q140" s="235">
        <f>IF(Q109=4,IF(R122=1,1,0),0)</f>
        <v>0</v>
      </c>
      <c r="S140" s="240">
        <f>IF(S109=4,IF(R122=1,1,0),0)</f>
        <v>0</v>
      </c>
      <c r="T140" s="235">
        <f>IF(T109=4,IF(U122=1,1,0),0)</f>
        <v>0</v>
      </c>
      <c r="V140" s="240">
        <f>IF(V109=4,IF(U122=1,1,0),0)</f>
        <v>0</v>
      </c>
      <c r="W140" s="235">
        <f>IF(W109=4,IF(X122=1,1,0),0)</f>
        <v>0</v>
      </c>
      <c r="Y140" s="240">
        <f>IF(Y109=4,IF(X122=1,1,0),0)</f>
        <v>0</v>
      </c>
      <c r="Z140" s="235">
        <f>IF(Z109=4,IF(AA122=1,1,0),0)</f>
        <v>0</v>
      </c>
      <c r="AB140" s="240">
        <f>IF(AB109=4,IF(AA122=1,1,0),0)</f>
        <v>1</v>
      </c>
      <c r="AC140" s="235">
        <f>IF(AC109=4,IF(AD122=1,1,0),0)</f>
        <v>0</v>
      </c>
      <c r="AE140" s="240">
        <f>IF(AE109=4,IF(AD122=1,1,0),0)</f>
        <v>0</v>
      </c>
      <c r="AF140" s="235">
        <f>SUM(B140:AE140)</f>
        <v>3</v>
      </c>
      <c r="AW140" s="238"/>
    </row>
    <row r="141" spans="1:49" s="235" customFormat="1" ht="12.75" hidden="1" customHeight="1" x14ac:dyDescent="0.2">
      <c r="A141" s="235" t="s">
        <v>80</v>
      </c>
      <c r="B141" s="235">
        <f>IF(B109=5,IF(C122=1,1,0),0)</f>
        <v>0</v>
      </c>
      <c r="D141" s="240">
        <f>IF(D109=5,IF(C122=1,1,0),0)</f>
        <v>0</v>
      </c>
      <c r="E141" s="235">
        <f>IF(E109=5,IF(F122=1,1,0),0)</f>
        <v>0</v>
      </c>
      <c r="G141" s="240">
        <f>IF(G109=5,IF(F122=1,1,0),0)</f>
        <v>0</v>
      </c>
      <c r="H141" s="235">
        <f>IF(H109=5,IF(I122=1,1,0),0)</f>
        <v>0</v>
      </c>
      <c r="J141" s="240">
        <f>IF(J109=5,IF(I122=1,1,0),0)</f>
        <v>1</v>
      </c>
      <c r="K141" s="235">
        <f>IF(K109=5,IF(L122=1,1,0),0)</f>
        <v>0</v>
      </c>
      <c r="M141" s="240">
        <f>IF(M109=5,IF(L122=1,1,0),0)</f>
        <v>0</v>
      </c>
      <c r="N141" s="235">
        <f>IF(N109=5,IF(O122=1,1,0),0)</f>
        <v>0</v>
      </c>
      <c r="P141" s="240">
        <f>IF(P109=5,IF(O122=1,1,0),0)</f>
        <v>0</v>
      </c>
      <c r="Q141" s="235">
        <f>IF(Q109=5,IF(R122=1,1,0),0)</f>
        <v>0</v>
      </c>
      <c r="S141" s="240">
        <f>IF(S109=5,IF(R122=1,1,0),0)</f>
        <v>0</v>
      </c>
      <c r="T141" s="235">
        <f>IF(T109=5,IF(U122=1,1,0),0)</f>
        <v>0</v>
      </c>
      <c r="V141" s="240">
        <f>IF(V109=5,IF(U122=1,1,0),0)</f>
        <v>0</v>
      </c>
      <c r="W141" s="235">
        <f>IF(W109=5,IF(X122=1,1,0),0)</f>
        <v>0</v>
      </c>
      <c r="Y141" s="240">
        <f>IF(Y109=5,IF(X122=1,1,0),0)</f>
        <v>1</v>
      </c>
      <c r="Z141" s="235">
        <f>IF(Z109=5,IF(AA122=1,1,0),0)</f>
        <v>0</v>
      </c>
      <c r="AB141" s="240">
        <f>IF(AB109=5,IF(AA122=1,1,0),0)</f>
        <v>0</v>
      </c>
      <c r="AC141" s="235">
        <f>IF(AC109=5,IF(AD122=1,1,0),0)</f>
        <v>0</v>
      </c>
      <c r="AE141" s="240">
        <f>IF(AE109=5,IF(AD122=1,1,0),0)</f>
        <v>0</v>
      </c>
      <c r="AF141" s="235">
        <f>SUM(B141:AE141)</f>
        <v>2</v>
      </c>
      <c r="AW141" s="238"/>
    </row>
    <row r="142" spans="1:49" s="235" customFormat="1" ht="38.25" hidden="1" customHeight="1" x14ac:dyDescent="0.2">
      <c r="A142" s="239"/>
      <c r="D142" s="240"/>
      <c r="G142" s="240"/>
      <c r="J142" s="240"/>
      <c r="M142" s="240"/>
      <c r="P142" s="240"/>
      <c r="S142" s="240"/>
      <c r="V142" s="240"/>
      <c r="Y142" s="240"/>
      <c r="AB142" s="240"/>
      <c r="AE142" s="240"/>
      <c r="AF142" s="239" t="s">
        <v>81</v>
      </c>
      <c r="AG142" s="524"/>
      <c r="AH142" s="524"/>
      <c r="AI142" s="524"/>
      <c r="AJ142" s="524"/>
      <c r="AK142" s="524"/>
      <c r="AW142" s="238"/>
    </row>
    <row r="143" spans="1:49" s="235" customFormat="1" ht="12.75" hidden="1" customHeight="1" x14ac:dyDescent="0.2">
      <c r="A143" s="235" t="s">
        <v>76</v>
      </c>
      <c r="B143" s="235">
        <f>IF(B109=1,B129,0)</f>
        <v>0</v>
      </c>
      <c r="D143" s="240">
        <f>IF(D109=1,B129,0)</f>
        <v>0</v>
      </c>
      <c r="E143" s="235">
        <f>IF(E109=1,E129,0)</f>
        <v>50</v>
      </c>
      <c r="G143" s="240">
        <f>IF(G109=1,E129,0)</f>
        <v>0</v>
      </c>
      <c r="H143" s="235">
        <f>IF(H109=1,H129,0)</f>
        <v>0</v>
      </c>
      <c r="J143" s="240">
        <f>IF(J109=1,H129,0)</f>
        <v>0</v>
      </c>
      <c r="K143" s="235">
        <f>IF(K109=1,K129,0)</f>
        <v>0</v>
      </c>
      <c r="M143" s="240">
        <f>IF(M109=1,K129,0)</f>
        <v>0</v>
      </c>
      <c r="N143" s="235">
        <f>IF(N109=1,N129,0)</f>
        <v>50</v>
      </c>
      <c r="P143" s="240">
        <f>IF(P109=1,N129,0)</f>
        <v>0</v>
      </c>
      <c r="Q143" s="235">
        <f>IF(Q109=1,Q129,0)</f>
        <v>0</v>
      </c>
      <c r="S143" s="240">
        <f>IF(S109=1,Q129,0)</f>
        <v>0</v>
      </c>
      <c r="T143" s="235">
        <f>IF(T109=1,T129,0)</f>
        <v>0</v>
      </c>
      <c r="V143" s="240">
        <f>IF(V109=1,T129,0)</f>
        <v>0</v>
      </c>
      <c r="W143" s="235">
        <f>IF(W109=1,W129,0)</f>
        <v>50</v>
      </c>
      <c r="Y143" s="240">
        <f>IF(Y109=1,W129,0)</f>
        <v>0</v>
      </c>
      <c r="Z143" s="235">
        <f>IF(Z109=1,Z129,0)</f>
        <v>0</v>
      </c>
      <c r="AB143" s="240">
        <f>IF(AB109=1,Z129,0)</f>
        <v>0</v>
      </c>
      <c r="AC143" s="235">
        <f>IF(AC109=1,AC129,0)</f>
        <v>50</v>
      </c>
      <c r="AE143" s="240">
        <f>IF(AE109=1,AC129,0)</f>
        <v>0</v>
      </c>
      <c r="AF143" s="235">
        <f>SUM(B143:AE143)</f>
        <v>200</v>
      </c>
      <c r="AW143" s="238"/>
    </row>
    <row r="144" spans="1:49" s="235" customFormat="1" ht="12.75" hidden="1" customHeight="1" x14ac:dyDescent="0.2">
      <c r="A144" s="235" t="s">
        <v>77</v>
      </c>
      <c r="B144" s="235">
        <f>IF(B109=2,B129,0)</f>
        <v>50</v>
      </c>
      <c r="D144" s="240">
        <f>IF(D109=2,B129,0)</f>
        <v>0</v>
      </c>
      <c r="E144" s="235">
        <f>IF(E109=2,E129,0)</f>
        <v>0</v>
      </c>
      <c r="G144" s="240">
        <f>IF(G109=2,E129,0)</f>
        <v>0</v>
      </c>
      <c r="H144" s="235">
        <f>IF(H109=2,H129,0)</f>
        <v>0</v>
      </c>
      <c r="J144" s="240">
        <f>IF(J109=2,H129,0)</f>
        <v>0</v>
      </c>
      <c r="K144" s="235">
        <f>IF(K109=2,K129,0)</f>
        <v>50</v>
      </c>
      <c r="M144" s="240">
        <f>IF(M109=2,K129,0)</f>
        <v>0</v>
      </c>
      <c r="N144" s="235">
        <f>IF(N109=2,N129,0)</f>
        <v>0</v>
      </c>
      <c r="P144" s="240">
        <f>IF(P109=2,N129,0)</f>
        <v>0</v>
      </c>
      <c r="Q144" s="235">
        <f>IF(Q109=2,Q129,0)</f>
        <v>0</v>
      </c>
      <c r="S144" s="240">
        <f>IF(S109=2,Q129,0)</f>
        <v>0</v>
      </c>
      <c r="T144" s="235">
        <f>IF(T109=2,T129,0)</f>
        <v>50</v>
      </c>
      <c r="V144" s="240">
        <f>IF(V109=2,T129,0)</f>
        <v>0</v>
      </c>
      <c r="W144" s="235">
        <f>IF(W109=2,W129,0)</f>
        <v>0</v>
      </c>
      <c r="Y144" s="240">
        <f>IF(Y109=2,W129,0)</f>
        <v>0</v>
      </c>
      <c r="Z144" s="235">
        <f>IF(Z109=2,Z129,0)</f>
        <v>0</v>
      </c>
      <c r="AB144" s="240">
        <f>IF(AB109=2,Z129,0)</f>
        <v>0</v>
      </c>
      <c r="AC144" s="235">
        <f>IF(AC109=2,AC129,0)</f>
        <v>0</v>
      </c>
      <c r="AE144" s="240">
        <f>IF(AE109=2,AC129,0)</f>
        <v>50</v>
      </c>
      <c r="AF144" s="235">
        <f>SUM(B144:AE144)</f>
        <v>200</v>
      </c>
      <c r="AW144" s="238"/>
    </row>
    <row r="145" spans="1:49" s="235" customFormat="1" ht="12.75" hidden="1" customHeight="1" x14ac:dyDescent="0.2">
      <c r="A145" s="235" t="s">
        <v>78</v>
      </c>
      <c r="B145" s="235">
        <f>IF(B109=3,B129,0)</f>
        <v>0</v>
      </c>
      <c r="D145" s="240">
        <f>IF(D109=3,B129,0)</f>
        <v>0</v>
      </c>
      <c r="E145" s="235">
        <f>IF(E109=3,E129,0)</f>
        <v>0</v>
      </c>
      <c r="G145" s="240">
        <f>IF(G109=3,E129,0)</f>
        <v>0</v>
      </c>
      <c r="H145" s="235">
        <f>IF(H109=3,H129,0)</f>
        <v>50</v>
      </c>
      <c r="J145" s="240">
        <f>IF(J109=3,H129,0)</f>
        <v>0</v>
      </c>
      <c r="K145" s="235">
        <f>IF(K109=3,K129,0)</f>
        <v>0</v>
      </c>
      <c r="M145" s="240">
        <f>IF(M109=3,K129,0)</f>
        <v>0</v>
      </c>
      <c r="N145" s="235">
        <f>IF(N109=3,N129,0)</f>
        <v>0</v>
      </c>
      <c r="P145" s="240">
        <f>IF(P109=3,N129,0)</f>
        <v>50</v>
      </c>
      <c r="Q145" s="235">
        <f>IF(Q109=3,Q129,0)</f>
        <v>0</v>
      </c>
      <c r="S145" s="240">
        <f>IF(S109=3,Q129,0)</f>
        <v>0</v>
      </c>
      <c r="T145" s="235">
        <f>IF(T109=3,T129,0)</f>
        <v>0</v>
      </c>
      <c r="V145" s="240">
        <f>IF(V109=3,T129,0)</f>
        <v>50</v>
      </c>
      <c r="W145" s="235">
        <f>IF(W109=3,W129,0)</f>
        <v>0</v>
      </c>
      <c r="Y145" s="240">
        <f>IF(Y109=3,W129,0)</f>
        <v>0</v>
      </c>
      <c r="Z145" s="235">
        <f>IF(Z109=3,Z129,0)</f>
        <v>50</v>
      </c>
      <c r="AB145" s="240">
        <f>IF(AB109=3,Z129,0)</f>
        <v>0</v>
      </c>
      <c r="AC145" s="235">
        <f>IF(AC109=3,AC129,0)</f>
        <v>0</v>
      </c>
      <c r="AE145" s="240">
        <f>IF(AE109=3,AC129,0)</f>
        <v>0</v>
      </c>
      <c r="AF145" s="235">
        <f>SUM(B145:AE145)</f>
        <v>200</v>
      </c>
      <c r="AW145" s="238"/>
    </row>
    <row r="146" spans="1:49" s="235" customFormat="1" ht="12.75" hidden="1" customHeight="1" x14ac:dyDescent="0.2">
      <c r="A146" s="235" t="s">
        <v>79</v>
      </c>
      <c r="B146" s="235">
        <f>IF(B109=4,B129,0)</f>
        <v>0</v>
      </c>
      <c r="D146" s="240">
        <f>IF(D109=4,B129,0)</f>
        <v>0</v>
      </c>
      <c r="E146" s="235">
        <f>IF(E109=4,E129,0)</f>
        <v>0</v>
      </c>
      <c r="G146" s="240">
        <f>IF(G109=4,E129,0)</f>
        <v>50</v>
      </c>
      <c r="H146" s="235">
        <f>IF(H109=4,H129,0)</f>
        <v>0</v>
      </c>
      <c r="J146" s="240">
        <f>IF(J109=4,H129,0)</f>
        <v>0</v>
      </c>
      <c r="K146" s="235">
        <f>IF(K109=4,K129,0)</f>
        <v>0</v>
      </c>
      <c r="M146" s="240">
        <f>IF(M109=4,K129,0)</f>
        <v>50</v>
      </c>
      <c r="N146" s="235">
        <f>IF(N109=4,N129,0)</f>
        <v>0</v>
      </c>
      <c r="P146" s="240">
        <f>IF(P109=4,N129,0)</f>
        <v>0</v>
      </c>
      <c r="Q146" s="235">
        <f>IF(Q109=4,Q129,0)</f>
        <v>52</v>
      </c>
      <c r="S146" s="240">
        <f>IF(S109=4,Q129,0)</f>
        <v>0</v>
      </c>
      <c r="T146" s="235">
        <f>IF(T109=4,T129,0)</f>
        <v>0</v>
      </c>
      <c r="V146" s="240">
        <f>IF(V109=4,T129,0)</f>
        <v>0</v>
      </c>
      <c r="W146" s="235">
        <f>IF(W109=4,W129,0)</f>
        <v>0</v>
      </c>
      <c r="Y146" s="240">
        <f>IF(Y109=4,W129,0)</f>
        <v>0</v>
      </c>
      <c r="Z146" s="235">
        <f>IF(Z109=4,Z129,0)</f>
        <v>0</v>
      </c>
      <c r="AB146" s="240">
        <f>IF(AB109=4,Z129,0)</f>
        <v>50</v>
      </c>
      <c r="AC146" s="235">
        <f>IF(AC109=4,AC129,0)</f>
        <v>0</v>
      </c>
      <c r="AE146" s="240">
        <f>IF(AE109=4,AC129,0)</f>
        <v>0</v>
      </c>
      <c r="AF146" s="235">
        <f>SUM(B146:AE146)</f>
        <v>202</v>
      </c>
      <c r="AW146" s="238"/>
    </row>
    <row r="147" spans="1:49" s="235" customFormat="1" ht="12.75" hidden="1" customHeight="1" x14ac:dyDescent="0.2">
      <c r="A147" s="235" t="s">
        <v>80</v>
      </c>
      <c r="B147" s="235">
        <f>IF(B109=5,B129,0)</f>
        <v>0</v>
      </c>
      <c r="D147" s="240">
        <f>IF(D109=5,B129,0)</f>
        <v>50</v>
      </c>
      <c r="E147" s="235">
        <f>IF(E109=5,E129,0)</f>
        <v>0</v>
      </c>
      <c r="G147" s="240">
        <f>IF(G109=5,E129,0)</f>
        <v>0</v>
      </c>
      <c r="H147" s="235">
        <f>IF(H109=5,H129,0)</f>
        <v>0</v>
      </c>
      <c r="J147" s="240">
        <f>IF(J109=5,H129,0)</f>
        <v>50</v>
      </c>
      <c r="K147" s="235">
        <f>IF(K109=5,K129,0)</f>
        <v>0</v>
      </c>
      <c r="M147" s="240">
        <f>IF(M109=5,K129,0)</f>
        <v>0</v>
      </c>
      <c r="N147" s="235">
        <f>IF(N109=5,N129,0)</f>
        <v>0</v>
      </c>
      <c r="P147" s="240">
        <f>IF(P109=5,N129,0)</f>
        <v>0</v>
      </c>
      <c r="Q147" s="235">
        <f>IF(Q109=5,Q129,0)</f>
        <v>0</v>
      </c>
      <c r="S147" s="240">
        <f>IF(S109=5,Q129,0)</f>
        <v>52</v>
      </c>
      <c r="T147" s="235">
        <f>IF(T109=5,T129,0)</f>
        <v>0</v>
      </c>
      <c r="V147" s="240">
        <f>IF(V109=5,T129,0)</f>
        <v>0</v>
      </c>
      <c r="W147" s="235">
        <f>IF(W109=5,W129,0)</f>
        <v>0</v>
      </c>
      <c r="Y147" s="240">
        <f>IF(Y109=5,W129,0)</f>
        <v>50</v>
      </c>
      <c r="Z147" s="235">
        <f>IF(Z109=5,Z129,0)</f>
        <v>0</v>
      </c>
      <c r="AB147" s="240">
        <f>IF(AB109=5,Z129,0)</f>
        <v>0</v>
      </c>
      <c r="AC147" s="235">
        <f>IF(AC109=5,AC129,0)</f>
        <v>0</v>
      </c>
      <c r="AE147" s="240">
        <f>IF(AE109=5,AC129,0)</f>
        <v>0</v>
      </c>
      <c r="AF147" s="235">
        <f>SUM(B147:AE147)</f>
        <v>202</v>
      </c>
      <c r="AW147" s="238"/>
    </row>
    <row r="148" spans="1:49" s="235" customFormat="1" ht="38.25" hidden="1" customHeight="1" x14ac:dyDescent="0.2">
      <c r="A148" s="235" t="s">
        <v>82</v>
      </c>
      <c r="D148" s="240"/>
      <c r="G148" s="240"/>
      <c r="J148" s="240"/>
      <c r="M148" s="240"/>
      <c r="P148" s="240"/>
      <c r="S148" s="240"/>
      <c r="V148" s="240"/>
      <c r="Y148" s="240"/>
      <c r="AB148" s="240"/>
      <c r="AE148" s="240"/>
      <c r="AF148" s="239" t="s">
        <v>83</v>
      </c>
      <c r="AG148" s="235" t="s">
        <v>84</v>
      </c>
      <c r="AW148" s="238"/>
    </row>
    <row r="149" spans="1:49" s="235" customFormat="1" ht="12.75" hidden="1" customHeight="1" x14ac:dyDescent="0.2">
      <c r="A149" s="235" t="s">
        <v>70</v>
      </c>
      <c r="B149" s="235">
        <f>IF(B109=1,SUMIF(B116:B120,"&gt;0"),0)</f>
        <v>0</v>
      </c>
      <c r="D149" s="240">
        <f>IF(D109=1,SUMIF(D116:D120,"&gt;0"),0)</f>
        <v>0</v>
      </c>
      <c r="E149" s="235">
        <f>IF(E109=1,SUMIF(E116:E120,"&gt;0"),0)</f>
        <v>2</v>
      </c>
      <c r="G149" s="240">
        <f>IF(G109=1,SUMIF(G116:G120,"&gt;0"),0)</f>
        <v>0</v>
      </c>
      <c r="H149" s="235">
        <f>IF(H109=1,SUMIF(H116:H120,"&gt;0"),0)</f>
        <v>0</v>
      </c>
      <c r="J149" s="240">
        <f>IF(J109=1,SUMIF(J116:J120,"&gt;0"),0)</f>
        <v>0</v>
      </c>
      <c r="K149" s="235">
        <f>IF(K109=1,SUMIF(K116:K120,"&gt;0"),0)</f>
        <v>0</v>
      </c>
      <c r="M149" s="240">
        <f>IF(M109=1,SUMIF(M116:M120,"&gt;0"),0)</f>
        <v>0</v>
      </c>
      <c r="N149" s="235">
        <f>IF(N109=1,SUMIF(N116:N120,"&gt;0"),0)</f>
        <v>2</v>
      </c>
      <c r="P149" s="240">
        <f>IF(P109=1,SUMIF(P116:P120,"&gt;0"),0)</f>
        <v>0</v>
      </c>
      <c r="Q149" s="235">
        <f>IF(Q109=1,SUMIF(Q116:Q120,"&gt;0"),0)</f>
        <v>0</v>
      </c>
      <c r="S149" s="240">
        <f>IF(S109=1,SUMIF(S116:S120,"&gt;0"),0)</f>
        <v>0</v>
      </c>
      <c r="T149" s="235">
        <f>IF(T109=1,SUMIF(T116:T120,"&gt;0"),0)</f>
        <v>0</v>
      </c>
      <c r="V149" s="240">
        <f>IF(V109=1,SUMIF(V116:V120,"&gt;0"),0)</f>
        <v>0</v>
      </c>
      <c r="W149" s="235">
        <f>IF(W109=1,SUMIF(W116:W120,"&gt;0"),0)</f>
        <v>2</v>
      </c>
      <c r="Y149" s="240">
        <f>IF(Y109=1,SUMIF(Y116:Y120,"&gt;0"),0)</f>
        <v>0</v>
      </c>
      <c r="Z149" s="235">
        <f>IF(Z109=1,SUMIF(Z116:Z120,"&gt;0"),0)</f>
        <v>0</v>
      </c>
      <c r="AB149" s="240">
        <f>IF(AB109=1,SUMIF(AB116:AB120,"&gt;0"),0)</f>
        <v>0</v>
      </c>
      <c r="AC149" s="235">
        <f>IF(AC109=1,SUMIF(AC116:AC120,"&gt;0"),0)</f>
        <v>2</v>
      </c>
      <c r="AE149" s="240">
        <f>IF(AE109=1,SUMIF(AE116:AE120,"&gt;0"),0)</f>
        <v>0</v>
      </c>
      <c r="AF149" s="235">
        <f>SUM(B149:AE149)</f>
        <v>8</v>
      </c>
      <c r="AG149" s="235">
        <f>AF157-AF149</f>
        <v>0</v>
      </c>
      <c r="AW149" s="238"/>
    </row>
    <row r="150" spans="1:49" s="235" customFormat="1" ht="12.75" hidden="1" customHeight="1" x14ac:dyDescent="0.2">
      <c r="A150" s="235" t="s">
        <v>71</v>
      </c>
      <c r="B150" s="235">
        <f>IF(B109=2,SUMIF(B116:B120,"&gt;0"),0)</f>
        <v>1</v>
      </c>
      <c r="D150" s="240">
        <f>IF(D109=2,SUMIF(D116:D120,"&gt;0"),0)</f>
        <v>0</v>
      </c>
      <c r="E150" s="235">
        <f>IF(E109=2,SUMIF(E116:E120,"&gt;0"),0)</f>
        <v>0</v>
      </c>
      <c r="G150" s="240">
        <f>IF(G109=2,SUMIF(G116:G120,"&gt;0"),0)</f>
        <v>0</v>
      </c>
      <c r="H150" s="235">
        <f>IF(H109=2,SUMIF(H116:H120,"&gt;0"),0)</f>
        <v>0</v>
      </c>
      <c r="J150" s="240">
        <f>IF(J109=2,SUMIF(J116:J120,"&gt;0"),0)</f>
        <v>0</v>
      </c>
      <c r="K150" s="235">
        <f>IF(K109=2,SUMIF(K116:K120,"&gt;0"),0)</f>
        <v>2</v>
      </c>
      <c r="M150" s="240">
        <f>IF(M109=2,SUMIF(M116:M120,"&gt;0"),0)</f>
        <v>0</v>
      </c>
      <c r="N150" s="235">
        <f>IF(N109=2,SUMIF(N116:N120,"&gt;0"),0)</f>
        <v>0</v>
      </c>
      <c r="P150" s="240">
        <f>IF(P109=2,SUMIF(P116:P120,"&gt;0"),0)</f>
        <v>0</v>
      </c>
      <c r="Q150" s="235">
        <f>IF(Q109=2,SUMIF(Q116:Q120,"&gt;0"),0)</f>
        <v>0</v>
      </c>
      <c r="S150" s="240">
        <f>IF(S109=2,SUMIF(S116:S120,"&gt;0"),0)</f>
        <v>0</v>
      </c>
      <c r="T150" s="235">
        <f>IF(T109=2,SUMIF(T116:T120,"&gt;0"),0)</f>
        <v>2</v>
      </c>
      <c r="V150" s="240">
        <f>IF(V109=2,SUMIF(V116:V120,"&gt;0"),0)</f>
        <v>0</v>
      </c>
      <c r="W150" s="235">
        <f>IF(W109=2,SUMIF(W116:W120,"&gt;0"),0)</f>
        <v>0</v>
      </c>
      <c r="Y150" s="240">
        <f>IF(Y109=2,SUMIF(Y116:Y120,"&gt;0"),0)</f>
        <v>0</v>
      </c>
      <c r="Z150" s="235">
        <f>IF(Z109=2,SUMIF(Z116:Z120,"&gt;0"),0)</f>
        <v>0</v>
      </c>
      <c r="AB150" s="240">
        <f>IF(AB109=2,SUMIF(AB116:AB120,"&gt;0"),0)</f>
        <v>0</v>
      </c>
      <c r="AC150" s="235">
        <f>IF(AC109=2,SUMIF(AC116:AC120,"&gt;0"),0)</f>
        <v>0</v>
      </c>
      <c r="AE150" s="240">
        <f>IF(AE109=2,SUMIF(AE116:AE120,"&gt;0"),0)</f>
        <v>0</v>
      </c>
      <c r="AF150" s="235">
        <f>SUM(B150:AE150)</f>
        <v>5</v>
      </c>
      <c r="AG150" s="235">
        <f>AF158-AF150</f>
        <v>3</v>
      </c>
      <c r="AW150" s="238"/>
    </row>
    <row r="151" spans="1:49" s="235" customFormat="1" ht="12.75" hidden="1" customHeight="1" x14ac:dyDescent="0.2">
      <c r="A151" s="235" t="s">
        <v>72</v>
      </c>
      <c r="B151" s="235">
        <f>IF(B109=3,SUMIF(B116:B120,"&gt;0"),0)</f>
        <v>0</v>
      </c>
      <c r="D151" s="240">
        <f>IF(D109=3,SUMIF(D116:D120,"&gt;0"),0)</f>
        <v>0</v>
      </c>
      <c r="E151" s="235">
        <f>IF(E109=3,SUMIF(E116:E120,"&gt;0"),0)</f>
        <v>0</v>
      </c>
      <c r="G151" s="240">
        <f>IF(G109=3,SUMIF(G116:G120,"&gt;0"),0)</f>
        <v>0</v>
      </c>
      <c r="H151" s="235">
        <f>IF(H109=3,SUMIF(H116:H120,"&gt;0"),0)</f>
        <v>0</v>
      </c>
      <c r="J151" s="240">
        <f>IF(J109=3,SUMIF(J116:J120,"&gt;0"),0)</f>
        <v>0</v>
      </c>
      <c r="K151" s="235">
        <f>IF(K109=3,SUMIF(K116:K120,"&gt;0"),0)</f>
        <v>0</v>
      </c>
      <c r="M151" s="240">
        <f>IF(M109=3,SUMIF(M116:M120,"&gt;0"),0)</f>
        <v>0</v>
      </c>
      <c r="N151" s="235">
        <f>IF(N109=3,SUMIF(N116:N120,"&gt;0"),0)</f>
        <v>0</v>
      </c>
      <c r="P151" s="240">
        <f>IF(P109=3,SUMIF(P116:P120,"&gt;0"),0)</f>
        <v>0</v>
      </c>
      <c r="Q151" s="235">
        <f>IF(Q109=3,SUMIF(Q116:Q120,"&gt;0"),0)</f>
        <v>0</v>
      </c>
      <c r="S151" s="240">
        <f>IF(S109=3,SUMIF(S116:S120,"&gt;0"),0)</f>
        <v>0</v>
      </c>
      <c r="T151" s="235">
        <f>IF(T109=3,SUMIF(T116:T120,"&gt;0"),0)</f>
        <v>0</v>
      </c>
      <c r="V151" s="240">
        <f>IF(V109=3,SUMIF(V116:V120,"&gt;0"),0)</f>
        <v>0</v>
      </c>
      <c r="W151" s="235">
        <f>IF(W109=3,SUMIF(W116:W120,"&gt;0"),0)</f>
        <v>0</v>
      </c>
      <c r="Y151" s="240">
        <f>IF(Y109=3,SUMIF(Y116:Y120,"&gt;0"),0)</f>
        <v>0</v>
      </c>
      <c r="Z151" s="235">
        <f>IF(Z109=3,SUMIF(Z116:Z120,"&gt;0"),0)</f>
        <v>0</v>
      </c>
      <c r="AB151" s="240">
        <f>IF(AB109=3,SUMIF(AB116:AB120,"&gt;0"),0)</f>
        <v>0</v>
      </c>
      <c r="AC151" s="235">
        <f>IF(AC109=3,SUMIF(AC116:AC120,"&gt;0"),0)</f>
        <v>0</v>
      </c>
      <c r="AE151" s="240">
        <f>IF(AE109=3,SUMIF(AE116:AE120,"&gt;0"),0)</f>
        <v>0</v>
      </c>
      <c r="AF151" s="235">
        <f>SUM(B151:AE151)</f>
        <v>0</v>
      </c>
      <c r="AG151" s="235">
        <f>AF159-AF151</f>
        <v>8</v>
      </c>
      <c r="AW151" s="238"/>
    </row>
    <row r="152" spans="1:49" s="235" customFormat="1" ht="12.75" hidden="1" customHeight="1" x14ac:dyDescent="0.2">
      <c r="A152" s="235" t="s">
        <v>73</v>
      </c>
      <c r="B152" s="235">
        <f>IF(B109=4,SUMIF(B116:B120,"&gt;0"),0)</f>
        <v>0</v>
      </c>
      <c r="D152" s="240">
        <f>IF(D109=4,SUMIF(D116:D120,"&gt;0"),0)</f>
        <v>0</v>
      </c>
      <c r="E152" s="235">
        <f>IF(E109=4,SUMIF(E116:E120,"&gt;0"),0)</f>
        <v>0</v>
      </c>
      <c r="G152" s="240">
        <f>IF(G109=4,SUMIF(G116:G120,"&gt;0"),0)</f>
        <v>0</v>
      </c>
      <c r="H152" s="235">
        <f>IF(H109=4,SUMIF(H116:H120,"&gt;0"),0)</f>
        <v>0</v>
      </c>
      <c r="J152" s="240">
        <f>IF(J109=4,SUMIF(J116:J120,"&gt;0"),0)</f>
        <v>0</v>
      </c>
      <c r="K152" s="235">
        <f>IF(K109=4,SUMIF(K116:K120,"&gt;0"),0)</f>
        <v>0</v>
      </c>
      <c r="M152" s="240">
        <f>IF(M109=4,SUMIF(M116:M120,"&gt;0"),0)</f>
        <v>0</v>
      </c>
      <c r="N152" s="235">
        <f>IF(N109=4,SUMIF(N116:N120,"&gt;0"),0)</f>
        <v>0</v>
      </c>
      <c r="P152" s="240">
        <f>IF(P109=4,SUMIF(P116:P120,"&gt;0"),0)</f>
        <v>0</v>
      </c>
      <c r="Q152" s="235">
        <f>IF(Q109=4,SUMIF(Q116:Q120,"&gt;0"),0)</f>
        <v>1</v>
      </c>
      <c r="S152" s="240">
        <f>IF(S109=4,SUMIF(S116:S120,"&gt;0"),0)</f>
        <v>0</v>
      </c>
      <c r="T152" s="235">
        <f>IF(T109=4,SUMIF(T116:T120,"&gt;0"),0)</f>
        <v>0</v>
      </c>
      <c r="V152" s="240">
        <f>IF(V109=4,SUMIF(V116:V120,"&gt;0"),0)</f>
        <v>0</v>
      </c>
      <c r="W152" s="235">
        <f>IF(W109=4,SUMIF(W116:W120,"&gt;0"),0)</f>
        <v>0</v>
      </c>
      <c r="Y152" s="240">
        <f>IF(Y109=4,SUMIF(Y116:Y120,"&gt;0"),0)</f>
        <v>0</v>
      </c>
      <c r="Z152" s="235">
        <f>IF(Z109=4,SUMIF(Z116:Z120,"&gt;0"),0)</f>
        <v>0</v>
      </c>
      <c r="AB152" s="240">
        <f>IF(AB109=4,SUMIF(AB116:AB120,"&gt;0"),0)</f>
        <v>2</v>
      </c>
      <c r="AC152" s="235">
        <f>IF(AC109=4,SUMIF(AC116:AC120,"&gt;0"),0)</f>
        <v>0</v>
      </c>
      <c r="AE152" s="240">
        <f>IF(AE109=4,SUMIF(AE116:AE120,"&gt;0"),0)</f>
        <v>0</v>
      </c>
      <c r="AF152" s="235">
        <f>SUM(B152:AE152)</f>
        <v>3</v>
      </c>
      <c r="AG152" s="235">
        <f>AF160-AF152</f>
        <v>5</v>
      </c>
      <c r="AW152" s="238"/>
    </row>
    <row r="153" spans="1:49" s="235" customFormat="1" ht="12.75" hidden="1" customHeight="1" x14ac:dyDescent="0.2">
      <c r="A153" s="235" t="s">
        <v>74</v>
      </c>
      <c r="B153" s="235">
        <f>IF(B109=5,SUMIF(B116:B120,"&gt;0"),0)</f>
        <v>0</v>
      </c>
      <c r="D153" s="240">
        <f>IF(D109=5,SUMIF(D116:D120,"&gt;0"),0)</f>
        <v>1</v>
      </c>
      <c r="E153" s="235">
        <f>IF(E109=5,SUMIF(E116:E120,"&gt;0"),0)</f>
        <v>0</v>
      </c>
      <c r="G153" s="240">
        <f>IF(G109=5,SUMIF(G116:G120,"&gt;0"),0)</f>
        <v>0</v>
      </c>
      <c r="H153" s="235">
        <f>IF(H109=5,SUMIF(H116:H120,"&gt;0"),0)</f>
        <v>0</v>
      </c>
      <c r="J153" s="240">
        <f>IF(J109=5,SUMIF(J116:J120,"&gt;0"),0)</f>
        <v>2</v>
      </c>
      <c r="K153" s="235">
        <f>IF(K109=5,SUMIF(K116:K120,"&gt;0"),0)</f>
        <v>0</v>
      </c>
      <c r="M153" s="240">
        <f>IF(M109=5,SUMIF(M116:M120,"&gt;0"),0)</f>
        <v>0</v>
      </c>
      <c r="N153" s="235">
        <f>IF(N109=5,SUMIF(N116:N120,"&gt;0"),0)</f>
        <v>0</v>
      </c>
      <c r="P153" s="240">
        <f>IF(P109=5,SUMIF(P116:P120,"&gt;0"),0)</f>
        <v>0</v>
      </c>
      <c r="Q153" s="235">
        <f>IF(Q109=5,SUMIF(Q116:Q120,"&gt;0"),0)</f>
        <v>0</v>
      </c>
      <c r="S153" s="240">
        <f>IF(S109=5,SUMIF(S116:S120,"&gt;0"),0)</f>
        <v>1</v>
      </c>
      <c r="T153" s="235">
        <f>IF(T109=5,SUMIF(T116:T120,"&gt;0"),0)</f>
        <v>0</v>
      </c>
      <c r="V153" s="240">
        <f>IF(V109=5,SUMIF(V116:V120,"&gt;0"),0)</f>
        <v>0</v>
      </c>
      <c r="W153" s="235">
        <f>IF(W109=5,SUMIF(W116:W120,"&gt;0"),0)</f>
        <v>0</v>
      </c>
      <c r="Y153" s="240">
        <f>IF(Y109=5,SUMIF(Y116:Y120,"&gt;0"),0)</f>
        <v>0</v>
      </c>
      <c r="Z153" s="235">
        <f>IF(Z109=5,SUMIF(Z116:Z120,"&gt;0"),0)</f>
        <v>0</v>
      </c>
      <c r="AB153" s="240">
        <f>IF(AB109=5,SUMIF(AB116:AB120,"&gt;0"),0)</f>
        <v>0</v>
      </c>
      <c r="AC153" s="235">
        <f>IF(AC109=5,SUMIF(AC116:AC120,"&gt;0"),0)</f>
        <v>0</v>
      </c>
      <c r="AE153" s="240">
        <f>IF(AE109=5,SUMIF(AE116:AE120,"&gt;0"),0)</f>
        <v>0</v>
      </c>
      <c r="AF153" s="235">
        <f>SUM(B153:AE153)</f>
        <v>4</v>
      </c>
      <c r="AG153" s="235">
        <f>AF161-AF153</f>
        <v>4</v>
      </c>
      <c r="AW153" s="238"/>
    </row>
    <row r="154" spans="1:49" s="235" customFormat="1" ht="12.75" hidden="1" customHeight="1" x14ac:dyDescent="0.2">
      <c r="D154" s="240"/>
      <c r="G154" s="240"/>
      <c r="J154" s="240"/>
      <c r="M154" s="240"/>
      <c r="P154" s="240"/>
      <c r="S154" s="240"/>
      <c r="V154" s="240"/>
      <c r="Y154" s="240"/>
      <c r="AB154" s="240"/>
      <c r="AE154" s="240"/>
      <c r="AW154" s="238"/>
    </row>
    <row r="155" spans="1:49" s="235" customFormat="1" ht="12.75" hidden="1" customHeight="1" x14ac:dyDescent="0.2">
      <c r="D155" s="240"/>
      <c r="G155" s="240"/>
      <c r="J155" s="240"/>
      <c r="M155" s="240"/>
      <c r="P155" s="240"/>
      <c r="S155" s="240"/>
      <c r="V155" s="240"/>
      <c r="Y155" s="240"/>
      <c r="AB155" s="240"/>
      <c r="AE155" s="240"/>
      <c r="AW155" s="238"/>
    </row>
    <row r="156" spans="1:49" s="235" customFormat="1" ht="51" hidden="1" customHeight="1" x14ac:dyDescent="0.2">
      <c r="A156" s="239" t="s">
        <v>85</v>
      </c>
      <c r="C156" s="235">
        <f>SUMIF(B149:D153,"&gt;0")</f>
        <v>2</v>
      </c>
      <c r="D156" s="240"/>
      <c r="F156" s="235">
        <f>SUMIF(E149:G153,"&gt;0")</f>
        <v>2</v>
      </c>
      <c r="G156" s="240"/>
      <c r="I156" s="235">
        <f>SUMIF(H149:J153,"&gt;0")</f>
        <v>2</v>
      </c>
      <c r="J156" s="240"/>
      <c r="L156" s="235">
        <f>SUMIF(K149:M153,"&gt;0")</f>
        <v>2</v>
      </c>
      <c r="M156" s="240"/>
      <c r="O156" s="235">
        <f>SUMIF(N149:P153,"&gt;0")</f>
        <v>2</v>
      </c>
      <c r="P156" s="240"/>
      <c r="R156" s="235">
        <f>SUMIF(Q149:S153,"&gt;0")</f>
        <v>2</v>
      </c>
      <c r="S156" s="240"/>
      <c r="U156" s="235">
        <f>SUMIF(T149:V153,"&gt;0")</f>
        <v>2</v>
      </c>
      <c r="V156" s="240"/>
      <c r="X156" s="235">
        <f>SUMIF(W149:Y153,"&gt;0")</f>
        <v>2</v>
      </c>
      <c r="Y156" s="240"/>
      <c r="AA156" s="235">
        <f>SUMIF(Z149:AB153,"&gt;0")</f>
        <v>2</v>
      </c>
      <c r="AB156" s="240"/>
      <c r="AD156" s="235">
        <f>SUMIF(AC149:AE153,"&gt;0")</f>
        <v>2</v>
      </c>
      <c r="AE156" s="240"/>
      <c r="AF156" s="239" t="s">
        <v>86</v>
      </c>
      <c r="AW156" s="238"/>
    </row>
    <row r="157" spans="1:49" s="235" customFormat="1" ht="12.75" hidden="1" customHeight="1" x14ac:dyDescent="0.2">
      <c r="A157" s="235" t="s">
        <v>76</v>
      </c>
      <c r="B157" s="235">
        <f>IF(B109=1,C156,0)</f>
        <v>0</v>
      </c>
      <c r="D157" s="240">
        <f>IF(D109=1,C156,0)</f>
        <v>0</v>
      </c>
      <c r="E157" s="235">
        <f>IF(E109=1,F156,0)</f>
        <v>2</v>
      </c>
      <c r="G157" s="240">
        <f>IF(G109=1,F156,0)</f>
        <v>0</v>
      </c>
      <c r="H157" s="235">
        <f>IF(H109=1,I156,0)</f>
        <v>0</v>
      </c>
      <c r="J157" s="240">
        <f>IF(J109=1,I156,0)</f>
        <v>0</v>
      </c>
      <c r="K157" s="235">
        <f>IF(K109=1,L156,0)</f>
        <v>0</v>
      </c>
      <c r="M157" s="240">
        <f>IF(M109=1,L156,0)</f>
        <v>0</v>
      </c>
      <c r="N157" s="235">
        <f>IF(N109=1,O156,0)</f>
        <v>2</v>
      </c>
      <c r="P157" s="240">
        <f>IF(P109=1,O156,0)</f>
        <v>0</v>
      </c>
      <c r="Q157" s="235">
        <f>IF(Q109=1,R156,0)</f>
        <v>0</v>
      </c>
      <c r="S157" s="240">
        <f>IF(S109=1,R156,0)</f>
        <v>0</v>
      </c>
      <c r="T157" s="235">
        <f>IF(T109=1,U156,0)</f>
        <v>0</v>
      </c>
      <c r="V157" s="240">
        <f>IF(V109=1,U156,0)</f>
        <v>0</v>
      </c>
      <c r="W157" s="235">
        <f>IF(W109=1,X156,0)</f>
        <v>2</v>
      </c>
      <c r="Y157" s="240">
        <f>IF(Y109=1,X156,0)</f>
        <v>0</v>
      </c>
      <c r="Z157" s="235">
        <f>IF(Z109=1,AA156,0)</f>
        <v>0</v>
      </c>
      <c r="AB157" s="240">
        <f>IF(AB109=1,AA156,0)</f>
        <v>0</v>
      </c>
      <c r="AC157" s="235">
        <f>IF(AC109=1,AD156,0)</f>
        <v>2</v>
      </c>
      <c r="AE157" s="240">
        <f>IF(AE109=1,AD156,0)</f>
        <v>0</v>
      </c>
      <c r="AF157" s="235">
        <f>SUM(B157:AE157)</f>
        <v>8</v>
      </c>
      <c r="AW157" s="238"/>
    </row>
    <row r="158" spans="1:49" s="235" customFormat="1" ht="12.75" hidden="1" customHeight="1" x14ac:dyDescent="0.2">
      <c r="A158" s="235" t="s">
        <v>77</v>
      </c>
      <c r="B158" s="235">
        <f>IF(B109=2,C156,0)</f>
        <v>2</v>
      </c>
      <c r="D158" s="240">
        <f>IF(D109=2,C156,0)</f>
        <v>0</v>
      </c>
      <c r="E158" s="235">
        <f>IF(E109=2,F156,0)</f>
        <v>0</v>
      </c>
      <c r="G158" s="240">
        <f>IF(G109=2,F156,0)</f>
        <v>0</v>
      </c>
      <c r="H158" s="235">
        <f>IF(H109=2,I156,0)</f>
        <v>0</v>
      </c>
      <c r="J158" s="240">
        <f>IF(J109=2,I156,0)</f>
        <v>0</v>
      </c>
      <c r="K158" s="235">
        <f>IF(K109=2,L156,0)</f>
        <v>2</v>
      </c>
      <c r="M158" s="240">
        <f>IF(M109=2,L156,0)</f>
        <v>0</v>
      </c>
      <c r="N158" s="235">
        <f>IF(N109=2,O156,0)</f>
        <v>0</v>
      </c>
      <c r="P158" s="240">
        <f>IF(P109=2,O156,0)</f>
        <v>0</v>
      </c>
      <c r="Q158" s="235">
        <f>IF(Q109=2,R156,0)</f>
        <v>0</v>
      </c>
      <c r="S158" s="240">
        <f>IF(S109=2,R156,0)</f>
        <v>0</v>
      </c>
      <c r="T158" s="235">
        <f>IF(T109=2,U156,0)</f>
        <v>2</v>
      </c>
      <c r="V158" s="240">
        <f>IF(V109=2,U156,0)</f>
        <v>0</v>
      </c>
      <c r="W158" s="235">
        <f>IF(W109=2,X156,0)</f>
        <v>0</v>
      </c>
      <c r="Y158" s="240">
        <f>IF(Y109=2,X156,0)</f>
        <v>0</v>
      </c>
      <c r="Z158" s="235">
        <f>IF(Z109=2,AA156,0)</f>
        <v>0</v>
      </c>
      <c r="AB158" s="240">
        <f>IF(AB109=2,AA156,0)</f>
        <v>0</v>
      </c>
      <c r="AC158" s="235">
        <f>IF(AC109=2,AD156,0)</f>
        <v>0</v>
      </c>
      <c r="AE158" s="240">
        <f>IF(AE109=2,AD156,0)</f>
        <v>2</v>
      </c>
      <c r="AF158" s="235">
        <f>SUM(B158:AE158)</f>
        <v>8</v>
      </c>
      <c r="AW158" s="238"/>
    </row>
    <row r="159" spans="1:49" s="235" customFormat="1" ht="12.75" hidden="1" customHeight="1" x14ac:dyDescent="0.2">
      <c r="A159" s="235" t="s">
        <v>78</v>
      </c>
      <c r="B159" s="235">
        <f>IF(B109=3,C156,0)</f>
        <v>0</v>
      </c>
      <c r="D159" s="240">
        <f>IF(D109=3,C156,0)</f>
        <v>0</v>
      </c>
      <c r="E159" s="235">
        <f>IF(E109=3,F156,0)</f>
        <v>0</v>
      </c>
      <c r="G159" s="240">
        <f>IF(G109=3,F156,0)</f>
        <v>0</v>
      </c>
      <c r="H159" s="235">
        <f>IF(H109=3,I156,0)</f>
        <v>2</v>
      </c>
      <c r="J159" s="240">
        <f>IF(J109=3,I156,0)</f>
        <v>0</v>
      </c>
      <c r="K159" s="235">
        <f>IF(K109=3,L156,0)</f>
        <v>0</v>
      </c>
      <c r="M159" s="240">
        <f>IF(M109=3,L156,0)</f>
        <v>0</v>
      </c>
      <c r="N159" s="235">
        <f>IF(N109=3,O156,0)</f>
        <v>0</v>
      </c>
      <c r="P159" s="240">
        <f>IF(P109=3,O156,0)</f>
        <v>2</v>
      </c>
      <c r="Q159" s="235">
        <f>IF(Q109=3,R156,0)</f>
        <v>0</v>
      </c>
      <c r="S159" s="240">
        <f>IF(S109=3,R156,0)</f>
        <v>0</v>
      </c>
      <c r="T159" s="235">
        <f>IF(T109=3,U156,0)</f>
        <v>0</v>
      </c>
      <c r="V159" s="240">
        <f>IF(V109=3,U156,0)</f>
        <v>2</v>
      </c>
      <c r="W159" s="235">
        <f>IF(W109=3,X156,0)</f>
        <v>0</v>
      </c>
      <c r="Y159" s="240">
        <f>IF(Y109=3,X156,0)</f>
        <v>0</v>
      </c>
      <c r="Z159" s="235">
        <f>IF(Z109=3,AA156,0)</f>
        <v>2</v>
      </c>
      <c r="AB159" s="240">
        <f>IF(AB109=3,AA156,0)</f>
        <v>0</v>
      </c>
      <c r="AC159" s="235">
        <f>IF(AC109=3,AD156,0)</f>
        <v>0</v>
      </c>
      <c r="AE159" s="240">
        <f>IF(AE109=3,AD156,0)</f>
        <v>0</v>
      </c>
      <c r="AF159" s="235">
        <f>SUM(B159:AE159)</f>
        <v>8</v>
      </c>
      <c r="AW159" s="238"/>
    </row>
    <row r="160" spans="1:49" s="235" customFormat="1" ht="12.75" hidden="1" customHeight="1" x14ac:dyDescent="0.2">
      <c r="A160" s="235" t="s">
        <v>79</v>
      </c>
      <c r="B160" s="235">
        <f>IF(B109=4,C156,0)</f>
        <v>0</v>
      </c>
      <c r="D160" s="240">
        <f>IF(D109=4,C156,0)</f>
        <v>0</v>
      </c>
      <c r="E160" s="235">
        <f>IF(E109=4,F156,0)</f>
        <v>0</v>
      </c>
      <c r="G160" s="240">
        <f>IF(G109=4,F156,0)</f>
        <v>2</v>
      </c>
      <c r="H160" s="235">
        <f>IF(H109=4,I156,0)</f>
        <v>0</v>
      </c>
      <c r="J160" s="240">
        <f>IF(J109=4,I156,0)</f>
        <v>0</v>
      </c>
      <c r="K160" s="235">
        <f>IF(K109=4,L156,0)</f>
        <v>0</v>
      </c>
      <c r="M160" s="240">
        <f>IF(M109=4,L156,0)</f>
        <v>2</v>
      </c>
      <c r="N160" s="235">
        <f>IF(N109=4,O156,0)</f>
        <v>0</v>
      </c>
      <c r="P160" s="240">
        <f>IF(P109=4,O156,0)</f>
        <v>0</v>
      </c>
      <c r="Q160" s="235">
        <f>IF(Q109=4,R156,0)</f>
        <v>2</v>
      </c>
      <c r="S160" s="240">
        <f>IF(S109=4,R156,0)</f>
        <v>0</v>
      </c>
      <c r="T160" s="235">
        <f>IF(T109=4,U156,0)</f>
        <v>0</v>
      </c>
      <c r="V160" s="240">
        <f>IF(V109=4,U156,0)</f>
        <v>0</v>
      </c>
      <c r="W160" s="235">
        <f>IF(W109=4,X156,0)</f>
        <v>0</v>
      </c>
      <c r="Y160" s="240">
        <f>IF(Y109=4,X156,0)</f>
        <v>0</v>
      </c>
      <c r="Z160" s="235">
        <f>IF(Z109=4,AA156,0)</f>
        <v>0</v>
      </c>
      <c r="AB160" s="240">
        <f>IF(AB109=4,AA156,0)</f>
        <v>2</v>
      </c>
      <c r="AC160" s="235">
        <f>IF(AC109=4,AD156,0)</f>
        <v>0</v>
      </c>
      <c r="AE160" s="240">
        <f>IF(AE109=4,AD156,0)</f>
        <v>0</v>
      </c>
      <c r="AF160" s="235">
        <f>SUM(B160:AE160)</f>
        <v>8</v>
      </c>
      <c r="AW160" s="238"/>
    </row>
    <row r="161" spans="1:54" s="235" customFormat="1" ht="12.75" hidden="1" customHeight="1" x14ac:dyDescent="0.2">
      <c r="A161" s="235" t="s">
        <v>80</v>
      </c>
      <c r="B161" s="235">
        <f>IF(B109=5,C156,0)</f>
        <v>0</v>
      </c>
      <c r="D161" s="240">
        <f>IF(D109=5,C156,0)</f>
        <v>2</v>
      </c>
      <c r="E161" s="235">
        <f>IF(E109=5,F156,0)</f>
        <v>0</v>
      </c>
      <c r="G161" s="240">
        <f>IF(G109=5,F156,0)</f>
        <v>0</v>
      </c>
      <c r="H161" s="235">
        <f>IF(H109=5,I156,0)</f>
        <v>0</v>
      </c>
      <c r="J161" s="240">
        <f>IF(J109=5,I156,0)</f>
        <v>2</v>
      </c>
      <c r="K161" s="235">
        <f>IF(K109=5,L156,0)</f>
        <v>0</v>
      </c>
      <c r="M161" s="240">
        <f>IF(M109=5,L156,0)</f>
        <v>0</v>
      </c>
      <c r="N161" s="235">
        <f>IF(N109=5,O156,0)</f>
        <v>0</v>
      </c>
      <c r="P161" s="240">
        <f>IF(P109=5,O156,0)</f>
        <v>0</v>
      </c>
      <c r="Q161" s="235">
        <f>IF(Q109=5,R156,0)</f>
        <v>0</v>
      </c>
      <c r="S161" s="240">
        <f>IF(S109=5,R156,0)</f>
        <v>2</v>
      </c>
      <c r="T161" s="235">
        <f>IF(T109=5,U156,0)</f>
        <v>0</v>
      </c>
      <c r="V161" s="240">
        <f>IF(V109=5,U156,0)</f>
        <v>0</v>
      </c>
      <c r="W161" s="235">
        <f>IF(W109=5,X156,0)</f>
        <v>0</v>
      </c>
      <c r="Y161" s="240">
        <f>IF(Y109=5,X156,0)</f>
        <v>2</v>
      </c>
      <c r="Z161" s="235">
        <f>IF(Z109=5,AA156,0)</f>
        <v>0</v>
      </c>
      <c r="AB161" s="240">
        <f>IF(AB109=5,AA156,0)</f>
        <v>0</v>
      </c>
      <c r="AC161" s="235">
        <f>IF(AC109=5,AD156,0)</f>
        <v>0</v>
      </c>
      <c r="AE161" s="240">
        <f>IF(AE109=5,AD156,0)</f>
        <v>0</v>
      </c>
      <c r="AF161" s="235">
        <f>SUM(B161:AE161)</f>
        <v>8</v>
      </c>
      <c r="AW161" s="238"/>
    </row>
    <row r="162" spans="1:54" hidden="1" x14ac:dyDescent="0.2">
      <c r="A162" s="242"/>
      <c r="B162" s="242"/>
      <c r="C162" s="242"/>
      <c r="D162" s="242"/>
      <c r="E162" s="242"/>
      <c r="F162" s="242"/>
      <c r="G162" s="242"/>
      <c r="H162" s="242"/>
      <c r="I162" s="242"/>
      <c r="J162" s="242"/>
      <c r="K162" s="242"/>
      <c r="L162" s="242"/>
      <c r="M162" s="242"/>
      <c r="N162" s="242"/>
      <c r="O162" s="242"/>
      <c r="P162" s="242"/>
      <c r="Q162" s="242"/>
      <c r="R162" s="242"/>
      <c r="S162" s="242"/>
      <c r="T162" s="242"/>
      <c r="U162" s="242"/>
      <c r="V162" s="242"/>
      <c r="W162" s="242"/>
      <c r="X162" s="242"/>
      <c r="Y162" s="242"/>
      <c r="Z162" s="242"/>
      <c r="AA162" s="242"/>
      <c r="AB162" s="242"/>
      <c r="AC162" s="242"/>
      <c r="AD162" s="242"/>
      <c r="AE162" s="242"/>
      <c r="AF162" s="242"/>
      <c r="AG162" s="242"/>
      <c r="AH162" s="242"/>
      <c r="AI162" s="242"/>
      <c r="AJ162" s="242"/>
      <c r="AK162" s="242"/>
      <c r="AL162" s="242"/>
      <c r="AM162" s="242"/>
      <c r="AN162" s="243"/>
      <c r="AO162" s="243"/>
      <c r="AP162" s="243"/>
      <c r="AQ162" s="243"/>
      <c r="AR162" s="241"/>
      <c r="AS162" s="241"/>
      <c r="AT162" s="241"/>
      <c r="AU162" s="241"/>
      <c r="AV162" s="241"/>
      <c r="BB162" s="234"/>
    </row>
    <row r="163" spans="1:54" s="241" customFormat="1" hidden="1" x14ac:dyDescent="0.2">
      <c r="A163" s="244"/>
      <c r="B163" s="244"/>
      <c r="C163" s="244" t="s">
        <v>87</v>
      </c>
      <c r="D163" s="244">
        <v>1</v>
      </c>
      <c r="E163" s="244"/>
      <c r="F163" s="244"/>
      <c r="G163" s="244">
        <v>2</v>
      </c>
      <c r="H163" s="244"/>
      <c r="I163" s="244"/>
      <c r="J163" s="244">
        <v>3</v>
      </c>
      <c r="K163" s="244"/>
      <c r="L163" s="244"/>
      <c r="M163" s="244">
        <v>4</v>
      </c>
      <c r="N163" s="244"/>
      <c r="O163" s="244"/>
      <c r="P163" s="244">
        <v>5</v>
      </c>
      <c r="Q163" s="244"/>
      <c r="R163" s="244"/>
      <c r="S163" s="244">
        <v>6</v>
      </c>
      <c r="T163" s="244"/>
      <c r="U163" s="244"/>
      <c r="V163" s="244">
        <v>7</v>
      </c>
      <c r="W163" s="244"/>
      <c r="X163" s="244"/>
      <c r="Y163" s="244">
        <v>8</v>
      </c>
      <c r="Z163" s="244"/>
      <c r="AA163" s="244"/>
      <c r="AB163" s="244">
        <v>9</v>
      </c>
      <c r="AC163" s="244"/>
      <c r="AD163" s="244"/>
      <c r="AE163" s="244">
        <v>10</v>
      </c>
      <c r="AF163" s="188"/>
      <c r="AG163" s="244"/>
      <c r="AI163" s="245"/>
      <c r="AJ163" s="188"/>
      <c r="AK163" s="188"/>
      <c r="AL163" s="188"/>
      <c r="AM163" s="188"/>
      <c r="AN163" s="188"/>
      <c r="AO163" s="188"/>
      <c r="AT163" s="245" t="s">
        <v>88</v>
      </c>
      <c r="AW163" s="246"/>
      <c r="BB163" s="246"/>
    </row>
    <row r="164" spans="1:54" s="241" customFormat="1" hidden="1" x14ac:dyDescent="0.2">
      <c r="A164" s="247">
        <v>1</v>
      </c>
      <c r="B164" s="247" t="str">
        <f>E93</f>
        <v>C1VB 12 Regional Grvl</v>
      </c>
      <c r="C164" s="247">
        <f>VLOOKUP(B164,AU$3:BB$33,3,FALSE)</f>
        <v>1547.6054388640575</v>
      </c>
      <c r="D164" s="247">
        <f>IF(B157,B172,IF(D157,D172,C164))</f>
        <v>1547.6054388640575</v>
      </c>
      <c r="E164" s="247"/>
      <c r="F164" s="247"/>
      <c r="G164" s="247">
        <f>IF(E157,E172,IF(G157,G172,D164))</f>
        <v>1563.0871114370777</v>
      </c>
      <c r="H164" s="247"/>
      <c r="I164" s="247"/>
      <c r="J164" s="247">
        <f>IF(H157,H172,IF(J157,J172,G164))</f>
        <v>1563.0871114370777</v>
      </c>
      <c r="K164" s="247"/>
      <c r="L164" s="247"/>
      <c r="M164" s="247">
        <f>IF(K157,K172,IF(M157,M172,J164))</f>
        <v>1563.0871114370777</v>
      </c>
      <c r="N164" s="247"/>
      <c r="O164" s="247"/>
      <c r="P164" s="247">
        <f>IF(N157,N172,IF(P157,P172,M164))</f>
        <v>1580.1674531015603</v>
      </c>
      <c r="Q164" s="247"/>
      <c r="R164" s="247"/>
      <c r="S164" s="247">
        <f>IF(Q157,Q172,IF(S157,S172,P164))</f>
        <v>1580.1674531015603</v>
      </c>
      <c r="T164" s="247"/>
      <c r="U164" s="247"/>
      <c r="V164" s="247">
        <f>IF(T157,T172,IF(V157,V172,S164))</f>
        <v>1580.1674531015603</v>
      </c>
      <c r="W164" s="247"/>
      <c r="X164" s="247"/>
      <c r="Y164" s="247">
        <f>IF(W157,W172,IF(Y157,Y172,V164))</f>
        <v>1599.4068430228822</v>
      </c>
      <c r="Z164" s="247"/>
      <c r="AA164" s="247"/>
      <c r="AB164" s="247">
        <f>IF(Z157,Z172,IF(AB157,AB172,Y164))</f>
        <v>1599.4068430228822</v>
      </c>
      <c r="AC164" s="247"/>
      <c r="AD164" s="247"/>
      <c r="AE164" s="247">
        <f>IF(AC157,AC172,IF(AE157,AE172,AB164))</f>
        <v>1620.2482713852037</v>
      </c>
      <c r="AF164" s="188"/>
      <c r="AG164" s="188"/>
      <c r="AJ164" s="188"/>
      <c r="AK164" s="188"/>
      <c r="AL164" s="188"/>
      <c r="AM164" s="188"/>
      <c r="AN164" s="188"/>
      <c r="AO164" s="188"/>
      <c r="AT164" s="241" t="str">
        <f>B164</f>
        <v>C1VB 12 Regional Grvl</v>
      </c>
      <c r="AU164" s="241">
        <f>AE164</f>
        <v>1620.2482713852037</v>
      </c>
      <c r="AW164" s="246"/>
      <c r="BB164" s="246"/>
    </row>
    <row r="165" spans="1:54" s="241" customFormat="1" hidden="1" x14ac:dyDescent="0.2">
      <c r="A165" s="247">
        <v>2</v>
      </c>
      <c r="B165" s="247" t="str">
        <f>E95</f>
        <v>SC Midlands 13 Garnet</v>
      </c>
      <c r="C165" s="247">
        <f>VLOOKUP(B165,AU$3:BB$33,3,FALSE)</f>
        <v>1425.4109540497846</v>
      </c>
      <c r="D165" s="247">
        <f>IF(B158,B172,IF(D158,D172,C165))</f>
        <v>1424.1197470906939</v>
      </c>
      <c r="E165" s="247"/>
      <c r="F165" s="247"/>
      <c r="G165" s="247">
        <f>IF(E158,E172,IF(G158,G172,D165))</f>
        <v>1424.1197470906939</v>
      </c>
      <c r="H165" s="247"/>
      <c r="I165" s="247"/>
      <c r="J165" s="247">
        <f>IF(H158,H172,IF(J158,J172,G165))</f>
        <v>1424.1197470906939</v>
      </c>
      <c r="K165" s="247"/>
      <c r="L165" s="247"/>
      <c r="M165" s="247">
        <f>IF(K158,K172,IF(M158,M172,J165))</f>
        <v>1447.9738563276007</v>
      </c>
      <c r="N165" s="247"/>
      <c r="O165" s="247"/>
      <c r="P165" s="247">
        <f>IF(N158,N172,IF(P158,P172,M165))</f>
        <v>1447.9738563276007</v>
      </c>
      <c r="Q165" s="247"/>
      <c r="R165" s="247"/>
      <c r="S165" s="247">
        <f>IF(Q158,Q172,IF(S158,S172,P165))</f>
        <v>1447.9738563276007</v>
      </c>
      <c r="T165" s="247"/>
      <c r="U165" s="247"/>
      <c r="V165" s="247">
        <f>IF(T158,T172,IF(V158,V172,S165))</f>
        <v>1472.9510097985387</v>
      </c>
      <c r="W165" s="247"/>
      <c r="X165" s="247"/>
      <c r="Y165" s="247">
        <f>IF(W158,W172,IF(Y158,Y172,V165))</f>
        <v>1472.9510097985387</v>
      </c>
      <c r="Z165" s="247"/>
      <c r="AA165" s="247"/>
      <c r="AB165" s="247">
        <f>IF(Z158,Z172,IF(AB158,AB172,Y165))</f>
        <v>1472.9510097985387</v>
      </c>
      <c r="AC165" s="247"/>
      <c r="AD165" s="247"/>
      <c r="AE165" s="247">
        <f>IF(AC158,AC172,IF(AE158,AE172,AB165))</f>
        <v>1452.1095814362172</v>
      </c>
      <c r="AF165" s="188"/>
      <c r="AG165" s="188"/>
      <c r="AJ165" s="188"/>
      <c r="AL165" s="188"/>
      <c r="AM165" s="188"/>
      <c r="AN165" s="188"/>
      <c r="AO165" s="188"/>
      <c r="AT165" s="241" t="str">
        <f>B165</f>
        <v>SC Midlands 13 Garnet</v>
      </c>
      <c r="AU165" s="241">
        <f>AE165</f>
        <v>1452.1095814362172</v>
      </c>
      <c r="AW165" s="246"/>
      <c r="BB165" s="246"/>
    </row>
    <row r="166" spans="1:54" s="241" customFormat="1" hidden="1" x14ac:dyDescent="0.2">
      <c r="A166" s="247">
        <v>3</v>
      </c>
      <c r="B166" s="247" t="str">
        <f>E97</f>
        <v>MOTO 13-2 IGNITE</v>
      </c>
      <c r="C166" s="247">
        <f>VLOOKUP(B166,AU$3:BB$33,3,FALSE)</f>
        <v>1420.2404492297683</v>
      </c>
      <c r="D166" s="247">
        <f>IF(B159,B172,IF(D159,D172,C166))</f>
        <v>1420.2404492297683</v>
      </c>
      <c r="E166" s="247"/>
      <c r="F166" s="247"/>
      <c r="G166" s="247">
        <f>IF(E159,E172,IF(G159,G172,D166))</f>
        <v>1420.2404492297683</v>
      </c>
      <c r="H166" s="247"/>
      <c r="I166" s="247"/>
      <c r="J166" s="247">
        <f>IF(H159,H172,IF(J159,J172,G166))</f>
        <v>1387.5437965696283</v>
      </c>
      <c r="K166" s="247"/>
      <c r="L166" s="247"/>
      <c r="M166" s="247">
        <f>IF(K159,K172,IF(M159,M172,J166))</f>
        <v>1387.5437965696283</v>
      </c>
      <c r="N166" s="247"/>
      <c r="O166" s="247"/>
      <c r="P166" s="247">
        <f>IF(N159,N172,IF(P159,P172,M166))</f>
        <v>1370.4634549051457</v>
      </c>
      <c r="Q166" s="247"/>
      <c r="R166" s="247"/>
      <c r="S166" s="247">
        <f>IF(Q159,Q172,IF(S159,S172,P166))</f>
        <v>1370.4634549051457</v>
      </c>
      <c r="T166" s="247"/>
      <c r="U166" s="247"/>
      <c r="V166" s="247">
        <f>IF(T159,T172,IF(V159,V172,S166))</f>
        <v>1345.4863014342077</v>
      </c>
      <c r="W166" s="247"/>
      <c r="X166" s="247"/>
      <c r="Y166" s="247">
        <f>IF(W159,W172,IF(Y159,Y172,V166))</f>
        <v>1345.4863014342077</v>
      </c>
      <c r="Z166" s="247"/>
      <c r="AA166" s="247"/>
      <c r="AB166" s="247">
        <f>IF(Z159,Z172,IF(AB159,AB172,Y166))</f>
        <v>1311.3008440135307</v>
      </c>
      <c r="AC166" s="247"/>
      <c r="AD166" s="247"/>
      <c r="AE166" s="247">
        <f>IF(AC159,AC172,IF(AE159,AE172,AB166))</f>
        <v>1311.3008440135307</v>
      </c>
      <c r="AF166" s="188"/>
      <c r="AG166" s="188"/>
      <c r="AJ166" s="188"/>
      <c r="AL166" s="188"/>
      <c r="AM166" s="188"/>
      <c r="AN166" s="188"/>
      <c r="AO166" s="188"/>
      <c r="AT166" s="241" t="str">
        <f>B166</f>
        <v>MOTO 13-2 IGNITE</v>
      </c>
      <c r="AU166" s="241">
        <f>AE166</f>
        <v>1311.3008440135307</v>
      </c>
      <c r="AW166" s="246"/>
      <c r="BB166" s="246"/>
    </row>
    <row r="167" spans="1:54" s="241" customFormat="1" hidden="1" x14ac:dyDescent="0.2">
      <c r="A167" s="247">
        <v>4</v>
      </c>
      <c r="B167" s="247" t="str">
        <f>E99</f>
        <v>P31 Volleyball Club 12-1</v>
      </c>
      <c r="C167" s="247">
        <f>VLOOKUP(B167,AU$3:BB$33,3,FALSE)</f>
        <v>1349.1702617315095</v>
      </c>
      <c r="D167" s="247">
        <f>IF(B160,B172,IF(D160,D172,C167))</f>
        <v>1349.1702617315095</v>
      </c>
      <c r="E167" s="247"/>
      <c r="F167" s="247"/>
      <c r="G167" s="247">
        <f>IF(E160,E172,IF(G160,G172,D167))</f>
        <v>1333.6885891584893</v>
      </c>
      <c r="H167" s="247"/>
      <c r="I167" s="247"/>
      <c r="J167" s="247">
        <f>IF(H160,H172,IF(J160,J172,G167))</f>
        <v>1333.6885891584893</v>
      </c>
      <c r="K167" s="247"/>
      <c r="L167" s="247"/>
      <c r="M167" s="247">
        <f>IF(K160,K172,IF(M160,M172,J167))</f>
        <v>1309.8344799215824</v>
      </c>
      <c r="N167" s="247"/>
      <c r="O167" s="247"/>
      <c r="P167" s="247">
        <f>IF(N160,N172,IF(P160,P172,M167))</f>
        <v>1309.8344799215824</v>
      </c>
      <c r="Q167" s="247"/>
      <c r="R167" s="247"/>
      <c r="S167" s="247">
        <f>IF(Q160,Q172,IF(S160,S172,P167))</f>
        <v>1321.7210035623275</v>
      </c>
      <c r="T167" s="247"/>
      <c r="U167" s="247"/>
      <c r="V167" s="247">
        <f>IF(T160,T172,IF(V160,V172,S167))</f>
        <v>1321.7210035623275</v>
      </c>
      <c r="W167" s="247"/>
      <c r="X167" s="247"/>
      <c r="Y167" s="247">
        <f>IF(W160,W172,IF(Y160,Y172,V167))</f>
        <v>1321.7210035623275</v>
      </c>
      <c r="Z167" s="247"/>
      <c r="AA167" s="247"/>
      <c r="AB167" s="247">
        <f>IF(Z160,Z172,IF(AB160,AB172,Y167))</f>
        <v>1355.9064609830045</v>
      </c>
      <c r="AC167" s="247"/>
      <c r="AD167" s="247"/>
      <c r="AE167" s="247">
        <f>IF(AC160,AC172,IF(AE160,AE172,AB167))</f>
        <v>1355.9064609830045</v>
      </c>
      <c r="AF167" s="188"/>
      <c r="AG167" s="188"/>
      <c r="AJ167" s="188"/>
      <c r="AL167" s="188"/>
      <c r="AM167" s="188"/>
      <c r="AN167" s="188"/>
      <c r="AO167" s="188"/>
      <c r="AT167" s="241" t="str">
        <f>B167</f>
        <v>P31 Volleyball Club 12-1</v>
      </c>
      <c r="AU167" s="241">
        <f>AE167</f>
        <v>1355.9064609830045</v>
      </c>
      <c r="AW167" s="246"/>
      <c r="BB167" s="246"/>
    </row>
    <row r="168" spans="1:54" s="241" customFormat="1" hidden="1" x14ac:dyDescent="0.2">
      <c r="A168" s="247">
        <v>5</v>
      </c>
      <c r="B168" s="247" t="str">
        <f>E101</f>
        <v>SOAR RISE 12U</v>
      </c>
      <c r="C168" s="247">
        <f>VLOOKUP(B168,AU$3:BB$33,3,FALSE)</f>
        <v>1411.3842368219443</v>
      </c>
      <c r="D168" s="247">
        <f>IF(B161,B172,IF(D161,D172,C168))</f>
        <v>1412.675443781035</v>
      </c>
      <c r="E168" s="247"/>
      <c r="F168" s="247"/>
      <c r="G168" s="247">
        <f>IF(E161,E172,IF(G161,G172,D168))</f>
        <v>1412.675443781035</v>
      </c>
      <c r="H168" s="247"/>
      <c r="I168" s="247"/>
      <c r="J168" s="247">
        <f>IF(H161,H172,IF(J161,J172,G168))</f>
        <v>1445.372096441175</v>
      </c>
      <c r="K168" s="247"/>
      <c r="L168" s="247"/>
      <c r="M168" s="247">
        <f>IF(K161,K172,IF(M161,M172,J168))</f>
        <v>1445.372096441175</v>
      </c>
      <c r="N168" s="247"/>
      <c r="O168" s="247"/>
      <c r="P168" s="247">
        <f>IF(N161,N172,IF(P161,P172,M168))</f>
        <v>1445.372096441175</v>
      </c>
      <c r="Q168" s="247"/>
      <c r="R168" s="247"/>
      <c r="S168" s="247">
        <f>IF(Q161,Q172,IF(S161,S172,P168))</f>
        <v>1433.48557280043</v>
      </c>
      <c r="T168" s="247"/>
      <c r="U168" s="247"/>
      <c r="V168" s="247">
        <f>IF(T161,T172,IF(V161,V172,S168))</f>
        <v>1433.48557280043</v>
      </c>
      <c r="W168" s="247"/>
      <c r="X168" s="247"/>
      <c r="Y168" s="247">
        <f>IF(W161,W172,IF(Y161,Y172,V168))</f>
        <v>1414.2461828791081</v>
      </c>
      <c r="Z168" s="247"/>
      <c r="AA168" s="247"/>
      <c r="AB168" s="247">
        <f>IF(Z161,Z172,IF(AB161,AB172,Y168))</f>
        <v>1414.2461828791081</v>
      </c>
      <c r="AC168" s="247"/>
      <c r="AD168" s="247"/>
      <c r="AE168" s="247">
        <f>IF(AC161,AC172,IF(AE161,AE172,AB168))</f>
        <v>1414.2461828791081</v>
      </c>
      <c r="AF168" s="188"/>
      <c r="AG168" s="188"/>
      <c r="AJ168" s="188"/>
      <c r="AL168" s="188"/>
      <c r="AM168" s="188"/>
      <c r="AN168" s="188"/>
      <c r="AO168" s="188"/>
      <c r="AT168" s="241" t="str">
        <f>B168</f>
        <v>SOAR RISE 12U</v>
      </c>
      <c r="AU168" s="241">
        <f>AE168</f>
        <v>1414.2461828791081</v>
      </c>
      <c r="AW168" s="246"/>
      <c r="BB168" s="246"/>
    </row>
    <row r="169" spans="1:54" s="241" customFormat="1" hidden="1" x14ac:dyDescent="0.2">
      <c r="A169" s="247"/>
      <c r="B169" s="247"/>
      <c r="C169" s="247"/>
      <c r="D169" s="247"/>
      <c r="E169" s="247"/>
      <c r="F169" s="247"/>
      <c r="G169" s="247"/>
      <c r="H169" s="247"/>
      <c r="I169" s="247"/>
      <c r="J169" s="247"/>
      <c r="K169" s="247"/>
      <c r="L169" s="247"/>
      <c r="M169" s="247"/>
      <c r="N169" s="247"/>
      <c r="O169" s="247"/>
      <c r="P169" s="247"/>
      <c r="Q169" s="247"/>
      <c r="R169" s="247"/>
      <c r="S169" s="247"/>
      <c r="T169" s="247"/>
      <c r="U169" s="247"/>
      <c r="V169" s="247"/>
      <c r="W169" s="247"/>
      <c r="X169" s="247"/>
      <c r="Y169" s="247"/>
      <c r="Z169" s="247"/>
      <c r="AA169" s="247"/>
      <c r="AB169" s="247"/>
      <c r="AC169" s="247"/>
      <c r="AD169" s="247"/>
      <c r="AE169" s="247"/>
      <c r="AF169" s="188"/>
      <c r="AG169" s="188"/>
      <c r="AJ169" s="188"/>
      <c r="AL169" s="188"/>
      <c r="AM169" s="188"/>
      <c r="AN169" s="188"/>
      <c r="AO169" s="188"/>
      <c r="AW169" s="246"/>
      <c r="BB169" s="246"/>
    </row>
    <row r="170" spans="1:54" s="241" customFormat="1" hidden="1" x14ac:dyDescent="0.2">
      <c r="A170" s="247" t="s">
        <v>89</v>
      </c>
      <c r="B170" s="247">
        <f>VLOOKUP(B109,$A164:$AE168,3,FALSE)</f>
        <v>1425.4109540497846</v>
      </c>
      <c r="C170" s="247">
        <v>1</v>
      </c>
      <c r="D170" s="247">
        <f>VLOOKUP(D109,$A164:$AE168,3,FALSE)</f>
        <v>1411.3842368219443</v>
      </c>
      <c r="E170" s="247">
        <f>VLOOKUP(E109,$A164:$AE168,4,FALSE)</f>
        <v>1547.6054388640575</v>
      </c>
      <c r="F170" s="247">
        <v>2</v>
      </c>
      <c r="G170" s="247">
        <f>VLOOKUP(G109,$A164:$AE168,4,FALSE)</f>
        <v>1349.1702617315095</v>
      </c>
      <c r="H170" s="247">
        <f>VLOOKUP(H109,$A164:$AE168,7,FALSE)</f>
        <v>1420.2404492297683</v>
      </c>
      <c r="I170" s="247">
        <v>3</v>
      </c>
      <c r="J170" s="247">
        <f>VLOOKUP(J109,$A164:$AE168,7,FALSE)</f>
        <v>1412.675443781035</v>
      </c>
      <c r="K170" s="247">
        <f>VLOOKUP(K109,$A164:$AE168,10,FALSE)</f>
        <v>1424.1197470906939</v>
      </c>
      <c r="L170" s="247">
        <v>4</v>
      </c>
      <c r="M170" s="247">
        <f>VLOOKUP(M109,$A164:$AE168,10,FALSE)</f>
        <v>1333.6885891584893</v>
      </c>
      <c r="N170" s="247">
        <f>VLOOKUP(N109,$A164:$AE168,13,FALSE)</f>
        <v>1563.0871114370777</v>
      </c>
      <c r="O170" s="247">
        <v>5</v>
      </c>
      <c r="P170" s="247">
        <f>VLOOKUP(P109,$A164:$AE168,13,FALSE)</f>
        <v>1387.5437965696283</v>
      </c>
      <c r="Q170" s="247">
        <f>VLOOKUP(Q109,$A164:$AE168,16,FALSE)</f>
        <v>1309.8344799215824</v>
      </c>
      <c r="R170" s="247">
        <v>6</v>
      </c>
      <c r="S170" s="247">
        <f>VLOOKUP(S109,$A164:$AE168,16,FALSE)</f>
        <v>1445.372096441175</v>
      </c>
      <c r="T170" s="247">
        <f>VLOOKUP(T109,$A164:$AE168,19,FALSE)</f>
        <v>1447.9738563276007</v>
      </c>
      <c r="U170" s="247">
        <v>7</v>
      </c>
      <c r="V170" s="247">
        <f>VLOOKUP(V109,$A164:$AE168,19,FALSE)</f>
        <v>1370.4634549051457</v>
      </c>
      <c r="W170" s="247">
        <f>VLOOKUP(W109,$A164:$AE168,22,FALSE)</f>
        <v>1580.1674531015603</v>
      </c>
      <c r="X170" s="247">
        <v>8</v>
      </c>
      <c r="Y170" s="247">
        <f>VLOOKUP(Y109,$A164:$AE168,22,FALSE)</f>
        <v>1433.48557280043</v>
      </c>
      <c r="Z170" s="247">
        <f>VLOOKUP(Z109,$A164:$AE168,25,FALSE)</f>
        <v>1345.4863014342077</v>
      </c>
      <c r="AA170" s="247">
        <v>9</v>
      </c>
      <c r="AB170" s="247">
        <f>VLOOKUP(AB109,$A164:$AE168,25,FALSE)</f>
        <v>1321.7210035623275</v>
      </c>
      <c r="AC170" s="247">
        <f>VLOOKUP(AC109,$A164:$AE168,28,FALSE)</f>
        <v>1599.4068430228822</v>
      </c>
      <c r="AD170" s="247">
        <v>10</v>
      </c>
      <c r="AE170" s="247">
        <f>VLOOKUP(AE109,$A164:$AE168,28,FALSE)</f>
        <v>1472.9510097985387</v>
      </c>
      <c r="AF170" s="188"/>
      <c r="AG170" s="242"/>
      <c r="AH170" s="242"/>
      <c r="AI170" s="242"/>
      <c r="AJ170" s="242"/>
      <c r="AK170" s="242"/>
      <c r="AL170" s="242"/>
      <c r="AM170" s="242"/>
      <c r="AN170" s="243"/>
      <c r="AO170" s="243"/>
      <c r="AP170" s="243"/>
      <c r="AQ170" s="243"/>
      <c r="AW170" s="246"/>
      <c r="BB170" s="246"/>
    </row>
    <row r="171" spans="1:54" s="252" customFormat="1" hidden="1" x14ac:dyDescent="0.2">
      <c r="A171" s="248" t="s">
        <v>90</v>
      </c>
      <c r="B171" s="248">
        <f>1/(1+(10^-((B170-D170)/400)))*(B121+D121)</f>
        <v>1.0403502174715831</v>
      </c>
      <c r="C171" s="248"/>
      <c r="D171" s="248">
        <f>1/(1+(10^-((D170-B170)/400)))*(B121+D121)</f>
        <v>0.95964978252841682</v>
      </c>
      <c r="E171" s="248">
        <f>1/(1+(10^-((E170-G170)/400)))*(E121+G121)</f>
        <v>1.5161977320931159</v>
      </c>
      <c r="F171" s="248"/>
      <c r="G171" s="248">
        <f>1/(1+(10^-((G170-E170)/400)))*(E121+G121)</f>
        <v>0.48380226790688396</v>
      </c>
      <c r="H171" s="248">
        <f>1/(1+(10^-((H170-J170)/400)))*(H121+J121)</f>
        <v>1.0217703956293747</v>
      </c>
      <c r="I171" s="248"/>
      <c r="J171" s="248">
        <f>1/(1+(10^-((J170-H170)/400)))*(H121+J121)</f>
        <v>0.97822960437062556</v>
      </c>
      <c r="K171" s="248">
        <f>1/(1+(10^-((K170-M170)/400)))*(K121+M121)</f>
        <v>1.2545590863466611</v>
      </c>
      <c r="L171" s="248"/>
      <c r="M171" s="248">
        <f>1/(1+(10^-((M170-K170)/400)))*(K121+M121)</f>
        <v>0.74544091365333898</v>
      </c>
      <c r="N171" s="248">
        <f>1/(1+(10^-((N170-P170)/400)))*(N121+P121)</f>
        <v>1.4662393229849215</v>
      </c>
      <c r="O171" s="248"/>
      <c r="P171" s="248">
        <f>1/(1+(10^-((P170-N170)/400)))*(N121+P121)</f>
        <v>0.53376067701507834</v>
      </c>
      <c r="Q171" s="248">
        <f>1/(1+(10^-((Q170-S170)/400)))*(Q121+S121)</f>
        <v>0.62854613622671884</v>
      </c>
      <c r="R171" s="248"/>
      <c r="S171" s="248">
        <f>1/(1+(10^-((S170-Q170)/400)))*(Q121+S121)</f>
        <v>1.3714538637732812</v>
      </c>
      <c r="T171" s="248">
        <f>1/(1+(10^-((T170-V170)/400)))*(T121+V121)</f>
        <v>1.2194639540331895</v>
      </c>
      <c r="U171" s="248"/>
      <c r="V171" s="248">
        <f>1/(1+(10^-((V170-T170)/400)))*(T121+V121)</f>
        <v>0.78053604596681048</v>
      </c>
      <c r="W171" s="248">
        <f>1/(1+(10^-((W170-Y170)/400)))*(W121+Y121)</f>
        <v>1.3987690649586932</v>
      </c>
      <c r="X171" s="248"/>
      <c r="Y171" s="248">
        <f>1/(1+(10^-((Y170-W170)/400)))*(W121+Y121)</f>
        <v>0.60123093504130665</v>
      </c>
      <c r="Z171" s="248">
        <f>1/(1+(10^-((Z170-AB170)/400)))*(Z121+AB121)</f>
        <v>1.0682955443961586</v>
      </c>
      <c r="AA171" s="248"/>
      <c r="AB171" s="248">
        <f>1/(1+(10^-((AB170-Z170)/400)))*(Z121+AB121)</f>
        <v>0.93170445560384119</v>
      </c>
      <c r="AC171" s="248">
        <f>1/(1+(10^-((AC170-AE170)/400)))*(AC121+AE121)</f>
        <v>1.3487053636774542</v>
      </c>
      <c r="AD171" s="248"/>
      <c r="AE171" s="248">
        <f>1/(1+(10^-((AE170-AC170)/400)))*(AC121+AE121)</f>
        <v>0.65129463632254581</v>
      </c>
      <c r="AF171" s="249"/>
      <c r="AG171" s="250"/>
      <c r="AH171" s="250"/>
      <c r="AI171" s="250"/>
      <c r="AJ171" s="250"/>
      <c r="AK171" s="250"/>
      <c r="AL171" s="250"/>
      <c r="AM171" s="250"/>
      <c r="AN171" s="251"/>
      <c r="AO171" s="251"/>
      <c r="AP171" s="251"/>
      <c r="AQ171" s="251"/>
      <c r="AW171" s="253"/>
      <c r="BB171" s="253"/>
    </row>
    <row r="172" spans="1:54" s="258" customFormat="1" hidden="1" x14ac:dyDescent="0.2">
      <c r="A172" s="254" t="s">
        <v>91</v>
      </c>
      <c r="B172" s="254">
        <f>B170+(B121-B171)*$BA$1</f>
        <v>1424.1197470906939</v>
      </c>
      <c r="C172" s="254"/>
      <c r="D172" s="254">
        <f>D170+(D121-D171)*$BA$1</f>
        <v>1412.675443781035</v>
      </c>
      <c r="E172" s="254">
        <f>E170+(E121-E171)*$BA$1</f>
        <v>1563.0871114370777</v>
      </c>
      <c r="F172" s="254"/>
      <c r="G172" s="254">
        <f>G170+(G121-G171)*$BA$1</f>
        <v>1333.6885891584893</v>
      </c>
      <c r="H172" s="254">
        <f>H170+(H121-H171)*$BA$1</f>
        <v>1387.5437965696283</v>
      </c>
      <c r="I172" s="254"/>
      <c r="J172" s="254">
        <f>J170+(J121-J171)*$BA$1</f>
        <v>1445.372096441175</v>
      </c>
      <c r="K172" s="254">
        <f>K170+(K121-K171)*$BA$1</f>
        <v>1447.9738563276007</v>
      </c>
      <c r="L172" s="254"/>
      <c r="M172" s="254">
        <f>M170+(M121-M171)*$BA$1</f>
        <v>1309.8344799215824</v>
      </c>
      <c r="N172" s="254">
        <f>N170+(N121-N171)*$BA$1</f>
        <v>1580.1674531015603</v>
      </c>
      <c r="O172" s="254"/>
      <c r="P172" s="254">
        <f>P170+(P121-P171)*$BA$1</f>
        <v>1370.4634549051457</v>
      </c>
      <c r="Q172" s="254">
        <f>Q170+(Q121-Q171)*$BA$1</f>
        <v>1321.7210035623275</v>
      </c>
      <c r="R172" s="254"/>
      <c r="S172" s="254">
        <f>S170+(S121-S171)*$BA$1</f>
        <v>1433.48557280043</v>
      </c>
      <c r="T172" s="254">
        <f>T170+(T121-T171)*$BA$1</f>
        <v>1472.9510097985387</v>
      </c>
      <c r="U172" s="254"/>
      <c r="V172" s="254">
        <f>V170+(V121-V171)*$BA$1</f>
        <v>1345.4863014342077</v>
      </c>
      <c r="W172" s="254">
        <f>W170+(W121-W171)*$BA$1</f>
        <v>1599.4068430228822</v>
      </c>
      <c r="X172" s="254"/>
      <c r="Y172" s="254">
        <f>Y170+(Y121-Y171)*$BA$1</f>
        <v>1414.2461828791081</v>
      </c>
      <c r="Z172" s="254">
        <f>Z170+(Z121-Z171)*$BA$1</f>
        <v>1311.3008440135307</v>
      </c>
      <c r="AA172" s="254"/>
      <c r="AB172" s="254">
        <f>AB170+(AB121-AB171)*$BA$1</f>
        <v>1355.9064609830045</v>
      </c>
      <c r="AC172" s="254">
        <f>AC170+(AC121-AC171)*$BA$1</f>
        <v>1620.2482713852037</v>
      </c>
      <c r="AD172" s="254"/>
      <c r="AE172" s="254">
        <f>AE170+(AE121-AE171)*$BA$1</f>
        <v>1452.1095814362172</v>
      </c>
      <c r="AF172" s="255"/>
      <c r="AG172" s="256"/>
      <c r="AH172" s="256"/>
      <c r="AI172" s="256"/>
      <c r="AJ172" s="256"/>
      <c r="AK172" s="256"/>
      <c r="AL172" s="256"/>
      <c r="AM172" s="256"/>
      <c r="AN172" s="257"/>
      <c r="AO172" s="257"/>
      <c r="AP172" s="257"/>
      <c r="AQ172" s="257"/>
      <c r="AW172" s="259"/>
      <c r="BB172" s="259"/>
    </row>
    <row r="173" spans="1:54" s="258" customFormat="1" hidden="1" x14ac:dyDescent="0.2">
      <c r="A173" s="254"/>
      <c r="B173" s="254"/>
      <c r="C173" s="254"/>
      <c r="D173" s="254"/>
      <c r="E173" s="254"/>
      <c r="F173" s="254"/>
      <c r="G173" s="254"/>
      <c r="H173" s="254"/>
      <c r="I173" s="254"/>
      <c r="J173" s="254"/>
      <c r="K173" s="254"/>
      <c r="L173" s="254"/>
      <c r="M173" s="254"/>
      <c r="N173" s="254"/>
      <c r="O173" s="254"/>
      <c r="P173" s="254"/>
      <c r="Q173" s="254"/>
      <c r="R173" s="254"/>
      <c r="S173" s="254"/>
      <c r="T173" s="254"/>
      <c r="U173" s="254"/>
      <c r="V173" s="254"/>
      <c r="W173" s="254"/>
      <c r="X173" s="254"/>
      <c r="Y173" s="254"/>
      <c r="Z173" s="254"/>
      <c r="AA173" s="254"/>
      <c r="AB173" s="254"/>
      <c r="AC173" s="254"/>
      <c r="AD173" s="254"/>
      <c r="AE173" s="254"/>
      <c r="AF173" s="255"/>
      <c r="AG173" s="256"/>
      <c r="AH173" s="256"/>
      <c r="AI173" s="256"/>
      <c r="AJ173" s="256"/>
      <c r="AK173" s="256"/>
      <c r="AL173" s="256"/>
      <c r="AM173" s="256"/>
      <c r="AN173" s="257"/>
      <c r="AO173" s="257"/>
      <c r="AP173" s="257"/>
      <c r="AQ173" s="257"/>
      <c r="AW173" s="259"/>
      <c r="BB173" s="259"/>
    </row>
    <row r="174" spans="1:54" s="241" customFormat="1" x14ac:dyDescent="0.2">
      <c r="A174" s="525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525"/>
      <c r="C174" s="525"/>
      <c r="D174" s="525"/>
      <c r="E174" s="525"/>
      <c r="F174" s="525"/>
      <c r="G174" s="525"/>
      <c r="H174" s="525"/>
      <c r="I174" s="525"/>
      <c r="J174" s="525"/>
      <c r="K174" s="525"/>
      <c r="L174" s="525"/>
      <c r="M174" s="525"/>
      <c r="N174" s="525"/>
      <c r="O174" s="525"/>
      <c r="P174" s="525"/>
      <c r="Q174" s="525"/>
      <c r="R174" s="525"/>
      <c r="S174" s="525"/>
      <c r="T174" s="525"/>
      <c r="U174" s="525"/>
      <c r="V174" s="525"/>
      <c r="W174" s="525"/>
      <c r="X174" s="525"/>
      <c r="Y174" s="525"/>
      <c r="Z174" s="525"/>
      <c r="AA174" s="525"/>
      <c r="AB174" s="525"/>
      <c r="AC174" s="525"/>
      <c r="AD174" s="525"/>
      <c r="AE174" s="525"/>
      <c r="AF174" s="525"/>
      <c r="AG174" s="525"/>
      <c r="AH174" s="525"/>
      <c r="AI174" s="525"/>
      <c r="AJ174" s="525"/>
      <c r="AK174" s="525"/>
      <c r="AL174" s="525"/>
      <c r="AM174" s="525"/>
      <c r="AN174" s="432"/>
      <c r="AO174" s="432"/>
      <c r="AP174" s="432"/>
      <c r="AQ174" s="432"/>
      <c r="AW174" s="246"/>
    </row>
    <row r="175" spans="1:54" s="241" customFormat="1" ht="13.5" thickBot="1" x14ac:dyDescent="0.25">
      <c r="A175" s="526"/>
      <c r="B175" s="526"/>
      <c r="C175" s="526"/>
      <c r="D175" s="526"/>
      <c r="E175" s="526"/>
      <c r="F175" s="526"/>
      <c r="G175" s="526"/>
      <c r="H175" s="526"/>
      <c r="I175" s="526"/>
      <c r="J175" s="526"/>
      <c r="K175" s="526"/>
      <c r="L175" s="526"/>
      <c r="M175" s="526"/>
      <c r="N175" s="526"/>
      <c r="O175" s="526"/>
      <c r="P175" s="526"/>
      <c r="Q175" s="526"/>
      <c r="R175" s="526"/>
      <c r="S175" s="526"/>
      <c r="T175" s="526"/>
      <c r="U175" s="526"/>
      <c r="V175" s="526"/>
      <c r="W175" s="526"/>
      <c r="X175" s="526"/>
      <c r="Y175" s="526"/>
      <c r="Z175" s="526"/>
      <c r="AA175" s="526"/>
      <c r="AB175" s="526"/>
      <c r="AC175" s="526"/>
      <c r="AD175" s="526"/>
      <c r="AE175" s="526"/>
      <c r="AF175" s="526"/>
      <c r="AG175" s="526"/>
      <c r="AH175" s="526"/>
      <c r="AI175" s="526"/>
      <c r="AJ175" s="526"/>
      <c r="AK175" s="526"/>
      <c r="AL175" s="526"/>
      <c r="AM175" s="526"/>
      <c r="AN175" s="526"/>
      <c r="AO175" s="526"/>
      <c r="AP175" s="526"/>
      <c r="AQ175" s="526"/>
      <c r="AW175" s="246"/>
    </row>
    <row r="176" spans="1:54" ht="24" customHeight="1" thickBot="1" x14ac:dyDescent="0.25">
      <c r="A176" s="207" t="s">
        <v>22</v>
      </c>
      <c r="B176" s="208" t="s">
        <v>142</v>
      </c>
      <c r="C176" s="600" t="s">
        <v>24</v>
      </c>
      <c r="D176" s="601"/>
      <c r="E176" s="601"/>
      <c r="F176" s="601"/>
      <c r="G176" s="601"/>
      <c r="H176" s="602"/>
      <c r="I176" s="603">
        <v>3</v>
      </c>
      <c r="J176" s="604"/>
      <c r="K176" s="605" t="str">
        <f>"Pool "&amp;B176&amp;" - Round 1 - Court "&amp;I176</f>
        <v>Pool C - Round 1 - Court 3</v>
      </c>
      <c r="L176" s="606"/>
      <c r="M176" s="606"/>
      <c r="N176" s="606"/>
      <c r="O176" s="606"/>
      <c r="P176" s="606"/>
      <c r="Q176" s="606"/>
      <c r="R176" s="606"/>
      <c r="S176" s="606"/>
      <c r="T176" s="606"/>
      <c r="U176" s="606"/>
      <c r="V176" s="606"/>
      <c r="W176" s="606"/>
      <c r="X176" s="606"/>
      <c r="Y176" s="606"/>
      <c r="Z176" s="606"/>
      <c r="AA176" s="606"/>
      <c r="AB176" s="606"/>
      <c r="AC176" s="606"/>
      <c r="AD176" s="606"/>
      <c r="AE176" s="606"/>
      <c r="AF176" s="606"/>
      <c r="AG176" s="606"/>
      <c r="AH176" s="606"/>
      <c r="AI176" s="607"/>
      <c r="AJ176" s="195"/>
      <c r="AK176" s="195"/>
      <c r="AL176" s="195"/>
      <c r="AM176" s="195"/>
      <c r="AN176" s="195"/>
      <c r="AO176" s="195"/>
      <c r="AP176" s="195"/>
      <c r="AQ176" s="195"/>
    </row>
    <row r="177" spans="1:44" ht="27" customHeight="1" thickBot="1" x14ac:dyDescent="0.25">
      <c r="A177" s="209" t="s">
        <v>25</v>
      </c>
      <c r="B177" s="608" t="s">
        <v>7</v>
      </c>
      <c r="C177" s="609"/>
      <c r="D177" s="609"/>
      <c r="E177" s="609"/>
      <c r="F177" s="609"/>
      <c r="G177" s="609"/>
      <c r="H177" s="609"/>
      <c r="I177" s="609"/>
      <c r="J177" s="609"/>
      <c r="K177" s="609"/>
      <c r="L177" s="608" t="str">
        <f>IF($AK180=0,"Games Won","Matches Won")</f>
        <v>Matches Won</v>
      </c>
      <c r="M177" s="609"/>
      <c r="N177" s="609"/>
      <c r="O177" s="609"/>
      <c r="P177" s="609"/>
      <c r="Q177" s="610"/>
      <c r="R177" s="608" t="str">
        <f>IF($AK180=0,"Games Lost","Matches Lost")</f>
        <v>Matches Lost</v>
      </c>
      <c r="S177" s="611"/>
      <c r="T177" s="611"/>
      <c r="U177" s="611"/>
      <c r="V177" s="612"/>
      <c r="W177" s="613" t="s">
        <v>26</v>
      </c>
      <c r="X177" s="614"/>
      <c r="Y177" s="615"/>
      <c r="Z177" s="613" t="s">
        <v>27</v>
      </c>
      <c r="AA177" s="614"/>
      <c r="AB177" s="615"/>
      <c r="AC177" s="616" t="s">
        <v>28</v>
      </c>
      <c r="AD177" s="617"/>
      <c r="AE177" s="618"/>
      <c r="AF177" s="210" t="s">
        <v>29</v>
      </c>
      <c r="AG177" s="211" t="s">
        <v>6</v>
      </c>
      <c r="AH177" s="598" t="s">
        <v>30</v>
      </c>
      <c r="AI177" s="599"/>
      <c r="AJ177" s="212"/>
      <c r="AK177" s="213">
        <v>3</v>
      </c>
      <c r="AL177" s="214" t="s">
        <v>31</v>
      </c>
      <c r="AM177" s="214"/>
      <c r="AN177" s="214"/>
      <c r="AO177" s="214"/>
      <c r="AP177" s="214"/>
      <c r="AQ177" s="214"/>
      <c r="AR177" s="215"/>
    </row>
    <row r="178" spans="1:44" ht="18.75" customHeight="1" x14ac:dyDescent="0.2">
      <c r="A178" s="564" t="str">
        <f>IF($AK179&gt;0,"1","")</f>
        <v>1</v>
      </c>
      <c r="B178" s="595" t="s">
        <v>7</v>
      </c>
      <c r="C178" s="596"/>
      <c r="D178" s="597"/>
      <c r="E178" s="587" t="str">
        <f>AU5</f>
        <v>Crossfire 12</v>
      </c>
      <c r="F178" s="588"/>
      <c r="G178" s="588"/>
      <c r="H178" s="588"/>
      <c r="I178" s="588"/>
      <c r="J178" s="588"/>
      <c r="K178" s="589"/>
      <c r="L178" s="571">
        <f>IF($AK180=0,AF234,AF216)</f>
        <v>3</v>
      </c>
      <c r="M178" s="572"/>
      <c r="N178" s="572"/>
      <c r="O178" s="572"/>
      <c r="P178" s="572"/>
      <c r="Q178" s="610"/>
      <c r="R178" s="571">
        <f>IF($AK180=0,AG234,AG216)</f>
        <v>0</v>
      </c>
      <c r="S178" s="572"/>
      <c r="T178" s="572"/>
      <c r="U178" s="572"/>
      <c r="V178" s="572"/>
      <c r="W178" s="571">
        <f>AQ194</f>
        <v>44</v>
      </c>
      <c r="X178" s="572"/>
      <c r="Y178" s="572"/>
      <c r="Z178" s="544">
        <f>IF(AF228&gt;0,(AQ194/AF228),0)</f>
        <v>0.24444444444444444</v>
      </c>
      <c r="AA178" s="545"/>
      <c r="AB178" s="545"/>
      <c r="AC178" s="548">
        <f>IF(AF242=0,0,(AF234/AF242))</f>
        <v>0.75</v>
      </c>
      <c r="AD178" s="549"/>
      <c r="AE178" s="550"/>
      <c r="AF178" s="554">
        <v>1</v>
      </c>
      <c r="AG178" s="554">
        <v>1</v>
      </c>
      <c r="AH178" s="556">
        <v>3</v>
      </c>
      <c r="AI178" s="557"/>
      <c r="AJ178" s="212"/>
      <c r="AK178" s="213">
        <v>6</v>
      </c>
      <c r="AL178" s="214" t="s">
        <v>32</v>
      </c>
      <c r="AM178" s="214"/>
      <c r="AN178" s="214"/>
      <c r="AO178" s="214"/>
      <c r="AP178" s="214"/>
      <c r="AQ178" s="214"/>
      <c r="AR178" s="215"/>
    </row>
    <row r="179" spans="1:44" ht="18.75" customHeight="1" thickBot="1" x14ac:dyDescent="0.25">
      <c r="A179" s="565"/>
      <c r="B179" s="592" t="s">
        <v>8</v>
      </c>
      <c r="C179" s="593"/>
      <c r="D179" s="594"/>
      <c r="E179" s="585" t="str">
        <f>AV5</f>
        <v>fj2crosf1pm</v>
      </c>
      <c r="F179" s="586"/>
      <c r="G179" s="586"/>
      <c r="H179" s="586"/>
      <c r="I179" s="586"/>
      <c r="J179" s="586"/>
      <c r="K179" s="586"/>
      <c r="L179" s="590"/>
      <c r="M179" s="591"/>
      <c r="N179" s="591"/>
      <c r="O179" s="591"/>
      <c r="P179" s="591"/>
      <c r="Q179" s="610"/>
      <c r="R179" s="590"/>
      <c r="S179" s="591"/>
      <c r="T179" s="591"/>
      <c r="U179" s="591"/>
      <c r="V179" s="591"/>
      <c r="W179" s="590"/>
      <c r="X179" s="591"/>
      <c r="Y179" s="591"/>
      <c r="Z179" s="575"/>
      <c r="AA179" s="576"/>
      <c r="AB179" s="576"/>
      <c r="AC179" s="577"/>
      <c r="AD179" s="578"/>
      <c r="AE179" s="579"/>
      <c r="AF179" s="580"/>
      <c r="AG179" s="580"/>
      <c r="AH179" s="581"/>
      <c r="AI179" s="582"/>
      <c r="AJ179" s="212"/>
      <c r="AK179" s="213">
        <v>4</v>
      </c>
      <c r="AL179" s="214" t="s">
        <v>33</v>
      </c>
      <c r="AM179" s="212"/>
      <c r="AN179" s="212"/>
      <c r="AO179" s="212"/>
      <c r="AP179" s="212"/>
      <c r="AQ179" s="212"/>
      <c r="AR179" s="191"/>
    </row>
    <row r="180" spans="1:44" ht="18.75" customHeight="1" x14ac:dyDescent="0.2">
      <c r="A180" s="564" t="str">
        <f>IF($AK179&gt;1,"2","")</f>
        <v>2</v>
      </c>
      <c r="B180" s="595" t="s">
        <v>7</v>
      </c>
      <c r="C180" s="596"/>
      <c r="D180" s="597"/>
      <c r="E180" s="587" t="str">
        <f>AU6</f>
        <v>Fort Mill VBC 12 Purple</v>
      </c>
      <c r="F180" s="588"/>
      <c r="G180" s="588"/>
      <c r="H180" s="588"/>
      <c r="I180" s="588"/>
      <c r="J180" s="588"/>
      <c r="K180" s="589"/>
      <c r="L180" s="571">
        <f>IF($AK180=0,AF235,AF217)</f>
        <v>2</v>
      </c>
      <c r="M180" s="572"/>
      <c r="N180" s="572"/>
      <c r="O180" s="572"/>
      <c r="P180" s="572"/>
      <c r="Q180" s="610"/>
      <c r="R180" s="571">
        <f>IF($AK180=0,AG235,AG217)</f>
        <v>1</v>
      </c>
      <c r="S180" s="572"/>
      <c r="T180" s="572"/>
      <c r="U180" s="572"/>
      <c r="V180" s="572"/>
      <c r="W180" s="571">
        <f>AQ195</f>
        <v>19</v>
      </c>
      <c r="X180" s="572"/>
      <c r="Y180" s="572"/>
      <c r="Z180" s="544">
        <f>IF(AF229&gt;0,(AQ195/AF229),0)</f>
        <v>0.11515151515151516</v>
      </c>
      <c r="AA180" s="545"/>
      <c r="AB180" s="545"/>
      <c r="AC180" s="548">
        <f>IF(AF243=0,0,(AF235/AF243))</f>
        <v>0.7142857142857143</v>
      </c>
      <c r="AD180" s="549"/>
      <c r="AE180" s="550"/>
      <c r="AF180" s="554">
        <v>2</v>
      </c>
      <c r="AG180" s="554">
        <v>1</v>
      </c>
      <c r="AH180" s="556">
        <v>7</v>
      </c>
      <c r="AI180" s="557"/>
      <c r="AJ180" s="212"/>
      <c r="AK180" s="213">
        <v>1</v>
      </c>
      <c r="AL180" s="214" t="s">
        <v>34</v>
      </c>
      <c r="AM180" s="214"/>
      <c r="AN180" s="214"/>
      <c r="AO180" s="214"/>
      <c r="AP180" s="214"/>
      <c r="AQ180" s="214"/>
      <c r="AR180" s="215"/>
    </row>
    <row r="181" spans="1:44" ht="18.75" customHeight="1" thickBot="1" x14ac:dyDescent="0.25">
      <c r="A181" s="565"/>
      <c r="B181" s="583" t="s">
        <v>8</v>
      </c>
      <c r="C181" s="584"/>
      <c r="D181" s="584"/>
      <c r="E181" s="585" t="str">
        <f>AV6</f>
        <v>fj2fortm1pm</v>
      </c>
      <c r="F181" s="586"/>
      <c r="G181" s="586"/>
      <c r="H181" s="586"/>
      <c r="I181" s="586"/>
      <c r="J181" s="586"/>
      <c r="K181" s="586"/>
      <c r="L181" s="590"/>
      <c r="M181" s="591"/>
      <c r="N181" s="591"/>
      <c r="O181" s="591"/>
      <c r="P181" s="591"/>
      <c r="Q181" s="610"/>
      <c r="R181" s="590"/>
      <c r="S181" s="591"/>
      <c r="T181" s="591"/>
      <c r="U181" s="591"/>
      <c r="V181" s="591"/>
      <c r="W181" s="590"/>
      <c r="X181" s="591"/>
      <c r="Y181" s="591"/>
      <c r="Z181" s="575"/>
      <c r="AA181" s="576"/>
      <c r="AB181" s="576"/>
      <c r="AC181" s="577"/>
      <c r="AD181" s="578"/>
      <c r="AE181" s="579"/>
      <c r="AF181" s="580"/>
      <c r="AG181" s="580"/>
      <c r="AH181" s="581"/>
      <c r="AI181" s="582"/>
      <c r="AJ181" s="212"/>
      <c r="AK181" s="213">
        <v>1</v>
      </c>
      <c r="AL181" s="214" t="s">
        <v>35</v>
      </c>
      <c r="AM181" s="212"/>
      <c r="AN181" s="212"/>
      <c r="AO181" s="212"/>
      <c r="AP181" s="212"/>
      <c r="AQ181" s="212"/>
      <c r="AR181" s="191"/>
    </row>
    <row r="182" spans="1:44" ht="18.75" customHeight="1" x14ac:dyDescent="0.2">
      <c r="A182" s="564" t="str">
        <f>IF($AK179&gt;2,"3","")</f>
        <v>3</v>
      </c>
      <c r="B182" s="566" t="s">
        <v>7</v>
      </c>
      <c r="C182" s="567"/>
      <c r="D182" s="567"/>
      <c r="E182" s="587" t="str">
        <f>AU11</f>
        <v>CSRA Heat 12 Gold</v>
      </c>
      <c r="F182" s="588"/>
      <c r="G182" s="588"/>
      <c r="H182" s="588"/>
      <c r="I182" s="588"/>
      <c r="J182" s="588"/>
      <c r="K182" s="589"/>
      <c r="L182" s="571">
        <f>IF($AK180=0,AF236,AF218)</f>
        <v>1</v>
      </c>
      <c r="M182" s="572"/>
      <c r="N182" s="572"/>
      <c r="O182" s="572"/>
      <c r="P182" s="572"/>
      <c r="Q182" s="610"/>
      <c r="R182" s="571">
        <f>IF($AK180=0,AG236,AG218)</f>
        <v>2</v>
      </c>
      <c r="S182" s="572"/>
      <c r="T182" s="572"/>
      <c r="U182" s="572"/>
      <c r="V182" s="572"/>
      <c r="W182" s="571">
        <f>AQ196</f>
        <v>8</v>
      </c>
      <c r="X182" s="572"/>
      <c r="Y182" s="572"/>
      <c r="Z182" s="544">
        <f>IF(AF230&gt;0,(AQ196/AF230),0)</f>
        <v>4.8484848484848485E-2</v>
      </c>
      <c r="AA182" s="545"/>
      <c r="AB182" s="545"/>
      <c r="AC182" s="548">
        <f>IF(AF244=0,0,(AF236/AF244))</f>
        <v>0.42857142857142855</v>
      </c>
      <c r="AD182" s="549"/>
      <c r="AE182" s="550"/>
      <c r="AF182" s="554">
        <v>3</v>
      </c>
      <c r="AG182" s="554">
        <v>1</v>
      </c>
      <c r="AH182" s="556">
        <v>5</v>
      </c>
      <c r="AI182" s="557"/>
      <c r="AJ182" s="216"/>
      <c r="AK182" s="213">
        <v>3</v>
      </c>
      <c r="AL182" s="217" t="s">
        <v>36</v>
      </c>
      <c r="AM182" s="214"/>
      <c r="AN182" s="214"/>
      <c r="AO182" s="214"/>
      <c r="AP182" s="214"/>
      <c r="AQ182" s="214"/>
      <c r="AR182" s="215"/>
    </row>
    <row r="183" spans="1:44" ht="18.75" customHeight="1" thickBot="1" x14ac:dyDescent="0.25">
      <c r="A183" s="565"/>
      <c r="B183" s="583" t="s">
        <v>8</v>
      </c>
      <c r="C183" s="584"/>
      <c r="D183" s="584"/>
      <c r="E183" s="585" t="str">
        <f>AV11</f>
        <v>fj2csrah1pm</v>
      </c>
      <c r="F183" s="586"/>
      <c r="G183" s="586"/>
      <c r="H183" s="586"/>
      <c r="I183" s="586"/>
      <c r="J183" s="586"/>
      <c r="K183" s="586"/>
      <c r="L183" s="590"/>
      <c r="M183" s="591"/>
      <c r="N183" s="591"/>
      <c r="O183" s="591"/>
      <c r="P183" s="591"/>
      <c r="Q183" s="610"/>
      <c r="R183" s="590"/>
      <c r="S183" s="591"/>
      <c r="T183" s="591"/>
      <c r="U183" s="591"/>
      <c r="V183" s="591"/>
      <c r="W183" s="590"/>
      <c r="X183" s="591"/>
      <c r="Y183" s="591"/>
      <c r="Z183" s="575"/>
      <c r="AA183" s="576"/>
      <c r="AB183" s="576"/>
      <c r="AC183" s="577"/>
      <c r="AD183" s="578"/>
      <c r="AE183" s="579"/>
      <c r="AF183" s="580"/>
      <c r="AG183" s="580"/>
      <c r="AH183" s="581"/>
      <c r="AI183" s="582"/>
      <c r="AJ183" s="216"/>
      <c r="AK183" s="218"/>
      <c r="AL183" s="219"/>
      <c r="AM183" s="219"/>
      <c r="AN183" s="219"/>
      <c r="AO183" s="219"/>
      <c r="AP183" s="219"/>
      <c r="AQ183" s="212"/>
      <c r="AR183" s="191"/>
    </row>
    <row r="184" spans="1:44" ht="18.75" customHeight="1" x14ac:dyDescent="0.2">
      <c r="A184" s="564" t="str">
        <f>IF($AK179&gt;3,"4","")</f>
        <v>4</v>
      </c>
      <c r="B184" s="566" t="s">
        <v>7</v>
      </c>
      <c r="C184" s="567"/>
      <c r="D184" s="567"/>
      <c r="E184" s="587" t="str">
        <f>AU12</f>
        <v>C1VB 11 State Greenville</v>
      </c>
      <c r="F184" s="588"/>
      <c r="G184" s="588"/>
      <c r="H184" s="588"/>
      <c r="I184" s="588"/>
      <c r="J184" s="588"/>
      <c r="K184" s="589"/>
      <c r="L184" s="571">
        <f>IF($AK180=0,AF237,AF219)</f>
        <v>0</v>
      </c>
      <c r="M184" s="572"/>
      <c r="N184" s="572"/>
      <c r="O184" s="572"/>
      <c r="P184" s="572"/>
      <c r="Q184" s="610"/>
      <c r="R184" s="571">
        <f>IF($AK180=0,AG237,AG219)</f>
        <v>3</v>
      </c>
      <c r="S184" s="572"/>
      <c r="T184" s="572"/>
      <c r="U184" s="572"/>
      <c r="V184" s="572"/>
      <c r="W184" s="571">
        <f>AQ197</f>
        <v>-71</v>
      </c>
      <c r="X184" s="572"/>
      <c r="Y184" s="572"/>
      <c r="Z184" s="544">
        <f>IF(AF231&gt;0,(AQ197/AF231),0)</f>
        <v>-0.47333333333333333</v>
      </c>
      <c r="AA184" s="545"/>
      <c r="AB184" s="545"/>
      <c r="AC184" s="548">
        <f>IF(AF245=0,0,(AF237/AF245))</f>
        <v>0</v>
      </c>
      <c r="AD184" s="549"/>
      <c r="AE184" s="550"/>
      <c r="AF184" s="554">
        <v>4</v>
      </c>
      <c r="AG184" s="554">
        <v>1</v>
      </c>
      <c r="AH184" s="556">
        <v>11</v>
      </c>
      <c r="AI184" s="557"/>
      <c r="AJ184" s="195"/>
      <c r="AK184" s="219"/>
      <c r="AL184" s="219"/>
      <c r="AM184" s="219"/>
      <c r="AN184" s="219"/>
      <c r="AO184" s="219"/>
      <c r="AP184" s="219"/>
      <c r="AQ184" s="214"/>
      <c r="AR184" s="215"/>
    </row>
    <row r="185" spans="1:44" ht="18.75" customHeight="1" thickBot="1" x14ac:dyDescent="0.25">
      <c r="A185" s="565"/>
      <c r="B185" s="583" t="s">
        <v>8</v>
      </c>
      <c r="C185" s="584"/>
      <c r="D185" s="584"/>
      <c r="E185" s="585" t="str">
        <f>AV12</f>
        <v>fj1crone1pm</v>
      </c>
      <c r="F185" s="586"/>
      <c r="G185" s="586"/>
      <c r="H185" s="586"/>
      <c r="I185" s="586"/>
      <c r="J185" s="586"/>
      <c r="K185" s="586"/>
      <c r="L185" s="590"/>
      <c r="M185" s="591"/>
      <c r="N185" s="591"/>
      <c r="O185" s="591"/>
      <c r="P185" s="591"/>
      <c r="Q185" s="610"/>
      <c r="R185" s="590"/>
      <c r="S185" s="591"/>
      <c r="T185" s="591"/>
      <c r="U185" s="591"/>
      <c r="V185" s="591"/>
      <c r="W185" s="590"/>
      <c r="X185" s="591"/>
      <c r="Y185" s="591"/>
      <c r="Z185" s="575"/>
      <c r="AA185" s="576"/>
      <c r="AB185" s="576"/>
      <c r="AC185" s="577"/>
      <c r="AD185" s="578"/>
      <c r="AE185" s="579"/>
      <c r="AF185" s="580"/>
      <c r="AG185" s="580"/>
      <c r="AH185" s="581"/>
      <c r="AI185" s="582"/>
      <c r="AJ185" s="195"/>
      <c r="AK185" s="219"/>
      <c r="AL185" s="219"/>
      <c r="AM185" s="219"/>
      <c r="AN185" s="219"/>
      <c r="AO185" s="219"/>
      <c r="AP185" s="219"/>
      <c r="AQ185" s="195"/>
      <c r="AR185" s="191"/>
    </row>
    <row r="186" spans="1:44" ht="18.75" customHeight="1" x14ac:dyDescent="0.2">
      <c r="A186" s="564" t="str">
        <f>IF($AK179&gt;4,"5","")</f>
        <v/>
      </c>
      <c r="B186" s="566" t="s">
        <v>7</v>
      </c>
      <c r="C186" s="567"/>
      <c r="D186" s="567"/>
      <c r="E186" s="568">
        <f>AU17</f>
        <v>0</v>
      </c>
      <c r="F186" s="569"/>
      <c r="G186" s="569"/>
      <c r="H186" s="569"/>
      <c r="I186" s="569"/>
      <c r="J186" s="569"/>
      <c r="K186" s="570"/>
      <c r="L186" s="571">
        <f>IF($AK180=0,AF238,AF220)</f>
        <v>0</v>
      </c>
      <c r="M186" s="572"/>
      <c r="N186" s="572"/>
      <c r="O186" s="572"/>
      <c r="P186" s="572"/>
      <c r="Q186" s="610"/>
      <c r="R186" s="571">
        <f>IF($AK180=0,AG238,AG220)</f>
        <v>0</v>
      </c>
      <c r="S186" s="572"/>
      <c r="T186" s="572"/>
      <c r="U186" s="572"/>
      <c r="V186" s="572"/>
      <c r="W186" s="571">
        <f>AQ198</f>
        <v>0</v>
      </c>
      <c r="X186" s="572"/>
      <c r="Y186" s="572"/>
      <c r="Z186" s="544">
        <f>IF(AF232&gt;0,(AQ198/AF232),0)</f>
        <v>0</v>
      </c>
      <c r="AA186" s="545"/>
      <c r="AB186" s="545"/>
      <c r="AC186" s="548">
        <f>IF(AF246=0,0,(AF238/AF246))</f>
        <v>0</v>
      </c>
      <c r="AD186" s="549"/>
      <c r="AE186" s="550"/>
      <c r="AF186" s="554"/>
      <c r="AG186" s="554"/>
      <c r="AH186" s="556"/>
      <c r="AI186" s="557"/>
      <c r="AJ186" s="195"/>
      <c r="AK186" s="219"/>
      <c r="AL186" s="219"/>
      <c r="AM186" s="219"/>
      <c r="AN186" s="219"/>
      <c r="AO186" s="219"/>
      <c r="AP186" s="219"/>
      <c r="AQ186" s="195"/>
      <c r="AR186" s="191"/>
    </row>
    <row r="187" spans="1:44" ht="18.75" customHeight="1" thickBot="1" x14ac:dyDescent="0.25">
      <c r="A187" s="565"/>
      <c r="B187" s="560" t="s">
        <v>8</v>
      </c>
      <c r="C187" s="561"/>
      <c r="D187" s="561"/>
      <c r="E187" s="562">
        <f>AV17</f>
        <v>0</v>
      </c>
      <c r="F187" s="563"/>
      <c r="G187" s="563"/>
      <c r="H187" s="563"/>
      <c r="I187" s="563"/>
      <c r="J187" s="563"/>
      <c r="K187" s="563"/>
      <c r="L187" s="573"/>
      <c r="M187" s="574"/>
      <c r="N187" s="574"/>
      <c r="O187" s="574"/>
      <c r="P187" s="574"/>
      <c r="Q187" s="610"/>
      <c r="R187" s="573"/>
      <c r="S187" s="574"/>
      <c r="T187" s="574"/>
      <c r="U187" s="574"/>
      <c r="V187" s="574"/>
      <c r="W187" s="573"/>
      <c r="X187" s="574"/>
      <c r="Y187" s="574"/>
      <c r="Z187" s="546"/>
      <c r="AA187" s="547"/>
      <c r="AB187" s="547"/>
      <c r="AC187" s="551"/>
      <c r="AD187" s="552"/>
      <c r="AE187" s="553"/>
      <c r="AF187" s="555"/>
      <c r="AG187" s="555"/>
      <c r="AH187" s="558"/>
      <c r="AI187" s="559"/>
      <c r="AJ187" s="195"/>
      <c r="AK187" s="219"/>
      <c r="AL187" s="219"/>
      <c r="AM187" s="219"/>
      <c r="AN187" s="219"/>
      <c r="AO187" s="219"/>
      <c r="AP187" s="219"/>
      <c r="AQ187" s="195"/>
      <c r="AR187" s="191"/>
    </row>
    <row r="188" spans="1:44" ht="21" customHeight="1" thickTop="1" thickBot="1" x14ac:dyDescent="0.25">
      <c r="A188" s="220"/>
      <c r="B188" s="541" t="s">
        <v>1167</v>
      </c>
      <c r="C188" s="542"/>
      <c r="D188" s="542"/>
      <c r="E188" s="542"/>
      <c r="F188" s="542"/>
      <c r="G188" s="542"/>
      <c r="H188" s="542"/>
      <c r="I188" s="542"/>
      <c r="J188" s="542"/>
      <c r="K188" s="542"/>
      <c r="L188" s="542"/>
      <c r="M188" s="542"/>
      <c r="N188" s="542"/>
      <c r="O188" s="542"/>
      <c r="P188" s="542"/>
      <c r="Q188" s="542"/>
      <c r="R188" s="542"/>
      <c r="S188" s="542"/>
      <c r="T188" s="542"/>
      <c r="U188" s="542"/>
      <c r="V188" s="542"/>
      <c r="W188" s="542"/>
      <c r="X188" s="542"/>
      <c r="Y188" s="542"/>
      <c r="Z188" s="542"/>
      <c r="AA188" s="542"/>
      <c r="AB188" s="542"/>
      <c r="AC188" s="542"/>
      <c r="AD188" s="542"/>
      <c r="AE188" s="542"/>
      <c r="AF188" s="542"/>
      <c r="AG188" s="542"/>
      <c r="AH188" s="542"/>
      <c r="AI188" s="543"/>
      <c r="AJ188" s="195"/>
      <c r="AK188" s="219"/>
      <c r="AL188" s="219"/>
      <c r="AM188" s="219"/>
      <c r="AN188" s="219"/>
      <c r="AO188" s="219"/>
      <c r="AP188" s="219"/>
      <c r="AQ188" s="195"/>
      <c r="AR188" s="191"/>
    </row>
    <row r="189" spans="1:44" ht="13.5" thickTop="1" x14ac:dyDescent="0.2">
      <c r="A189" s="188" t="s">
        <v>39</v>
      </c>
      <c r="B189" s="530">
        <v>0.35416666666666669</v>
      </c>
      <c r="C189" s="531"/>
      <c r="D189" s="532"/>
      <c r="E189" s="530">
        <v>0.39583333333333331</v>
      </c>
      <c r="F189" s="531"/>
      <c r="G189" s="532"/>
      <c r="H189" s="530">
        <v>0.4375</v>
      </c>
      <c r="I189" s="531"/>
      <c r="J189" s="532"/>
      <c r="K189" s="530">
        <v>0.47916666666666669</v>
      </c>
      <c r="L189" s="531"/>
      <c r="M189" s="532"/>
      <c r="N189" s="530">
        <v>0.52083333333333337</v>
      </c>
      <c r="O189" s="531"/>
      <c r="P189" s="532"/>
      <c r="Q189" s="530">
        <v>6.25E-2</v>
      </c>
      <c r="R189" s="531"/>
      <c r="S189" s="532"/>
      <c r="T189" s="530"/>
      <c r="U189" s="531"/>
      <c r="V189" s="532"/>
      <c r="W189" s="530"/>
      <c r="X189" s="531"/>
      <c r="Y189" s="532"/>
      <c r="Z189" s="530"/>
      <c r="AA189" s="531"/>
      <c r="AB189" s="532"/>
      <c r="AC189" s="530"/>
      <c r="AD189" s="531"/>
      <c r="AE189" s="532"/>
      <c r="AF189" s="533" t="s">
        <v>40</v>
      </c>
      <c r="AG189" s="534"/>
      <c r="AH189" s="534"/>
      <c r="AI189" s="534"/>
      <c r="AJ189" s="535"/>
      <c r="AK189" s="535"/>
      <c r="AL189" s="535"/>
      <c r="AM189" s="535"/>
      <c r="AN189" s="535"/>
      <c r="AO189" s="535"/>
      <c r="AP189" s="535"/>
      <c r="AQ189" s="536"/>
    </row>
    <row r="190" spans="1:44" x14ac:dyDescent="0.2">
      <c r="A190" s="221" t="s">
        <v>41</v>
      </c>
      <c r="B190" s="527">
        <v>0.35486111111111113</v>
      </c>
      <c r="C190" s="528"/>
      <c r="D190" s="529"/>
      <c r="E190" s="527">
        <v>0.41111111111111115</v>
      </c>
      <c r="F190" s="528"/>
      <c r="G190" s="529"/>
      <c r="H190" s="527">
        <v>0.44097222222222227</v>
      </c>
      <c r="I190" s="528"/>
      <c r="J190" s="529"/>
      <c r="K190" s="527">
        <v>0.47569444444444442</v>
      </c>
      <c r="L190" s="528"/>
      <c r="M190" s="529"/>
      <c r="N190" s="527">
        <v>0.52916666666666667</v>
      </c>
      <c r="O190" s="528"/>
      <c r="P190" s="529"/>
      <c r="Q190" s="527">
        <v>6.458333333333334E-2</v>
      </c>
      <c r="R190" s="528"/>
      <c r="S190" s="529"/>
      <c r="T190" s="527"/>
      <c r="U190" s="528"/>
      <c r="V190" s="529"/>
      <c r="W190" s="527"/>
      <c r="X190" s="528"/>
      <c r="Y190" s="529"/>
      <c r="Z190" s="527"/>
      <c r="AA190" s="528"/>
      <c r="AB190" s="529"/>
      <c r="AC190" s="527"/>
      <c r="AD190" s="528"/>
      <c r="AE190" s="529"/>
      <c r="AF190" s="533"/>
      <c r="AG190" s="534"/>
      <c r="AH190" s="534"/>
      <c r="AI190" s="534"/>
      <c r="AJ190" s="534"/>
      <c r="AK190" s="534"/>
      <c r="AL190" s="534"/>
      <c r="AM190" s="534"/>
      <c r="AN190" s="534"/>
      <c r="AO190" s="534"/>
      <c r="AP190" s="534"/>
      <c r="AQ190" s="537"/>
    </row>
    <row r="191" spans="1:44" x14ac:dyDescent="0.2">
      <c r="A191" s="221" t="s">
        <v>42</v>
      </c>
      <c r="B191" s="527">
        <v>0.39652777777777781</v>
      </c>
      <c r="C191" s="528"/>
      <c r="D191" s="529"/>
      <c r="E191" s="527">
        <v>0.43402777777777773</v>
      </c>
      <c r="F191" s="528"/>
      <c r="G191" s="529"/>
      <c r="H191" s="527">
        <v>0.47152777777777777</v>
      </c>
      <c r="I191" s="528"/>
      <c r="J191" s="529"/>
      <c r="K191" s="527">
        <v>0.52152777777777781</v>
      </c>
      <c r="L191" s="528"/>
      <c r="M191" s="529"/>
      <c r="N191" s="527">
        <v>5.5555555555555552E-2</v>
      </c>
      <c r="O191" s="528"/>
      <c r="P191" s="529"/>
      <c r="Q191" s="527">
        <v>0.1125</v>
      </c>
      <c r="R191" s="528"/>
      <c r="S191" s="529"/>
      <c r="T191" s="527"/>
      <c r="U191" s="528"/>
      <c r="V191" s="529"/>
      <c r="W191" s="527"/>
      <c r="X191" s="528"/>
      <c r="Y191" s="529"/>
      <c r="Z191" s="527"/>
      <c r="AA191" s="528"/>
      <c r="AB191" s="529"/>
      <c r="AC191" s="527"/>
      <c r="AD191" s="528"/>
      <c r="AE191" s="529"/>
      <c r="AF191" s="533"/>
      <c r="AG191" s="534"/>
      <c r="AH191" s="534"/>
      <c r="AI191" s="534"/>
      <c r="AJ191" s="534"/>
      <c r="AK191" s="534"/>
      <c r="AL191" s="534"/>
      <c r="AM191" s="534"/>
      <c r="AN191" s="534"/>
      <c r="AO191" s="534"/>
      <c r="AP191" s="534"/>
      <c r="AQ191" s="537"/>
    </row>
    <row r="192" spans="1:44" ht="13.5" thickBot="1" x14ac:dyDescent="0.25">
      <c r="A192" s="195"/>
      <c r="B192" s="394" t="s">
        <v>43</v>
      </c>
      <c r="C192" s="392"/>
      <c r="D192" s="393"/>
      <c r="E192" s="394" t="str">
        <f>IF(AK178&gt;1,"Match 2","")</f>
        <v>Match 2</v>
      </c>
      <c r="F192" s="392"/>
      <c r="G192" s="393"/>
      <c r="H192" s="394" t="str">
        <f>IF(AK178&gt;2,"Match 3","")</f>
        <v>Match 3</v>
      </c>
      <c r="I192" s="392"/>
      <c r="J192" s="393"/>
      <c r="K192" s="394" t="str">
        <f>IF(AK178&gt;3,"Match 4","")</f>
        <v>Match 4</v>
      </c>
      <c r="L192" s="392"/>
      <c r="M192" s="393"/>
      <c r="N192" s="394" t="str">
        <f>IF(AK178&gt;4,"Match 5","")</f>
        <v>Match 5</v>
      </c>
      <c r="O192" s="392"/>
      <c r="P192" s="393"/>
      <c r="Q192" s="394" t="str">
        <f>IF(AK178&gt;5,"Match 6","")</f>
        <v>Match 6</v>
      </c>
      <c r="R192" s="392"/>
      <c r="S192" s="393"/>
      <c r="T192" s="394" t="str">
        <f>IF(AK178&gt;6,"Match 7","")</f>
        <v/>
      </c>
      <c r="U192" s="392"/>
      <c r="V192" s="393"/>
      <c r="W192" s="394" t="str">
        <f>IF(AK178&gt;7,"Match 8","")</f>
        <v/>
      </c>
      <c r="X192" s="392"/>
      <c r="Y192" s="393"/>
      <c r="Z192" s="394" t="str">
        <f>IF(AK178&gt;8,"Match 9","")</f>
        <v/>
      </c>
      <c r="AA192" s="392"/>
      <c r="AB192" s="393"/>
      <c r="AC192" s="394" t="str">
        <f>IF(AK178&gt;9,"Match 10","")</f>
        <v/>
      </c>
      <c r="AD192" s="392"/>
      <c r="AE192" s="393"/>
      <c r="AF192" s="538"/>
      <c r="AG192" s="539"/>
      <c r="AH192" s="539"/>
      <c r="AI192" s="539"/>
      <c r="AJ192" s="539"/>
      <c r="AK192" s="539"/>
      <c r="AL192" s="539"/>
      <c r="AM192" s="539"/>
      <c r="AN192" s="539"/>
      <c r="AO192" s="539"/>
      <c r="AP192" s="539"/>
      <c r="AQ192" s="540"/>
    </row>
    <row r="193" spans="1:49" ht="15.75" x14ac:dyDescent="0.25">
      <c r="A193" s="195"/>
      <c r="B193" s="521" t="s">
        <v>46</v>
      </c>
      <c r="C193" s="522"/>
      <c r="D193" s="523"/>
      <c r="E193" s="521" t="s">
        <v>48</v>
      </c>
      <c r="F193" s="522"/>
      <c r="G193" s="523"/>
      <c r="H193" s="521" t="s">
        <v>45</v>
      </c>
      <c r="I193" s="522"/>
      <c r="J193" s="523"/>
      <c r="K193" s="521" t="s">
        <v>44</v>
      </c>
      <c r="L193" s="522"/>
      <c r="M193" s="523"/>
      <c r="N193" s="521" t="s">
        <v>48</v>
      </c>
      <c r="O193" s="522"/>
      <c r="P193" s="523"/>
      <c r="Q193" s="521" t="s">
        <v>45</v>
      </c>
      <c r="R193" s="522"/>
      <c r="S193" s="523"/>
      <c r="T193" s="521"/>
      <c r="U193" s="522"/>
      <c r="V193" s="523"/>
      <c r="W193" s="521"/>
      <c r="X193" s="522"/>
      <c r="Y193" s="523"/>
      <c r="Z193" s="521"/>
      <c r="AA193" s="522"/>
      <c r="AB193" s="523"/>
      <c r="AC193" s="521"/>
      <c r="AD193" s="522"/>
      <c r="AE193" s="523"/>
      <c r="AF193" s="222" t="s">
        <v>49</v>
      </c>
      <c r="AG193" s="223">
        <v>1</v>
      </c>
      <c r="AH193" s="223">
        <v>2</v>
      </c>
      <c r="AI193" s="223">
        <v>3</v>
      </c>
      <c r="AJ193" s="223">
        <v>4</v>
      </c>
      <c r="AK193" s="223">
        <v>5</v>
      </c>
      <c r="AL193" s="223">
        <v>6</v>
      </c>
      <c r="AM193" s="223">
        <v>7</v>
      </c>
      <c r="AN193" s="223">
        <v>8</v>
      </c>
      <c r="AO193" s="223">
        <v>9</v>
      </c>
      <c r="AP193" s="223">
        <v>10</v>
      </c>
      <c r="AQ193" s="224" t="s">
        <v>50</v>
      </c>
    </row>
    <row r="194" spans="1:49" ht="15.75" x14ac:dyDescent="0.25">
      <c r="A194" s="195"/>
      <c r="B194" s="225">
        <v>2</v>
      </c>
      <c r="C194" s="226" t="s">
        <v>51</v>
      </c>
      <c r="D194" s="227">
        <v>3</v>
      </c>
      <c r="E194" s="225">
        <v>1</v>
      </c>
      <c r="F194" s="226" t="str">
        <f>IF(AK178&gt;1,"v","")</f>
        <v>v</v>
      </c>
      <c r="G194" s="227">
        <v>4</v>
      </c>
      <c r="H194" s="225">
        <v>2</v>
      </c>
      <c r="I194" s="226" t="str">
        <f>IF(AK178&gt;2,"v","")</f>
        <v>v</v>
      </c>
      <c r="J194" s="227">
        <v>4</v>
      </c>
      <c r="K194" s="225">
        <v>1</v>
      </c>
      <c r="L194" s="226" t="str">
        <f>IF(AK178&gt;3,"v","")</f>
        <v>v</v>
      </c>
      <c r="M194" s="227">
        <v>3</v>
      </c>
      <c r="N194" s="225">
        <v>3</v>
      </c>
      <c r="O194" s="226" t="str">
        <f>IF(AK178&gt;4,"v","")</f>
        <v>v</v>
      </c>
      <c r="P194" s="227">
        <v>4</v>
      </c>
      <c r="Q194" s="225">
        <v>1</v>
      </c>
      <c r="R194" s="226" t="str">
        <f>IF(AK178&gt;5,"v","")</f>
        <v>v</v>
      </c>
      <c r="S194" s="227">
        <v>2</v>
      </c>
      <c r="T194" s="225"/>
      <c r="U194" s="226" t="str">
        <f>IF(AK178&gt;6,"v","")</f>
        <v/>
      </c>
      <c r="V194" s="227"/>
      <c r="W194" s="225"/>
      <c r="X194" s="226" t="str">
        <f>IF(AK178&gt;7,"v","")</f>
        <v/>
      </c>
      <c r="Y194" s="227"/>
      <c r="Z194" s="225"/>
      <c r="AA194" s="226" t="str">
        <f>IF(AK178&gt;8,"v","")</f>
        <v/>
      </c>
      <c r="AB194" s="227"/>
      <c r="AC194" s="225"/>
      <c r="AD194" s="226" t="str">
        <f>IF(AK178&gt;9,"v","")</f>
        <v/>
      </c>
      <c r="AE194" s="227"/>
      <c r="AF194" s="222" t="str">
        <f>IF(AK179&gt;0,"Team 1","")</f>
        <v>Team 1</v>
      </c>
      <c r="AG194" s="228" t="str">
        <f>IF(AK179&lt;1,"",IF(AK178&lt;1,"",IF(B194=1,B200-D200,IF(D194=1,D200-B200,""))))</f>
        <v/>
      </c>
      <c r="AH194" s="228">
        <f>IF(AK179&lt;1,"",IF(AK178&lt;2,"",IF(E194=1,E200-G200,IF(G194=1,G200-E200,""))))</f>
        <v>30</v>
      </c>
      <c r="AI194" s="228" t="str">
        <f>IF(AK179&lt;1,"",IF(AK178&lt;3,"",IF(H194=1,H200-J200,IF(J194=1,J200-H200,""))))</f>
        <v/>
      </c>
      <c r="AJ194" s="228">
        <f>IF(AK179&lt;1,"",IF(AK178&lt;4,"",IF(K194=1,K200-M200,IF(M194=1,M200-K200,""))))</f>
        <v>10</v>
      </c>
      <c r="AK194" s="228" t="str">
        <f>IF(AK179&lt;1,"",IF(AK178&lt;5,"",IF(N194=1,N200-P200,IF(P194=1,P200-N200,""))))</f>
        <v/>
      </c>
      <c r="AL194" s="228">
        <f>IF(AK179&lt;1,"",IF(AK178&lt;6,"",IF(Q194=1,Q200-S200,IF(S194=1,S200-Q200,""))))</f>
        <v>4</v>
      </c>
      <c r="AM194" s="228" t="str">
        <f>IF(AK179&lt;1,"",IF(AK178&lt;7,"",IF(T194=1,T200-V200,IF(V194=1,V200-T200,""))))</f>
        <v/>
      </c>
      <c r="AN194" s="228" t="str">
        <f>IF(AK179&lt;1,"",IF(AK178&lt;8,"",IF(W194=1,W200-Y200,IF(Y194=1,Y200-W200,""))))</f>
        <v/>
      </c>
      <c r="AO194" s="228" t="str">
        <f>IF(AK179&lt;1,"",IF(AK178&lt;9,"",IF(Z194=1,Z200-AB200,IF(AB194=1,AB200-Z200,""))))</f>
        <v/>
      </c>
      <c r="AP194" s="228" t="str">
        <f>IF(AK179&lt;1,"",IF(AK178&lt;10,"",IF(AC194=1,AC200-AE200,IF(AE194=1,AE200-AC200,""))))</f>
        <v/>
      </c>
      <c r="AQ194" s="224">
        <f>SUM(AG194:AP194)</f>
        <v>44</v>
      </c>
    </row>
    <row r="195" spans="1:49" ht="15" x14ac:dyDescent="0.2">
      <c r="A195" s="188" t="s">
        <v>52</v>
      </c>
      <c r="B195" s="229">
        <v>25</v>
      </c>
      <c r="C195" s="230" t="s">
        <v>53</v>
      </c>
      <c r="D195" s="231">
        <v>21</v>
      </c>
      <c r="E195" s="229">
        <v>25</v>
      </c>
      <c r="F195" s="230" t="str">
        <f>IF(AK178&gt;1,"/","")</f>
        <v>/</v>
      </c>
      <c r="G195" s="231">
        <v>9</v>
      </c>
      <c r="H195" s="229">
        <v>25</v>
      </c>
      <c r="I195" s="230" t="str">
        <f>IF(AK178&gt;2,"/","")</f>
        <v>/</v>
      </c>
      <c r="J195" s="231">
        <v>16</v>
      </c>
      <c r="K195" s="229">
        <v>22</v>
      </c>
      <c r="L195" s="230" t="str">
        <f>IF(AK178&gt;3,"/","")</f>
        <v>/</v>
      </c>
      <c r="M195" s="231">
        <v>25</v>
      </c>
      <c r="N195" s="229">
        <v>25</v>
      </c>
      <c r="O195" s="230" t="str">
        <f>IF(AK178&gt;4,"/","")</f>
        <v>/</v>
      </c>
      <c r="P195" s="231">
        <v>16</v>
      </c>
      <c r="Q195" s="229">
        <v>23</v>
      </c>
      <c r="R195" s="230" t="str">
        <f>IF(AK178&gt;5,"/","")</f>
        <v>/</v>
      </c>
      <c r="S195" s="231">
        <v>25</v>
      </c>
      <c r="T195" s="229"/>
      <c r="U195" s="230" t="str">
        <f>IF(AK178&gt;6,"/","")</f>
        <v/>
      </c>
      <c r="V195" s="231"/>
      <c r="W195" s="229"/>
      <c r="X195" s="230" t="str">
        <f>IF(AK178&gt;7,"/","")</f>
        <v/>
      </c>
      <c r="Y195" s="231"/>
      <c r="Z195" s="229"/>
      <c r="AA195" s="230" t="str">
        <f>IF(AK178&gt;8,"/","")</f>
        <v/>
      </c>
      <c r="AB195" s="231"/>
      <c r="AC195" s="229"/>
      <c r="AD195" s="230" t="str">
        <f>IF(AK178&gt;9,"/","")</f>
        <v/>
      </c>
      <c r="AE195" s="231"/>
      <c r="AF195" s="222" t="str">
        <f>IF(AK179&gt;1,"Team 2","")</f>
        <v>Team 2</v>
      </c>
      <c r="AG195" s="228">
        <f>IF(AK179&lt;2,"",IF(AK178&lt;1,"",IF(B194=2,B200-D200,IF(D194=2,D200-B200,""))))</f>
        <v>7</v>
      </c>
      <c r="AH195" s="228" t="str">
        <f>IF(AK179&lt;2,"",IF(AK178&lt;2,"",IF(E194=2,E200-G200,IF(G194=2,G200-E200,""))))</f>
        <v/>
      </c>
      <c r="AI195" s="228">
        <f>IF(AK179&lt;2,"",IF(AK178&lt;3,"",IF(H194=2,H200-J200,IF(J194=2,J200-H200,""))))</f>
        <v>16</v>
      </c>
      <c r="AJ195" s="228" t="str">
        <f>IF(AK179&lt;2,"",IF(AK178&lt;4,"",IF(K194=2,K200-M200,IF(M194=2,M200-K200,""))))</f>
        <v/>
      </c>
      <c r="AK195" s="228" t="str">
        <f>IF(AK179&lt;2,"",IF(AK178&lt;5,"",IF(N194=2,N200-P200,IF(P194=2,P200-N200,""))))</f>
        <v/>
      </c>
      <c r="AL195" s="228">
        <f>IF(AK179&lt;2,"",IF(AK178&lt;6,"",IF(Q194=2,Q200-S200,IF(S194=2,S200-Q200,""))))</f>
        <v>-4</v>
      </c>
      <c r="AM195" s="228" t="str">
        <f>IF(AK179&lt;2,"",IF(AK178&lt;7,"",IF(T194=2,T200-V200,IF(V194=2,V200-T200,""))))</f>
        <v/>
      </c>
      <c r="AN195" s="228" t="str">
        <f>IF(AK179&lt;2,"",IF(AK178&lt;8,"",IF(W194=2,W200-Y200,IF(Y194=2,Y200-W200,""))))</f>
        <v/>
      </c>
      <c r="AO195" s="228" t="str">
        <f>IF(AK179&lt;2,"",IF(AK178&lt;9,"",IF(Z194=2,Z200-AB200,IF(AB194=2,AB200-Z200,""))))</f>
        <v/>
      </c>
      <c r="AP195" s="228" t="str">
        <f>IF(AK179&lt;2,"",IF(AK178&lt;10,"",IF(AC194=2,AC200-AE200,IF(AE194=2,AE200-AC200,""))))</f>
        <v/>
      </c>
      <c r="AQ195" s="224">
        <f>SUM(AG195:AP195)</f>
        <v>19</v>
      </c>
    </row>
    <row r="196" spans="1:49" ht="15" x14ac:dyDescent="0.2">
      <c r="A196" s="191" t="str">
        <f>IF(AK177&gt;1,"Game 2","")</f>
        <v>Game 2</v>
      </c>
      <c r="B196" s="229">
        <v>25</v>
      </c>
      <c r="C196" s="230" t="s">
        <v>53</v>
      </c>
      <c r="D196" s="231">
        <v>22</v>
      </c>
      <c r="E196" s="229">
        <v>25</v>
      </c>
      <c r="F196" s="230" t="str">
        <f>IF(AK178&gt;1,IF(AK177&gt;1,"/",""),"")</f>
        <v>/</v>
      </c>
      <c r="G196" s="231">
        <v>11</v>
      </c>
      <c r="H196" s="229">
        <v>25</v>
      </c>
      <c r="I196" s="230" t="str">
        <f>IF(AK178&gt;2,IF(AK177&gt;1,"/",""),"")</f>
        <v>/</v>
      </c>
      <c r="J196" s="231">
        <v>18</v>
      </c>
      <c r="K196" s="229">
        <v>25</v>
      </c>
      <c r="L196" s="230" t="str">
        <f>IF(AK178&gt;3,IF(AK177&gt;1,"/",""),"")</f>
        <v>/</v>
      </c>
      <c r="M196" s="231">
        <v>16</v>
      </c>
      <c r="N196" s="229">
        <v>25</v>
      </c>
      <c r="O196" s="230" t="str">
        <f>IF(AK178&gt;4,IF(AK177&gt;1,"/",""),"")</f>
        <v>/</v>
      </c>
      <c r="P196" s="231">
        <v>9</v>
      </c>
      <c r="Q196" s="229">
        <v>25</v>
      </c>
      <c r="R196" s="230" t="str">
        <f>IF(AK178&gt;5,IF(AK177&gt;1,"/",""),"")</f>
        <v>/</v>
      </c>
      <c r="S196" s="231">
        <v>22</v>
      </c>
      <c r="T196" s="229"/>
      <c r="U196" s="230" t="str">
        <f>IF(AK178&gt;6,IF(AK177&gt;1,"/",""),"")</f>
        <v/>
      </c>
      <c r="V196" s="231"/>
      <c r="W196" s="229"/>
      <c r="X196" s="230" t="str">
        <f>IF(AK178&gt;7,IF(AK177&gt;1,"/",""),"")</f>
        <v/>
      </c>
      <c r="Y196" s="231"/>
      <c r="Z196" s="229"/>
      <c r="AA196" s="230" t="str">
        <f>IF(AK178&gt;8,IF(AK177&gt;1,"/",""),"")</f>
        <v/>
      </c>
      <c r="AB196" s="231"/>
      <c r="AC196" s="229"/>
      <c r="AD196" s="230" t="str">
        <f>IF(AK178&gt;9,IF(AK177&gt;1,"/",""),"")</f>
        <v/>
      </c>
      <c r="AE196" s="231"/>
      <c r="AF196" s="222" t="str">
        <f>IF(AK179&gt;2,"Team 3","")</f>
        <v>Team 3</v>
      </c>
      <c r="AG196" s="228">
        <f>IF(AK179&lt;3,"",IF(AK178&lt;1,"",IF(B194=3,B200-D200,IF(D194=3,D200-B200,""))))</f>
        <v>-7</v>
      </c>
      <c r="AH196" s="228" t="str">
        <f>IF(AK179&lt;3,"",IF(AK178&lt;2,"",IF(E194=3,E200-G200,IF(G194=3,G200-E200,""))))</f>
        <v/>
      </c>
      <c r="AI196" s="228" t="str">
        <f>IF(AK179&lt;3,"",IF(AK178&lt;3,"",IF(H194=3,H200-J200,IF(J194=3,J200-H200,""))))</f>
        <v/>
      </c>
      <c r="AJ196" s="228">
        <f>IF(AK179&lt;3,"",IF(AK178&lt;4,"",IF(K194=3,K200-M200,IF(M194=3,M200-K200,""))))</f>
        <v>-10</v>
      </c>
      <c r="AK196" s="228">
        <f>IF(AK179&lt;3,"",IF(AK178&lt;5,"",IF(N194=3,N200-P200,IF(P194=3,P200-N200,""))))</f>
        <v>25</v>
      </c>
      <c r="AL196" s="228" t="str">
        <f>IF(AK179&lt;3,"",IF(AK178&lt;6,"",IF(Q194=3,Q200-S200,IF(S194=3,S200-Q200,""))))</f>
        <v/>
      </c>
      <c r="AM196" s="228" t="str">
        <f>IF(AK179&lt;3,"",IF(AK178&lt;7,"",IF(T194=3,T200-V200,IF(V194=3,V200-T200,""))))</f>
        <v/>
      </c>
      <c r="AN196" s="228" t="str">
        <f>IF(AK179&lt;3,"",IF(AK178&lt;8,"",IF(W194=3,W200-Y200,IF(Y194=3,Y200-W200,""))))</f>
        <v/>
      </c>
      <c r="AO196" s="228" t="str">
        <f>IF(AK179&lt;3,"",IF(AK178&lt;9,"",IF(Z194=3,Z200-AB200,IF(AB194=3,AB200-Z200,""))))</f>
        <v/>
      </c>
      <c r="AP196" s="228" t="str">
        <f>IF(AK179&lt;3,"",IF(AK178&lt;9,"",IF(AC194=3,AC200-AE200,IF(AE194=3,AE200-AC200,""))))</f>
        <v/>
      </c>
      <c r="AQ196" s="224">
        <f>SUM(AG196:AP196)</f>
        <v>8</v>
      </c>
    </row>
    <row r="197" spans="1:49" ht="15" x14ac:dyDescent="0.2">
      <c r="A197" s="191" t="str">
        <f>IF(AK177&gt;2,"Game 3","")</f>
        <v>Game 3</v>
      </c>
      <c r="B197" s="229"/>
      <c r="C197" s="230" t="s">
        <v>53</v>
      </c>
      <c r="D197" s="231"/>
      <c r="E197" s="229"/>
      <c r="F197" s="230" t="str">
        <f>IF(AK178&gt;1,IF(AK177&gt;2,"/",""),"")</f>
        <v>/</v>
      </c>
      <c r="G197" s="231"/>
      <c r="H197" s="229"/>
      <c r="I197" s="230" t="str">
        <f>IF(AK178&gt;2,IF(AK177&gt;2,"/",""),"")</f>
        <v>/</v>
      </c>
      <c r="J197" s="231"/>
      <c r="K197" s="229">
        <v>15</v>
      </c>
      <c r="L197" s="230" t="str">
        <f>IF(AK178&gt;3,IF(AK177&gt;2,"/",""),"")</f>
        <v>/</v>
      </c>
      <c r="M197" s="231">
        <v>11</v>
      </c>
      <c r="N197" s="229"/>
      <c r="O197" s="230" t="str">
        <f>IF(AK178&gt;4,IF(AK177&gt;2,"/",""),"")</f>
        <v>/</v>
      </c>
      <c r="P197" s="231"/>
      <c r="Q197" s="229">
        <v>15</v>
      </c>
      <c r="R197" s="230" t="str">
        <f>IF(AK178&gt;5,IF(AK177&gt;2,"/",""),"")</f>
        <v>/</v>
      </c>
      <c r="S197" s="231">
        <v>12</v>
      </c>
      <c r="T197" s="229"/>
      <c r="U197" s="230" t="str">
        <f>IF(AK178&gt;6,IF(AK177&gt;2,"/",""),"")</f>
        <v/>
      </c>
      <c r="V197" s="231"/>
      <c r="W197" s="229"/>
      <c r="X197" s="230" t="str">
        <f>IF(AK178&gt;7,IF(AK177&gt;2,"/",""),"")</f>
        <v/>
      </c>
      <c r="Y197" s="231"/>
      <c r="Z197" s="229"/>
      <c r="AA197" s="230" t="str">
        <f>IF(AK178&gt;8,IF(AK177&gt;2,"/",""),"")</f>
        <v/>
      </c>
      <c r="AB197" s="231"/>
      <c r="AC197" s="229"/>
      <c r="AD197" s="230" t="str">
        <f>IF(AK178&gt;9,IF(AK177&gt;2,"/",""),"")</f>
        <v/>
      </c>
      <c r="AE197" s="231"/>
      <c r="AF197" s="222" t="str">
        <f>IF(AK179&gt;3,"Team 4","")</f>
        <v>Team 4</v>
      </c>
      <c r="AG197" s="228" t="str">
        <f>IF(AK179&lt;4,"",IF(AK178&lt;1,"",IF(B194=4,B200-D200,IF(D194=4,D200-B200,""))))</f>
        <v/>
      </c>
      <c r="AH197" s="228">
        <f>IF(AK179&lt;4,"",IF(AK178&lt;2,"",IF(E194=4,E200-G200,IF(G194=4,G200-E200,""))))</f>
        <v>-30</v>
      </c>
      <c r="AI197" s="228">
        <f>IF(AK179&lt;4,"",IF(AK178&lt;3,"",IF(H194=4,H200-J200,IF(J194=4,J200-H200,""))))</f>
        <v>-16</v>
      </c>
      <c r="AJ197" s="228" t="str">
        <f>IF(AK179&lt;4,"",IF(AK178&lt;4,"",IF(K194=4,K200-M200,IF(M194=4,M200-K200,""))))</f>
        <v/>
      </c>
      <c r="AK197" s="228">
        <f>IF(AK179&lt;4,"",IF(AK178&lt;5,"",IF(N194=4,N200-P200,IF(P194=4,P200-N200,""))))</f>
        <v>-25</v>
      </c>
      <c r="AL197" s="228" t="str">
        <f>IF(AK179&lt;4,"",IF(AK178&lt;6,"",IF(Q194=4,Q200-S200,IF(S194=4,S200-Q200,""))))</f>
        <v/>
      </c>
      <c r="AM197" s="228" t="str">
        <f>IF(AK179&lt;4,"",IF(AK178&lt;7,"",IF(T194=4,T200-V200,IF(V194=4,V200-T200,""))))</f>
        <v/>
      </c>
      <c r="AN197" s="228" t="str">
        <f>IF(AK179&lt;4,"",IF(AK178&lt;8,"",IF(W194=4,W200-Y200,IF(Y194=4,Y200-W200,""))))</f>
        <v/>
      </c>
      <c r="AO197" s="228" t="str">
        <f>IF(AK179&lt;4,"",IF(AK178&lt;9,"",IF(Z194=4,Z200-AB200,IF(AB194=4,AB200-Z200,""))))</f>
        <v/>
      </c>
      <c r="AP197" s="228" t="str">
        <f>IF(AK179&lt;4,"",IF(AK178&lt;10,"",IF(AC194=4,AC200-AE200,IF(AE194=4,AE200-AC200,""))))</f>
        <v/>
      </c>
      <c r="AQ197" s="224">
        <f>SUM(AG197:AP197)</f>
        <v>-71</v>
      </c>
    </row>
    <row r="198" spans="1:49" ht="15" x14ac:dyDescent="0.2">
      <c r="A198" s="191" t="str">
        <f>IF(AK177&gt;3,"Game 4","")</f>
        <v/>
      </c>
      <c r="B198" s="229"/>
      <c r="C198" s="230" t="s">
        <v>53</v>
      </c>
      <c r="D198" s="231"/>
      <c r="E198" s="229"/>
      <c r="F198" s="230" t="str">
        <f>IF(AK178&gt;1,IF(AK177&gt;3,"/",""),"")</f>
        <v/>
      </c>
      <c r="G198" s="231"/>
      <c r="H198" s="229"/>
      <c r="I198" s="230" t="str">
        <f>IF(AK178&gt;2,IF(AK177&gt;3,"/",""),"")</f>
        <v/>
      </c>
      <c r="J198" s="231"/>
      <c r="K198" s="229"/>
      <c r="L198" s="230" t="str">
        <f>IF(AK178&gt;3,IF(AK177&gt;3,"/",""),"")</f>
        <v/>
      </c>
      <c r="M198" s="231"/>
      <c r="N198" s="229"/>
      <c r="O198" s="230" t="str">
        <f>IF(AK178&gt;4,IF(AK177&gt;3,"/",""),"")</f>
        <v/>
      </c>
      <c r="P198" s="231"/>
      <c r="Q198" s="229"/>
      <c r="R198" s="230" t="str">
        <f>IF(AK178&gt;5,IF(AK177&gt;3,"/",""),"")</f>
        <v/>
      </c>
      <c r="S198" s="231"/>
      <c r="T198" s="229"/>
      <c r="U198" s="230" t="str">
        <f>IF(AK178&gt;6,IF(AK177&gt;3,"/",""),"")</f>
        <v/>
      </c>
      <c r="V198" s="231"/>
      <c r="W198" s="229"/>
      <c r="X198" s="230" t="str">
        <f>IF(AK178&gt;7,IF(AK177&gt;3,"/",""),"")</f>
        <v/>
      </c>
      <c r="Y198" s="231"/>
      <c r="Z198" s="229"/>
      <c r="AA198" s="230" t="str">
        <f>IF(AK178&gt;8,IF(AK177&gt;3,"/",""),"")</f>
        <v/>
      </c>
      <c r="AB198" s="231"/>
      <c r="AC198" s="229"/>
      <c r="AD198" s="230" t="str">
        <f>IF(AK178&gt;9,IF(AK177&gt;3,"/",""),"")</f>
        <v/>
      </c>
      <c r="AE198" s="231"/>
      <c r="AF198" s="222" t="str">
        <f>IF(AK179&gt;4,"Team 5","")</f>
        <v/>
      </c>
      <c r="AG198" s="232" t="str">
        <f>IF(AK179&lt;5,"",IF(AK178&lt;1,"",IF(B194=5,B200-D200,IF(D194=5,D200-B200,""))))</f>
        <v/>
      </c>
      <c r="AH198" s="228" t="str">
        <f>IF(AK179&lt;5,"",IF(AK178&lt;2,"",IF(E194=5,E200-G200,IF(G194=5,G200-E200,""))))</f>
        <v/>
      </c>
      <c r="AI198" s="228" t="str">
        <f>IF(AK179&lt;5,"",IF(AK178&lt;3,"",IF(H194=5,H200-J200,IF(J194=5,J200-H200,""))))</f>
        <v/>
      </c>
      <c r="AJ198" s="228" t="str">
        <f>IF(AK179&lt;5,"",IF(AK178&lt;4,"",IF(K194=5,K200-M200,IF(M194=5,M200-K200,""))))</f>
        <v/>
      </c>
      <c r="AK198" s="228" t="str">
        <f>IF(AK179&lt;5,"",IF(AK178&lt;5,"",IF(N194=5,N200-P200,IF(P194=5,P200-N200,""))))</f>
        <v/>
      </c>
      <c r="AL198" s="228" t="str">
        <f>IF(AK179&lt;5,"",IF(AK178&lt;6,"",IF(Q194=5,Q200-S200,IF(S194=5,S200-Q200,""))))</f>
        <v/>
      </c>
      <c r="AM198" s="228" t="str">
        <f>IF(AK179&lt;5,"",IF(AK178&lt;7,"",IF(T194=5,T200-V200,IF(V194=5,V200-T200,""))))</f>
        <v/>
      </c>
      <c r="AN198" s="228" t="str">
        <f>IF(AK179&lt;5,"",IF(AK178&lt;8,"",IF(W194=5,W200-Y200,IF(Y194=5,Y200-W200,""))))</f>
        <v/>
      </c>
      <c r="AO198" s="228" t="str">
        <f>IF(AK179&lt;5,"",IF(AK178&lt;9,"",IF(Z194=5,Z200-AB200,IF(AB194=5,AB200-Z200,""))))</f>
        <v/>
      </c>
      <c r="AP198" s="228" t="str">
        <f>IF(AK179&lt;5,"",IF(AK178&lt;10,"",IF(AC194=5,AC200-AE200,IF(AE194=5,AE200-AC200,""))))</f>
        <v/>
      </c>
      <c r="AQ198" s="224">
        <f>SUM(AG198:AP198)</f>
        <v>0</v>
      </c>
    </row>
    <row r="199" spans="1:49" ht="15" x14ac:dyDescent="0.2">
      <c r="A199" s="191" t="str">
        <f>IF(AK177&gt;4,"Game 5","")</f>
        <v/>
      </c>
      <c r="B199" s="229"/>
      <c r="C199" s="230" t="s">
        <v>53</v>
      </c>
      <c r="D199" s="231"/>
      <c r="E199" s="229"/>
      <c r="F199" s="230" t="str">
        <f>IF(AK178&gt;1,IF(AK177&gt;4,"/",""),"")</f>
        <v/>
      </c>
      <c r="G199" s="231"/>
      <c r="H199" s="229"/>
      <c r="I199" s="230" t="str">
        <f>IF(AK178&gt;2,IF(AK177&gt;4,"/",""),"")</f>
        <v/>
      </c>
      <c r="J199" s="231"/>
      <c r="K199" s="229"/>
      <c r="L199" s="230" t="str">
        <f>IF(AK178&gt;3,IF(AK177&gt;4,"/",""),"")</f>
        <v/>
      </c>
      <c r="M199" s="231"/>
      <c r="N199" s="229"/>
      <c r="O199" s="230" t="str">
        <f>IF(AK178&gt;4,IF(AK177&gt;4,"/",""),"")</f>
        <v/>
      </c>
      <c r="P199" s="231"/>
      <c r="Q199" s="229"/>
      <c r="R199" s="230" t="str">
        <f>IF(AK178&gt;5,IF(AK177&gt;4,"/",""),"")</f>
        <v/>
      </c>
      <c r="S199" s="231"/>
      <c r="T199" s="229"/>
      <c r="U199" s="230" t="str">
        <f>IF(AK178&gt;6,IF(AK177&gt;4,"/",""),"")</f>
        <v/>
      </c>
      <c r="V199" s="231"/>
      <c r="W199" s="229"/>
      <c r="X199" s="230" t="str">
        <f>IF(AK178&gt;7,IF(AK177&gt;4,"/",""),"")</f>
        <v/>
      </c>
      <c r="Y199" s="231"/>
      <c r="Z199" s="229"/>
      <c r="AA199" s="230" t="str">
        <f>IF(AK178&gt;8,IF(AK177&gt;4,"/",""),"")</f>
        <v/>
      </c>
      <c r="AB199" s="231"/>
      <c r="AC199" s="229"/>
      <c r="AD199" s="230" t="str">
        <f>IF(AK178&gt;9,IF(AK177&gt;4,"/",""),"")</f>
        <v/>
      </c>
      <c r="AE199" s="231"/>
      <c r="AF199" s="195"/>
      <c r="AG199" s="195"/>
      <c r="AH199" s="195"/>
      <c r="AI199" s="195"/>
      <c r="AJ199" s="195"/>
      <c r="AK199" s="195"/>
      <c r="AL199" s="195"/>
      <c r="AM199" s="195"/>
      <c r="AN199" s="195"/>
      <c r="AO199" s="195"/>
      <c r="AP199" s="195"/>
      <c r="AQ199" s="195"/>
    </row>
    <row r="200" spans="1:49" hidden="1" x14ac:dyDescent="0.2">
      <c r="A200" s="233"/>
      <c r="B200" s="233">
        <f>IF($AK177=5,SUM(B195:B199),IF($AK177=4,SUM(B195:B198),IF($AK177=3,SUM(B195:B197),IF($AK177=2,SUM(B195:B196),B195))))</f>
        <v>50</v>
      </c>
      <c r="C200" s="233"/>
      <c r="D200" s="233">
        <f>IF($AK177=5,SUM(D195:D199),IF($AK177=4,SUM(D195:D198),IF($AK177=3,SUM(D195:D197),IF($AK177=2,SUM(D195:D196),D195))))</f>
        <v>43</v>
      </c>
      <c r="E200" s="233">
        <f>IF($AK177=5,SUM(E195:E199),IF($AK177=4,SUM(E195:E198),IF($AK177=3,SUM(E195:E197),IF($AK177=2,SUM(E195:E196),E195))))</f>
        <v>50</v>
      </c>
      <c r="F200" s="233"/>
      <c r="G200" s="233">
        <f>IF($AK177=5,SUM(G195:G199),IF($AK177=4,SUM(G195:G198),IF($AK177=3,SUM(G195:G197),IF($AK177=2,SUM(G195:G196),G195))))</f>
        <v>20</v>
      </c>
      <c r="H200" s="233">
        <f>IF($AK177=5,SUM(H195:H199),IF($AK177=4,SUM(H195:H198),IF($AK177=3,SUM(H195:H197),IF($AK177=2,SUM(H195:H196),H195))))</f>
        <v>50</v>
      </c>
      <c r="I200" s="233"/>
      <c r="J200" s="233">
        <f>IF($AK177=5,SUM(J195:J199),IF($AK177=4,SUM(J195:J198),IF($AK177=3,SUM(J195:J197),IF($AK177=2,SUM(J195:J196),J195))))</f>
        <v>34</v>
      </c>
      <c r="K200" s="233">
        <f>IF($AK177=5,SUM(K195:K199),IF($AK177=4,SUM(K195:K198),IF($AK177=3,SUM(K195:K197),IF($AK177=2,SUM(K195:K196),K195))))</f>
        <v>62</v>
      </c>
      <c r="L200" s="233"/>
      <c r="M200" s="233">
        <f>IF($AK177=5,SUM(M195:M199),IF($AK177=4,SUM(M195:M198),IF($AK177=3,SUM(M195:M197),IF($AK177=2,SUM(M195:M196),M195))))</f>
        <v>52</v>
      </c>
      <c r="N200" s="233">
        <f>IF($AK177=5,SUM(N195:N199),IF($AK177=4,SUM(N195:N198),IF($AK177=3,SUM(N195:N197),IF($AK177=2,SUM(N195:N196),N195))))</f>
        <v>50</v>
      </c>
      <c r="O200" s="233"/>
      <c r="P200" s="233">
        <f>IF($AK177=5,SUM(P195:P199),IF($AK177=4,SUM(P195:P198),IF($AK177=3,SUM(P195:P197),IF($AK177=2,SUM(P195:P196),P195))))</f>
        <v>25</v>
      </c>
      <c r="Q200" s="233">
        <f>IF($AK177=5,SUM(Q195:Q199),IF($AK177=4,SUM(Q195:Q198),IF($AK177=3,SUM(Q195:Q197),IF($AK177=2,SUM(Q195:Q196),Q195))))</f>
        <v>63</v>
      </c>
      <c r="R200" s="233"/>
      <c r="S200" s="233">
        <f>IF($AK177=5,SUM(S195:S199),IF($AK177=4,SUM(S195:S198),IF($AK177=3,SUM(S195:S197),IF($AK177=2,SUM(S195:S196),S195))))</f>
        <v>59</v>
      </c>
      <c r="T200" s="233">
        <f>IF($AK177=5,SUM(T195:T199),IF($AK177=4,SUM(T195:T198),IF($AK177=3,SUM(T195:T197),IF($AK177=2,SUM(T195:T196),T195))))</f>
        <v>0</v>
      </c>
      <c r="U200" s="233"/>
      <c r="V200" s="233">
        <f>IF($AK177=5,SUM(V195:V199),IF($AK177=4,SUM(V195:V198),IF($AK177=3,SUM(V195:V197),IF($AK177=2,SUM(V195:V196),V195))))</f>
        <v>0</v>
      </c>
      <c r="W200" s="233">
        <f>IF($AK177=5,SUM(W195:W199),IF($AK177=4,SUM(W195:W198),IF($AK177=3,SUM(W195:W197),IF($AK177=2,SUM(W195:W196),W195))))</f>
        <v>0</v>
      </c>
      <c r="X200" s="233"/>
      <c r="Y200" s="233">
        <f>IF($AK177=5,SUM(Y195:Y199),IF($AK177=4,SUM(Y195:Y198),IF($AK177=3,SUM(Y195:Y197),IF($AK177=2,SUM(Y195:Y196),Y195))))</f>
        <v>0</v>
      </c>
      <c r="Z200" s="233">
        <f>IF($AK177=5,SUM(Z195:Z199),IF($AK177=4,SUM(Z195:Z198),IF($AK177=3,SUM(Z195:Z197),IF($AK177=2,SUM(Z195:Z196),Z195))))</f>
        <v>0</v>
      </c>
      <c r="AA200" s="233"/>
      <c r="AB200" s="233">
        <f>IF($AK177=5,SUM(AB195:AB199),IF($AK177=4,SUM(AB195:AB198),IF($AK177=3,SUM(AB195:AB197),IF($AK177=2,SUM(AB195:AB196),AB195))))</f>
        <v>0</v>
      </c>
      <c r="AC200" s="233">
        <f>IF($AK177=5,SUM(AC195:AC199),IF($AK177=4,SUM(AC195:AC198),IF($AK177=3,SUM(AC195:AC197),IF($AK177=2,SUM(AC195:AC196),AC195))))</f>
        <v>0</v>
      </c>
      <c r="AD200" s="233"/>
      <c r="AE200" s="233">
        <f>IF($AK177=5,SUM(AE195:AE199),IF($AK177=4,SUM(AE195:AE198),IF($AK177=3,SUM(AE195:AE197),IF($AK177=2,SUM(AE195:AE196),AE195))))</f>
        <v>0</v>
      </c>
      <c r="AF200" s="195"/>
      <c r="AG200" s="195"/>
      <c r="AH200" s="195"/>
      <c r="AI200" s="195"/>
      <c r="AJ200" s="195"/>
      <c r="AK200" s="195"/>
      <c r="AL200" s="195"/>
      <c r="AM200" s="195"/>
      <c r="AN200" s="195"/>
      <c r="AO200" s="195"/>
      <c r="AP200" s="195"/>
      <c r="AQ200" s="195"/>
    </row>
    <row r="201" spans="1:49" s="235" customFormat="1" ht="12.75" hidden="1" customHeight="1" x14ac:dyDescent="0.2">
      <c r="A201" s="235" t="s">
        <v>54</v>
      </c>
      <c r="B201" s="236">
        <f>IF(AND(B195&gt;D195,$AK178&gt;0,ISNUMBER(B195),ISNUMBER(D195)),1,0)</f>
        <v>1</v>
      </c>
      <c r="C201" s="236"/>
      <c r="D201" s="237">
        <f>IF(AND(D195&gt;B195,$AK178&gt;0,ISNUMBER(B195),ISNUMBER(D195)),1,0)</f>
        <v>0</v>
      </c>
      <c r="E201" s="236">
        <f>IF(AND(E195&gt;G195,$AK178&gt;1,ISNUMBER(E195),ISNUMBER(G195)),1,0)</f>
        <v>1</v>
      </c>
      <c r="F201" s="236"/>
      <c r="G201" s="237">
        <f>IF(AND(G195&gt;E195,$AK178&gt;1,ISNUMBER(E195),ISNUMBER(G195)),1,0)</f>
        <v>0</v>
      </c>
      <c r="H201" s="236">
        <f>IF(AND(H195&gt;J195,$AK178&gt;2,ISNUMBER(H195),ISNUMBER(J195)),1,0)</f>
        <v>1</v>
      </c>
      <c r="I201" s="236"/>
      <c r="J201" s="237">
        <f>IF(AND(J195&gt;H195,$AK178&gt;2,ISNUMBER(H195),ISNUMBER(J195)),1,0)</f>
        <v>0</v>
      </c>
      <c r="K201" s="236">
        <f>IF(AND(K195&gt;M195,$AK178&gt;3,ISNUMBER(K195),ISNUMBER(M195)),1,0)</f>
        <v>0</v>
      </c>
      <c r="L201" s="236"/>
      <c r="M201" s="237">
        <f>IF(AND(M195&gt;K195,$AK178&gt;3,ISNUMBER(K195),ISNUMBER(M195)),1,0)</f>
        <v>1</v>
      </c>
      <c r="N201" s="236">
        <f>IF(AND(N195&gt;P195,$AK178&gt;4,ISNUMBER(N195),ISNUMBER(P195)),1,0)</f>
        <v>1</v>
      </c>
      <c r="O201" s="236"/>
      <c r="P201" s="237">
        <f>IF(AND(P195&gt;N195,$AK178&gt;4,ISNUMBER(N195),ISNUMBER(P195)),1,0)</f>
        <v>0</v>
      </c>
      <c r="Q201" s="236">
        <f>IF(AND(Q195&gt;S195,$AK178&gt;5,ISNUMBER(Q195),ISNUMBER(S195)),1,0)</f>
        <v>0</v>
      </c>
      <c r="R201" s="236"/>
      <c r="S201" s="237">
        <f>IF(AND(S195&gt;Q195,$AK178&gt;5,ISNUMBER(Q195),ISNUMBER(S195)),1,0)</f>
        <v>1</v>
      </c>
      <c r="T201" s="236">
        <f>IF(AND(T195&gt;V195,$AK178&gt;6,ISNUMBER(T195),ISNUMBER(V195)),1,0)</f>
        <v>0</v>
      </c>
      <c r="U201" s="236"/>
      <c r="V201" s="237">
        <f>IF(AND(V195&gt;T195,$AK178&gt;6,ISNUMBER(T195),ISNUMBER(V195)),1,0)</f>
        <v>0</v>
      </c>
      <c r="W201" s="236">
        <f>IF(AND(W195&gt;Y195,$AK178&gt;7,ISNUMBER(W195),ISNUMBER(Y195)),1,0)</f>
        <v>0</v>
      </c>
      <c r="X201" s="236"/>
      <c r="Y201" s="237">
        <f>IF(AND(Y195&gt;W195,$AK178&gt;7,ISNUMBER(W195),ISNUMBER(Y195)),1,0)</f>
        <v>0</v>
      </c>
      <c r="Z201" s="236">
        <f>IF(AND(Z195&gt;AB195,$AK178&gt;8,ISNUMBER(Z195),ISNUMBER(AB195)),1,0)</f>
        <v>0</v>
      </c>
      <c r="AA201" s="236"/>
      <c r="AB201" s="237">
        <f>IF(AND(AB195&gt;Z195,$AK178&gt;8,ISNUMBER(Z195),ISNUMBER(AB195)),1,0)</f>
        <v>0</v>
      </c>
      <c r="AC201" s="236">
        <f>IF(AND(AC195&gt;AE195,$AK178&gt;9,ISNUMBER(AC195),ISNUMBER(AE195)),1,0)</f>
        <v>0</v>
      </c>
      <c r="AD201" s="236"/>
      <c r="AE201" s="237">
        <f>IF(AND(AE195&gt;AC195,$AK178&gt;9,ISNUMBER(AC195),ISNUMBER(AE195)),1,0)</f>
        <v>0</v>
      </c>
      <c r="AW201" s="238"/>
    </row>
    <row r="202" spans="1:49" s="235" customFormat="1" ht="12.75" hidden="1" customHeight="1" x14ac:dyDescent="0.2">
      <c r="A202" s="235" t="s">
        <v>55</v>
      </c>
      <c r="B202" s="236">
        <f>IF(AND(B196&gt;D196,$AK178&gt;0,$AK177&gt;1,ISNUMBER(B196),ISNUMBER(D196)),1,0)</f>
        <v>1</v>
      </c>
      <c r="C202" s="236"/>
      <c r="D202" s="237">
        <f>IF(AND(D196&gt;B196,$AK178&gt;0,$AK177&gt;1,ISNUMBER(B196),ISNUMBER(D196)),1,0)</f>
        <v>0</v>
      </c>
      <c r="E202" s="236">
        <f>IF(AND(E196&gt;G196,$AK178&gt;1,$AK177&gt;1,ISNUMBER(E196),ISNUMBER(G196)),1,0)</f>
        <v>1</v>
      </c>
      <c r="F202" s="236"/>
      <c r="G202" s="237">
        <f>IF(AND(G196&gt;E196,$AK178&gt;1,$AK177&gt;1,ISNUMBER(E196),ISNUMBER(G196)),1,0)</f>
        <v>0</v>
      </c>
      <c r="H202" s="236">
        <f>IF(AND(H196&gt;J196,$AK178&gt;2,$AK177&gt;1,ISNUMBER(H196),ISNUMBER(J196)),1,0)</f>
        <v>1</v>
      </c>
      <c r="I202" s="236"/>
      <c r="J202" s="237">
        <f>IF(AND(J196&gt;H196,$AK178&gt;2,$AK177&gt;1,ISNUMBER(H196),ISNUMBER(J196)),1,0)</f>
        <v>0</v>
      </c>
      <c r="K202" s="236">
        <f>IF(AND(K196&gt;M196,$AK178&gt;3,$AK177&gt;1,ISNUMBER(K196),ISNUMBER(M196)),1,0)</f>
        <v>1</v>
      </c>
      <c r="L202" s="236"/>
      <c r="M202" s="237">
        <f>IF(AND(M196&gt;K196,$AK178&gt;3,$AK177&gt;1,ISNUMBER(K196),ISNUMBER(M196)),1,0)</f>
        <v>0</v>
      </c>
      <c r="N202" s="236">
        <f>IF(AND(N196&gt;P196,$AK178&gt;4,$AK177&gt;1,ISNUMBER(N196),ISNUMBER(P196)),1,0)</f>
        <v>1</v>
      </c>
      <c r="O202" s="236"/>
      <c r="P202" s="237">
        <f>IF(AND(P196&gt;N196,$AK178&gt;4,$AK177&gt;1,ISNUMBER(N196),ISNUMBER(P196)),1,0)</f>
        <v>0</v>
      </c>
      <c r="Q202" s="236">
        <f>IF(AND(Q196&gt;S196,$AK178&gt;5,$AK177&gt;1,ISNUMBER(Q196),ISNUMBER(S196)),1,0)</f>
        <v>1</v>
      </c>
      <c r="R202" s="236"/>
      <c r="S202" s="237">
        <f>IF(AND(S196&gt;Q196,$AK178&gt;5,$AK177&gt;1,ISNUMBER(Q196),ISNUMBER(S196)),1,0)</f>
        <v>0</v>
      </c>
      <c r="T202" s="236">
        <f>IF(AND(T196&gt;V196,$AK178&gt;6,$AK177&gt;1,ISNUMBER(T196),ISNUMBER(V196)),1,0)</f>
        <v>0</v>
      </c>
      <c r="U202" s="236"/>
      <c r="V202" s="237">
        <f>IF(AND(V196&gt;T196,$AK178&gt;6,$AK177&gt;1,ISNUMBER(T196),ISNUMBER(V196)),1,0)</f>
        <v>0</v>
      </c>
      <c r="W202" s="236">
        <f>IF(AND(W196&gt;Y196,$AK178&gt;7,$AK177&gt;1,ISNUMBER(W196),ISNUMBER(Y196)),1,0)</f>
        <v>0</v>
      </c>
      <c r="X202" s="236"/>
      <c r="Y202" s="237">
        <f>IF(AND(Y196&gt;W196,$AK178&gt;7,$AK177&gt;1,ISNUMBER(W196),ISNUMBER(Y196)),1,0)</f>
        <v>0</v>
      </c>
      <c r="Z202" s="236">
        <f>IF(AND(Z196&gt;AB196,$AK178&gt;8,$AK177&gt;1,ISNUMBER(Z196),ISNUMBER(AB196)),1,0)</f>
        <v>0</v>
      </c>
      <c r="AA202" s="236"/>
      <c r="AB202" s="237">
        <f>IF(AND(AB196&gt;Z196,$AK178&gt;8,$AK177&gt;1,ISNUMBER(Z196),ISNUMBER(AB196)),1,0)</f>
        <v>0</v>
      </c>
      <c r="AC202" s="236">
        <f>IF(AND(AC196&gt;AE196,$AK178&gt;9,$AK177&gt;1,ISNUMBER(AC196),ISNUMBER(AE196)),1,0)</f>
        <v>0</v>
      </c>
      <c r="AD202" s="236"/>
      <c r="AE202" s="237">
        <f>IF(AND(AE196&gt;AC196,$AK178&gt;9,$AK177&gt;1,ISNUMBER(AC196),ISNUMBER(AE196)),1,0)</f>
        <v>0</v>
      </c>
      <c r="AW202" s="238"/>
    </row>
    <row r="203" spans="1:49" s="235" customFormat="1" ht="12.75" hidden="1" customHeight="1" x14ac:dyDescent="0.2">
      <c r="A203" s="235" t="s">
        <v>56</v>
      </c>
      <c r="B203" s="236">
        <f>IF(AND(B197&gt;D197,$AK178&gt;0,$AK177&gt;2,ISNUMBER(B197),ISNUMBER(D197)),1,0)</f>
        <v>0</v>
      </c>
      <c r="C203" s="236"/>
      <c r="D203" s="237">
        <f>IF(AND(D197&gt;B197,$AK178&gt;0,$AK177&gt;2,ISNUMBER(B197),ISNUMBER(D197)),1,0)</f>
        <v>0</v>
      </c>
      <c r="E203" s="236">
        <f>IF(AND(E197&gt;G197,$AK178&gt;1,$AK177&gt;2,ISNUMBER(E197),ISNUMBER(G197)),1,0)</f>
        <v>0</v>
      </c>
      <c r="F203" s="236"/>
      <c r="G203" s="237">
        <f>IF(AND(G197&gt;E197,$AK178&gt;1,$AK177&gt;2,ISNUMBER(E197),ISNUMBER(G197)),1,0)</f>
        <v>0</v>
      </c>
      <c r="H203" s="236">
        <f>IF(AND(H197&gt;J197,$AK178&gt;2,$AK177&gt;2,ISNUMBER(H197),ISNUMBER(J197)),1,0)</f>
        <v>0</v>
      </c>
      <c r="I203" s="236"/>
      <c r="J203" s="237">
        <f>IF(AND(J197&gt;H197,$AK178&gt;2,$AK177&gt;2,ISNUMBER(H197),ISNUMBER(J197)),1,0)</f>
        <v>0</v>
      </c>
      <c r="K203" s="236">
        <f>IF(AND(K197&gt;M197,$AK178&gt;3,$AK177&gt;2,ISNUMBER(K197),ISNUMBER(M197)),1,0)</f>
        <v>1</v>
      </c>
      <c r="L203" s="236"/>
      <c r="M203" s="237">
        <f>IF(AND(M197&gt;K197,$AK178&gt;3,$AK177&gt;2,ISNUMBER(K197),ISNUMBER(M197)),1,0)</f>
        <v>0</v>
      </c>
      <c r="N203" s="236">
        <f>IF(AND(N197&gt;P197,$AK178&gt;4,$AK177&gt;2,ISNUMBER(N197),ISNUMBER(P197)),1,0)</f>
        <v>0</v>
      </c>
      <c r="O203" s="236"/>
      <c r="P203" s="237">
        <f>IF(AND(P197&gt;N197,$AK178&gt;4,$AK177&gt;2,ISNUMBER(N197),ISNUMBER(P197)),1,0)</f>
        <v>0</v>
      </c>
      <c r="Q203" s="236">
        <f>IF(AND(Q197&gt;S197,$AK178&gt;5,$AK177&gt;2,ISNUMBER(Q197),ISNUMBER(S197)),1,0)</f>
        <v>1</v>
      </c>
      <c r="R203" s="236"/>
      <c r="S203" s="237">
        <f>IF(AND(S197&gt;Q197,$AK178&gt;5,$AK177&gt;2,ISNUMBER(Q197),ISNUMBER(S197)),1,0)</f>
        <v>0</v>
      </c>
      <c r="T203" s="236">
        <f>IF(AND(T197&gt;V197,$AK178&gt;6,$AK177&gt;2,ISNUMBER(T197),ISNUMBER(V197)),1,0)</f>
        <v>0</v>
      </c>
      <c r="U203" s="236"/>
      <c r="V203" s="237">
        <f>IF(AND(V197&gt;T197,$AK178&gt;6,$AK177&gt;2,ISNUMBER(T197),ISNUMBER(V197)),1,0)</f>
        <v>0</v>
      </c>
      <c r="W203" s="236">
        <f>IF(AND(W197&gt;Y197,$AK178&gt;7,$AK177&gt;2,ISNUMBER(W197),ISNUMBER(Y197)),1,0)</f>
        <v>0</v>
      </c>
      <c r="X203" s="236"/>
      <c r="Y203" s="237">
        <f>IF(AND(Y197&gt;W197,$AK178&gt;7,$AK177&gt;2,ISNUMBER(W197),ISNUMBER(Y197)),1,0)</f>
        <v>0</v>
      </c>
      <c r="Z203" s="236">
        <f>IF(AND(Z197&gt;AB197,$AK178&gt;8,$AK177&gt;2,ISNUMBER(Z197),ISNUMBER(AB197)),1,0)</f>
        <v>0</v>
      </c>
      <c r="AA203" s="236"/>
      <c r="AB203" s="237">
        <f>IF(AND(AB197&gt;Z197,$AK178&gt;8,$AK177&gt;2,ISNUMBER(Z197),ISNUMBER(AB197)),1,0)</f>
        <v>0</v>
      </c>
      <c r="AC203" s="236">
        <f>IF(AND(AC197&gt;AE197,$AK178&gt;9,$AK177&gt;2,ISNUMBER(AC197),ISNUMBER(AE197)),1,0)</f>
        <v>0</v>
      </c>
      <c r="AD203" s="236"/>
      <c r="AE203" s="237">
        <f>IF(AND(AE197&gt;AC197,$AK178&gt;9,$AK177&gt;2,ISNUMBER(AC197),ISNUMBER(AE197)),1,0)</f>
        <v>0</v>
      </c>
      <c r="AW203" s="238"/>
    </row>
    <row r="204" spans="1:49" s="235" customFormat="1" ht="12.75" hidden="1" customHeight="1" x14ac:dyDescent="0.2">
      <c r="A204" s="235" t="s">
        <v>57</v>
      </c>
      <c r="B204" s="236">
        <f>IF(AND(B198&gt;D198,$AK178&gt;0,$AK177&gt;3,ISNUMBER(B198),ISNUMBER(D198)),1,0)</f>
        <v>0</v>
      </c>
      <c r="C204" s="236"/>
      <c r="D204" s="237">
        <f>IF(AND(D198&gt;B198,$AK178&gt;0,$AK177&gt;3,ISNUMBER(B198),ISNUMBER(D198)),1,0)</f>
        <v>0</v>
      </c>
      <c r="E204" s="236">
        <f>IF(AND(E198&gt;G198,$AK178&gt;1,$AK177&gt;3,ISNUMBER(E198),ISNUMBER(G198)),1,0)</f>
        <v>0</v>
      </c>
      <c r="F204" s="236"/>
      <c r="G204" s="237">
        <f>IF(AND(G198&gt;E198,$AK178&gt;1,$AK177&gt;3,ISNUMBER(E198),ISNUMBER(G198)),1,0)</f>
        <v>0</v>
      </c>
      <c r="H204" s="236">
        <f>IF(AND(H198&gt;J198,$AK178&gt;2,$AK177&gt;3,ISNUMBER(H198),ISNUMBER(J198)),1,0)</f>
        <v>0</v>
      </c>
      <c r="I204" s="236"/>
      <c r="J204" s="237">
        <f>IF(AND(J198&gt;H198,$AK178&gt;2,$AK177&gt;3,ISNUMBER(H198),ISNUMBER(J198)),1,0)</f>
        <v>0</v>
      </c>
      <c r="K204" s="236">
        <f>IF(AND(K198&gt;M198,$AK178&gt;3,$AK177&gt;3,ISNUMBER(K198),ISNUMBER(M198)),1,0)</f>
        <v>0</v>
      </c>
      <c r="L204" s="236"/>
      <c r="M204" s="237">
        <f>IF(AND(M198&gt;K198,$AK178&gt;3,$AK177&gt;3,ISNUMBER(K198),ISNUMBER(M198)),1,0)</f>
        <v>0</v>
      </c>
      <c r="N204" s="236">
        <f>IF(AND(N198&gt;P198,$AK178&gt;4,$AK177&gt;3,ISNUMBER(N198),ISNUMBER(P198)),1,0)</f>
        <v>0</v>
      </c>
      <c r="O204" s="236"/>
      <c r="P204" s="237">
        <f>IF(AND(P198&gt;N198,$AK178&gt;4,$AK177&gt;3,ISNUMBER(N198),ISNUMBER(P198)),1,0)</f>
        <v>0</v>
      </c>
      <c r="Q204" s="236">
        <f>IF(AND(Q198&gt;S198,$AK178&gt;5,$AK177&gt;3,ISNUMBER(Q198),ISNUMBER(S198)),1,0)</f>
        <v>0</v>
      </c>
      <c r="R204" s="236"/>
      <c r="S204" s="237">
        <f>IF(AND(S198&gt;Q198,$AK178&gt;5,$AK177&gt;3,ISNUMBER(Q198),ISNUMBER(S198)),1,0)</f>
        <v>0</v>
      </c>
      <c r="T204" s="236">
        <f>IF(AND(T198&gt;V198,$AK178&gt;6,$AK177&gt;3,ISNUMBER(T198),ISNUMBER(V198)),1,0)</f>
        <v>0</v>
      </c>
      <c r="U204" s="236"/>
      <c r="V204" s="237">
        <f>IF(AND(V198&gt;T198,$AK178&gt;6,$AK177&gt;3,ISNUMBER(T198),ISNUMBER(V198)),1,0)</f>
        <v>0</v>
      </c>
      <c r="W204" s="236">
        <f>IF(AND(W198&gt;Y198,$AK178&gt;7,$AK177&gt;3,ISNUMBER(W198),ISNUMBER(Y198)),1,0)</f>
        <v>0</v>
      </c>
      <c r="X204" s="236"/>
      <c r="Y204" s="237">
        <f>IF(AND(Y198&gt;W198,$AK178&gt;7,$AK177&gt;3,ISNUMBER(W198),ISNUMBER(Y198)),1,0)</f>
        <v>0</v>
      </c>
      <c r="Z204" s="236">
        <f>IF(AND(Z198&gt;AB198,$AK178&gt;8,$AK177&gt;3,ISNUMBER(Z198),ISNUMBER(AB198)),1,0)</f>
        <v>0</v>
      </c>
      <c r="AA204" s="236"/>
      <c r="AB204" s="237">
        <f>IF(AND(AB198&gt;Z198,$AK178&gt;8,$AK177&gt;3,ISNUMBER(Z198),ISNUMBER(AB198)),1,0)</f>
        <v>0</v>
      </c>
      <c r="AC204" s="236">
        <f>IF(AND(AC198&gt;AE198,$AK178&gt;9,$AK177&gt;3,ISNUMBER(AC198),ISNUMBER(AE198)),1,0)</f>
        <v>0</v>
      </c>
      <c r="AD204" s="236"/>
      <c r="AE204" s="237">
        <f>IF(AND(AE198&gt;AC198,$AK178&gt;9,$AK177&gt;3,ISNUMBER(AC198),ISNUMBER(AE198)),1,0)</f>
        <v>0</v>
      </c>
      <c r="AW204" s="238"/>
    </row>
    <row r="205" spans="1:49" s="235" customFormat="1" ht="12.75" hidden="1" customHeight="1" x14ac:dyDescent="0.2">
      <c r="A205" s="235" t="s">
        <v>58</v>
      </c>
      <c r="B205" s="236">
        <f>IF(AND(B199&gt;D199,$AK178&gt;0,$AK177&gt;4,ISNUMBER(B199),ISNUMBER(D199)),1,0)</f>
        <v>0</v>
      </c>
      <c r="C205" s="236"/>
      <c r="D205" s="237">
        <f>IF(AND(D199&gt;B199,$AK178&gt;0,$AK177&gt;4,ISNUMBER(B199),ISNUMBER(D199)),1,0)</f>
        <v>0</v>
      </c>
      <c r="E205" s="236">
        <f>IF(AND(E199&gt;G199,$AK178&gt;1,$AK177&gt;4,ISNUMBER(E199),ISNUMBER(G199)),1,0)</f>
        <v>0</v>
      </c>
      <c r="F205" s="236"/>
      <c r="G205" s="237">
        <f>IF(AND(G199&gt;E199,$AK178&gt;1,$AK177&gt;4,ISNUMBER(E199),ISNUMBER(G199)),1,0)</f>
        <v>0</v>
      </c>
      <c r="H205" s="236">
        <f>IF(AND(H199&gt;J199,$AK178&gt;2,$AK177&gt;4,ISNUMBER(H199),ISNUMBER(J199)),1,0)</f>
        <v>0</v>
      </c>
      <c r="I205" s="236"/>
      <c r="J205" s="237">
        <f>IF(AND(J199&gt;H199,$AK178&gt;2,$AK177&gt;4,ISNUMBER(H199),ISNUMBER(J199)),1,0)</f>
        <v>0</v>
      </c>
      <c r="K205" s="236">
        <f>IF(AND(K199&gt;M199,$AK178&gt;3,$AK177&gt;4,ISNUMBER(K199),ISNUMBER(M199)),1,0)</f>
        <v>0</v>
      </c>
      <c r="L205" s="236"/>
      <c r="M205" s="237">
        <f>IF(AND(M199&gt;K199,$AK178&gt;3,$AK177&gt;4,ISNUMBER(K199),ISNUMBER(M199)),1,0)</f>
        <v>0</v>
      </c>
      <c r="N205" s="236">
        <f>IF(AND(N199&gt;P199,$AK178&gt;4,$AK177&gt;4,ISNUMBER(N199),ISNUMBER(P199)),1,0)</f>
        <v>0</v>
      </c>
      <c r="O205" s="236"/>
      <c r="P205" s="237">
        <f>IF(AND(P199&gt;N199,$AK178&gt;4,$AK177&gt;4,ISNUMBER(N199),ISNUMBER(P199)),1,0)</f>
        <v>0</v>
      </c>
      <c r="Q205" s="236">
        <f>IF(AND(Q199&gt;S199,$AK178&gt;5,$AK177&gt;4,ISNUMBER(Q199),ISNUMBER(S199)),1,0)</f>
        <v>0</v>
      </c>
      <c r="R205" s="236"/>
      <c r="S205" s="237">
        <f>IF(AND(S199&gt;Q199,$AK178&gt;5,$AK177&gt;4,ISNUMBER(Q199),ISNUMBER(S199)),1,0)</f>
        <v>0</v>
      </c>
      <c r="T205" s="236">
        <f>IF(AND(T199&gt;V199,$AK178&gt;6,$AK177&gt;4,ISNUMBER(T199),ISNUMBER(V199)),1,0)</f>
        <v>0</v>
      </c>
      <c r="U205" s="236"/>
      <c r="V205" s="237">
        <f>IF(AND(V199&gt;T199,$AK178&gt;6,$AK177&gt;4,ISNUMBER(T199),ISNUMBER(V199)),1,0)</f>
        <v>0</v>
      </c>
      <c r="W205" s="236">
        <f>IF(AND(W199&gt;Y199,$AK178&gt;7,$AK177&gt;4,ISNUMBER(W199),ISNUMBER(Y199)),1,0)</f>
        <v>0</v>
      </c>
      <c r="X205" s="236"/>
      <c r="Y205" s="237">
        <f>IF(AND(Y199&gt;W199,$AK178&gt;7,$AK177&gt;4,ISNUMBER(W199),ISNUMBER(Y199)),1,0)</f>
        <v>0</v>
      </c>
      <c r="Z205" s="236">
        <f>IF(AND(Z199&gt;AB199,$AK178&gt;8,$AK177&gt;4,ISNUMBER(Z199),ISNUMBER(AB199)),1,0)</f>
        <v>0</v>
      </c>
      <c r="AA205" s="236"/>
      <c r="AB205" s="237">
        <f>IF(AND(AB199&gt;Z199,$AK178&gt;8,$AK177&gt;4,ISNUMBER(Z199),ISNUMBER(AB199)),1,0)</f>
        <v>0</v>
      </c>
      <c r="AC205" s="236">
        <f>IF(AND(AC199&gt;AE199,$AK178&gt;9,$AK177&gt;4,ISNUMBER(AC199),ISNUMBER(AE199)),1,0)</f>
        <v>0</v>
      </c>
      <c r="AD205" s="236"/>
      <c r="AE205" s="237">
        <f>IF(AND(AE199&gt;AC199,$AK178&gt;9,$AK177&gt;4,ISNUMBER(AC199),ISNUMBER(AE199)),1,0)</f>
        <v>0</v>
      </c>
      <c r="AW205" s="238"/>
    </row>
    <row r="206" spans="1:49" s="235" customFormat="1" ht="38.25" hidden="1" customHeight="1" x14ac:dyDescent="0.2">
      <c r="A206" s="239" t="s">
        <v>59</v>
      </c>
      <c r="B206" s="235">
        <f>SUM(B201:B205)</f>
        <v>2</v>
      </c>
      <c r="D206" s="240">
        <f>SUM(D201:D205)</f>
        <v>0</v>
      </c>
      <c r="E206" s="235">
        <f>SUM(E201:E205)</f>
        <v>2</v>
      </c>
      <c r="G206" s="240">
        <f>SUM(G201:G205)</f>
        <v>0</v>
      </c>
      <c r="H206" s="235">
        <f>SUM(H201:H205)</f>
        <v>2</v>
      </c>
      <c r="J206" s="240">
        <f>SUM(J201:J205)</f>
        <v>0</v>
      </c>
      <c r="K206" s="235">
        <f>SUM(K201:K205)</f>
        <v>2</v>
      </c>
      <c r="M206" s="240">
        <f>SUM(M201:M205)</f>
        <v>1</v>
      </c>
      <c r="N206" s="235">
        <f>SUM(N201:N205)</f>
        <v>2</v>
      </c>
      <c r="P206" s="240">
        <f>SUM(P201:P205)</f>
        <v>0</v>
      </c>
      <c r="Q206" s="235">
        <f>SUM(Q201:Q205)</f>
        <v>2</v>
      </c>
      <c r="S206" s="240">
        <f>SUM(S201:S205)</f>
        <v>1</v>
      </c>
      <c r="T206" s="235">
        <f>SUM(T201:T205)</f>
        <v>0</v>
      </c>
      <c r="V206" s="240">
        <f>SUM(V201:V205)</f>
        <v>0</v>
      </c>
      <c r="W206" s="235">
        <f>SUM(W201:W205)</f>
        <v>0</v>
      </c>
      <c r="Y206" s="240">
        <f>SUM(Y201:Y205)</f>
        <v>0</v>
      </c>
      <c r="Z206" s="235">
        <f>SUM(Z201:Z205)</f>
        <v>0</v>
      </c>
      <c r="AB206" s="240">
        <f>SUM(AB201:AB205)</f>
        <v>0</v>
      </c>
      <c r="AC206" s="235">
        <f>SUM(AC201:AC205)</f>
        <v>0</v>
      </c>
      <c r="AE206" s="240">
        <f>SUM(AE201:AE205)</f>
        <v>0</v>
      </c>
      <c r="AW206" s="238"/>
    </row>
    <row r="207" spans="1:49" s="235" customFormat="1" ht="25.5" hidden="1" customHeight="1" x14ac:dyDescent="0.2">
      <c r="A207" s="239" t="s">
        <v>60</v>
      </c>
      <c r="B207" s="235">
        <f>IF(B206&gt;D206,IF(C241=AK177,1,IF(C241=AK177-1,1,0)),0)</f>
        <v>1</v>
      </c>
      <c r="C207" s="235">
        <f>B207+D207</f>
        <v>1</v>
      </c>
      <c r="D207" s="240">
        <f>IF(D206&gt;B206,IF(C241=AK177,1,IF(C241=AK177-1,1,0)),0)</f>
        <v>0</v>
      </c>
      <c r="E207" s="235">
        <f>IF(E206&gt;G206,IF(F241=AK177,1,IF(F241=AK177-1,1,0)),0)</f>
        <v>1</v>
      </c>
      <c r="F207" s="235">
        <f>E207+G207</f>
        <v>1</v>
      </c>
      <c r="G207" s="240">
        <f>IF(G206&gt;E206,IF(F241=AK177,1,IF(F241=AK177-1,1,0)),0)</f>
        <v>0</v>
      </c>
      <c r="H207" s="235">
        <f>IF(H206&gt;J206,IF(I241=AK177,1,IF(I241=AK177-1,1,0)),0)</f>
        <v>1</v>
      </c>
      <c r="I207" s="235">
        <f>H207+J207</f>
        <v>1</v>
      </c>
      <c r="J207" s="240">
        <f>IF(J206&gt;H206,IF(I241=AK177,1,IF(I241=AK177-1,1,0)),0)</f>
        <v>0</v>
      </c>
      <c r="K207" s="235">
        <f>IF(K206&gt;M206,IF(L241=AK177,1,IF(L241=AK177-1,1,0)),0)</f>
        <v>1</v>
      </c>
      <c r="L207" s="235">
        <f>K207+M207</f>
        <v>1</v>
      </c>
      <c r="M207" s="240">
        <f>IF(M206&gt;K206,IF(L241=AK177,1,IF(L241=AK177-1,1,0)),0)</f>
        <v>0</v>
      </c>
      <c r="N207" s="235">
        <f>IF(N206&gt;P206,IF(O241=AK177,1,IF(O241=AK177-1,1,0)),0)</f>
        <v>1</v>
      </c>
      <c r="O207" s="235">
        <f>N207+P207</f>
        <v>1</v>
      </c>
      <c r="P207" s="240">
        <f>IF(P206&gt;N206,IF(O241=AK177,1,IF(O241=AK177-1,1,0)),0)</f>
        <v>0</v>
      </c>
      <c r="Q207" s="235">
        <f>IF(Q206&gt;S206,IF(R241=AK177,1,IF(R241=AK177-1,1,0)),0)</f>
        <v>1</v>
      </c>
      <c r="R207" s="235">
        <f>Q207+S207</f>
        <v>1</v>
      </c>
      <c r="S207" s="240">
        <f>IF(S206&gt;Q206,IF(R241=AK177,1,IF(R241=AK177-1,1,0)),0)</f>
        <v>0</v>
      </c>
      <c r="T207" s="235">
        <f>IF(T206&gt;V206,IF(U241=AK177,1,IF(U241=AK177-1,1,0)),0)</f>
        <v>0</v>
      </c>
      <c r="U207" s="235">
        <f>T207+V207</f>
        <v>0</v>
      </c>
      <c r="V207" s="240">
        <f>IF(V206&gt;T206,IF(U241=AK177,1,IF(U241=AK177-1,1,0)),0)</f>
        <v>0</v>
      </c>
      <c r="W207" s="235">
        <f>IF(W206&gt;Y206,IF(X241=AK177,1,IF(X241=AK177-1,1,0)),0)</f>
        <v>0</v>
      </c>
      <c r="X207" s="235">
        <f>W207+Y207</f>
        <v>0</v>
      </c>
      <c r="Y207" s="240">
        <f>IF(Y206&gt;W206,IF(X241=AK177,1,IF(X241=AK177-1,1,0)),0)</f>
        <v>0</v>
      </c>
      <c r="Z207" s="235">
        <f>IF(Z206&gt;AB206,IF(AA241=AK177,1,IF(AA241=AK177-1,1,0)),0)</f>
        <v>0</v>
      </c>
      <c r="AA207" s="235">
        <f>Z207+AB207</f>
        <v>0</v>
      </c>
      <c r="AB207" s="240">
        <f>IF(AB206&gt;Z206,IF(AA241=AK177,1,IF(AA241=AK177-1,1,0)),0)</f>
        <v>0</v>
      </c>
      <c r="AC207" s="235">
        <f>IF(AC206&gt;AE206,IF(AD241=AK177,1,IF(AD241=AK177-1,1,0)),0)</f>
        <v>0</v>
      </c>
      <c r="AD207" s="235">
        <f>AC207+AE207</f>
        <v>0</v>
      </c>
      <c r="AE207" s="240">
        <f>IF(AE206&gt;AC206,IF(AD241=AK177,1,IF(AD241=AK177-1,1,0)),0)</f>
        <v>0</v>
      </c>
      <c r="AW207" s="238"/>
    </row>
    <row r="208" spans="1:49" s="235" customFormat="1" ht="25.5" hidden="1" customHeight="1" x14ac:dyDescent="0.2">
      <c r="A208" s="239"/>
      <c r="D208" s="240"/>
      <c r="G208" s="240"/>
      <c r="J208" s="240"/>
      <c r="M208" s="240"/>
      <c r="P208" s="240"/>
      <c r="S208" s="240"/>
      <c r="V208" s="240"/>
      <c r="Y208" s="240"/>
      <c r="AB208" s="240"/>
      <c r="AE208" s="240"/>
      <c r="AW208" s="238"/>
    </row>
    <row r="209" spans="1:49" s="235" customFormat="1" ht="12.75" hidden="1" customHeight="1" x14ac:dyDescent="0.2">
      <c r="A209" s="235" t="s">
        <v>61</v>
      </c>
      <c r="B209" s="235">
        <f>IF(B201=1,B195,0)</f>
        <v>25</v>
      </c>
      <c r="D209" s="240">
        <f t="shared" ref="D209:E213" si="20">IF(D201=1,D195,0)</f>
        <v>0</v>
      </c>
      <c r="E209" s="235">
        <f t="shared" si="20"/>
        <v>25</v>
      </c>
      <c r="G209" s="240">
        <f t="shared" ref="G209:H213" si="21">IF(G201=1,G195,0)</f>
        <v>0</v>
      </c>
      <c r="H209" s="235">
        <f t="shared" si="21"/>
        <v>25</v>
      </c>
      <c r="J209" s="240">
        <f t="shared" ref="J209:K213" si="22">IF(J201=1,J195,0)</f>
        <v>0</v>
      </c>
      <c r="K209" s="235">
        <f t="shared" si="22"/>
        <v>0</v>
      </c>
      <c r="M209" s="240">
        <f t="shared" ref="M209:N213" si="23">IF(M201=1,M195,0)</f>
        <v>25</v>
      </c>
      <c r="N209" s="235">
        <f t="shared" si="23"/>
        <v>25</v>
      </c>
      <c r="P209" s="240">
        <f t="shared" ref="P209:Q213" si="24">IF(P201=1,P195,0)</f>
        <v>0</v>
      </c>
      <c r="Q209" s="235">
        <f t="shared" si="24"/>
        <v>0</v>
      </c>
      <c r="S209" s="240">
        <f t="shared" ref="S209:T213" si="25">IF(S201=1,S195,0)</f>
        <v>25</v>
      </c>
      <c r="T209" s="235">
        <f t="shared" si="25"/>
        <v>0</v>
      </c>
      <c r="V209" s="240">
        <f t="shared" ref="V209:W213" si="26">IF(V201=1,V195,0)</f>
        <v>0</v>
      </c>
      <c r="W209" s="235">
        <f t="shared" si="26"/>
        <v>0</v>
      </c>
      <c r="Y209" s="240">
        <f t="shared" ref="Y209:Z213" si="27">IF(Y201=1,Y195,0)</f>
        <v>0</v>
      </c>
      <c r="Z209" s="235">
        <f t="shared" si="27"/>
        <v>0</v>
      </c>
      <c r="AB209" s="240">
        <f t="shared" ref="AB209:AC213" si="28">IF(AB201=1,AB195,0)</f>
        <v>0</v>
      </c>
      <c r="AC209" s="235">
        <f t="shared" si="28"/>
        <v>0</v>
      </c>
      <c r="AE209" s="240">
        <f>IF(AE201=1,AE195,0)</f>
        <v>0</v>
      </c>
      <c r="AW209" s="238"/>
    </row>
    <row r="210" spans="1:49" s="235" customFormat="1" ht="12.75" hidden="1" customHeight="1" x14ac:dyDescent="0.2">
      <c r="A210" s="235" t="s">
        <v>62</v>
      </c>
      <c r="B210" s="235">
        <f>IF(B202=1,B196,0)</f>
        <v>25</v>
      </c>
      <c r="D210" s="240">
        <f t="shared" si="20"/>
        <v>0</v>
      </c>
      <c r="E210" s="235">
        <f t="shared" si="20"/>
        <v>25</v>
      </c>
      <c r="G210" s="240">
        <f t="shared" si="21"/>
        <v>0</v>
      </c>
      <c r="H210" s="235">
        <f t="shared" si="21"/>
        <v>25</v>
      </c>
      <c r="J210" s="240">
        <f t="shared" si="22"/>
        <v>0</v>
      </c>
      <c r="K210" s="235">
        <f t="shared" si="22"/>
        <v>25</v>
      </c>
      <c r="M210" s="240">
        <f t="shared" si="23"/>
        <v>0</v>
      </c>
      <c r="N210" s="235">
        <f t="shared" si="23"/>
        <v>25</v>
      </c>
      <c r="P210" s="240">
        <f t="shared" si="24"/>
        <v>0</v>
      </c>
      <c r="Q210" s="235">
        <f t="shared" si="24"/>
        <v>25</v>
      </c>
      <c r="S210" s="240">
        <f t="shared" si="25"/>
        <v>0</v>
      </c>
      <c r="T210" s="235">
        <f t="shared" si="25"/>
        <v>0</v>
      </c>
      <c r="V210" s="240">
        <f t="shared" si="26"/>
        <v>0</v>
      </c>
      <c r="W210" s="235">
        <f t="shared" si="26"/>
        <v>0</v>
      </c>
      <c r="Y210" s="240">
        <f t="shared" si="27"/>
        <v>0</v>
      </c>
      <c r="Z210" s="235">
        <f t="shared" si="27"/>
        <v>0</v>
      </c>
      <c r="AB210" s="240">
        <f t="shared" si="28"/>
        <v>0</v>
      </c>
      <c r="AC210" s="235">
        <f t="shared" si="28"/>
        <v>0</v>
      </c>
      <c r="AE210" s="240">
        <f>IF(AE202=1,AE196,0)</f>
        <v>0</v>
      </c>
      <c r="AW210" s="238"/>
    </row>
    <row r="211" spans="1:49" s="235" customFormat="1" ht="12.75" hidden="1" customHeight="1" x14ac:dyDescent="0.2">
      <c r="A211" s="235" t="s">
        <v>63</v>
      </c>
      <c r="B211" s="235">
        <f>IF(B203=1,B197,0)</f>
        <v>0</v>
      </c>
      <c r="D211" s="240">
        <f t="shared" si="20"/>
        <v>0</v>
      </c>
      <c r="E211" s="235">
        <f t="shared" si="20"/>
        <v>0</v>
      </c>
      <c r="G211" s="240">
        <f t="shared" si="21"/>
        <v>0</v>
      </c>
      <c r="H211" s="235">
        <f t="shared" si="21"/>
        <v>0</v>
      </c>
      <c r="J211" s="240">
        <f t="shared" si="22"/>
        <v>0</v>
      </c>
      <c r="K211" s="235">
        <f t="shared" si="22"/>
        <v>15</v>
      </c>
      <c r="M211" s="240">
        <f t="shared" si="23"/>
        <v>0</v>
      </c>
      <c r="N211" s="235">
        <f t="shared" si="23"/>
        <v>0</v>
      </c>
      <c r="P211" s="240">
        <f t="shared" si="24"/>
        <v>0</v>
      </c>
      <c r="Q211" s="235">
        <f t="shared" si="24"/>
        <v>15</v>
      </c>
      <c r="S211" s="240">
        <f t="shared" si="25"/>
        <v>0</v>
      </c>
      <c r="T211" s="235">
        <f t="shared" si="25"/>
        <v>0</v>
      </c>
      <c r="V211" s="240">
        <f t="shared" si="26"/>
        <v>0</v>
      </c>
      <c r="W211" s="235">
        <f t="shared" si="26"/>
        <v>0</v>
      </c>
      <c r="Y211" s="240">
        <f t="shared" si="27"/>
        <v>0</v>
      </c>
      <c r="Z211" s="235">
        <f t="shared" si="27"/>
        <v>0</v>
      </c>
      <c r="AB211" s="240">
        <f t="shared" si="28"/>
        <v>0</v>
      </c>
      <c r="AC211" s="235">
        <f t="shared" si="28"/>
        <v>0</v>
      </c>
      <c r="AE211" s="240">
        <f>IF(AE203=1,AE197,0)</f>
        <v>0</v>
      </c>
      <c r="AW211" s="238"/>
    </row>
    <row r="212" spans="1:49" s="235" customFormat="1" ht="12.75" hidden="1" customHeight="1" x14ac:dyDescent="0.2">
      <c r="A212" s="235" t="s">
        <v>64</v>
      </c>
      <c r="B212" s="235">
        <f>IF(B204=1,B198,0)</f>
        <v>0</v>
      </c>
      <c r="D212" s="240">
        <f t="shared" si="20"/>
        <v>0</v>
      </c>
      <c r="E212" s="235">
        <f t="shared" si="20"/>
        <v>0</v>
      </c>
      <c r="G212" s="240">
        <f t="shared" si="21"/>
        <v>0</v>
      </c>
      <c r="H212" s="235">
        <f t="shared" si="21"/>
        <v>0</v>
      </c>
      <c r="J212" s="240">
        <f t="shared" si="22"/>
        <v>0</v>
      </c>
      <c r="K212" s="235">
        <f t="shared" si="22"/>
        <v>0</v>
      </c>
      <c r="M212" s="240">
        <f t="shared" si="23"/>
        <v>0</v>
      </c>
      <c r="N212" s="235">
        <f t="shared" si="23"/>
        <v>0</v>
      </c>
      <c r="P212" s="240">
        <f t="shared" si="24"/>
        <v>0</v>
      </c>
      <c r="Q212" s="235">
        <f t="shared" si="24"/>
        <v>0</v>
      </c>
      <c r="S212" s="240">
        <f t="shared" si="25"/>
        <v>0</v>
      </c>
      <c r="T212" s="235">
        <f t="shared" si="25"/>
        <v>0</v>
      </c>
      <c r="V212" s="240">
        <f t="shared" si="26"/>
        <v>0</v>
      </c>
      <c r="W212" s="235">
        <f t="shared" si="26"/>
        <v>0</v>
      </c>
      <c r="Y212" s="240">
        <f t="shared" si="27"/>
        <v>0</v>
      </c>
      <c r="Z212" s="235">
        <f t="shared" si="27"/>
        <v>0</v>
      </c>
      <c r="AB212" s="240">
        <f t="shared" si="28"/>
        <v>0</v>
      </c>
      <c r="AC212" s="235">
        <f t="shared" si="28"/>
        <v>0</v>
      </c>
      <c r="AE212" s="240">
        <f>IF(AE204=1,AE198,0)</f>
        <v>0</v>
      </c>
      <c r="AW212" s="238"/>
    </row>
    <row r="213" spans="1:49" s="235" customFormat="1" ht="12.75" hidden="1" customHeight="1" x14ac:dyDescent="0.2">
      <c r="A213" s="235" t="s">
        <v>65</v>
      </c>
      <c r="B213" s="235">
        <f>IF(B205=1,B199,0)</f>
        <v>0</v>
      </c>
      <c r="D213" s="240">
        <f t="shared" si="20"/>
        <v>0</v>
      </c>
      <c r="E213" s="235">
        <f t="shared" si="20"/>
        <v>0</v>
      </c>
      <c r="G213" s="240">
        <f t="shared" si="21"/>
        <v>0</v>
      </c>
      <c r="H213" s="235">
        <f t="shared" si="21"/>
        <v>0</v>
      </c>
      <c r="J213" s="240">
        <f t="shared" si="22"/>
        <v>0</v>
      </c>
      <c r="K213" s="235">
        <f t="shared" si="22"/>
        <v>0</v>
      </c>
      <c r="M213" s="240">
        <f t="shared" si="23"/>
        <v>0</v>
      </c>
      <c r="N213" s="235">
        <f t="shared" si="23"/>
        <v>0</v>
      </c>
      <c r="P213" s="240">
        <f t="shared" si="24"/>
        <v>0</v>
      </c>
      <c r="Q213" s="235">
        <f t="shared" si="24"/>
        <v>0</v>
      </c>
      <c r="S213" s="240">
        <f t="shared" si="25"/>
        <v>0</v>
      </c>
      <c r="T213" s="235">
        <f t="shared" si="25"/>
        <v>0</v>
      </c>
      <c r="V213" s="240">
        <f t="shared" si="26"/>
        <v>0</v>
      </c>
      <c r="W213" s="235">
        <f t="shared" si="26"/>
        <v>0</v>
      </c>
      <c r="Y213" s="240">
        <f t="shared" si="27"/>
        <v>0</v>
      </c>
      <c r="Z213" s="235">
        <f t="shared" si="27"/>
        <v>0</v>
      </c>
      <c r="AB213" s="240">
        <f t="shared" si="28"/>
        <v>0</v>
      </c>
      <c r="AC213" s="235">
        <f t="shared" si="28"/>
        <v>0</v>
      </c>
      <c r="AE213" s="240">
        <f>IF(AE205=1,AE199,0)</f>
        <v>0</v>
      </c>
      <c r="AW213" s="238"/>
    </row>
    <row r="214" spans="1:49" s="235" customFormat="1" ht="38.25" hidden="1" customHeight="1" x14ac:dyDescent="0.2">
      <c r="A214" s="239" t="s">
        <v>66</v>
      </c>
      <c r="B214" s="235">
        <f>SUM(B209:D213)</f>
        <v>50</v>
      </c>
      <c r="D214" s="240"/>
      <c r="E214" s="235">
        <f>SUM(E209:G213)</f>
        <v>50</v>
      </c>
      <c r="G214" s="240"/>
      <c r="H214" s="235">
        <f>SUM(H209:J213)</f>
        <v>50</v>
      </c>
      <c r="J214" s="240"/>
      <c r="K214" s="235">
        <f>SUM(K209:M213)</f>
        <v>65</v>
      </c>
      <c r="M214" s="240"/>
      <c r="N214" s="235">
        <f>SUM(N209:P213)</f>
        <v>50</v>
      </c>
      <c r="P214" s="240"/>
      <c r="Q214" s="235">
        <f>SUM(Q209:S213)</f>
        <v>65</v>
      </c>
      <c r="S214" s="240"/>
      <c r="T214" s="235">
        <f>SUM(T209:V213)</f>
        <v>0</v>
      </c>
      <c r="V214" s="240"/>
      <c r="W214" s="235">
        <f>SUM(W209:Y213)</f>
        <v>0</v>
      </c>
      <c r="Y214" s="240"/>
      <c r="Z214" s="235">
        <f>SUM(Z209:AB213)</f>
        <v>0</v>
      </c>
      <c r="AB214" s="240"/>
      <c r="AC214" s="235">
        <f>SUM(AC209:AE213)</f>
        <v>0</v>
      </c>
      <c r="AE214" s="240"/>
      <c r="AW214" s="238"/>
    </row>
    <row r="215" spans="1:49" s="235" customFormat="1" ht="38.25" hidden="1" customHeight="1" x14ac:dyDescent="0.2">
      <c r="A215" s="235" t="s">
        <v>67</v>
      </c>
      <c r="D215" s="240"/>
      <c r="G215" s="240"/>
      <c r="J215" s="240"/>
      <c r="M215" s="240"/>
      <c r="P215" s="240"/>
      <c r="S215" s="240"/>
      <c r="V215" s="240"/>
      <c r="Y215" s="240"/>
      <c r="AB215" s="240"/>
      <c r="AE215" s="240"/>
      <c r="AF215" s="239" t="s">
        <v>68</v>
      </c>
      <c r="AG215" s="235" t="s">
        <v>69</v>
      </c>
      <c r="AW215" s="238"/>
    </row>
    <row r="216" spans="1:49" s="235" customFormat="1" ht="12.75" hidden="1" customHeight="1" x14ac:dyDescent="0.2">
      <c r="A216" s="235" t="s">
        <v>70</v>
      </c>
      <c r="B216" s="235">
        <f>IF(B194=1,IF(B207=1,1,0),0)</f>
        <v>0</v>
      </c>
      <c r="D216" s="240">
        <f>IF(D194=1,IF(D207=1,1,0),0)</f>
        <v>0</v>
      </c>
      <c r="E216" s="235">
        <f>IF(E194=1,IF(E207=1,1,0),0)</f>
        <v>1</v>
      </c>
      <c r="G216" s="240">
        <f>IF(G194=1,IF(G207=1,1,0),0)</f>
        <v>0</v>
      </c>
      <c r="H216" s="235">
        <f>IF(H194=1,IF(H207=1,1,0),0)</f>
        <v>0</v>
      </c>
      <c r="J216" s="240">
        <f>IF(J194=1,IF(J207=1,1,0),0)</f>
        <v>0</v>
      </c>
      <c r="K216" s="235">
        <f>IF(K194=1,IF(K207=1,1,0),0)</f>
        <v>1</v>
      </c>
      <c r="M216" s="240">
        <f>IF(M194=1,IF(M207=1,1,0),0)</f>
        <v>0</v>
      </c>
      <c r="N216" s="235">
        <f>IF(N194=1,IF(N207=1,1,0),0)</f>
        <v>0</v>
      </c>
      <c r="P216" s="240">
        <f>IF(P194=1,IF(P207=1,1,0),0)</f>
        <v>0</v>
      </c>
      <c r="Q216" s="235">
        <f>IF(Q194=1,IF(Q207=1,1,0),0)</f>
        <v>1</v>
      </c>
      <c r="S216" s="240">
        <f>IF(S194=1,IF(S207=1,1,0),0)</f>
        <v>0</v>
      </c>
      <c r="T216" s="235">
        <f>IF(T194=1,IF(T207=1,1,0),0)</f>
        <v>0</v>
      </c>
      <c r="V216" s="240">
        <f>IF(V194=1,IF(V207=1,1,0),0)</f>
        <v>0</v>
      </c>
      <c r="W216" s="235">
        <f>IF(W194=1,IF(W207=1,1,0),0)</f>
        <v>0</v>
      </c>
      <c r="Y216" s="240">
        <f>IF(Y194=1,IF(Y207=1,1,0),0)</f>
        <v>0</v>
      </c>
      <c r="Z216" s="235">
        <f>IF(Z194=1,IF(Z207=1,1,0),0)</f>
        <v>0</v>
      </c>
      <c r="AB216" s="240">
        <f>IF(AB194=1,IF(AB207=1,1,0),0)</f>
        <v>0</v>
      </c>
      <c r="AC216" s="235">
        <f>IF(AC194=1,IF(AC207=1,1,0),0)</f>
        <v>0</v>
      </c>
      <c r="AE216" s="240">
        <f>IF(AE194=1,IF(AE207=1,1,0),0)</f>
        <v>0</v>
      </c>
      <c r="AF216" s="235">
        <f>SUM(B216:AE216)</f>
        <v>3</v>
      </c>
      <c r="AG216" s="235">
        <f>AF222-AF216</f>
        <v>0</v>
      </c>
      <c r="AW216" s="238"/>
    </row>
    <row r="217" spans="1:49" s="235" customFormat="1" ht="12.75" hidden="1" customHeight="1" x14ac:dyDescent="0.2">
      <c r="A217" s="235" t="s">
        <v>71</v>
      </c>
      <c r="B217" s="235">
        <f>IF(B194=2,IF(B207=1,1,0),0)</f>
        <v>1</v>
      </c>
      <c r="D217" s="240">
        <f>IF(D194=2,IF(D207=1,1,0),0)</f>
        <v>0</v>
      </c>
      <c r="E217" s="235">
        <f>IF(E194=2,IF(E207=1,1,0),0)</f>
        <v>0</v>
      </c>
      <c r="G217" s="240">
        <f>IF(G194=2,IF(G207=1,1,0),0)</f>
        <v>0</v>
      </c>
      <c r="H217" s="235">
        <f>IF(H194=2,IF(H207=1,1,0),0)</f>
        <v>1</v>
      </c>
      <c r="J217" s="240">
        <f>IF(J194=2,IF(J207=1,1,0),0)</f>
        <v>0</v>
      </c>
      <c r="K217" s="235">
        <f>IF(K194=2,IF(K207=1,1,0),0)</f>
        <v>0</v>
      </c>
      <c r="M217" s="240">
        <f>IF(M194=2,IF(M207=1,1,0),0)</f>
        <v>0</v>
      </c>
      <c r="N217" s="235">
        <f>IF(N194=2,IF(N207=1,1,0),0)</f>
        <v>0</v>
      </c>
      <c r="P217" s="240">
        <f>IF(P194=2,IF(P207=1,1,0),0)</f>
        <v>0</v>
      </c>
      <c r="Q217" s="235">
        <f>IF(Q194=2,IF(Q207=1,1,0),0)</f>
        <v>0</v>
      </c>
      <c r="S217" s="240">
        <f>IF(S194=2,IF(S207=1,1,0),0)</f>
        <v>0</v>
      </c>
      <c r="T217" s="235">
        <f>IF(T194=2,IF(T207=1,1,0),0)</f>
        <v>0</v>
      </c>
      <c r="V217" s="240">
        <f>IF(V194=2,IF(V207=1,1,0),0)</f>
        <v>0</v>
      </c>
      <c r="W217" s="235">
        <f>IF(W194=2,IF(W207=1,1,0),0)</f>
        <v>0</v>
      </c>
      <c r="Y217" s="240">
        <f>IF(Y194=2,IF(Y207=1,1,0),0)</f>
        <v>0</v>
      </c>
      <c r="Z217" s="235">
        <f>IF(Z194=2,IF(Z207=1,1,0),0)</f>
        <v>0</v>
      </c>
      <c r="AB217" s="240">
        <f>IF(AB194=2,IF(AB207=1,1,0),0)</f>
        <v>0</v>
      </c>
      <c r="AC217" s="235">
        <f>IF(AC194=2,IF(AC207=1,1,0),0)</f>
        <v>0</v>
      </c>
      <c r="AE217" s="240">
        <f>IF(AE194=2,IF(AE207=1,1,0),0)</f>
        <v>0</v>
      </c>
      <c r="AF217" s="235">
        <f>SUM(B217:AE217)</f>
        <v>2</v>
      </c>
      <c r="AG217" s="235">
        <f>AF223-AF217</f>
        <v>1</v>
      </c>
      <c r="AW217" s="238"/>
    </row>
    <row r="218" spans="1:49" s="235" customFormat="1" ht="12.75" hidden="1" customHeight="1" x14ac:dyDescent="0.2">
      <c r="A218" s="235" t="s">
        <v>72</v>
      </c>
      <c r="B218" s="235">
        <f>IF(B194=3,IF(B207=1,1,0),0)</f>
        <v>0</v>
      </c>
      <c r="D218" s="240">
        <f>IF(D194=3,IF(D207=1,1,0),0)</f>
        <v>0</v>
      </c>
      <c r="E218" s="235">
        <f>IF(E194=3,IF(E207=1,1,0),0)</f>
        <v>0</v>
      </c>
      <c r="G218" s="240">
        <f>IF(G194=3,IF(G207=1,1,0),0)</f>
        <v>0</v>
      </c>
      <c r="H218" s="235">
        <f>IF(H194=3,IF(H207=1,1,0),0)</f>
        <v>0</v>
      </c>
      <c r="J218" s="240">
        <f>IF(J194=3,IF(J207=1,1,0),0)</f>
        <v>0</v>
      </c>
      <c r="K218" s="235">
        <f>IF(K194=3,IF(K207=1,1,0),0)</f>
        <v>0</v>
      </c>
      <c r="M218" s="240">
        <f>IF(M194=3,IF(M207=1,1,0),0)</f>
        <v>0</v>
      </c>
      <c r="N218" s="235">
        <f>IF(N194=3,IF(N207=1,1,0),0)</f>
        <v>1</v>
      </c>
      <c r="P218" s="240">
        <f>IF(P194=3,IF(P207=1,1,0),0)</f>
        <v>0</v>
      </c>
      <c r="Q218" s="235">
        <f>IF(Q194=3,IF(Q207=1,1,0),0)</f>
        <v>0</v>
      </c>
      <c r="S218" s="240">
        <f>IF(S194=3,IF(S207=1,1,0),0)</f>
        <v>0</v>
      </c>
      <c r="T218" s="235">
        <f>IF(T194=3,IF(T207=1,1,0),0)</f>
        <v>0</v>
      </c>
      <c r="V218" s="240">
        <f>IF(V194=3,IF(V207=1,1,0),0)</f>
        <v>0</v>
      </c>
      <c r="W218" s="235">
        <f>IF(W194=3,IF(W207=1,1,0),0)</f>
        <v>0</v>
      </c>
      <c r="Y218" s="240">
        <f>IF(Y194=3,IF(Y207=1,1,0),0)</f>
        <v>0</v>
      </c>
      <c r="Z218" s="235">
        <f>IF(Z194=3,IF(Z207=1,1,0),0)</f>
        <v>0</v>
      </c>
      <c r="AB218" s="240">
        <f>IF(AB194=3,IF(AB207=1,1,0),0)</f>
        <v>0</v>
      </c>
      <c r="AC218" s="235">
        <f>IF(AC194=3,IF(AC207=1,1,0),0)</f>
        <v>0</v>
      </c>
      <c r="AE218" s="240">
        <f>IF(AE194=3,IF(AE207=1,1,0),0)</f>
        <v>0</v>
      </c>
      <c r="AF218" s="235">
        <f>SUM(B218:AE218)</f>
        <v>1</v>
      </c>
      <c r="AG218" s="235">
        <f>AF224-AF218</f>
        <v>2</v>
      </c>
      <c r="AW218" s="238"/>
    </row>
    <row r="219" spans="1:49" s="235" customFormat="1" ht="12.75" hidden="1" customHeight="1" x14ac:dyDescent="0.2">
      <c r="A219" s="235" t="s">
        <v>73</v>
      </c>
      <c r="B219" s="235">
        <f>IF(B194=4,IF(B207=1,1,0),0)</f>
        <v>0</v>
      </c>
      <c r="D219" s="240">
        <f>IF(D194=4,IF(D207=1,1,0),0)</f>
        <v>0</v>
      </c>
      <c r="E219" s="235">
        <f>IF(E194=4,IF(E207=1,1,0),0)</f>
        <v>0</v>
      </c>
      <c r="G219" s="240">
        <f>IF(G194=4,IF(G207=1,1,0),0)</f>
        <v>0</v>
      </c>
      <c r="H219" s="235">
        <f>IF(H194=4,IF(H207=1,1,0),0)</f>
        <v>0</v>
      </c>
      <c r="J219" s="240">
        <f>IF(J194=4,IF(J207=1,1,0),0)</f>
        <v>0</v>
      </c>
      <c r="K219" s="235">
        <f>IF(K194=4,IF(K207=1,1,0),0)</f>
        <v>0</v>
      </c>
      <c r="M219" s="240">
        <f>IF(M194=4,IF(M207=1,1,0),0)</f>
        <v>0</v>
      </c>
      <c r="N219" s="235">
        <f>IF(N194=4,IF(N207=1,1,0),0)</f>
        <v>0</v>
      </c>
      <c r="P219" s="240">
        <f>IF(P194=4,IF(P207=1,1,0),0)</f>
        <v>0</v>
      </c>
      <c r="Q219" s="235">
        <f>IF(Q194=4,IF(Q207=1,1,0),0)</f>
        <v>0</v>
      </c>
      <c r="S219" s="240">
        <f>IF(S194=4,IF(S207=1,1,0),0)</f>
        <v>0</v>
      </c>
      <c r="T219" s="235">
        <f>IF(T194=4,IF(T207=1,1,0),0)</f>
        <v>0</v>
      </c>
      <c r="V219" s="240">
        <f>IF(V194=4,IF(V207=1,1,0),0)</f>
        <v>0</v>
      </c>
      <c r="W219" s="235">
        <f>IF(W194=4,IF(W207=1,1,0),0)</f>
        <v>0</v>
      </c>
      <c r="Y219" s="240">
        <f>IF(Y194=4,IF(Y207=1,1,0),0)</f>
        <v>0</v>
      </c>
      <c r="Z219" s="235">
        <f>IF(Z194=4,IF(Z207=1,1,0),0)</f>
        <v>0</v>
      </c>
      <c r="AB219" s="240">
        <f>IF(AB194=4,IF(AB207=1,1,0),0)</f>
        <v>0</v>
      </c>
      <c r="AC219" s="235">
        <f>IF(AC194=4,IF(AC207=1,1,0),0)</f>
        <v>0</v>
      </c>
      <c r="AE219" s="240">
        <f>IF(AE194=4,IF(AE207=1,1,0),0)</f>
        <v>0</v>
      </c>
      <c r="AF219" s="235">
        <f>SUM(B219:AE219)</f>
        <v>0</v>
      </c>
      <c r="AG219" s="235">
        <f>AF225-AF219</f>
        <v>3</v>
      </c>
      <c r="AW219" s="238"/>
    </row>
    <row r="220" spans="1:49" s="235" customFormat="1" ht="12.75" hidden="1" customHeight="1" x14ac:dyDescent="0.2">
      <c r="A220" s="235" t="s">
        <v>74</v>
      </c>
      <c r="B220" s="235">
        <f>IF(B194=5,IF(B207=1,1,0),0)</f>
        <v>0</v>
      </c>
      <c r="D220" s="240">
        <f>IF(D194=5,IF(D207=1,1,0),0)</f>
        <v>0</v>
      </c>
      <c r="E220" s="235">
        <f>IF(E194=5,IF(E207=1,1,0),0)</f>
        <v>0</v>
      </c>
      <c r="G220" s="240">
        <f>IF(G194=5,IF(G207=1,1,0),0)</f>
        <v>0</v>
      </c>
      <c r="H220" s="235">
        <f>IF(H194=5,IF(H207=1,1,0),0)</f>
        <v>0</v>
      </c>
      <c r="J220" s="240">
        <f>IF(J194=5,IF(J207=1,1,0),0)</f>
        <v>0</v>
      </c>
      <c r="K220" s="235">
        <f>IF(K194=5,IF(K207=1,1,0),0)</f>
        <v>0</v>
      </c>
      <c r="M220" s="240">
        <f>IF(M194=5,IF(M207=1,1,0),0)</f>
        <v>0</v>
      </c>
      <c r="N220" s="235">
        <f>IF(N194=5,IF(N207=1,1,0),0)</f>
        <v>0</v>
      </c>
      <c r="P220" s="240">
        <f>IF(P194=5,IF(P207=1,1,0),0)</f>
        <v>0</v>
      </c>
      <c r="Q220" s="235">
        <f>IF(Q194=5,IF(Q207=1,1,0),0)</f>
        <v>0</v>
      </c>
      <c r="S220" s="240">
        <f>IF(S194=5,IF(S207=1,1,0),0)</f>
        <v>0</v>
      </c>
      <c r="T220" s="235">
        <f>IF(T194=5,IF(T207=1,1,0),0)</f>
        <v>0</v>
      </c>
      <c r="V220" s="240">
        <f>IF(V194=5,IF(V207=1,1,0),0)</f>
        <v>0</v>
      </c>
      <c r="W220" s="235">
        <f>IF(W194=5,IF(W207=1,1,0),0)</f>
        <v>0</v>
      </c>
      <c r="Y220" s="240">
        <f>IF(Y194=5,IF(Y207=1,1,0),0)</f>
        <v>0</v>
      </c>
      <c r="Z220" s="235">
        <f>IF(Z194=5,IF(Z207=1,1,0),0)</f>
        <v>0</v>
      </c>
      <c r="AB220" s="240">
        <f>IF(AB194=5,IF(AB207=1,1,0),0)</f>
        <v>0</v>
      </c>
      <c r="AC220" s="235">
        <f>IF(AC194=5,IF(AC207=1,1,0),0)</f>
        <v>0</v>
      </c>
      <c r="AE220" s="240">
        <f>IF(AE194=5,IF(AE207=1,1,0),0)</f>
        <v>0</v>
      </c>
      <c r="AF220" s="235">
        <f>SUM(B220:AE220)</f>
        <v>0</v>
      </c>
      <c r="AG220" s="235">
        <f>AF226-AF220</f>
        <v>0</v>
      </c>
      <c r="AW220" s="238"/>
    </row>
    <row r="221" spans="1:49" s="235" customFormat="1" ht="38.25" hidden="1" customHeight="1" x14ac:dyDescent="0.2">
      <c r="A221" s="239"/>
      <c r="D221" s="240"/>
      <c r="G221" s="240"/>
      <c r="J221" s="240"/>
      <c r="M221" s="240"/>
      <c r="P221" s="240"/>
      <c r="S221" s="240"/>
      <c r="V221" s="240"/>
      <c r="Y221" s="240"/>
      <c r="AB221" s="240"/>
      <c r="AE221" s="240"/>
      <c r="AF221" s="239" t="s">
        <v>75</v>
      </c>
      <c r="AW221" s="238"/>
    </row>
    <row r="222" spans="1:49" s="235" customFormat="1" ht="12.75" hidden="1" customHeight="1" x14ac:dyDescent="0.2">
      <c r="A222" s="235" t="s">
        <v>76</v>
      </c>
      <c r="B222" s="235">
        <f>IF(B194=1,IF(C207=1,1,0),0)</f>
        <v>0</v>
      </c>
      <c r="D222" s="240">
        <f>IF(D194=1,IF(C207=1,1,0),0)</f>
        <v>0</v>
      </c>
      <c r="E222" s="235">
        <f>IF(E194=1,IF(F207=1,1,0),0)</f>
        <v>1</v>
      </c>
      <c r="G222" s="240">
        <f>IF(G194=1,IF(F207=1,1,0),0)</f>
        <v>0</v>
      </c>
      <c r="H222" s="235">
        <f>IF(H194=1,IF(I207=1,1,0),0)</f>
        <v>0</v>
      </c>
      <c r="J222" s="240">
        <f>IF(J194=1,IF(I207=1,1,0),0)</f>
        <v>0</v>
      </c>
      <c r="K222" s="235">
        <f>IF(K194=1,IF(L207=1,1,0),0)</f>
        <v>1</v>
      </c>
      <c r="M222" s="240">
        <f>IF(M194=1,IF(L207=1,1,0),0)</f>
        <v>0</v>
      </c>
      <c r="N222" s="235">
        <f>IF(N194=1,IF(O207=1,1,0),0)</f>
        <v>0</v>
      </c>
      <c r="P222" s="240">
        <f>IF(P194=1,IF(O207=1,1,0),0)</f>
        <v>0</v>
      </c>
      <c r="Q222" s="235">
        <f>IF(Q194=1,IF(R207=1,1,0),0)</f>
        <v>1</v>
      </c>
      <c r="S222" s="240">
        <f>IF(S194=1,IF(R207=1,1,0),0)</f>
        <v>0</v>
      </c>
      <c r="T222" s="235">
        <f>IF(T194=1,IF(U207=1,1,0),0)</f>
        <v>0</v>
      </c>
      <c r="V222" s="240">
        <f>IF(V194=1,IF(U207=1,1,0),0)</f>
        <v>0</v>
      </c>
      <c r="W222" s="235">
        <f>IF(W194=1,IF(X207=1,1,0),0)</f>
        <v>0</v>
      </c>
      <c r="Y222" s="240">
        <f>IF(Y194=1,IF(X207=1,1,0),0)</f>
        <v>0</v>
      </c>
      <c r="Z222" s="235">
        <f>IF(Z194=1,IF(AA207=1,1,0),0)</f>
        <v>0</v>
      </c>
      <c r="AB222" s="240">
        <f>IF(AB194=1,IF(AA207=1,1,0),0)</f>
        <v>0</v>
      </c>
      <c r="AC222" s="235">
        <f>IF(AC194=1,IF(AD207=1,1,0),0)</f>
        <v>0</v>
      </c>
      <c r="AE222" s="240">
        <f>IF(AE194=1,IF(AD207=1,1,0),0)</f>
        <v>0</v>
      </c>
      <c r="AF222" s="235">
        <f>SUM(B222:AE222)</f>
        <v>3</v>
      </c>
      <c r="AW222" s="238"/>
    </row>
    <row r="223" spans="1:49" s="235" customFormat="1" ht="12.75" hidden="1" customHeight="1" x14ac:dyDescent="0.2">
      <c r="A223" s="235" t="s">
        <v>77</v>
      </c>
      <c r="B223" s="235">
        <f>IF(B194=2,IF(C207=1,1,0),0)</f>
        <v>1</v>
      </c>
      <c r="D223" s="240">
        <f>IF(D194=2,IF(C207=1,1,0),0)</f>
        <v>0</v>
      </c>
      <c r="E223" s="235">
        <f>IF(E194=2,IF(F207=1,1,0),0)</f>
        <v>0</v>
      </c>
      <c r="G223" s="240">
        <f>IF(G194=2,IF(F207=1,1,0),0)</f>
        <v>0</v>
      </c>
      <c r="H223" s="235">
        <f>IF(H194=2,IF(I207=1,1,0),0)</f>
        <v>1</v>
      </c>
      <c r="J223" s="240">
        <f>IF(J194=2,IF(I207=1,1,0),0)</f>
        <v>0</v>
      </c>
      <c r="K223" s="235">
        <f>IF(K194=2,IF(L207=1,1,0),0)</f>
        <v>0</v>
      </c>
      <c r="M223" s="240">
        <f>IF(M194=2,IF(L207=1,1,0),0)</f>
        <v>0</v>
      </c>
      <c r="N223" s="235">
        <f>IF(N194=2,IF(O207=1,1,0),0)</f>
        <v>0</v>
      </c>
      <c r="P223" s="240">
        <f>IF(P194=2,IF(O207=1,1,0),0)</f>
        <v>0</v>
      </c>
      <c r="Q223" s="235">
        <f>IF(Q194=2,IF(R207=1,1,0),0)</f>
        <v>0</v>
      </c>
      <c r="S223" s="240">
        <f>IF(S194=2,IF(R207=1,1,0),0)</f>
        <v>1</v>
      </c>
      <c r="T223" s="235">
        <f>IF(T194=2,IF(U207=1,1,0),0)</f>
        <v>0</v>
      </c>
      <c r="V223" s="240">
        <f>IF(V194=2,IF(U207=1,1,0),0)</f>
        <v>0</v>
      </c>
      <c r="W223" s="235">
        <f>IF(W194=2,IF(X207=1,1,0),0)</f>
        <v>0</v>
      </c>
      <c r="Y223" s="240">
        <f>IF(Y194=2,IF(X207=1,1,0),0)</f>
        <v>0</v>
      </c>
      <c r="Z223" s="235">
        <f>IF(Z194=2,IF(AA207=1,1,0),0)</f>
        <v>0</v>
      </c>
      <c r="AB223" s="240">
        <f>IF(AB194=2,IF(AA207=1,1,0),0)</f>
        <v>0</v>
      </c>
      <c r="AC223" s="235">
        <f>IF(AC194=2,IF(AD207=1,1,0),0)</f>
        <v>0</v>
      </c>
      <c r="AE223" s="240">
        <f>IF(AE194=2,IF(AD207=1,1,0),0)</f>
        <v>0</v>
      </c>
      <c r="AF223" s="235">
        <f>SUM(B223:AE223)</f>
        <v>3</v>
      </c>
      <c r="AW223" s="238"/>
    </row>
    <row r="224" spans="1:49" s="235" customFormat="1" ht="12.75" hidden="1" customHeight="1" x14ac:dyDescent="0.2">
      <c r="A224" s="235" t="s">
        <v>78</v>
      </c>
      <c r="B224" s="235">
        <f>IF(B194=3,IF(C207=1,1,0),0)</f>
        <v>0</v>
      </c>
      <c r="D224" s="240">
        <f>IF(D194=3,IF(C207=1,1,0),0)</f>
        <v>1</v>
      </c>
      <c r="E224" s="235">
        <f>IF(E194=3,IF(F207=1,1,0),0)</f>
        <v>0</v>
      </c>
      <c r="G224" s="240">
        <f>IF(G194=3,IF(F207=1,1,0),0)</f>
        <v>0</v>
      </c>
      <c r="H224" s="235">
        <f>IF(H194=3,IF(I207=1,1,0),0)</f>
        <v>0</v>
      </c>
      <c r="J224" s="240">
        <f>IF(J194=3,IF(I207=1,1,0),0)</f>
        <v>0</v>
      </c>
      <c r="K224" s="235">
        <f>IF(K194=3,IF(L207=1,1,0),0)</f>
        <v>0</v>
      </c>
      <c r="M224" s="240">
        <f>IF(M194=3,IF(L207=1,1,0),0)</f>
        <v>1</v>
      </c>
      <c r="N224" s="235">
        <f>IF(N194=3,IF(O207=1,1,0),0)</f>
        <v>1</v>
      </c>
      <c r="P224" s="240">
        <f>IF(P194=3,IF(O207=1,1,0),0)</f>
        <v>0</v>
      </c>
      <c r="Q224" s="235">
        <f>IF(Q194=3,IF(R207=1,1,0),0)</f>
        <v>0</v>
      </c>
      <c r="S224" s="240">
        <f>IF(S194=3,IF(R207=1,1,0),0)</f>
        <v>0</v>
      </c>
      <c r="T224" s="235">
        <f>IF(T194=3,IF(U207=1,1,0),0)</f>
        <v>0</v>
      </c>
      <c r="V224" s="240">
        <f>IF(V194=3,IF(U207=1,1,0),0)</f>
        <v>0</v>
      </c>
      <c r="W224" s="235">
        <f>IF(W194=3,IF(X207=1,1,0),0)</f>
        <v>0</v>
      </c>
      <c r="Y224" s="240">
        <f>IF(Y194=3,IF(X207=1,1,0),0)</f>
        <v>0</v>
      </c>
      <c r="Z224" s="235">
        <f>IF(Z194=3,IF(AA207=1,1,0),0)</f>
        <v>0</v>
      </c>
      <c r="AB224" s="240">
        <f>IF(AB194=3,IF(AA207=1,1,0),0)</f>
        <v>0</v>
      </c>
      <c r="AC224" s="235">
        <f>IF(AC194=3,IF(AD207=1,1,0),0)</f>
        <v>0</v>
      </c>
      <c r="AE224" s="240">
        <f>IF(AE194=3,IF(AD207=1,1,0),0)</f>
        <v>0</v>
      </c>
      <c r="AF224" s="235">
        <f>SUM(B224:AE224)</f>
        <v>3</v>
      </c>
      <c r="AW224" s="238"/>
    </row>
    <row r="225" spans="1:49" s="235" customFormat="1" ht="12.75" hidden="1" customHeight="1" x14ac:dyDescent="0.2">
      <c r="A225" s="235" t="s">
        <v>79</v>
      </c>
      <c r="B225" s="235">
        <f>IF(B194=4,IF(C207=1,1,0),0)</f>
        <v>0</v>
      </c>
      <c r="D225" s="240">
        <f>IF(D194=4,IF(C207=1,1,0),0)</f>
        <v>0</v>
      </c>
      <c r="E225" s="235">
        <f>IF(E194=4,IF(F207=1,1,0),0)</f>
        <v>0</v>
      </c>
      <c r="G225" s="240">
        <f>IF(G194=4,IF(F207=1,1,0),0)</f>
        <v>1</v>
      </c>
      <c r="H225" s="235">
        <f>IF(H194=4,IF(I207=1,1,0),0)</f>
        <v>0</v>
      </c>
      <c r="J225" s="240">
        <f>IF(J194=4,IF(I207=1,1,0),0)</f>
        <v>1</v>
      </c>
      <c r="K225" s="235">
        <f>IF(K194=4,IF(L207=1,1,0),0)</f>
        <v>0</v>
      </c>
      <c r="M225" s="240">
        <f>IF(M194=4,IF(L207=1,1,0),0)</f>
        <v>0</v>
      </c>
      <c r="N225" s="235">
        <f>IF(N194=4,IF(O207=1,1,0),0)</f>
        <v>0</v>
      </c>
      <c r="P225" s="240">
        <f>IF(P194=4,IF(O207=1,1,0),0)</f>
        <v>1</v>
      </c>
      <c r="Q225" s="235">
        <f>IF(Q194=4,IF(R207=1,1,0),0)</f>
        <v>0</v>
      </c>
      <c r="S225" s="240">
        <f>IF(S194=4,IF(R207=1,1,0),0)</f>
        <v>0</v>
      </c>
      <c r="T225" s="235">
        <f>IF(T194=4,IF(U207=1,1,0),0)</f>
        <v>0</v>
      </c>
      <c r="V225" s="240">
        <f>IF(V194=4,IF(U207=1,1,0),0)</f>
        <v>0</v>
      </c>
      <c r="W225" s="235">
        <f>IF(W194=4,IF(X207=1,1,0),0)</f>
        <v>0</v>
      </c>
      <c r="Y225" s="240">
        <f>IF(Y194=4,IF(X207=1,1,0),0)</f>
        <v>0</v>
      </c>
      <c r="Z225" s="235">
        <f>IF(Z194=4,IF(AA207=1,1,0),0)</f>
        <v>0</v>
      </c>
      <c r="AB225" s="240">
        <f>IF(AB194=4,IF(AA207=1,1,0),0)</f>
        <v>0</v>
      </c>
      <c r="AC225" s="235">
        <f>IF(AC194=4,IF(AD207=1,1,0),0)</f>
        <v>0</v>
      </c>
      <c r="AE225" s="240">
        <f>IF(AE194=4,IF(AD207=1,1,0),0)</f>
        <v>0</v>
      </c>
      <c r="AF225" s="235">
        <f>SUM(B225:AE225)</f>
        <v>3</v>
      </c>
      <c r="AW225" s="238"/>
    </row>
    <row r="226" spans="1:49" s="235" customFormat="1" ht="12.75" hidden="1" customHeight="1" x14ac:dyDescent="0.2">
      <c r="A226" s="235" t="s">
        <v>80</v>
      </c>
      <c r="B226" s="235">
        <f>IF(B194=5,IF(C207=1,1,0),0)</f>
        <v>0</v>
      </c>
      <c r="D226" s="240">
        <f>IF(D194=5,IF(C207=1,1,0),0)</f>
        <v>0</v>
      </c>
      <c r="E226" s="235">
        <f>IF(E194=5,IF(F207=1,1,0),0)</f>
        <v>0</v>
      </c>
      <c r="G226" s="240">
        <f>IF(G194=5,IF(F207=1,1,0),0)</f>
        <v>0</v>
      </c>
      <c r="H226" s="235">
        <f>IF(H194=5,IF(I207=1,1,0),0)</f>
        <v>0</v>
      </c>
      <c r="J226" s="240">
        <f>IF(J194=5,IF(I207=1,1,0),0)</f>
        <v>0</v>
      </c>
      <c r="K226" s="235">
        <f>IF(K194=5,IF(L207=1,1,0),0)</f>
        <v>0</v>
      </c>
      <c r="M226" s="240">
        <f>IF(M194=5,IF(L207=1,1,0),0)</f>
        <v>0</v>
      </c>
      <c r="N226" s="235">
        <f>IF(N194=5,IF(O207=1,1,0),0)</f>
        <v>0</v>
      </c>
      <c r="P226" s="240">
        <f>IF(P194=5,IF(O207=1,1,0),0)</f>
        <v>0</v>
      </c>
      <c r="Q226" s="235">
        <f>IF(Q194=5,IF(R207=1,1,0),0)</f>
        <v>0</v>
      </c>
      <c r="S226" s="240">
        <f>IF(S194=5,IF(R207=1,1,0),0)</f>
        <v>0</v>
      </c>
      <c r="T226" s="235">
        <f>IF(T194=5,IF(U207=1,1,0),0)</f>
        <v>0</v>
      </c>
      <c r="V226" s="240">
        <f>IF(V194=5,IF(U207=1,1,0),0)</f>
        <v>0</v>
      </c>
      <c r="W226" s="235">
        <f>IF(W194=5,IF(X207=1,1,0),0)</f>
        <v>0</v>
      </c>
      <c r="Y226" s="240">
        <f>IF(Y194=5,IF(X207=1,1,0),0)</f>
        <v>0</v>
      </c>
      <c r="Z226" s="235">
        <f>IF(Z194=5,IF(AA207=1,1,0),0)</f>
        <v>0</v>
      </c>
      <c r="AB226" s="240">
        <f>IF(AB194=5,IF(AA207=1,1,0),0)</f>
        <v>0</v>
      </c>
      <c r="AC226" s="235">
        <f>IF(AC194=5,IF(AD207=1,1,0),0)</f>
        <v>0</v>
      </c>
      <c r="AE226" s="240">
        <f>IF(AE194=5,IF(AD207=1,1,0),0)</f>
        <v>0</v>
      </c>
      <c r="AF226" s="235">
        <f>SUM(B226:AE226)</f>
        <v>0</v>
      </c>
      <c r="AW226" s="238"/>
    </row>
    <row r="227" spans="1:49" s="235" customFormat="1" ht="38.25" hidden="1" customHeight="1" x14ac:dyDescent="0.2">
      <c r="A227" s="239"/>
      <c r="D227" s="240"/>
      <c r="G227" s="240"/>
      <c r="J227" s="240"/>
      <c r="M227" s="240"/>
      <c r="P227" s="240"/>
      <c r="S227" s="240"/>
      <c r="V227" s="240"/>
      <c r="Y227" s="240"/>
      <c r="AB227" s="240"/>
      <c r="AE227" s="240"/>
      <c r="AF227" s="239" t="s">
        <v>81</v>
      </c>
      <c r="AG227" s="524"/>
      <c r="AH227" s="524"/>
      <c r="AI227" s="524"/>
      <c r="AJ227" s="524"/>
      <c r="AK227" s="524"/>
      <c r="AW227" s="238"/>
    </row>
    <row r="228" spans="1:49" s="235" customFormat="1" ht="12.75" hidden="1" customHeight="1" x14ac:dyDescent="0.2">
      <c r="A228" s="235" t="s">
        <v>76</v>
      </c>
      <c r="B228" s="235">
        <f>IF(B194=1,B214,0)</f>
        <v>0</v>
      </c>
      <c r="D228" s="240">
        <f>IF(D194=1,B214,0)</f>
        <v>0</v>
      </c>
      <c r="E228" s="235">
        <f>IF(E194=1,E214,0)</f>
        <v>50</v>
      </c>
      <c r="G228" s="240">
        <f>IF(G194=1,E214,0)</f>
        <v>0</v>
      </c>
      <c r="H228" s="235">
        <f>IF(H194=1,H214,0)</f>
        <v>0</v>
      </c>
      <c r="J228" s="240">
        <f>IF(J194=1,H214,0)</f>
        <v>0</v>
      </c>
      <c r="K228" s="235">
        <f>IF(K194=1,K214,0)</f>
        <v>65</v>
      </c>
      <c r="M228" s="240">
        <f>IF(M194=1,K214,0)</f>
        <v>0</v>
      </c>
      <c r="N228" s="235">
        <f>IF(N194=1,N214,0)</f>
        <v>0</v>
      </c>
      <c r="P228" s="240">
        <f>IF(P194=1,N214,0)</f>
        <v>0</v>
      </c>
      <c r="Q228" s="235">
        <f>IF(Q194=1,Q214,0)</f>
        <v>65</v>
      </c>
      <c r="S228" s="240">
        <f>IF(S194=1,Q214,0)</f>
        <v>0</v>
      </c>
      <c r="T228" s="235">
        <f>IF(T194=1,T214,0)</f>
        <v>0</v>
      </c>
      <c r="V228" s="240">
        <f>IF(V194=1,T214,0)</f>
        <v>0</v>
      </c>
      <c r="W228" s="235">
        <f>IF(W194=1,W214,0)</f>
        <v>0</v>
      </c>
      <c r="Y228" s="240">
        <f>IF(Y194=1,W214,0)</f>
        <v>0</v>
      </c>
      <c r="Z228" s="235">
        <f>IF(Z194=1,Z214,0)</f>
        <v>0</v>
      </c>
      <c r="AB228" s="240">
        <f>IF(AB194=1,Z214,0)</f>
        <v>0</v>
      </c>
      <c r="AC228" s="235">
        <f>IF(AC194=1,AC214,0)</f>
        <v>0</v>
      </c>
      <c r="AE228" s="240">
        <f>IF(AE194=1,AC214,0)</f>
        <v>0</v>
      </c>
      <c r="AF228" s="235">
        <f>SUM(B228:AE228)</f>
        <v>180</v>
      </c>
      <c r="AW228" s="238"/>
    </row>
    <row r="229" spans="1:49" s="235" customFormat="1" ht="12.75" hidden="1" customHeight="1" x14ac:dyDescent="0.2">
      <c r="A229" s="235" t="s">
        <v>77</v>
      </c>
      <c r="B229" s="235">
        <f>IF(B194=2,B214,0)</f>
        <v>50</v>
      </c>
      <c r="D229" s="240">
        <f>IF(D194=2,B214,0)</f>
        <v>0</v>
      </c>
      <c r="E229" s="235">
        <f>IF(E194=2,E214,0)</f>
        <v>0</v>
      </c>
      <c r="G229" s="240">
        <f>IF(G194=2,E214,0)</f>
        <v>0</v>
      </c>
      <c r="H229" s="235">
        <f>IF(H194=2,H214,0)</f>
        <v>50</v>
      </c>
      <c r="J229" s="240">
        <f>IF(J194=2,H214,0)</f>
        <v>0</v>
      </c>
      <c r="K229" s="235">
        <f>IF(K194=2,K214,0)</f>
        <v>0</v>
      </c>
      <c r="M229" s="240">
        <f>IF(M194=2,K214,0)</f>
        <v>0</v>
      </c>
      <c r="N229" s="235">
        <f>IF(N194=2,N214,0)</f>
        <v>0</v>
      </c>
      <c r="P229" s="240">
        <f>IF(P194=2,N214,0)</f>
        <v>0</v>
      </c>
      <c r="Q229" s="235">
        <f>IF(Q194=2,Q214,0)</f>
        <v>0</v>
      </c>
      <c r="S229" s="240">
        <f>IF(S194=2,Q214,0)</f>
        <v>65</v>
      </c>
      <c r="T229" s="235">
        <f>IF(T194=2,T214,0)</f>
        <v>0</v>
      </c>
      <c r="V229" s="240">
        <f>IF(V194=2,T214,0)</f>
        <v>0</v>
      </c>
      <c r="W229" s="235">
        <f>IF(W194=2,W214,0)</f>
        <v>0</v>
      </c>
      <c r="Y229" s="240">
        <f>IF(Y194=2,W214,0)</f>
        <v>0</v>
      </c>
      <c r="Z229" s="235">
        <f>IF(Z194=2,Z214,0)</f>
        <v>0</v>
      </c>
      <c r="AB229" s="240">
        <f>IF(AB194=2,Z214,0)</f>
        <v>0</v>
      </c>
      <c r="AC229" s="235">
        <f>IF(AC194=2,AC214,0)</f>
        <v>0</v>
      </c>
      <c r="AE229" s="240">
        <f>IF(AE194=2,AC214,0)</f>
        <v>0</v>
      </c>
      <c r="AF229" s="235">
        <f>SUM(B229:AE229)</f>
        <v>165</v>
      </c>
      <c r="AW229" s="238"/>
    </row>
    <row r="230" spans="1:49" s="235" customFormat="1" ht="12.75" hidden="1" customHeight="1" x14ac:dyDescent="0.2">
      <c r="A230" s="235" t="s">
        <v>78</v>
      </c>
      <c r="B230" s="235">
        <f>IF(B194=3,B214,0)</f>
        <v>0</v>
      </c>
      <c r="D230" s="240">
        <f>IF(D194=3,B214,0)</f>
        <v>50</v>
      </c>
      <c r="E230" s="235">
        <f>IF(E194=3,E214,0)</f>
        <v>0</v>
      </c>
      <c r="G230" s="240">
        <f>IF(G194=3,E214,0)</f>
        <v>0</v>
      </c>
      <c r="H230" s="235">
        <f>IF(H194=3,H214,0)</f>
        <v>0</v>
      </c>
      <c r="J230" s="240">
        <f>IF(J194=3,H214,0)</f>
        <v>0</v>
      </c>
      <c r="K230" s="235">
        <f>IF(K194=3,K214,0)</f>
        <v>0</v>
      </c>
      <c r="M230" s="240">
        <f>IF(M194=3,K214,0)</f>
        <v>65</v>
      </c>
      <c r="N230" s="235">
        <f>IF(N194=3,N214,0)</f>
        <v>50</v>
      </c>
      <c r="P230" s="240">
        <f>IF(P194=3,N214,0)</f>
        <v>0</v>
      </c>
      <c r="Q230" s="235">
        <f>IF(Q194=3,Q214,0)</f>
        <v>0</v>
      </c>
      <c r="S230" s="240">
        <f>IF(S194=3,Q214,0)</f>
        <v>0</v>
      </c>
      <c r="T230" s="235">
        <f>IF(T194=3,T214,0)</f>
        <v>0</v>
      </c>
      <c r="V230" s="240">
        <f>IF(V194=3,T214,0)</f>
        <v>0</v>
      </c>
      <c r="W230" s="235">
        <f>IF(W194=3,W214,0)</f>
        <v>0</v>
      </c>
      <c r="Y230" s="240">
        <f>IF(Y194=3,W214,0)</f>
        <v>0</v>
      </c>
      <c r="Z230" s="235">
        <f>IF(Z194=3,Z214,0)</f>
        <v>0</v>
      </c>
      <c r="AB230" s="240">
        <f>IF(AB194=3,Z214,0)</f>
        <v>0</v>
      </c>
      <c r="AC230" s="235">
        <f>IF(AC194=3,AC214,0)</f>
        <v>0</v>
      </c>
      <c r="AE230" s="240">
        <f>IF(AE194=3,AC214,0)</f>
        <v>0</v>
      </c>
      <c r="AF230" s="235">
        <f>SUM(B230:AE230)</f>
        <v>165</v>
      </c>
      <c r="AW230" s="238"/>
    </row>
    <row r="231" spans="1:49" s="235" customFormat="1" ht="12.75" hidden="1" customHeight="1" x14ac:dyDescent="0.2">
      <c r="A231" s="235" t="s">
        <v>79</v>
      </c>
      <c r="B231" s="235">
        <f>IF(B194=4,B214,0)</f>
        <v>0</v>
      </c>
      <c r="D231" s="240">
        <f>IF(D194=4,B214,0)</f>
        <v>0</v>
      </c>
      <c r="E231" s="235">
        <f>IF(E194=4,E214,0)</f>
        <v>0</v>
      </c>
      <c r="G231" s="240">
        <f>IF(G194=4,E214,0)</f>
        <v>50</v>
      </c>
      <c r="H231" s="235">
        <f>IF(H194=4,H214,0)</f>
        <v>0</v>
      </c>
      <c r="J231" s="240">
        <f>IF(J194=4,H214,0)</f>
        <v>50</v>
      </c>
      <c r="K231" s="235">
        <f>IF(K194=4,K214,0)</f>
        <v>0</v>
      </c>
      <c r="M231" s="240">
        <f>IF(M194=4,K214,0)</f>
        <v>0</v>
      </c>
      <c r="N231" s="235">
        <f>IF(N194=4,N214,0)</f>
        <v>0</v>
      </c>
      <c r="P231" s="240">
        <f>IF(P194=4,N214,0)</f>
        <v>50</v>
      </c>
      <c r="Q231" s="235">
        <f>IF(Q194=4,Q214,0)</f>
        <v>0</v>
      </c>
      <c r="S231" s="240">
        <f>IF(S194=4,Q214,0)</f>
        <v>0</v>
      </c>
      <c r="T231" s="235">
        <f>IF(T194=4,T214,0)</f>
        <v>0</v>
      </c>
      <c r="V231" s="240">
        <f>IF(V194=4,T214,0)</f>
        <v>0</v>
      </c>
      <c r="W231" s="235">
        <f>IF(W194=4,W214,0)</f>
        <v>0</v>
      </c>
      <c r="Y231" s="240">
        <f>IF(Y194=4,W214,0)</f>
        <v>0</v>
      </c>
      <c r="Z231" s="235">
        <f>IF(Z194=4,Z214,0)</f>
        <v>0</v>
      </c>
      <c r="AB231" s="240">
        <f>IF(AB194=4,Z214,0)</f>
        <v>0</v>
      </c>
      <c r="AC231" s="235">
        <f>IF(AC194=4,AC214,0)</f>
        <v>0</v>
      </c>
      <c r="AE231" s="240">
        <f>IF(AE194=4,AC214,0)</f>
        <v>0</v>
      </c>
      <c r="AF231" s="235">
        <f>SUM(B231:AE231)</f>
        <v>150</v>
      </c>
      <c r="AW231" s="238"/>
    </row>
    <row r="232" spans="1:49" s="235" customFormat="1" ht="12.75" hidden="1" customHeight="1" x14ac:dyDescent="0.2">
      <c r="A232" s="235" t="s">
        <v>80</v>
      </c>
      <c r="B232" s="235">
        <f>IF(B194=5,B214,0)</f>
        <v>0</v>
      </c>
      <c r="D232" s="240">
        <f>IF(D194=5,B214,0)</f>
        <v>0</v>
      </c>
      <c r="E232" s="235">
        <f>IF(E194=5,E214,0)</f>
        <v>0</v>
      </c>
      <c r="G232" s="240">
        <f>IF(G194=5,E214,0)</f>
        <v>0</v>
      </c>
      <c r="H232" s="235">
        <f>IF(H194=5,H214,0)</f>
        <v>0</v>
      </c>
      <c r="J232" s="240">
        <f>IF(J194=5,H214,0)</f>
        <v>0</v>
      </c>
      <c r="K232" s="235">
        <f>IF(K194=5,K214,0)</f>
        <v>0</v>
      </c>
      <c r="M232" s="240">
        <f>IF(M194=5,K214,0)</f>
        <v>0</v>
      </c>
      <c r="N232" s="235">
        <f>IF(N194=5,N214,0)</f>
        <v>0</v>
      </c>
      <c r="P232" s="240">
        <f>IF(P194=5,N214,0)</f>
        <v>0</v>
      </c>
      <c r="Q232" s="235">
        <f>IF(Q194=5,Q214,0)</f>
        <v>0</v>
      </c>
      <c r="S232" s="240">
        <f>IF(S194=5,Q214,0)</f>
        <v>0</v>
      </c>
      <c r="T232" s="235">
        <f>IF(T194=5,T214,0)</f>
        <v>0</v>
      </c>
      <c r="V232" s="240">
        <f>IF(V194=5,T214,0)</f>
        <v>0</v>
      </c>
      <c r="W232" s="235">
        <f>IF(W194=5,W214,0)</f>
        <v>0</v>
      </c>
      <c r="Y232" s="240">
        <f>IF(Y194=5,W214,0)</f>
        <v>0</v>
      </c>
      <c r="Z232" s="235">
        <f>IF(Z194=5,Z214,0)</f>
        <v>0</v>
      </c>
      <c r="AB232" s="240">
        <f>IF(AB194=5,Z214,0)</f>
        <v>0</v>
      </c>
      <c r="AC232" s="235">
        <f>IF(AC194=5,AC214,0)</f>
        <v>0</v>
      </c>
      <c r="AE232" s="240">
        <f>IF(AE194=5,AC214,0)</f>
        <v>0</v>
      </c>
      <c r="AF232" s="235">
        <f>SUM(B232:AE232)</f>
        <v>0</v>
      </c>
      <c r="AW232" s="238"/>
    </row>
    <row r="233" spans="1:49" s="235" customFormat="1" ht="38.25" hidden="1" customHeight="1" x14ac:dyDescent="0.2">
      <c r="A233" s="235" t="s">
        <v>82</v>
      </c>
      <c r="D233" s="240"/>
      <c r="G233" s="240"/>
      <c r="J233" s="240"/>
      <c r="M233" s="240"/>
      <c r="P233" s="240"/>
      <c r="S233" s="240"/>
      <c r="V233" s="240"/>
      <c r="Y233" s="240"/>
      <c r="AB233" s="240"/>
      <c r="AE233" s="240"/>
      <c r="AF233" s="239" t="s">
        <v>83</v>
      </c>
      <c r="AG233" s="235" t="s">
        <v>84</v>
      </c>
      <c r="AW233" s="238"/>
    </row>
    <row r="234" spans="1:49" s="235" customFormat="1" ht="12.75" hidden="1" customHeight="1" x14ac:dyDescent="0.2">
      <c r="A234" s="235" t="s">
        <v>70</v>
      </c>
      <c r="B234" s="235">
        <f>IF(B194=1,SUMIF(B201:B205,"&gt;0"),0)</f>
        <v>0</v>
      </c>
      <c r="D234" s="240">
        <f>IF(D194=1,SUMIF(D201:D205,"&gt;0"),0)</f>
        <v>0</v>
      </c>
      <c r="E234" s="235">
        <f>IF(E194=1,SUMIF(E201:E205,"&gt;0"),0)</f>
        <v>2</v>
      </c>
      <c r="G234" s="240">
        <f>IF(G194=1,SUMIF(G201:G205,"&gt;0"),0)</f>
        <v>0</v>
      </c>
      <c r="H234" s="235">
        <f>IF(H194=1,SUMIF(H201:H205,"&gt;0"),0)</f>
        <v>0</v>
      </c>
      <c r="J234" s="240">
        <f>IF(J194=1,SUMIF(J201:J205,"&gt;0"),0)</f>
        <v>0</v>
      </c>
      <c r="K234" s="235">
        <f>IF(K194=1,SUMIF(K201:K205,"&gt;0"),0)</f>
        <v>2</v>
      </c>
      <c r="M234" s="240">
        <f>IF(M194=1,SUMIF(M201:M205,"&gt;0"),0)</f>
        <v>0</v>
      </c>
      <c r="N234" s="235">
        <f>IF(N194=1,SUMIF(N201:N205,"&gt;0"),0)</f>
        <v>0</v>
      </c>
      <c r="P234" s="240">
        <f>IF(P194=1,SUMIF(P201:P205,"&gt;0"),0)</f>
        <v>0</v>
      </c>
      <c r="Q234" s="235">
        <f>IF(Q194=1,SUMIF(Q201:Q205,"&gt;0"),0)</f>
        <v>2</v>
      </c>
      <c r="S234" s="240">
        <f>IF(S194=1,SUMIF(S201:S205,"&gt;0"),0)</f>
        <v>0</v>
      </c>
      <c r="T234" s="235">
        <f>IF(T194=1,SUMIF(T201:T205,"&gt;0"),0)</f>
        <v>0</v>
      </c>
      <c r="V234" s="240">
        <f>IF(V194=1,SUMIF(V201:V205,"&gt;0"),0)</f>
        <v>0</v>
      </c>
      <c r="W234" s="235">
        <f>IF(W194=1,SUMIF(W201:W205,"&gt;0"),0)</f>
        <v>0</v>
      </c>
      <c r="Y234" s="240">
        <f>IF(Y194=1,SUMIF(Y201:Y205,"&gt;0"),0)</f>
        <v>0</v>
      </c>
      <c r="Z234" s="235">
        <f>IF(Z194=1,SUMIF(Z201:Z205,"&gt;0"),0)</f>
        <v>0</v>
      </c>
      <c r="AB234" s="240">
        <f>IF(AB194=1,SUMIF(AB201:AB205,"&gt;0"),0)</f>
        <v>0</v>
      </c>
      <c r="AC234" s="235">
        <f>IF(AC194=1,SUMIF(AC201:AC205,"&gt;0"),0)</f>
        <v>0</v>
      </c>
      <c r="AE234" s="240">
        <f>IF(AE194=1,SUMIF(AE201:AE205,"&gt;0"),0)</f>
        <v>0</v>
      </c>
      <c r="AF234" s="235">
        <f>SUM(B234:AE234)</f>
        <v>6</v>
      </c>
      <c r="AG234" s="235">
        <f>AF242-AF234</f>
        <v>2</v>
      </c>
      <c r="AW234" s="238"/>
    </row>
    <row r="235" spans="1:49" s="235" customFormat="1" ht="12.75" hidden="1" customHeight="1" x14ac:dyDescent="0.2">
      <c r="A235" s="235" t="s">
        <v>71</v>
      </c>
      <c r="B235" s="235">
        <f>IF(B194=2,SUMIF(B201:B205,"&gt;0"),0)</f>
        <v>2</v>
      </c>
      <c r="D235" s="240">
        <f>IF(D194=2,SUMIF(D201:D205,"&gt;0"),0)</f>
        <v>0</v>
      </c>
      <c r="E235" s="235">
        <f>IF(E194=2,SUMIF(E201:E205,"&gt;0"),0)</f>
        <v>0</v>
      </c>
      <c r="G235" s="240">
        <f>IF(G194=2,SUMIF(G201:G205,"&gt;0"),0)</f>
        <v>0</v>
      </c>
      <c r="H235" s="235">
        <f>IF(H194=2,SUMIF(H201:H205,"&gt;0"),0)</f>
        <v>2</v>
      </c>
      <c r="J235" s="240">
        <f>IF(J194=2,SUMIF(J201:J205,"&gt;0"),0)</f>
        <v>0</v>
      </c>
      <c r="K235" s="235">
        <f>IF(K194=2,SUMIF(K201:K205,"&gt;0"),0)</f>
        <v>0</v>
      </c>
      <c r="M235" s="240">
        <f>IF(M194=2,SUMIF(M201:M205,"&gt;0"),0)</f>
        <v>0</v>
      </c>
      <c r="N235" s="235">
        <f>IF(N194=2,SUMIF(N201:N205,"&gt;0"),0)</f>
        <v>0</v>
      </c>
      <c r="P235" s="240">
        <f>IF(P194=2,SUMIF(P201:P205,"&gt;0"),0)</f>
        <v>0</v>
      </c>
      <c r="Q235" s="235">
        <f>IF(Q194=2,SUMIF(Q201:Q205,"&gt;0"),0)</f>
        <v>0</v>
      </c>
      <c r="S235" s="240">
        <f>IF(S194=2,SUMIF(S201:S205,"&gt;0"),0)</f>
        <v>1</v>
      </c>
      <c r="T235" s="235">
        <f>IF(T194=2,SUMIF(T201:T205,"&gt;0"),0)</f>
        <v>0</v>
      </c>
      <c r="V235" s="240">
        <f>IF(V194=2,SUMIF(V201:V205,"&gt;0"),0)</f>
        <v>0</v>
      </c>
      <c r="W235" s="235">
        <f>IF(W194=2,SUMIF(W201:W205,"&gt;0"),0)</f>
        <v>0</v>
      </c>
      <c r="Y235" s="240">
        <f>IF(Y194=2,SUMIF(Y201:Y205,"&gt;0"),0)</f>
        <v>0</v>
      </c>
      <c r="Z235" s="235">
        <f>IF(Z194=2,SUMIF(Z201:Z205,"&gt;0"),0)</f>
        <v>0</v>
      </c>
      <c r="AB235" s="240">
        <f>IF(AB194=2,SUMIF(AB201:AB205,"&gt;0"),0)</f>
        <v>0</v>
      </c>
      <c r="AC235" s="235">
        <f>IF(AC194=2,SUMIF(AC201:AC205,"&gt;0"),0)</f>
        <v>0</v>
      </c>
      <c r="AE235" s="240">
        <f>IF(AE194=2,SUMIF(AE201:AE205,"&gt;0"),0)</f>
        <v>0</v>
      </c>
      <c r="AF235" s="235">
        <f>SUM(B235:AE235)</f>
        <v>5</v>
      </c>
      <c r="AG235" s="235">
        <f>AF243-AF235</f>
        <v>2</v>
      </c>
      <c r="AW235" s="238"/>
    </row>
    <row r="236" spans="1:49" s="235" customFormat="1" ht="12.75" hidden="1" customHeight="1" x14ac:dyDescent="0.2">
      <c r="A236" s="235" t="s">
        <v>72</v>
      </c>
      <c r="B236" s="235">
        <f>IF(B194=3,SUMIF(B201:B205,"&gt;0"),0)</f>
        <v>0</v>
      </c>
      <c r="D236" s="240">
        <f>IF(D194=3,SUMIF(D201:D205,"&gt;0"),0)</f>
        <v>0</v>
      </c>
      <c r="E236" s="235">
        <f>IF(E194=3,SUMIF(E201:E205,"&gt;0"),0)</f>
        <v>0</v>
      </c>
      <c r="G236" s="240">
        <f>IF(G194=3,SUMIF(G201:G205,"&gt;0"),0)</f>
        <v>0</v>
      </c>
      <c r="H236" s="235">
        <f>IF(H194=3,SUMIF(H201:H205,"&gt;0"),0)</f>
        <v>0</v>
      </c>
      <c r="J236" s="240">
        <f>IF(J194=3,SUMIF(J201:J205,"&gt;0"),0)</f>
        <v>0</v>
      </c>
      <c r="K236" s="235">
        <f>IF(K194=3,SUMIF(K201:K205,"&gt;0"),0)</f>
        <v>0</v>
      </c>
      <c r="M236" s="240">
        <f>IF(M194=3,SUMIF(M201:M205,"&gt;0"),0)</f>
        <v>1</v>
      </c>
      <c r="N236" s="235">
        <f>IF(N194=3,SUMIF(N201:N205,"&gt;0"),0)</f>
        <v>2</v>
      </c>
      <c r="P236" s="240">
        <f>IF(P194=3,SUMIF(P201:P205,"&gt;0"),0)</f>
        <v>0</v>
      </c>
      <c r="Q236" s="235">
        <f>IF(Q194=3,SUMIF(Q201:Q205,"&gt;0"),0)</f>
        <v>0</v>
      </c>
      <c r="S236" s="240">
        <f>IF(S194=3,SUMIF(S201:S205,"&gt;0"),0)</f>
        <v>0</v>
      </c>
      <c r="T236" s="235">
        <f>IF(T194=3,SUMIF(T201:T205,"&gt;0"),0)</f>
        <v>0</v>
      </c>
      <c r="V236" s="240">
        <f>IF(V194=3,SUMIF(V201:V205,"&gt;0"),0)</f>
        <v>0</v>
      </c>
      <c r="W236" s="235">
        <f>IF(W194=3,SUMIF(W201:W205,"&gt;0"),0)</f>
        <v>0</v>
      </c>
      <c r="Y236" s="240">
        <f>IF(Y194=3,SUMIF(Y201:Y205,"&gt;0"),0)</f>
        <v>0</v>
      </c>
      <c r="Z236" s="235">
        <f>IF(Z194=3,SUMIF(Z201:Z205,"&gt;0"),0)</f>
        <v>0</v>
      </c>
      <c r="AB236" s="240">
        <f>IF(AB194=3,SUMIF(AB201:AB205,"&gt;0"),0)</f>
        <v>0</v>
      </c>
      <c r="AC236" s="235">
        <f>IF(AC194=3,SUMIF(AC201:AC205,"&gt;0"),0)</f>
        <v>0</v>
      </c>
      <c r="AE236" s="240">
        <f>IF(AE194=3,SUMIF(AE201:AE205,"&gt;0"),0)</f>
        <v>0</v>
      </c>
      <c r="AF236" s="235">
        <f>SUM(B236:AE236)</f>
        <v>3</v>
      </c>
      <c r="AG236" s="235">
        <f>AF244-AF236</f>
        <v>4</v>
      </c>
      <c r="AW236" s="238"/>
    </row>
    <row r="237" spans="1:49" s="235" customFormat="1" ht="12.75" hidden="1" customHeight="1" x14ac:dyDescent="0.2">
      <c r="A237" s="235" t="s">
        <v>73</v>
      </c>
      <c r="B237" s="235">
        <f>IF(B194=4,SUMIF(B201:B205,"&gt;0"),0)</f>
        <v>0</v>
      </c>
      <c r="D237" s="240">
        <f>IF(D194=4,SUMIF(D201:D205,"&gt;0"),0)</f>
        <v>0</v>
      </c>
      <c r="E237" s="235">
        <f>IF(E194=4,SUMIF(E201:E205,"&gt;0"),0)</f>
        <v>0</v>
      </c>
      <c r="G237" s="240">
        <f>IF(G194=4,SUMIF(G201:G205,"&gt;0"),0)</f>
        <v>0</v>
      </c>
      <c r="H237" s="235">
        <f>IF(H194=4,SUMIF(H201:H205,"&gt;0"),0)</f>
        <v>0</v>
      </c>
      <c r="J237" s="240">
        <f>IF(J194=4,SUMIF(J201:J205,"&gt;0"),0)</f>
        <v>0</v>
      </c>
      <c r="K237" s="235">
        <f>IF(K194=4,SUMIF(K201:K205,"&gt;0"),0)</f>
        <v>0</v>
      </c>
      <c r="M237" s="240">
        <f>IF(M194=4,SUMIF(M201:M205,"&gt;0"),0)</f>
        <v>0</v>
      </c>
      <c r="N237" s="235">
        <f>IF(N194=4,SUMIF(N201:N205,"&gt;0"),0)</f>
        <v>0</v>
      </c>
      <c r="P237" s="240">
        <f>IF(P194=4,SUMIF(P201:P205,"&gt;0"),0)</f>
        <v>0</v>
      </c>
      <c r="Q237" s="235">
        <f>IF(Q194=4,SUMIF(Q201:Q205,"&gt;0"),0)</f>
        <v>0</v>
      </c>
      <c r="S237" s="240">
        <f>IF(S194=4,SUMIF(S201:S205,"&gt;0"),0)</f>
        <v>0</v>
      </c>
      <c r="T237" s="235">
        <f>IF(T194=4,SUMIF(T201:T205,"&gt;0"),0)</f>
        <v>0</v>
      </c>
      <c r="V237" s="240">
        <f>IF(V194=4,SUMIF(V201:V205,"&gt;0"),0)</f>
        <v>0</v>
      </c>
      <c r="W237" s="235">
        <f>IF(W194=4,SUMIF(W201:W205,"&gt;0"),0)</f>
        <v>0</v>
      </c>
      <c r="Y237" s="240">
        <f>IF(Y194=4,SUMIF(Y201:Y205,"&gt;0"),0)</f>
        <v>0</v>
      </c>
      <c r="Z237" s="235">
        <f>IF(Z194=4,SUMIF(Z201:Z205,"&gt;0"),0)</f>
        <v>0</v>
      </c>
      <c r="AB237" s="240">
        <f>IF(AB194=4,SUMIF(AB201:AB205,"&gt;0"),0)</f>
        <v>0</v>
      </c>
      <c r="AC237" s="235">
        <f>IF(AC194=4,SUMIF(AC201:AC205,"&gt;0"),0)</f>
        <v>0</v>
      </c>
      <c r="AE237" s="240">
        <f>IF(AE194=4,SUMIF(AE201:AE205,"&gt;0"),0)</f>
        <v>0</v>
      </c>
      <c r="AF237" s="235">
        <f>SUM(B237:AE237)</f>
        <v>0</v>
      </c>
      <c r="AG237" s="235">
        <f>AF245-AF237</f>
        <v>6</v>
      </c>
      <c r="AW237" s="238"/>
    </row>
    <row r="238" spans="1:49" s="235" customFormat="1" ht="12.75" hidden="1" customHeight="1" x14ac:dyDescent="0.2">
      <c r="A238" s="235" t="s">
        <v>74</v>
      </c>
      <c r="B238" s="235">
        <f>IF(B194=5,SUMIF(B201:B205,"&gt;0"),0)</f>
        <v>0</v>
      </c>
      <c r="D238" s="240">
        <f>IF(D194=5,SUMIF(D201:D205,"&gt;0"),0)</f>
        <v>0</v>
      </c>
      <c r="E238" s="235">
        <f>IF(E194=5,SUMIF(E201:E205,"&gt;0"),0)</f>
        <v>0</v>
      </c>
      <c r="G238" s="240">
        <f>IF(G194=5,SUMIF(G201:G205,"&gt;0"),0)</f>
        <v>0</v>
      </c>
      <c r="H238" s="235">
        <f>IF(H194=5,SUMIF(H201:H205,"&gt;0"),0)</f>
        <v>0</v>
      </c>
      <c r="J238" s="240">
        <f>IF(J194=5,SUMIF(J201:J205,"&gt;0"),0)</f>
        <v>0</v>
      </c>
      <c r="K238" s="235">
        <f>IF(K194=5,SUMIF(K201:K205,"&gt;0"),0)</f>
        <v>0</v>
      </c>
      <c r="M238" s="240">
        <f>IF(M194=5,SUMIF(M201:M205,"&gt;0"),0)</f>
        <v>0</v>
      </c>
      <c r="N238" s="235">
        <f>IF(N194=5,SUMIF(N201:N205,"&gt;0"),0)</f>
        <v>0</v>
      </c>
      <c r="P238" s="240">
        <f>IF(P194=5,SUMIF(P201:P205,"&gt;0"),0)</f>
        <v>0</v>
      </c>
      <c r="Q238" s="235">
        <f>IF(Q194=5,SUMIF(Q201:Q205,"&gt;0"),0)</f>
        <v>0</v>
      </c>
      <c r="S238" s="240">
        <f>IF(S194=5,SUMIF(S201:S205,"&gt;0"),0)</f>
        <v>0</v>
      </c>
      <c r="T238" s="235">
        <f>IF(T194=5,SUMIF(T201:T205,"&gt;0"),0)</f>
        <v>0</v>
      </c>
      <c r="V238" s="240">
        <f>IF(V194=5,SUMIF(V201:V205,"&gt;0"),0)</f>
        <v>0</v>
      </c>
      <c r="W238" s="235">
        <f>IF(W194=5,SUMIF(W201:W205,"&gt;0"),0)</f>
        <v>0</v>
      </c>
      <c r="Y238" s="240">
        <f>IF(Y194=5,SUMIF(Y201:Y205,"&gt;0"),0)</f>
        <v>0</v>
      </c>
      <c r="Z238" s="235">
        <f>IF(Z194=5,SUMIF(Z201:Z205,"&gt;0"),0)</f>
        <v>0</v>
      </c>
      <c r="AB238" s="240">
        <f>IF(AB194=5,SUMIF(AB201:AB205,"&gt;0"),0)</f>
        <v>0</v>
      </c>
      <c r="AC238" s="235">
        <f>IF(AC194=5,SUMIF(AC201:AC205,"&gt;0"),0)</f>
        <v>0</v>
      </c>
      <c r="AE238" s="240">
        <f>IF(AE194=5,SUMIF(AE201:AE205,"&gt;0"),0)</f>
        <v>0</v>
      </c>
      <c r="AF238" s="235">
        <f>SUM(B238:AE238)</f>
        <v>0</v>
      </c>
      <c r="AG238" s="235">
        <f>AF246-AF238</f>
        <v>0</v>
      </c>
      <c r="AW238" s="238"/>
    </row>
    <row r="239" spans="1:49" s="235" customFormat="1" ht="12.75" hidden="1" customHeight="1" x14ac:dyDescent="0.2">
      <c r="D239" s="240"/>
      <c r="G239" s="240"/>
      <c r="J239" s="240"/>
      <c r="M239" s="240"/>
      <c r="P239" s="240"/>
      <c r="S239" s="240"/>
      <c r="V239" s="240"/>
      <c r="Y239" s="240"/>
      <c r="AB239" s="240"/>
      <c r="AE239" s="240"/>
      <c r="AW239" s="238"/>
    </row>
    <row r="240" spans="1:49" s="235" customFormat="1" ht="12.75" hidden="1" customHeight="1" x14ac:dyDescent="0.2">
      <c r="D240" s="240"/>
      <c r="G240" s="240"/>
      <c r="J240" s="240"/>
      <c r="M240" s="240"/>
      <c r="P240" s="240"/>
      <c r="S240" s="240"/>
      <c r="V240" s="240"/>
      <c r="Y240" s="240"/>
      <c r="AB240" s="240"/>
      <c r="AE240" s="240"/>
      <c r="AW240" s="238"/>
    </row>
    <row r="241" spans="1:54" s="235" customFormat="1" ht="51" hidden="1" customHeight="1" x14ac:dyDescent="0.2">
      <c r="A241" s="239" t="s">
        <v>85</v>
      </c>
      <c r="C241" s="235">
        <f>SUMIF(B234:D238,"&gt;0")</f>
        <v>2</v>
      </c>
      <c r="D241" s="240"/>
      <c r="F241" s="235">
        <f>SUMIF(E234:G238,"&gt;0")</f>
        <v>2</v>
      </c>
      <c r="G241" s="240"/>
      <c r="I241" s="235">
        <f>SUMIF(H234:J238,"&gt;0")</f>
        <v>2</v>
      </c>
      <c r="J241" s="240"/>
      <c r="L241" s="235">
        <f>SUMIF(K234:M238,"&gt;0")</f>
        <v>3</v>
      </c>
      <c r="M241" s="240"/>
      <c r="O241" s="235">
        <f>SUMIF(N234:P238,"&gt;0")</f>
        <v>2</v>
      </c>
      <c r="P241" s="240"/>
      <c r="R241" s="235">
        <f>SUMIF(Q234:S238,"&gt;0")</f>
        <v>3</v>
      </c>
      <c r="S241" s="240"/>
      <c r="U241" s="235">
        <f>SUMIF(T234:V238,"&gt;0")</f>
        <v>0</v>
      </c>
      <c r="V241" s="240"/>
      <c r="X241" s="235">
        <f>SUMIF(W234:Y238,"&gt;0")</f>
        <v>0</v>
      </c>
      <c r="Y241" s="240"/>
      <c r="AA241" s="235">
        <f>SUMIF(Z234:AB238,"&gt;0")</f>
        <v>0</v>
      </c>
      <c r="AB241" s="240"/>
      <c r="AD241" s="235">
        <f>SUMIF(AC234:AE238,"&gt;0")</f>
        <v>0</v>
      </c>
      <c r="AE241" s="240"/>
      <c r="AF241" s="239" t="s">
        <v>86</v>
      </c>
      <c r="AW241" s="238"/>
    </row>
    <row r="242" spans="1:54" s="235" customFormat="1" ht="12.75" hidden="1" customHeight="1" x14ac:dyDescent="0.2">
      <c r="A242" s="235" t="s">
        <v>76</v>
      </c>
      <c r="B242" s="235">
        <f>IF(B194=1,C241,0)</f>
        <v>0</v>
      </c>
      <c r="D242" s="240">
        <f>IF(D194=1,C241,0)</f>
        <v>0</v>
      </c>
      <c r="E242" s="235">
        <f>IF(E194=1,F241,0)</f>
        <v>2</v>
      </c>
      <c r="G242" s="240">
        <f>IF(G194=1,F241,0)</f>
        <v>0</v>
      </c>
      <c r="H242" s="235">
        <f>IF(H194=1,I241,0)</f>
        <v>0</v>
      </c>
      <c r="J242" s="240">
        <f>IF(J194=1,I241,0)</f>
        <v>0</v>
      </c>
      <c r="K242" s="235">
        <f>IF(K194=1,L241,0)</f>
        <v>3</v>
      </c>
      <c r="M242" s="240">
        <f>IF(M194=1,L241,0)</f>
        <v>0</v>
      </c>
      <c r="N242" s="235">
        <f>IF(N194=1,O241,0)</f>
        <v>0</v>
      </c>
      <c r="P242" s="240">
        <f>IF(P194=1,O241,0)</f>
        <v>0</v>
      </c>
      <c r="Q242" s="235">
        <f>IF(Q194=1,R241,0)</f>
        <v>3</v>
      </c>
      <c r="S242" s="240">
        <f>IF(S194=1,R241,0)</f>
        <v>0</v>
      </c>
      <c r="T242" s="235">
        <f>IF(T194=1,U241,0)</f>
        <v>0</v>
      </c>
      <c r="V242" s="240">
        <f>IF(V194=1,U241,0)</f>
        <v>0</v>
      </c>
      <c r="W242" s="235">
        <f>IF(W194=1,X241,0)</f>
        <v>0</v>
      </c>
      <c r="Y242" s="240">
        <f>IF(Y194=1,X241,0)</f>
        <v>0</v>
      </c>
      <c r="Z242" s="235">
        <f>IF(Z194=1,AA241,0)</f>
        <v>0</v>
      </c>
      <c r="AB242" s="240">
        <f>IF(AB194=1,AA241,0)</f>
        <v>0</v>
      </c>
      <c r="AC242" s="235">
        <f>IF(AC194=1,AD241,0)</f>
        <v>0</v>
      </c>
      <c r="AE242" s="240">
        <f>IF(AE194=1,AD241,0)</f>
        <v>0</v>
      </c>
      <c r="AF242" s="235">
        <f>SUM(B242:AE242)</f>
        <v>8</v>
      </c>
      <c r="AW242" s="238"/>
    </row>
    <row r="243" spans="1:54" s="235" customFormat="1" ht="12.75" hidden="1" customHeight="1" x14ac:dyDescent="0.2">
      <c r="A243" s="235" t="s">
        <v>77</v>
      </c>
      <c r="B243" s="235">
        <f>IF(B194=2,C241,0)</f>
        <v>2</v>
      </c>
      <c r="D243" s="240">
        <f>IF(D194=2,C241,0)</f>
        <v>0</v>
      </c>
      <c r="E243" s="235">
        <f>IF(E194=2,F241,0)</f>
        <v>0</v>
      </c>
      <c r="G243" s="240">
        <f>IF(G194=2,F241,0)</f>
        <v>0</v>
      </c>
      <c r="H243" s="235">
        <f>IF(H194=2,I241,0)</f>
        <v>2</v>
      </c>
      <c r="J243" s="240">
        <f>IF(J194=2,I241,0)</f>
        <v>0</v>
      </c>
      <c r="K243" s="235">
        <f>IF(K194=2,L241,0)</f>
        <v>0</v>
      </c>
      <c r="M243" s="240">
        <f>IF(M194=2,L241,0)</f>
        <v>0</v>
      </c>
      <c r="N243" s="235">
        <f>IF(N194=2,O241,0)</f>
        <v>0</v>
      </c>
      <c r="P243" s="240">
        <f>IF(P194=2,O241,0)</f>
        <v>0</v>
      </c>
      <c r="Q243" s="235">
        <f>IF(Q194=2,R241,0)</f>
        <v>0</v>
      </c>
      <c r="S243" s="240">
        <f>IF(S194=2,R241,0)</f>
        <v>3</v>
      </c>
      <c r="T243" s="235">
        <f>IF(T194=2,U241,0)</f>
        <v>0</v>
      </c>
      <c r="V243" s="240">
        <f>IF(V194=2,U241,0)</f>
        <v>0</v>
      </c>
      <c r="W243" s="235">
        <f>IF(W194=2,X241,0)</f>
        <v>0</v>
      </c>
      <c r="Y243" s="240">
        <f>IF(Y194=2,X241,0)</f>
        <v>0</v>
      </c>
      <c r="Z243" s="235">
        <f>IF(Z194=2,AA241,0)</f>
        <v>0</v>
      </c>
      <c r="AB243" s="240">
        <f>IF(AB194=2,AA241,0)</f>
        <v>0</v>
      </c>
      <c r="AC243" s="235">
        <f>IF(AC194=2,AD241,0)</f>
        <v>0</v>
      </c>
      <c r="AE243" s="240">
        <f>IF(AE194=2,AD241,0)</f>
        <v>0</v>
      </c>
      <c r="AF243" s="235">
        <f>SUM(B243:AE243)</f>
        <v>7</v>
      </c>
      <c r="AW243" s="238"/>
    </row>
    <row r="244" spans="1:54" s="235" customFormat="1" ht="12.75" hidden="1" customHeight="1" x14ac:dyDescent="0.2">
      <c r="A244" s="235" t="s">
        <v>78</v>
      </c>
      <c r="B244" s="235">
        <f>IF(B194=3,C241,0)</f>
        <v>0</v>
      </c>
      <c r="D244" s="240">
        <f>IF(D194=3,C241,0)</f>
        <v>2</v>
      </c>
      <c r="E244" s="235">
        <f>IF(E194=3,F241,0)</f>
        <v>0</v>
      </c>
      <c r="G244" s="240">
        <f>IF(G194=3,F241,0)</f>
        <v>0</v>
      </c>
      <c r="H244" s="235">
        <f>IF(H194=3,I241,0)</f>
        <v>0</v>
      </c>
      <c r="J244" s="240">
        <f>IF(J194=3,I241,0)</f>
        <v>0</v>
      </c>
      <c r="K244" s="235">
        <f>IF(K194=3,L241,0)</f>
        <v>0</v>
      </c>
      <c r="M244" s="240">
        <f>IF(M194=3,L241,0)</f>
        <v>3</v>
      </c>
      <c r="N244" s="235">
        <f>IF(N194=3,O241,0)</f>
        <v>2</v>
      </c>
      <c r="P244" s="240">
        <f>IF(P194=3,O241,0)</f>
        <v>0</v>
      </c>
      <c r="Q244" s="235">
        <f>IF(Q194=3,R241,0)</f>
        <v>0</v>
      </c>
      <c r="S244" s="240">
        <f>IF(S194=3,R241,0)</f>
        <v>0</v>
      </c>
      <c r="T244" s="235">
        <f>IF(T194=3,U241,0)</f>
        <v>0</v>
      </c>
      <c r="V244" s="240">
        <f>IF(V194=3,U241,0)</f>
        <v>0</v>
      </c>
      <c r="W244" s="235">
        <f>IF(W194=3,X241,0)</f>
        <v>0</v>
      </c>
      <c r="Y244" s="240">
        <f>IF(Y194=3,X241,0)</f>
        <v>0</v>
      </c>
      <c r="Z244" s="235">
        <f>IF(Z194=3,AA241,0)</f>
        <v>0</v>
      </c>
      <c r="AB244" s="240">
        <f>IF(AB194=3,AA241,0)</f>
        <v>0</v>
      </c>
      <c r="AC244" s="235">
        <f>IF(AC194=3,AD241,0)</f>
        <v>0</v>
      </c>
      <c r="AE244" s="240">
        <f>IF(AE194=3,AD241,0)</f>
        <v>0</v>
      </c>
      <c r="AF244" s="235">
        <f>SUM(B244:AE244)</f>
        <v>7</v>
      </c>
      <c r="AW244" s="238"/>
    </row>
    <row r="245" spans="1:54" s="235" customFormat="1" ht="12.75" hidden="1" customHeight="1" x14ac:dyDescent="0.2">
      <c r="A245" s="235" t="s">
        <v>79</v>
      </c>
      <c r="B245" s="235">
        <f>IF(B194=4,C241,0)</f>
        <v>0</v>
      </c>
      <c r="D245" s="240">
        <f>IF(D194=4,C241,0)</f>
        <v>0</v>
      </c>
      <c r="E245" s="235">
        <f>IF(E194=4,F241,0)</f>
        <v>0</v>
      </c>
      <c r="G245" s="240">
        <f>IF(G194=4,F241,0)</f>
        <v>2</v>
      </c>
      <c r="H245" s="235">
        <f>IF(H194=4,I241,0)</f>
        <v>0</v>
      </c>
      <c r="J245" s="240">
        <f>IF(J194=4,I241,0)</f>
        <v>2</v>
      </c>
      <c r="K245" s="235">
        <f>IF(K194=4,L241,0)</f>
        <v>0</v>
      </c>
      <c r="M245" s="240">
        <f>IF(M194=4,L241,0)</f>
        <v>0</v>
      </c>
      <c r="N245" s="235">
        <f>IF(N194=4,O241,0)</f>
        <v>0</v>
      </c>
      <c r="P245" s="240">
        <f>IF(P194=4,O241,0)</f>
        <v>2</v>
      </c>
      <c r="Q245" s="235">
        <f>IF(Q194=4,R241,0)</f>
        <v>0</v>
      </c>
      <c r="S245" s="240">
        <f>IF(S194=4,R241,0)</f>
        <v>0</v>
      </c>
      <c r="T245" s="235">
        <f>IF(T194=4,U241,0)</f>
        <v>0</v>
      </c>
      <c r="V245" s="240">
        <f>IF(V194=4,U241,0)</f>
        <v>0</v>
      </c>
      <c r="W245" s="235">
        <f>IF(W194=4,X241,0)</f>
        <v>0</v>
      </c>
      <c r="Y245" s="240">
        <f>IF(Y194=4,X241,0)</f>
        <v>0</v>
      </c>
      <c r="Z245" s="235">
        <f>IF(Z194=4,AA241,0)</f>
        <v>0</v>
      </c>
      <c r="AB245" s="240">
        <f>IF(AB194=4,AA241,0)</f>
        <v>0</v>
      </c>
      <c r="AC245" s="235">
        <f>IF(AC194=4,AD241,0)</f>
        <v>0</v>
      </c>
      <c r="AE245" s="240">
        <f>IF(AE194=4,AD241,0)</f>
        <v>0</v>
      </c>
      <c r="AF245" s="235">
        <f>SUM(B245:AE245)</f>
        <v>6</v>
      </c>
      <c r="AW245" s="238"/>
    </row>
    <row r="246" spans="1:54" s="235" customFormat="1" ht="12.75" hidden="1" customHeight="1" x14ac:dyDescent="0.2">
      <c r="A246" s="235" t="s">
        <v>80</v>
      </c>
      <c r="B246" s="235">
        <f>IF(B194=5,C241,0)</f>
        <v>0</v>
      </c>
      <c r="D246" s="240">
        <f>IF(D194=5,C241,0)</f>
        <v>0</v>
      </c>
      <c r="E246" s="235">
        <f>IF(E194=5,F241,0)</f>
        <v>0</v>
      </c>
      <c r="G246" s="240">
        <f>IF(G194=5,F241,0)</f>
        <v>0</v>
      </c>
      <c r="H246" s="235">
        <f>IF(H194=5,I241,0)</f>
        <v>0</v>
      </c>
      <c r="J246" s="240">
        <f>IF(J194=5,I241,0)</f>
        <v>0</v>
      </c>
      <c r="K246" s="235">
        <f>IF(K194=5,L241,0)</f>
        <v>0</v>
      </c>
      <c r="M246" s="240">
        <f>IF(M194=5,L241,0)</f>
        <v>0</v>
      </c>
      <c r="N246" s="235">
        <f>IF(N194=5,O241,0)</f>
        <v>0</v>
      </c>
      <c r="P246" s="240">
        <f>IF(P194=5,O241,0)</f>
        <v>0</v>
      </c>
      <c r="Q246" s="235">
        <f>IF(Q194=5,R241,0)</f>
        <v>0</v>
      </c>
      <c r="S246" s="240">
        <f>IF(S194=5,R241,0)</f>
        <v>0</v>
      </c>
      <c r="T246" s="235">
        <f>IF(T194=5,U241,0)</f>
        <v>0</v>
      </c>
      <c r="V246" s="240">
        <f>IF(V194=5,U241,0)</f>
        <v>0</v>
      </c>
      <c r="W246" s="235">
        <f>IF(W194=5,X241,0)</f>
        <v>0</v>
      </c>
      <c r="Y246" s="240">
        <f>IF(Y194=5,X241,0)</f>
        <v>0</v>
      </c>
      <c r="Z246" s="235">
        <f>IF(Z194=5,AA241,0)</f>
        <v>0</v>
      </c>
      <c r="AB246" s="240">
        <f>IF(AB194=5,AA241,0)</f>
        <v>0</v>
      </c>
      <c r="AC246" s="235">
        <f>IF(AC194=5,AD241,0)</f>
        <v>0</v>
      </c>
      <c r="AE246" s="240">
        <f>IF(AE194=5,AD241,0)</f>
        <v>0</v>
      </c>
      <c r="AF246" s="235">
        <f>SUM(B246:AE246)</f>
        <v>0</v>
      </c>
      <c r="AW246" s="238"/>
    </row>
    <row r="247" spans="1:54" hidden="1" x14ac:dyDescent="0.2">
      <c r="A247" s="242"/>
      <c r="B247" s="242"/>
      <c r="C247" s="242"/>
      <c r="D247" s="242"/>
      <c r="E247" s="242"/>
      <c r="F247" s="242"/>
      <c r="G247" s="242"/>
      <c r="H247" s="242"/>
      <c r="I247" s="242"/>
      <c r="J247" s="242"/>
      <c r="K247" s="242"/>
      <c r="L247" s="242"/>
      <c r="M247" s="242"/>
      <c r="N247" s="242"/>
      <c r="O247" s="242"/>
      <c r="P247" s="242"/>
      <c r="Q247" s="242"/>
      <c r="R247" s="242"/>
      <c r="S247" s="242"/>
      <c r="T247" s="242"/>
      <c r="U247" s="242"/>
      <c r="V247" s="242"/>
      <c r="W247" s="242"/>
      <c r="X247" s="242"/>
      <c r="Y247" s="242"/>
      <c r="Z247" s="242"/>
      <c r="AA247" s="242"/>
      <c r="AB247" s="242"/>
      <c r="AC247" s="242"/>
      <c r="AD247" s="242"/>
      <c r="AE247" s="242"/>
      <c r="AF247" s="242"/>
      <c r="AG247" s="242"/>
      <c r="AH247" s="242"/>
      <c r="AI247" s="242"/>
      <c r="AJ247" s="242"/>
      <c r="AK247" s="242"/>
      <c r="AL247" s="242"/>
      <c r="AM247" s="242"/>
      <c r="AN247" s="243"/>
      <c r="AO247" s="243"/>
      <c r="AP247" s="243"/>
      <c r="AQ247" s="243"/>
      <c r="AR247" s="241"/>
      <c r="AS247" s="241"/>
      <c r="AT247" s="241"/>
      <c r="AU247" s="241"/>
      <c r="AV247" s="241"/>
      <c r="BB247" s="234"/>
    </row>
    <row r="248" spans="1:54" s="241" customFormat="1" hidden="1" x14ac:dyDescent="0.2">
      <c r="A248" s="244"/>
      <c r="B248" s="244"/>
      <c r="C248" s="244" t="s">
        <v>87</v>
      </c>
      <c r="D248" s="244">
        <v>1</v>
      </c>
      <c r="E248" s="244"/>
      <c r="F248" s="244"/>
      <c r="G248" s="244">
        <v>2</v>
      </c>
      <c r="H248" s="244"/>
      <c r="I248" s="244"/>
      <c r="J248" s="244">
        <v>3</v>
      </c>
      <c r="K248" s="244"/>
      <c r="L248" s="244"/>
      <c r="M248" s="244">
        <v>4</v>
      </c>
      <c r="N248" s="244"/>
      <c r="O248" s="244"/>
      <c r="P248" s="244">
        <v>5</v>
      </c>
      <c r="Q248" s="244"/>
      <c r="R248" s="244"/>
      <c r="S248" s="244">
        <v>6</v>
      </c>
      <c r="T248" s="244"/>
      <c r="U248" s="244"/>
      <c r="V248" s="244">
        <v>7</v>
      </c>
      <c r="W248" s="244"/>
      <c r="X248" s="244"/>
      <c r="Y248" s="244">
        <v>8</v>
      </c>
      <c r="Z248" s="244"/>
      <c r="AA248" s="244"/>
      <c r="AB248" s="244">
        <v>9</v>
      </c>
      <c r="AC248" s="244"/>
      <c r="AD248" s="244"/>
      <c r="AE248" s="244">
        <v>10</v>
      </c>
      <c r="AF248" s="188"/>
      <c r="AG248" s="244"/>
      <c r="AI248" s="245"/>
      <c r="AJ248" s="188"/>
      <c r="AK248" s="188"/>
      <c r="AL248" s="188"/>
      <c r="AM248" s="188"/>
      <c r="AN248" s="188"/>
      <c r="AO248" s="188"/>
      <c r="AT248" s="245" t="s">
        <v>88</v>
      </c>
      <c r="AW248" s="246"/>
      <c r="BB248" s="246"/>
    </row>
    <row r="249" spans="1:54" s="241" customFormat="1" hidden="1" x14ac:dyDescent="0.2">
      <c r="A249" s="247">
        <v>1</v>
      </c>
      <c r="B249" s="247" t="str">
        <f>E178</f>
        <v>Crossfire 12</v>
      </c>
      <c r="C249" s="247">
        <f>VLOOKUP(B249,AU$3:BB$33,3,FALSE)</f>
        <v>1482.7085948011659</v>
      </c>
      <c r="D249" s="247">
        <f>IF(B242,B257,IF(D242,D257,C249))</f>
        <v>1482.7085948011659</v>
      </c>
      <c r="E249" s="247"/>
      <c r="F249" s="247"/>
      <c r="G249" s="247">
        <f>IF(E242,E257,IF(G242,G257,D249))</f>
        <v>1504.6687620250332</v>
      </c>
      <c r="H249" s="247"/>
      <c r="I249" s="247"/>
      <c r="J249" s="247">
        <f>IF(H242,H257,IF(J242,J257,G249))</f>
        <v>1504.6687620250332</v>
      </c>
      <c r="K249" s="247"/>
      <c r="L249" s="247"/>
      <c r="M249" s="247">
        <f>IF(K242,K257,IF(M242,M257,J249))</f>
        <v>1506.5821694296055</v>
      </c>
      <c r="N249" s="247"/>
      <c r="O249" s="247"/>
      <c r="P249" s="247">
        <f>IF(N242,N257,IF(P242,P257,M249))</f>
        <v>1506.5821694296055</v>
      </c>
      <c r="Q249" s="247"/>
      <c r="R249" s="247"/>
      <c r="S249" s="247">
        <f>IF(Q242,Q257,IF(S242,S257,P249))</f>
        <v>1522.6067085520276</v>
      </c>
      <c r="T249" s="247"/>
      <c r="U249" s="247"/>
      <c r="V249" s="247">
        <f>IF(T242,T257,IF(V242,V257,S249))</f>
        <v>1522.6067085520276</v>
      </c>
      <c r="W249" s="247"/>
      <c r="X249" s="247"/>
      <c r="Y249" s="247">
        <f>IF(W242,W257,IF(Y242,Y257,V249))</f>
        <v>1522.6067085520276</v>
      </c>
      <c r="Z249" s="247"/>
      <c r="AA249" s="247"/>
      <c r="AB249" s="247">
        <f>IF(Z242,Z257,IF(AB242,AB257,Y249))</f>
        <v>1522.6067085520276</v>
      </c>
      <c r="AC249" s="247"/>
      <c r="AD249" s="247"/>
      <c r="AE249" s="247">
        <f>IF(AC242,AC257,IF(AE242,AE257,AB249))</f>
        <v>1522.6067085520276</v>
      </c>
      <c r="AF249" s="188"/>
      <c r="AG249" s="188"/>
      <c r="AJ249" s="188"/>
      <c r="AK249" s="188"/>
      <c r="AL249" s="188"/>
      <c r="AM249" s="188"/>
      <c r="AN249" s="188"/>
      <c r="AO249" s="188"/>
      <c r="AT249" s="241" t="str">
        <f>B249</f>
        <v>Crossfire 12</v>
      </c>
      <c r="AU249" s="241">
        <f>AE249</f>
        <v>1522.6067085520276</v>
      </c>
      <c r="AW249" s="246"/>
      <c r="BB249" s="246"/>
    </row>
    <row r="250" spans="1:54" s="241" customFormat="1" hidden="1" x14ac:dyDescent="0.2">
      <c r="A250" s="247">
        <v>2</v>
      </c>
      <c r="B250" s="247" t="str">
        <f>E180</f>
        <v>Fort Mill VBC 12 Purple</v>
      </c>
      <c r="C250" s="247">
        <f>VLOOKUP(B250,AU$3:BB$33,3,FALSE)</f>
        <v>1457.5420336558111</v>
      </c>
      <c r="D250" s="247">
        <f>IF(B243,B257,IF(D243,D257,C250))</f>
        <v>1486.9186379086273</v>
      </c>
      <c r="E250" s="247"/>
      <c r="F250" s="247"/>
      <c r="G250" s="247">
        <f>IF(E243,E257,IF(G243,G257,D250))</f>
        <v>1486.9186379086273</v>
      </c>
      <c r="H250" s="247"/>
      <c r="I250" s="247"/>
      <c r="J250" s="247">
        <f>IF(H243,H257,IF(J243,J257,G250))</f>
        <v>1506.759789536057</v>
      </c>
      <c r="K250" s="247"/>
      <c r="L250" s="247"/>
      <c r="M250" s="247">
        <f>IF(K243,K257,IF(M243,M257,J250))</f>
        <v>1506.759789536057</v>
      </c>
      <c r="N250" s="247"/>
      <c r="O250" s="247"/>
      <c r="P250" s="247">
        <f>IF(N243,N257,IF(P243,P257,M250))</f>
        <v>1506.759789536057</v>
      </c>
      <c r="Q250" s="247"/>
      <c r="R250" s="247"/>
      <c r="S250" s="247">
        <f>IF(Q243,Q257,IF(S243,S257,P250))</f>
        <v>1490.735250413635</v>
      </c>
      <c r="T250" s="247"/>
      <c r="U250" s="247"/>
      <c r="V250" s="247">
        <f>IF(T243,T257,IF(V243,V257,S250))</f>
        <v>1490.735250413635</v>
      </c>
      <c r="W250" s="247"/>
      <c r="X250" s="247"/>
      <c r="Y250" s="247">
        <f>IF(W243,W257,IF(Y243,Y257,V250))</f>
        <v>1490.735250413635</v>
      </c>
      <c r="Z250" s="247"/>
      <c r="AA250" s="247"/>
      <c r="AB250" s="247">
        <f>IF(Z243,Z257,IF(AB243,AB257,Y250))</f>
        <v>1490.735250413635</v>
      </c>
      <c r="AC250" s="247"/>
      <c r="AD250" s="247"/>
      <c r="AE250" s="247">
        <f>IF(AC243,AC257,IF(AE243,AE257,AB250))</f>
        <v>1490.735250413635</v>
      </c>
      <c r="AF250" s="188"/>
      <c r="AG250" s="188"/>
      <c r="AJ250" s="188"/>
      <c r="AL250" s="188"/>
      <c r="AM250" s="188"/>
      <c r="AN250" s="188"/>
      <c r="AO250" s="188"/>
      <c r="AT250" s="241" t="str">
        <f>B250</f>
        <v>Fort Mill VBC 12 Purple</v>
      </c>
      <c r="AU250" s="241">
        <f>AE250</f>
        <v>1490.735250413635</v>
      </c>
      <c r="AW250" s="246"/>
      <c r="BB250" s="246"/>
    </row>
    <row r="251" spans="1:54" s="241" customFormat="1" hidden="1" x14ac:dyDescent="0.2">
      <c r="A251" s="247">
        <v>3</v>
      </c>
      <c r="B251" s="247" t="str">
        <f>E182</f>
        <v>CSRA Heat 12 Gold</v>
      </c>
      <c r="C251" s="247">
        <f>VLOOKUP(B251,AU$3:BB$33,3,FALSE)</f>
        <v>1428.9948068214296</v>
      </c>
      <c r="D251" s="247">
        <f>IF(B244,B257,IF(D244,D257,C251))</f>
        <v>1399.6182025686135</v>
      </c>
      <c r="E251" s="247"/>
      <c r="F251" s="247"/>
      <c r="G251" s="247">
        <f>IF(E244,E257,IF(G244,G257,D251))</f>
        <v>1399.6182025686135</v>
      </c>
      <c r="H251" s="247"/>
      <c r="I251" s="247"/>
      <c r="J251" s="247">
        <f>IF(H244,H257,IF(J244,J257,G251))</f>
        <v>1399.6182025686135</v>
      </c>
      <c r="K251" s="247"/>
      <c r="L251" s="247"/>
      <c r="M251" s="247">
        <f>IF(K244,K257,IF(M244,M257,J251))</f>
        <v>1397.7047951640411</v>
      </c>
      <c r="N251" s="247"/>
      <c r="O251" s="247"/>
      <c r="P251" s="247">
        <f>IF(N244,N257,IF(P244,P257,M251))</f>
        <v>1423.3781162849898</v>
      </c>
      <c r="Q251" s="247"/>
      <c r="R251" s="247"/>
      <c r="S251" s="247">
        <f>IF(Q244,Q257,IF(S244,S257,P251))</f>
        <v>1423.3781162849898</v>
      </c>
      <c r="T251" s="247"/>
      <c r="U251" s="247"/>
      <c r="V251" s="247">
        <f>IF(T244,T257,IF(V244,V257,S251))</f>
        <v>1423.3781162849898</v>
      </c>
      <c r="W251" s="247"/>
      <c r="X251" s="247"/>
      <c r="Y251" s="247">
        <f>IF(W244,W257,IF(Y244,Y257,V251))</f>
        <v>1423.3781162849898</v>
      </c>
      <c r="Z251" s="247"/>
      <c r="AA251" s="247"/>
      <c r="AB251" s="247">
        <f>IF(Z244,Z257,IF(AB244,AB257,Y251))</f>
        <v>1423.3781162849898</v>
      </c>
      <c r="AC251" s="247"/>
      <c r="AD251" s="247"/>
      <c r="AE251" s="247">
        <f>IF(AC244,AC257,IF(AE244,AE257,AB251))</f>
        <v>1423.3781162849898</v>
      </c>
      <c r="AF251" s="188"/>
      <c r="AG251" s="188"/>
      <c r="AJ251" s="188"/>
      <c r="AL251" s="188"/>
      <c r="AM251" s="188"/>
      <c r="AN251" s="188"/>
      <c r="AO251" s="188"/>
      <c r="AT251" s="241" t="str">
        <f>B251</f>
        <v>CSRA Heat 12 Gold</v>
      </c>
      <c r="AU251" s="241">
        <f>AE251</f>
        <v>1423.3781162849898</v>
      </c>
      <c r="AW251" s="246"/>
      <c r="BB251" s="246"/>
    </row>
    <row r="252" spans="1:54" s="241" customFormat="1" hidden="1" x14ac:dyDescent="0.2">
      <c r="A252" s="247">
        <v>4</v>
      </c>
      <c r="B252" s="247" t="str">
        <f>E184</f>
        <v>C1VB 11 State Greenville</v>
      </c>
      <c r="C252" s="247">
        <f>VLOOKUP(B252,AU$3:BB$33,3,FALSE)</f>
        <v>1369.8984600179906</v>
      </c>
      <c r="D252" s="247">
        <f>IF(B245,B257,IF(D245,D257,C252))</f>
        <v>1369.8984600179906</v>
      </c>
      <c r="E252" s="247"/>
      <c r="F252" s="247"/>
      <c r="G252" s="247">
        <f>IF(E245,E257,IF(G245,G257,D252))</f>
        <v>1347.9382927941233</v>
      </c>
      <c r="H252" s="247"/>
      <c r="I252" s="247"/>
      <c r="J252" s="247">
        <f>IF(H245,H257,IF(J245,J257,G252))</f>
        <v>1328.0971411666935</v>
      </c>
      <c r="K252" s="247"/>
      <c r="L252" s="247"/>
      <c r="M252" s="247">
        <f>IF(K245,K257,IF(M245,M257,J252))</f>
        <v>1328.0971411666935</v>
      </c>
      <c r="N252" s="247"/>
      <c r="O252" s="247"/>
      <c r="P252" s="247">
        <f>IF(N245,N257,IF(P245,P257,M252))</f>
        <v>1302.4238200457448</v>
      </c>
      <c r="Q252" s="247"/>
      <c r="R252" s="247"/>
      <c r="S252" s="247">
        <f>IF(Q245,Q257,IF(S245,S257,P252))</f>
        <v>1302.4238200457448</v>
      </c>
      <c r="T252" s="247"/>
      <c r="U252" s="247"/>
      <c r="V252" s="247">
        <f>IF(T245,T257,IF(V245,V257,S252))</f>
        <v>1302.4238200457448</v>
      </c>
      <c r="W252" s="247"/>
      <c r="X252" s="247"/>
      <c r="Y252" s="247">
        <f>IF(W245,W257,IF(Y245,Y257,V252))</f>
        <v>1302.4238200457448</v>
      </c>
      <c r="Z252" s="247"/>
      <c r="AA252" s="247"/>
      <c r="AB252" s="247">
        <f>IF(Z245,Z257,IF(AB245,AB257,Y252))</f>
        <v>1302.4238200457448</v>
      </c>
      <c r="AC252" s="247"/>
      <c r="AD252" s="247"/>
      <c r="AE252" s="247">
        <f>IF(AC245,AC257,IF(AE245,AE257,AB252))</f>
        <v>1302.4238200457448</v>
      </c>
      <c r="AF252" s="188"/>
      <c r="AG252" s="188"/>
      <c r="AJ252" s="188"/>
      <c r="AL252" s="188"/>
      <c r="AM252" s="188"/>
      <c r="AN252" s="188"/>
      <c r="AO252" s="188"/>
      <c r="AT252" s="241" t="str">
        <f>B252</f>
        <v>C1VB 11 State Greenville</v>
      </c>
      <c r="AU252" s="241">
        <f>AE252</f>
        <v>1302.4238200457448</v>
      </c>
      <c r="AW252" s="246"/>
      <c r="BB252" s="246"/>
    </row>
    <row r="253" spans="1:54" s="241" customFormat="1" hidden="1" x14ac:dyDescent="0.2">
      <c r="A253" s="247">
        <v>5</v>
      </c>
      <c r="B253" s="247">
        <f>E186</f>
        <v>0</v>
      </c>
      <c r="C253" s="247" t="e">
        <f>VLOOKUP(B253,AU$3:BB$33,3,FALSE)</f>
        <v>#N/A</v>
      </c>
      <c r="D253" s="247" t="e">
        <f>IF(B246,B257,IF(D246,D257,C253))</f>
        <v>#N/A</v>
      </c>
      <c r="E253" s="247"/>
      <c r="F253" s="247"/>
      <c r="G253" s="247" t="e">
        <f>IF(E246,E257,IF(G246,G257,D253))</f>
        <v>#N/A</v>
      </c>
      <c r="H253" s="247"/>
      <c r="I253" s="247"/>
      <c r="J253" s="247" t="e">
        <f>IF(H246,H257,IF(J246,J257,G253))</f>
        <v>#N/A</v>
      </c>
      <c r="K253" s="247"/>
      <c r="L253" s="247"/>
      <c r="M253" s="247" t="e">
        <f>IF(K246,K257,IF(M246,M257,J253))</f>
        <v>#N/A</v>
      </c>
      <c r="N253" s="247"/>
      <c r="O253" s="247"/>
      <c r="P253" s="247" t="e">
        <f>IF(N246,N257,IF(P246,P257,M253))</f>
        <v>#N/A</v>
      </c>
      <c r="Q253" s="247"/>
      <c r="R253" s="247"/>
      <c r="S253" s="247" t="e">
        <f>IF(Q246,Q257,IF(S246,S257,P253))</f>
        <v>#N/A</v>
      </c>
      <c r="T253" s="247"/>
      <c r="U253" s="247"/>
      <c r="V253" s="247" t="e">
        <f>IF(T246,T257,IF(V246,V257,S253))</f>
        <v>#N/A</v>
      </c>
      <c r="W253" s="247"/>
      <c r="X253" s="247"/>
      <c r="Y253" s="247" t="e">
        <f>IF(W246,W257,IF(Y246,Y257,V253))</f>
        <v>#N/A</v>
      </c>
      <c r="Z253" s="247"/>
      <c r="AA253" s="247"/>
      <c r="AB253" s="247" t="e">
        <f>IF(Z246,Z257,IF(AB246,AB257,Y253))</f>
        <v>#N/A</v>
      </c>
      <c r="AC253" s="247"/>
      <c r="AD253" s="247"/>
      <c r="AE253" s="247" t="e">
        <f>IF(AC246,AC257,IF(AE246,AE257,AB253))</f>
        <v>#N/A</v>
      </c>
      <c r="AF253" s="188"/>
      <c r="AG253" s="188"/>
      <c r="AJ253" s="188"/>
      <c r="AL253" s="188"/>
      <c r="AM253" s="188"/>
      <c r="AN253" s="188"/>
      <c r="AO253" s="188"/>
      <c r="AT253" s="241">
        <f>B253</f>
        <v>0</v>
      </c>
      <c r="AU253" s="241" t="e">
        <f>AE253</f>
        <v>#N/A</v>
      </c>
      <c r="AW253" s="246"/>
      <c r="BB253" s="246"/>
    </row>
    <row r="254" spans="1:54" s="241" customFormat="1" hidden="1" x14ac:dyDescent="0.2">
      <c r="A254" s="247"/>
      <c r="B254" s="247"/>
      <c r="C254" s="247"/>
      <c r="D254" s="247"/>
      <c r="E254" s="247"/>
      <c r="F254" s="247"/>
      <c r="G254" s="247"/>
      <c r="H254" s="247"/>
      <c r="I254" s="247"/>
      <c r="J254" s="247"/>
      <c r="K254" s="247"/>
      <c r="L254" s="247"/>
      <c r="M254" s="247"/>
      <c r="N254" s="247"/>
      <c r="O254" s="247"/>
      <c r="P254" s="247"/>
      <c r="Q254" s="247"/>
      <c r="R254" s="247"/>
      <c r="S254" s="247"/>
      <c r="T254" s="247"/>
      <c r="U254" s="247"/>
      <c r="V254" s="247"/>
      <c r="W254" s="247"/>
      <c r="X254" s="247"/>
      <c r="Y254" s="247"/>
      <c r="Z254" s="247"/>
      <c r="AA254" s="247"/>
      <c r="AB254" s="247"/>
      <c r="AC254" s="247"/>
      <c r="AD254" s="247"/>
      <c r="AE254" s="247"/>
      <c r="AF254" s="188"/>
      <c r="AG254" s="188"/>
      <c r="AJ254" s="188"/>
      <c r="AL254" s="188"/>
      <c r="AM254" s="188"/>
      <c r="AN254" s="188"/>
      <c r="AO254" s="188"/>
      <c r="AW254" s="246"/>
      <c r="BB254" s="246"/>
    </row>
    <row r="255" spans="1:54" s="241" customFormat="1" hidden="1" x14ac:dyDescent="0.2">
      <c r="A255" s="247" t="s">
        <v>89</v>
      </c>
      <c r="B255" s="247">
        <f>VLOOKUP(B194,$A249:$AE253,3,FALSE)</f>
        <v>1457.5420336558111</v>
      </c>
      <c r="C255" s="247">
        <v>1</v>
      </c>
      <c r="D255" s="247">
        <f>VLOOKUP(D194,$A249:$AE253,3,FALSE)</f>
        <v>1428.9948068214296</v>
      </c>
      <c r="E255" s="247">
        <f>VLOOKUP(E194,$A249:$AE253,4,FALSE)</f>
        <v>1482.7085948011659</v>
      </c>
      <c r="F255" s="247">
        <v>2</v>
      </c>
      <c r="G255" s="247">
        <f>VLOOKUP(G194,$A249:$AE253,4,FALSE)</f>
        <v>1369.8984600179906</v>
      </c>
      <c r="H255" s="247">
        <f>VLOOKUP(H194,$A249:$AE253,7,FALSE)</f>
        <v>1486.9186379086273</v>
      </c>
      <c r="I255" s="247">
        <v>3</v>
      </c>
      <c r="J255" s="247">
        <f>VLOOKUP(J194,$A249:$AE253,7,FALSE)</f>
        <v>1347.9382927941233</v>
      </c>
      <c r="K255" s="247">
        <f>VLOOKUP(K194,$A249:$AE253,10,FALSE)</f>
        <v>1504.6687620250332</v>
      </c>
      <c r="L255" s="247">
        <v>4</v>
      </c>
      <c r="M255" s="247">
        <f>VLOOKUP(M194,$A249:$AE253,10,FALSE)</f>
        <v>1399.6182025686135</v>
      </c>
      <c r="N255" s="247">
        <f>VLOOKUP(N194,$A249:$AE253,13,FALSE)</f>
        <v>1397.7047951640411</v>
      </c>
      <c r="O255" s="247">
        <v>5</v>
      </c>
      <c r="P255" s="247">
        <f>VLOOKUP(P194,$A249:$AE253,13,FALSE)</f>
        <v>1328.0971411666935</v>
      </c>
      <c r="Q255" s="247">
        <f>VLOOKUP(Q194,$A249:$AE253,16,FALSE)</f>
        <v>1506.5821694296055</v>
      </c>
      <c r="R255" s="247">
        <v>6</v>
      </c>
      <c r="S255" s="247">
        <f>VLOOKUP(S194,$A249:$AE253,16,FALSE)</f>
        <v>1506.759789536057</v>
      </c>
      <c r="T255" s="247" t="e">
        <f>VLOOKUP(T194,$A249:$AE253,19,FALSE)</f>
        <v>#N/A</v>
      </c>
      <c r="U255" s="247">
        <v>7</v>
      </c>
      <c r="V255" s="247" t="e">
        <f>VLOOKUP(V194,$A249:$AE253,19,FALSE)</f>
        <v>#N/A</v>
      </c>
      <c r="W255" s="247" t="e">
        <f>VLOOKUP(W194,$A249:$AE253,22,FALSE)</f>
        <v>#N/A</v>
      </c>
      <c r="X255" s="247">
        <v>8</v>
      </c>
      <c r="Y255" s="247" t="e">
        <f>VLOOKUP(Y194,$A249:$AE253,22,FALSE)</f>
        <v>#N/A</v>
      </c>
      <c r="Z255" s="247" t="e">
        <f>VLOOKUP(Z194,$A249:$AE253,25,FALSE)</f>
        <v>#N/A</v>
      </c>
      <c r="AA255" s="247">
        <v>9</v>
      </c>
      <c r="AB255" s="247" t="e">
        <f>VLOOKUP(AB194,$A249:$AE253,25,FALSE)</f>
        <v>#N/A</v>
      </c>
      <c r="AC255" s="247" t="e">
        <f>VLOOKUP(AC194,$A249:$AE253,28,FALSE)</f>
        <v>#N/A</v>
      </c>
      <c r="AD255" s="247">
        <v>10</v>
      </c>
      <c r="AE255" s="247" t="e">
        <f>VLOOKUP(AE194,$A249:$AE253,28,FALSE)</f>
        <v>#N/A</v>
      </c>
      <c r="AF255" s="188"/>
      <c r="AG255" s="242"/>
      <c r="AH255" s="242"/>
      <c r="AI255" s="242"/>
      <c r="AJ255" s="242"/>
      <c r="AK255" s="242"/>
      <c r="AL255" s="242"/>
      <c r="AM255" s="242"/>
      <c r="AN255" s="243"/>
      <c r="AO255" s="243"/>
      <c r="AP255" s="243"/>
      <c r="AQ255" s="243"/>
      <c r="AW255" s="246"/>
      <c r="BB255" s="246"/>
    </row>
    <row r="256" spans="1:54" s="252" customFormat="1" hidden="1" x14ac:dyDescent="0.2">
      <c r="A256" s="248" t="s">
        <v>90</v>
      </c>
      <c r="B256" s="248">
        <f>1/(1+(10^-((B255-D255)/400)))*(B206+D206)</f>
        <v>1.0819811170994962</v>
      </c>
      <c r="C256" s="248"/>
      <c r="D256" s="248">
        <f>1/(1+(10^-((D255-B255)/400)))*(B206+D206)</f>
        <v>0.91801888290050371</v>
      </c>
      <c r="E256" s="248">
        <f>1/(1+(10^-((E255-G255)/400)))*(E206+G206)</f>
        <v>1.3137447742541499</v>
      </c>
      <c r="F256" s="248"/>
      <c r="G256" s="248">
        <f>1/(1+(10^-((G255-E255)/400)))*(E206+G206)</f>
        <v>0.68625522574584996</v>
      </c>
      <c r="H256" s="248">
        <f>1/(1+(10^-((H255-J255)/400)))*(H206+J206)</f>
        <v>1.3799640116428171</v>
      </c>
      <c r="I256" s="248"/>
      <c r="J256" s="248">
        <f>1/(1+(10^-((J255-H255)/400)))*(H206+J206)</f>
        <v>0.62003598835718288</v>
      </c>
      <c r="K256" s="248">
        <f>1/(1+(10^-((K255-M255)/400)))*(K206+M206)</f>
        <v>1.9402060186071175</v>
      </c>
      <c r="L256" s="248"/>
      <c r="M256" s="248">
        <f>1/(1+(10^-((M255-K255)/400)))*(K206+M206)</f>
        <v>1.0597939813928825</v>
      </c>
      <c r="N256" s="248">
        <f>1/(1+(10^-((N255-P255)/400)))*(N206+P206)</f>
        <v>1.1977087149703549</v>
      </c>
      <c r="O256" s="248"/>
      <c r="P256" s="248">
        <f>1/(1+(10^-((P255-N255)/400)))*(N206+P206)</f>
        <v>0.80229128502964497</v>
      </c>
      <c r="Q256" s="248">
        <f>1/(1+(10^-((Q255-S255)/400)))*(Q206+S206)</f>
        <v>1.499233152424311</v>
      </c>
      <c r="R256" s="248"/>
      <c r="S256" s="248">
        <f>1/(1+(10^-((S255-Q255)/400)))*(Q206+S206)</f>
        <v>1.5007668475756888</v>
      </c>
      <c r="T256" s="248" t="e">
        <f>1/(1+(10^-((T255-V255)/400)))*(T206+V206)</f>
        <v>#N/A</v>
      </c>
      <c r="U256" s="248"/>
      <c r="V256" s="248" t="e">
        <f>1/(1+(10^-((V255-T255)/400)))*(T206+V206)</f>
        <v>#N/A</v>
      </c>
      <c r="W256" s="248" t="e">
        <f>1/(1+(10^-((W255-Y255)/400)))*(W206+Y206)</f>
        <v>#N/A</v>
      </c>
      <c r="X256" s="248"/>
      <c r="Y256" s="248" t="e">
        <f>1/(1+(10^-((Y255-W255)/400)))*(W206+Y206)</f>
        <v>#N/A</v>
      </c>
      <c r="Z256" s="248" t="e">
        <f>1/(1+(10^-((Z255-AB255)/400)))*(Z206+AB206)</f>
        <v>#N/A</v>
      </c>
      <c r="AA256" s="248"/>
      <c r="AB256" s="248" t="e">
        <f>1/(1+(10^-((AB255-Z255)/400)))*(Z206+AB206)</f>
        <v>#N/A</v>
      </c>
      <c r="AC256" s="248" t="e">
        <f>1/(1+(10^-((AC255-AE255)/400)))*(AC206+AE206)</f>
        <v>#N/A</v>
      </c>
      <c r="AD256" s="248"/>
      <c r="AE256" s="248" t="e">
        <f>1/(1+(10^-((AE255-AC255)/400)))*(AC206+AE206)</f>
        <v>#N/A</v>
      </c>
      <c r="AF256" s="249"/>
      <c r="AG256" s="250"/>
      <c r="AH256" s="250"/>
      <c r="AI256" s="250"/>
      <c r="AJ256" s="250"/>
      <c r="AK256" s="250"/>
      <c r="AL256" s="250"/>
      <c r="AM256" s="250"/>
      <c r="AN256" s="251"/>
      <c r="AO256" s="251"/>
      <c r="AP256" s="251"/>
      <c r="AQ256" s="251"/>
      <c r="AW256" s="253"/>
      <c r="BB256" s="253"/>
    </row>
    <row r="257" spans="1:54" s="258" customFormat="1" hidden="1" x14ac:dyDescent="0.2">
      <c r="A257" s="254" t="s">
        <v>91</v>
      </c>
      <c r="B257" s="254">
        <f>B255+(B206-B256)*$BA$1</f>
        <v>1486.9186379086273</v>
      </c>
      <c r="C257" s="254"/>
      <c r="D257" s="254">
        <f>D255+(D206-D256)*$BA$1</f>
        <v>1399.6182025686135</v>
      </c>
      <c r="E257" s="254">
        <f>E255+(E206-E256)*$BA$1</f>
        <v>1504.6687620250332</v>
      </c>
      <c r="F257" s="254"/>
      <c r="G257" s="254">
        <f>G255+(G206-G256)*$BA$1</f>
        <v>1347.9382927941233</v>
      </c>
      <c r="H257" s="254">
        <f>H255+(H206-H256)*$BA$1</f>
        <v>1506.759789536057</v>
      </c>
      <c r="I257" s="254"/>
      <c r="J257" s="254">
        <f>J255+(J206-J256)*$BA$1</f>
        <v>1328.0971411666935</v>
      </c>
      <c r="K257" s="254">
        <f>K255+(K206-K256)*$BA$1</f>
        <v>1506.5821694296055</v>
      </c>
      <c r="L257" s="254"/>
      <c r="M257" s="254">
        <f>M255+(M206-M256)*$BA$1</f>
        <v>1397.7047951640411</v>
      </c>
      <c r="N257" s="254">
        <f>N255+(N206-N256)*$BA$1</f>
        <v>1423.3781162849898</v>
      </c>
      <c r="O257" s="254"/>
      <c r="P257" s="254">
        <f>P255+(P206-P256)*$BA$1</f>
        <v>1302.4238200457448</v>
      </c>
      <c r="Q257" s="254">
        <f>Q255+(Q206-Q256)*$BA$1</f>
        <v>1522.6067085520276</v>
      </c>
      <c r="R257" s="254"/>
      <c r="S257" s="254">
        <f>S255+(S206-S256)*$BA$1</f>
        <v>1490.735250413635</v>
      </c>
      <c r="T257" s="254" t="e">
        <f>T255+(T206-T256)*$BA$1</f>
        <v>#N/A</v>
      </c>
      <c r="U257" s="254"/>
      <c r="V257" s="254" t="e">
        <f>V255+(V206-V256)*$BA$1</f>
        <v>#N/A</v>
      </c>
      <c r="W257" s="254" t="e">
        <f>W255+(W206-W256)*$BA$1</f>
        <v>#N/A</v>
      </c>
      <c r="X257" s="254"/>
      <c r="Y257" s="254" t="e">
        <f>Y255+(Y206-Y256)*$BA$1</f>
        <v>#N/A</v>
      </c>
      <c r="Z257" s="254" t="e">
        <f>Z255+(Z206-Z256)*$BA$1</f>
        <v>#N/A</v>
      </c>
      <c r="AA257" s="254"/>
      <c r="AB257" s="254" t="e">
        <f>AB255+(AB206-AB256)*$BA$1</f>
        <v>#N/A</v>
      </c>
      <c r="AC257" s="254" t="e">
        <f>AC255+(AC206-AC256)*$BA$1</f>
        <v>#N/A</v>
      </c>
      <c r="AD257" s="254"/>
      <c r="AE257" s="254" t="e">
        <f>AE255+(AE206-AE256)*$BA$1</f>
        <v>#N/A</v>
      </c>
      <c r="AF257" s="255"/>
      <c r="AG257" s="256"/>
      <c r="AH257" s="256"/>
      <c r="AI257" s="256"/>
      <c r="AJ257" s="256"/>
      <c r="AK257" s="256"/>
      <c r="AL257" s="256"/>
      <c r="AM257" s="256"/>
      <c r="AN257" s="257"/>
      <c r="AO257" s="257"/>
      <c r="AP257" s="257"/>
      <c r="AQ257" s="257"/>
      <c r="AW257" s="259"/>
      <c r="BB257" s="259"/>
    </row>
    <row r="258" spans="1:54" s="258" customFormat="1" hidden="1" x14ac:dyDescent="0.2">
      <c r="A258" s="254"/>
      <c r="B258" s="254"/>
      <c r="C258" s="254"/>
      <c r="D258" s="254"/>
      <c r="E258" s="254"/>
      <c r="F258" s="254"/>
      <c r="G258" s="254"/>
      <c r="H258" s="254"/>
      <c r="I258" s="254"/>
      <c r="J258" s="254"/>
      <c r="K258" s="254"/>
      <c r="L258" s="254"/>
      <c r="M258" s="254"/>
      <c r="N258" s="254"/>
      <c r="O258" s="254"/>
      <c r="P258" s="254"/>
      <c r="Q258" s="254"/>
      <c r="R258" s="254"/>
      <c r="S258" s="254"/>
      <c r="T258" s="254"/>
      <c r="U258" s="254"/>
      <c r="V258" s="254"/>
      <c r="W258" s="254"/>
      <c r="X258" s="254"/>
      <c r="Y258" s="254"/>
      <c r="Z258" s="254"/>
      <c r="AA258" s="254"/>
      <c r="AB258" s="254"/>
      <c r="AC258" s="254"/>
      <c r="AD258" s="254"/>
      <c r="AE258" s="254"/>
      <c r="AF258" s="255"/>
      <c r="AG258" s="256"/>
      <c r="AH258" s="256"/>
      <c r="AI258" s="256"/>
      <c r="AJ258" s="256"/>
      <c r="AK258" s="256"/>
      <c r="AL258" s="256"/>
      <c r="AM258" s="256"/>
      <c r="AN258" s="257"/>
      <c r="AO258" s="257"/>
      <c r="AP258" s="257"/>
      <c r="AQ258" s="257"/>
      <c r="AW258" s="259"/>
      <c r="BB258" s="259"/>
    </row>
    <row r="259" spans="1:54" s="241" customFormat="1" x14ac:dyDescent="0.2">
      <c r="A259" s="525" t="str">
        <f>IF($AK180=1,"Pool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259" s="525"/>
      <c r="C259" s="525"/>
      <c r="D259" s="525"/>
      <c r="E259" s="525"/>
      <c r="F259" s="525"/>
      <c r="G259" s="525"/>
      <c r="H259" s="525"/>
      <c r="I259" s="525"/>
      <c r="J259" s="525"/>
      <c r="K259" s="525"/>
      <c r="L259" s="525"/>
      <c r="M259" s="525"/>
      <c r="N259" s="525"/>
      <c r="O259" s="525"/>
      <c r="P259" s="525"/>
      <c r="Q259" s="525"/>
      <c r="R259" s="525"/>
      <c r="S259" s="525"/>
      <c r="T259" s="525"/>
      <c r="U259" s="525"/>
      <c r="V259" s="525"/>
      <c r="W259" s="525"/>
      <c r="X259" s="525"/>
      <c r="Y259" s="525"/>
      <c r="Z259" s="525"/>
      <c r="AA259" s="525"/>
      <c r="AB259" s="525"/>
      <c r="AC259" s="525"/>
      <c r="AD259" s="525"/>
      <c r="AE259" s="525"/>
      <c r="AF259" s="525"/>
      <c r="AG259" s="525"/>
      <c r="AH259" s="525"/>
      <c r="AI259" s="525"/>
      <c r="AJ259" s="525"/>
      <c r="AK259" s="525"/>
      <c r="AL259" s="525"/>
      <c r="AM259" s="525"/>
      <c r="AN259" s="432"/>
      <c r="AO259" s="432"/>
      <c r="AP259" s="432"/>
      <c r="AQ259" s="432"/>
      <c r="AW259" s="246"/>
    </row>
    <row r="260" spans="1:54" s="241" customFormat="1" x14ac:dyDescent="0.2">
      <c r="A260" s="526"/>
      <c r="B260" s="526"/>
      <c r="C260" s="526"/>
      <c r="D260" s="526"/>
      <c r="E260" s="526"/>
      <c r="F260" s="526"/>
      <c r="G260" s="526"/>
      <c r="H260" s="526"/>
      <c r="I260" s="526"/>
      <c r="J260" s="526"/>
      <c r="K260" s="526"/>
      <c r="L260" s="526"/>
      <c r="M260" s="526"/>
      <c r="N260" s="526"/>
      <c r="O260" s="526"/>
      <c r="P260" s="526"/>
      <c r="Q260" s="526"/>
      <c r="R260" s="526"/>
      <c r="S260" s="526"/>
      <c r="T260" s="526"/>
      <c r="U260" s="526"/>
      <c r="V260" s="526"/>
      <c r="W260" s="526"/>
      <c r="X260" s="526"/>
      <c r="Y260" s="526"/>
      <c r="Z260" s="526"/>
      <c r="AA260" s="526"/>
      <c r="AB260" s="526"/>
      <c r="AC260" s="526"/>
      <c r="AD260" s="526"/>
      <c r="AE260" s="526"/>
      <c r="AF260" s="526"/>
      <c r="AG260" s="526"/>
      <c r="AH260" s="526"/>
      <c r="AI260" s="526"/>
      <c r="AJ260" s="526"/>
      <c r="AK260" s="526"/>
      <c r="AL260" s="526"/>
      <c r="AM260" s="526"/>
      <c r="AN260" s="526"/>
      <c r="AO260" s="526"/>
      <c r="AP260" s="526"/>
      <c r="AQ260" s="526"/>
      <c r="AW260" s="246"/>
    </row>
    <row r="261" spans="1:54" ht="21" thickBot="1" x14ac:dyDescent="0.35">
      <c r="A261" s="515" t="s">
        <v>93</v>
      </c>
      <c r="B261" s="515"/>
      <c r="C261" s="515"/>
      <c r="D261" s="515"/>
      <c r="E261" s="515"/>
      <c r="F261" s="515"/>
      <c r="G261" s="515"/>
      <c r="H261" s="515"/>
      <c r="I261" s="515"/>
      <c r="J261" s="515"/>
      <c r="K261" s="515"/>
      <c r="L261" s="515"/>
      <c r="M261" s="515"/>
      <c r="N261" s="515"/>
      <c r="O261" s="515"/>
      <c r="P261" s="515"/>
      <c r="Q261" s="515"/>
      <c r="R261" s="515"/>
      <c r="S261" s="515"/>
      <c r="T261" s="515"/>
      <c r="U261" s="515"/>
      <c r="V261" s="515"/>
      <c r="W261" s="515"/>
      <c r="X261" s="515"/>
      <c r="Y261" s="515"/>
      <c r="Z261" s="515"/>
      <c r="AA261" s="515"/>
      <c r="AB261" s="515"/>
      <c r="AC261" s="515"/>
      <c r="AD261" s="515"/>
      <c r="AE261" s="515"/>
      <c r="AF261" s="515"/>
      <c r="AG261" s="515"/>
      <c r="AH261" s="515"/>
      <c r="AI261" s="515"/>
      <c r="AJ261" s="515"/>
      <c r="AK261" s="515"/>
      <c r="AL261" s="515"/>
      <c r="AM261" s="515"/>
      <c r="AN261" s="515"/>
      <c r="AO261" s="515"/>
      <c r="AP261" s="515"/>
      <c r="AQ261" s="515"/>
    </row>
    <row r="262" spans="1:54" ht="13.5" thickBot="1" x14ac:dyDescent="0.25">
      <c r="A262" s="516" t="s">
        <v>94</v>
      </c>
      <c r="B262" s="518" t="s">
        <v>95</v>
      </c>
      <c r="C262" s="519"/>
      <c r="D262" s="519"/>
      <c r="E262" s="519"/>
      <c r="F262" s="519"/>
      <c r="G262" s="519"/>
      <c r="H262" s="519"/>
      <c r="I262" s="519"/>
      <c r="J262" s="519"/>
      <c r="K262" s="519"/>
      <c r="L262" s="520"/>
      <c r="M262" s="518" t="s">
        <v>96</v>
      </c>
      <c r="N262" s="519"/>
      <c r="O262" s="519"/>
      <c r="P262" s="519"/>
      <c r="Q262" s="519"/>
      <c r="R262" s="519"/>
      <c r="S262" s="519"/>
      <c r="T262" s="519"/>
      <c r="U262" s="519"/>
      <c r="V262" s="519"/>
      <c r="W262" s="520"/>
      <c r="X262" s="499" t="s">
        <v>97</v>
      </c>
      <c r="Y262" s="500"/>
      <c r="Z262" s="500"/>
      <c r="AA262" s="500"/>
      <c r="AB262" s="500"/>
      <c r="AC262" s="500"/>
      <c r="AD262" s="500"/>
      <c r="AE262" s="500"/>
      <c r="AF262" s="500"/>
      <c r="AG262" s="501"/>
      <c r="AH262" s="499" t="s">
        <v>98</v>
      </c>
      <c r="AI262" s="500"/>
      <c r="AJ262" s="500"/>
      <c r="AK262" s="500"/>
      <c r="AL262" s="500"/>
      <c r="AM262" s="500"/>
      <c r="AN262" s="500"/>
      <c r="AO262" s="500"/>
      <c r="AP262" s="501"/>
    </row>
    <row r="263" spans="1:54" ht="13.5" thickBot="1" x14ac:dyDescent="0.25">
      <c r="A263" s="517"/>
      <c r="B263" s="514" t="s">
        <v>7</v>
      </c>
      <c r="C263" s="508"/>
      <c r="D263" s="508"/>
      <c r="E263" s="508"/>
      <c r="F263" s="508" t="s">
        <v>99</v>
      </c>
      <c r="G263" s="508"/>
      <c r="H263" s="508"/>
      <c r="I263" s="508"/>
      <c r="J263" s="508" t="s">
        <v>143</v>
      </c>
      <c r="K263" s="508"/>
      <c r="L263" s="322" t="s">
        <v>6</v>
      </c>
      <c r="M263" s="514" t="s">
        <v>7</v>
      </c>
      <c r="N263" s="508"/>
      <c r="O263" s="508"/>
      <c r="P263" s="508"/>
      <c r="Q263" s="508"/>
      <c r="R263" s="508" t="s">
        <v>99</v>
      </c>
      <c r="S263" s="508"/>
      <c r="T263" s="508"/>
      <c r="U263" s="508" t="s">
        <v>143</v>
      </c>
      <c r="V263" s="508"/>
      <c r="W263" s="323" t="s">
        <v>6</v>
      </c>
      <c r="X263" s="514" t="s">
        <v>7</v>
      </c>
      <c r="Y263" s="508"/>
      <c r="Z263" s="508"/>
      <c r="AA263" s="508"/>
      <c r="AB263" s="508"/>
      <c r="AC263" s="508" t="s">
        <v>99</v>
      </c>
      <c r="AD263" s="508"/>
      <c r="AE263" s="508"/>
      <c r="AF263" s="321" t="s">
        <v>143</v>
      </c>
      <c r="AG263" s="323" t="s">
        <v>6</v>
      </c>
      <c r="AH263" s="514" t="s">
        <v>7</v>
      </c>
      <c r="AI263" s="508"/>
      <c r="AJ263" s="508"/>
      <c r="AK263" s="508" t="s">
        <v>99</v>
      </c>
      <c r="AL263" s="508"/>
      <c r="AM263" s="508"/>
      <c r="AN263" s="508" t="s">
        <v>143</v>
      </c>
      <c r="AO263" s="508"/>
      <c r="AP263" s="323" t="s">
        <v>6</v>
      </c>
    </row>
    <row r="264" spans="1:54" x14ac:dyDescent="0.2">
      <c r="A264" s="260" t="s">
        <v>100</v>
      </c>
      <c r="B264" s="509" t="str">
        <f>IF($AF$8=1,$E$8,IF($AF$10=1,$E$10,IF($AF$12=1,$E$12,IF($AF$14=1,$E$14,IF($AF$16=1,$E$16,"1st Place "&amp;$A264)))))</f>
        <v>C1VB 12 Reg Royal Pickens</v>
      </c>
      <c r="C264" s="510"/>
      <c r="D264" s="510"/>
      <c r="E264" s="510"/>
      <c r="F264" s="506" t="str">
        <f>IF($AF$8=1,$E$9,IF($AF$10=1,$E$11,IF($AF$12=1,$E$13,IF($AF$14=1,$E$15,IF($AF$16=1,$E$17,"1st Place "&amp;$A264)))))</f>
        <v>fj2crone3pm</v>
      </c>
      <c r="G264" s="506"/>
      <c r="H264" s="506"/>
      <c r="I264" s="506"/>
      <c r="J264" s="507">
        <f>IF($AF$8=1,$Z$8,IF($AF$10=1,$Z$10,IF($AF$12=1,$Z$12,IF($AF$14=1,$Z$14,IF($AF$16=1,$Z$16,0)))))</f>
        <v>0.13</v>
      </c>
      <c r="K264" s="507"/>
      <c r="L264" s="324">
        <f>IF(AND(J264=0,J265=0,J266=0),0,IF(OR(AND(J264&gt;J265,J264&gt;J266),AND(J264=J265,J264=J266),AND(J264=J265,J264&gt;J266),AND(J264=J266,J264&gt;J265)),1,IF(OR(J264&gt;J265,J264&gt;J266,J264=J265,J264=J266),2,3)))</f>
        <v>3</v>
      </c>
      <c r="M264" s="509" t="str">
        <f>IF($AF$8=2,$E$8,IF($AF$10=2,$E$10,IF($AF$12=2,$E$12,IF($AF$14=2,$E$14,IF($AF$16=2,$E$16,"2nd Place "&amp;$A264)))))</f>
        <v>Excell U12 Club</v>
      </c>
      <c r="N264" s="510"/>
      <c r="O264" s="510"/>
      <c r="P264" s="510"/>
      <c r="Q264" s="510"/>
      <c r="R264" s="506" t="str">
        <f>IF($AF$8=2,$E$9,IF($AF$10=2,$E$11,IF($AF$12=2,$E$13,IF($AF$14=2,$E$15,IF($AF$16=2,$E$17,"2nd Place "&amp;$A264)))))</f>
        <v>fj2excel1pm</v>
      </c>
      <c r="S264" s="506"/>
      <c r="T264" s="506"/>
      <c r="U264" s="507">
        <f>IF($AF$8=2,$Z$8,IF($AF$10=2,$Z$10,IF($AF$12=2,$Z$12,IF($AF$14=2,$Z$14,IF($AF$16=2,$Z$16,0)))))</f>
        <v>0.16500000000000001</v>
      </c>
      <c r="V264" s="507"/>
      <c r="W264" s="325">
        <f>IF(AND(J264=0,J265=0,J266=0),0,IF(OR(AND(U264&gt;U265,U264&gt;U266),AND(U264=U265,U264=U266),AND(U264=U265,U264&gt;U266),AND(U264=U266,U264&gt;U265)),1,IF(OR(U264&gt;U265,U264&gt;U266,U264=U265,U264=U266),2,3)))</f>
        <v>1</v>
      </c>
      <c r="X264" s="511" t="str">
        <f>IF($AF$8=3,$E$8,IF($AF$10=3,$E$10,IF($AF$12=3,$E$12,IF($AF$14=3,$E$14,IF($AF$16=3,$E$16,"3rd Place "&amp;$A264)))))</f>
        <v>Soar Court 12U</v>
      </c>
      <c r="Y264" s="512"/>
      <c r="Z264" s="512"/>
      <c r="AA264" s="512"/>
      <c r="AB264" s="512"/>
      <c r="AC264" s="513" t="str">
        <f>IF($AF$8=3,$E$9,IF($AF$10=3,$E$11,IF($AF$12=3,$E$13,IF($AF$14=3,$E$15,IF($AF$16=3,$E$17,"3rd Place "&amp;$A264)))))</f>
        <v>fj2soarj2pm</v>
      </c>
      <c r="AD264" s="513"/>
      <c r="AE264" s="513"/>
      <c r="AF264" s="326">
        <f>IF($AF$8=3,$Z$8,IF($AF$10=3,$Z$10,IF($AF$12=3,$Z$12,IF($AF$14=3,$Z$14,IF($AF$16=3,$Z$16,0)))))</f>
        <v>-0.155</v>
      </c>
      <c r="AG264" s="325">
        <f>IF(AND(J264=0,J265=0,J266=0),0,IF(OR(AND(AF264&gt;AF265,AF264&gt;AF266),AND(AF264=AF265,AF264=AF266),AND(AF264=AF265,AF264&gt;AF266),AND(AF264=AF266,AF264&gt;AF265)),1,IF(OR(AF264&gt;AF265,AF264&gt;AF266,AF264=AF265,AF264=AF266),2,3)))</f>
        <v>3</v>
      </c>
      <c r="AH264" s="509" t="str">
        <f>IF($AF$8=4,$E$8,IF($AF$10=4,$E$10,IF($AF$12=4,$E$12,IF($AF$14=4,$E$14,IF($AF$16=4,$E$16,"4th Place "&amp;$A264)))))</f>
        <v>SC Midlands 12 Black</v>
      </c>
      <c r="AI264" s="510"/>
      <c r="AJ264" s="510"/>
      <c r="AK264" s="506" t="str">
        <f>IF($AF$8=4,$E$9,IF($AF$10=4,$E$11,IF($AF$12=4,$E$13,IF($AF$14=4,$E$15,IF($AF$16=4,$E$17,"4th Place "&amp;$A264)))))</f>
        <v>fj2scmid1pm</v>
      </c>
      <c r="AL264" s="506"/>
      <c r="AM264" s="506"/>
      <c r="AN264" s="507">
        <f>IF($AF$8=4,$Z$8,IF($AF$10=4,$Z$10,IF($AF$12=4,$Z$12,IF($AF$14=4,$Z$14,IF($AF$16=4,$Z$16,0)))))</f>
        <v>-2.9702970297029702E-2</v>
      </c>
      <c r="AO264" s="507"/>
      <c r="AP264" s="325">
        <f>IF(AND(J264=0,J265=0,J266=0),0,IF(OR(AND(AN264&gt;AN265,AN264&gt;AN266),AND(AN264=AN265,AN264=AN266),AND(AN264=AN265,AN264&gt;AN266),AND(AN264=AN266,AN264&gt;AN265)),1,IF(OR(AN264&gt;AN265,AN264&gt;AN266,AN264=AN265,AN264=AN266),2,3)))</f>
        <v>1</v>
      </c>
    </row>
    <row r="265" spans="1:54" x14ac:dyDescent="0.2">
      <c r="A265" s="260" t="s">
        <v>101</v>
      </c>
      <c r="B265" s="502" t="str">
        <f>IF($AF$93=1,$E$93,IF($AF$95=1,$E$95,IF($AF$97=1,$E$97,IF($AF$99=1,$E$99,IF($AF$101=1,$E$101,"1st Place "&amp;$A265)))))</f>
        <v>C1VB 12 Regional Grvl</v>
      </c>
      <c r="C265" s="503"/>
      <c r="D265" s="503"/>
      <c r="E265" s="503"/>
      <c r="F265" s="504" t="str">
        <f>IF($AF$93=1,$E$94,IF($AF$95=1,$E$96,IF($AF$97=1,$E$98,IF($AF$99=1,$E$100,IF($AF$101=1,$E$102,"1st Place "&amp;$A265)))))</f>
        <v>fj2crone1pm</v>
      </c>
      <c r="G265" s="504"/>
      <c r="H265" s="504"/>
      <c r="I265" s="504"/>
      <c r="J265" s="505">
        <f>IF($AF$93=1,$Z$93,IF($AF$95=1,$Z$95,IF($AF$97=1,$Z$97,IF($AF$99=1,$Z$99,IF($AF$101=1,$Z$101,0)))))</f>
        <v>0.43</v>
      </c>
      <c r="K265" s="505"/>
      <c r="L265" s="328">
        <f>IF(AND(J264=0,J265=0,J266=0),0,IF(OR(AND(J265&gt;J264,J265&gt;J266),AND(J265=J266,J265&gt;J264)),1,IF(OR(J265&gt;J264,J265&gt;J266,AND(J265=J264,J265=J266),J265=J266),2,3)))</f>
        <v>1</v>
      </c>
      <c r="M265" s="502" t="str">
        <f>IF($AF$93=2,$E$93,IF($AF$95=2,$E$95,IF($AF$97=2,$E$97,IF($AF$99=2,$E$99,IF($AF$101=2,$E$101,"2nd Place "&amp;$A265)))))</f>
        <v>SC Midlands 13 Garnet</v>
      </c>
      <c r="N265" s="503"/>
      <c r="O265" s="503"/>
      <c r="P265" s="503"/>
      <c r="Q265" s="503"/>
      <c r="R265" s="504" t="str">
        <f>IF($AF$93=2,$E$94,IF($AF$95=2,$E$96,IF($AF$97=2,$E$98,IF($AF$99=2,$E$100,IF($AF$101=2,$E$102,"2nd Place "&amp;$A265)))))</f>
        <v>fj3scmid3pm</v>
      </c>
      <c r="S265" s="504"/>
      <c r="T265" s="504"/>
      <c r="U265" s="505">
        <f>IF($AF$93=2,$Z$93,IF($AF$95=2,$Z$95,IF($AF$97=2,$Z$97,IF($AF$99=2,$Z$99,IF($AF$101=2,$Z$101,0)))))</f>
        <v>5.0000000000000001E-3</v>
      </c>
      <c r="V265" s="505"/>
      <c r="W265" s="329">
        <f>IF(AND(J264=0,J265=0,J266=0),0,IF(OR(AND(U265&gt;U264,U265&gt;U266),AND(U265=U266,U265&gt;U264)),1,IF(OR(U265&gt;U264,U265&gt;U266,AND(U265=U264,U265=U266),U265=U266),2,3)))</f>
        <v>3</v>
      </c>
      <c r="X265" s="502" t="str">
        <f>IF($AF$93=3,$E$93,IF($AF$95=3,$E$95,IF($AF$97=3,$E$97,IF($AF$99=3,$E$99,IF($AF$101=3,$E$101,"3rd Place "&amp;$A265)))))</f>
        <v>SOAR RISE 12U</v>
      </c>
      <c r="Y265" s="503"/>
      <c r="Z265" s="503"/>
      <c r="AA265" s="503"/>
      <c r="AB265" s="503"/>
      <c r="AC265" s="504" t="str">
        <f>IF($AF$93=3,$E$94,IF($AF$95=3,$E$96,IF($AF$97=3,$E$98,IF($AF$99=3,$E$100,IF($AF$101=3,$E$102,"3rd Place "&amp;$A265)))))</f>
        <v>fj2soarj1pm</v>
      </c>
      <c r="AD265" s="504"/>
      <c r="AE265" s="504"/>
      <c r="AF265" s="327">
        <f>IF($AF$93=3,$Z$93,IF($AF$95=3,$Z$95,IF($AF$97=3,$Z$97,IF($AF$99=3,$Z$99,IF($AF$101=3,$Z$101,0)))))</f>
        <v>3.4653465346534656E-2</v>
      </c>
      <c r="AG265" s="329">
        <f>IF(AND(J264=0,J265=0,J266=0),0,IF(OR(AND(AF265&gt;AF264,AF265&gt;AF266),AND(AF265=AF266,AF265&gt;AF264)),1,IF(OR(AF265&gt;AF264,AF265&gt;AF266,AND(AF265=AF264,AF265=AF266),AF265=AF266),2,3)))</f>
        <v>2</v>
      </c>
      <c r="AH265" s="502" t="str">
        <f>IF($AF$93=4,$E$93,IF($AF$95=4,$E$95,IF($AF$97=4,$E$97,IF($AF$99=4,$E$99,IF($AF$101=4,$E$101,"4th Place "&amp;$A265)))))</f>
        <v>P31 Volleyball Club 12-1</v>
      </c>
      <c r="AI265" s="503"/>
      <c r="AJ265" s="503"/>
      <c r="AK265" s="504" t="str">
        <f>IF($AF$93=4,$E$94,IF($AF$95=4,$E$96,IF($AF$97=4,$E$98,IF($AF$99=4,$E$100,IF($AF$101=4,$E$102,"4th Place "&amp;$A265)))))</f>
        <v>fj2ptvbc1so</v>
      </c>
      <c r="AL265" s="504"/>
      <c r="AM265" s="504"/>
      <c r="AN265" s="505">
        <f>IF($AF$93=4,$Z$93,IF($AF$95=4,$Z$95,IF($AF$97=4,$Z$97,IF($AF$99=4,$Z$99,IF($AF$101=4,$Z$101,0)))))</f>
        <v>-0.18811881188118812</v>
      </c>
      <c r="AO265" s="505"/>
      <c r="AP265" s="329">
        <f>IF(AND(J264=0,J265=0,J266=0),0,IF(OR(AND(AN265&gt;AN264,AN265&gt;AN266),AND(AN265=AN266,AN265&gt;AN264)),1,IF(OR(AN265&gt;AN264,AN265&gt;AN266,AND(AN265=AN264,AN265=AN266),AN265=AN266),2,3)))</f>
        <v>2</v>
      </c>
    </row>
    <row r="266" spans="1:54" ht="13.5" thickBot="1" x14ac:dyDescent="0.25">
      <c r="A266" s="261" t="s">
        <v>144</v>
      </c>
      <c r="B266" s="491" t="str">
        <f>IF($AF$178=1,$E$178,IF($AF$180=1,$E$180,IF($AF$182=1,$E$182,IF($AF$184=1,$E$184,IF($AF$186=1,$E$186,"1st Place "&amp;$A266)))))</f>
        <v>Crossfire 12</v>
      </c>
      <c r="C266" s="492"/>
      <c r="D266" s="492"/>
      <c r="E266" s="492"/>
      <c r="F266" s="490" t="str">
        <f>IF($AF$178=1,$E$179,IF($AF$180=1,$E$181,IF($AF$182=1,$E$183,IF($AF$184=1,$E$185,IF($AF$186=1,$E$187,"1st Place "&amp;$A266)))))</f>
        <v>fj2crosf1pm</v>
      </c>
      <c r="G266" s="490"/>
      <c r="H266" s="490"/>
      <c r="I266" s="490"/>
      <c r="J266" s="493">
        <f>IF($AF$178=1,$Z$178,IF($AF$180=1,$Z$180,IF($AF$182=1,$Z$182,IF($AF$184=1,$Z$184,IF($AF$186=1,$Z$186,0)))))</f>
        <v>0.24444444444444444</v>
      </c>
      <c r="K266" s="493"/>
      <c r="L266" s="331">
        <f>IF(AND(J264=0,J265=0,J266=0),0,IF(AND(J266&gt;J264,J266&gt;J265),1,IF(OR(J266&gt;J264,J266&gt;J265),2,3)))</f>
        <v>2</v>
      </c>
      <c r="M266" s="491" t="str">
        <f>IF($AF$178=2,$E$178,IF($AF$180=2,$E$180,IF($AF$182=2,$E$182,IF($AF$184=2,$E$184,IF($AF$186=2,$E$186,"2nd Place "&amp;$A266)))))</f>
        <v>Fort Mill VBC 12 Purple</v>
      </c>
      <c r="N266" s="492"/>
      <c r="O266" s="492"/>
      <c r="P266" s="492"/>
      <c r="Q266" s="492"/>
      <c r="R266" s="490" t="str">
        <f>IF($AF$178=2,$E$179,IF($AF$180=2,$E$181,IF($AF$182=2,$E$183,IF($AF$184=2,$E$185,IF($AF$186=2,$E$187,"2nd Place "&amp;$A266)))))</f>
        <v>fj2fortm1pm</v>
      </c>
      <c r="S266" s="490"/>
      <c r="T266" s="490"/>
      <c r="U266" s="493">
        <f>IF($AF$178=2,$Z$178,IF($AF$180=2,$Z$180,IF($AF$182=2,$Z$182,IF($AF$184=2,$Z$184,IF($AF$186=2,$Z$186,0)))))</f>
        <v>0.11515151515151516</v>
      </c>
      <c r="V266" s="493"/>
      <c r="W266" s="332">
        <f>IF(AND(J264=0,J265=0,J266=0),0,IF(AND(U266&gt;U264,U266&gt;U265),1,IF(OR(U266&gt;U264,U266&gt;U265),2,3)))</f>
        <v>2</v>
      </c>
      <c r="X266" s="491" t="str">
        <f>IF($AF$178=3,$E$178,IF($AF$180=3,$E$180,IF($AF$182=3,$E$182,IF($AF$184=3,$E$184,IF($AF$186=3,$E$186,"3rd Place "&amp;$A266)))))</f>
        <v>CSRA Heat 12 Gold</v>
      </c>
      <c r="Y266" s="492"/>
      <c r="Z266" s="492"/>
      <c r="AA266" s="492"/>
      <c r="AB266" s="492"/>
      <c r="AC266" s="490" t="str">
        <f>IF($AF$178=3,$E$179,IF($AF$180=3,$E$181,IF($AF$182=3,$E$183,IF($AF$184=3,$E$185,IF($AF$186=3,$E$187,"3rd Place "&amp;$A266)))))</f>
        <v>fj2csrah1pm</v>
      </c>
      <c r="AD266" s="490"/>
      <c r="AE266" s="490"/>
      <c r="AF266" s="330">
        <f>IF($AF$178=3,$Z$178,IF($AF$180=3,$Z$180,IF($AF$182=3,$Z$182,IF($AF$184=3,$Z$184,IF($AF$186=3,$Z$186,0)))))</f>
        <v>4.8484848484848485E-2</v>
      </c>
      <c r="AG266" s="332">
        <f>IF(AND(J264=0,J265=0,J266=0),0,IF(AND(AF266&gt;AF264,AF266&gt;AF265),1,IF(OR(AF266&gt;AF264,AF266&gt;AF265),2,3)))</f>
        <v>1</v>
      </c>
      <c r="AH266" s="491" t="str">
        <f>IF($AF$178=4,$E$178,IF($AF$180=4,$E$180,IF($AF$182=4,$E$182,IF($AF$184=4,$E$184,IF($AF$186=4,$E$186,"4th Place "&amp;$A266)))))</f>
        <v>C1VB 11 State Greenville</v>
      </c>
      <c r="AI266" s="492"/>
      <c r="AJ266" s="492"/>
      <c r="AK266" s="490" t="str">
        <f>IF($AF$178=4,$E$179,IF($AF$180=4,$E$181,IF($AF$182=4,$E$183,IF($AF$184=4,$E$185,IF($AF$186=4,$E$187,"4th Place "&amp;$A266)))))</f>
        <v>fj1crone1pm</v>
      </c>
      <c r="AL266" s="490"/>
      <c r="AM266" s="490"/>
      <c r="AN266" s="493">
        <f>IF($AF$178=4,$Z$178,IF($AF$180=4,$Z$180,IF($AF$182=4,$Z$182,IF($AF$184=4,$Z$184,IF($AF$186=4,$Z$186,0)))))</f>
        <v>-0.47333333333333333</v>
      </c>
      <c r="AO266" s="493"/>
      <c r="AP266" s="332">
        <f>IF(AND(J264=0,J265=0,J266=0),0,IF(AND(AN266&gt;AN264,AN266&gt;AN265),1,IF(OR(AN266&gt;AN264,AN266&gt;AN265),2,3)))</f>
        <v>3</v>
      </c>
    </row>
    <row r="267" spans="1:54" ht="13.5" thickBot="1" x14ac:dyDescent="0.25">
      <c r="A267" s="494" t="s">
        <v>145</v>
      </c>
      <c r="B267" s="496" t="s">
        <v>146</v>
      </c>
      <c r="C267" s="497"/>
      <c r="D267" s="497"/>
      <c r="E267" s="497"/>
      <c r="F267" s="497"/>
      <c r="G267" s="497"/>
      <c r="H267" s="497"/>
      <c r="I267" s="497"/>
      <c r="J267" s="497"/>
      <c r="K267" s="497"/>
      <c r="L267" s="498"/>
      <c r="M267" s="499" t="s">
        <v>147</v>
      </c>
      <c r="N267" s="500"/>
      <c r="O267" s="500"/>
      <c r="P267" s="500"/>
      <c r="Q267" s="500"/>
      <c r="R267" s="500"/>
      <c r="S267" s="500"/>
      <c r="T267" s="500"/>
      <c r="U267" s="500"/>
      <c r="V267" s="500"/>
      <c r="W267" s="501"/>
      <c r="X267" s="499" t="s">
        <v>148</v>
      </c>
      <c r="Y267" s="500"/>
      <c r="Z267" s="500"/>
      <c r="AA267" s="500"/>
      <c r="AB267" s="500"/>
      <c r="AC267" s="500"/>
      <c r="AD267" s="500"/>
      <c r="AE267" s="500"/>
      <c r="AF267" s="500"/>
      <c r="AG267" s="501"/>
      <c r="AH267" s="499" t="s">
        <v>149</v>
      </c>
      <c r="AI267" s="500"/>
      <c r="AJ267" s="500"/>
      <c r="AK267" s="500"/>
      <c r="AL267" s="500"/>
      <c r="AM267" s="500"/>
      <c r="AN267" s="500"/>
      <c r="AO267" s="500"/>
      <c r="AP267" s="501"/>
    </row>
    <row r="268" spans="1:54" ht="13.5" thickBot="1" x14ac:dyDescent="0.25">
      <c r="A268" s="495"/>
      <c r="B268" s="485" t="s">
        <v>7</v>
      </c>
      <c r="C268" s="486"/>
      <c r="D268" s="486"/>
      <c r="E268" s="486"/>
      <c r="F268" s="486"/>
      <c r="G268" s="486"/>
      <c r="H268" s="487"/>
      <c r="I268" s="485" t="s">
        <v>8</v>
      </c>
      <c r="J268" s="486"/>
      <c r="K268" s="486"/>
      <c r="L268" s="487"/>
      <c r="M268" s="473" t="s">
        <v>7</v>
      </c>
      <c r="N268" s="474"/>
      <c r="O268" s="474"/>
      <c r="P268" s="474"/>
      <c r="Q268" s="474"/>
      <c r="R268" s="474"/>
      <c r="S268" s="475"/>
      <c r="T268" s="473" t="s">
        <v>8</v>
      </c>
      <c r="U268" s="474"/>
      <c r="V268" s="474"/>
      <c r="W268" s="475"/>
      <c r="X268" s="473" t="s">
        <v>7</v>
      </c>
      <c r="Y268" s="474"/>
      <c r="Z268" s="474"/>
      <c r="AA268" s="474"/>
      <c r="AB268" s="474"/>
      <c r="AC268" s="474"/>
      <c r="AD268" s="474"/>
      <c r="AE268" s="475"/>
      <c r="AF268" s="473" t="s">
        <v>8</v>
      </c>
      <c r="AG268" s="475"/>
      <c r="AH268" s="488" t="s">
        <v>7</v>
      </c>
      <c r="AI268" s="488"/>
      <c r="AJ268" s="488"/>
      <c r="AK268" s="488"/>
      <c r="AL268" s="488"/>
      <c r="AM268" s="489"/>
      <c r="AN268" s="473" t="s">
        <v>8</v>
      </c>
      <c r="AO268" s="474"/>
      <c r="AP268" s="475"/>
    </row>
    <row r="269" spans="1:54" x14ac:dyDescent="0.2">
      <c r="A269" s="276" t="s">
        <v>150</v>
      </c>
      <c r="B269" s="476" t="str">
        <f>IF(L264=1,B264,IF(L265=1,B265,IF(L266=1,B266,"#1 1st Place")))</f>
        <v>C1VB 12 Regional Grvl</v>
      </c>
      <c r="C269" s="477"/>
      <c r="D269" s="477"/>
      <c r="E269" s="477"/>
      <c r="F269" s="477"/>
      <c r="G269" s="477"/>
      <c r="H269" s="477"/>
      <c r="I269" s="478" t="str">
        <f>IF(L264=1,F264,IF(L265=1,F265,IF(L266=1,F266,"#1 1st Place")))</f>
        <v>fj2crone1pm</v>
      </c>
      <c r="J269" s="478"/>
      <c r="K269" s="478"/>
      <c r="L269" s="479"/>
      <c r="M269" s="480" t="str">
        <f>IF(W264=1,M264,IF(W265=1,M265,IF(W266=1,M266,"#1 2nd Place")))</f>
        <v>Excell U12 Club</v>
      </c>
      <c r="N269" s="481"/>
      <c r="O269" s="481"/>
      <c r="P269" s="481"/>
      <c r="Q269" s="481"/>
      <c r="R269" s="481"/>
      <c r="S269" s="481"/>
      <c r="T269" s="482" t="str">
        <f>IF(W264=1,R264,IF(W265=1,R265,IF(W266=1,R266,"#1 2nd Place")))</f>
        <v>fj2excel1pm</v>
      </c>
      <c r="U269" s="482"/>
      <c r="V269" s="482"/>
      <c r="W269" s="483"/>
      <c r="X269" s="480" t="str">
        <f>IF(AG264=1,X264,IF(AG265=1,X265,IF(AG266=1,X266,"#1 3rd Place")))</f>
        <v>CSRA Heat 12 Gold</v>
      </c>
      <c r="Y269" s="481"/>
      <c r="Z269" s="481"/>
      <c r="AA269" s="481"/>
      <c r="AB269" s="481"/>
      <c r="AC269" s="481"/>
      <c r="AD269" s="481"/>
      <c r="AE269" s="481"/>
      <c r="AF269" s="482" t="str">
        <f>IF(AG264=1,AC264,IF(AG265=1,AC265,IF(AG266=1,AC266,"#1 3rd Place")))</f>
        <v>fj2csrah1pm</v>
      </c>
      <c r="AG269" s="483"/>
      <c r="AH269" s="484" t="str">
        <f>IF(AP264=1,AH264,IF(AP265=1,AH265,IF(AP266=1,AH266,"#1 4th Place")))</f>
        <v>SC Midlands 12 Black</v>
      </c>
      <c r="AI269" s="481"/>
      <c r="AJ269" s="481"/>
      <c r="AK269" s="481"/>
      <c r="AL269" s="481"/>
      <c r="AM269" s="481"/>
      <c r="AN269" s="482" t="str">
        <f>IF(AP264=1,AK264,IF(AP265=1,AK265,IF(AP266=1,AK266,"#1 4th Place")))</f>
        <v>fj2scmid1pm</v>
      </c>
      <c r="AO269" s="482"/>
      <c r="AP269" s="483"/>
    </row>
    <row r="270" spans="1:54" x14ac:dyDescent="0.2">
      <c r="A270" s="276" t="s">
        <v>151</v>
      </c>
      <c r="B270" s="468" t="str">
        <f>IF(L264=2,B264,IF(L265=2,B265,IF(L266=2,B266,"#2 1st Place")))</f>
        <v>Crossfire 12</v>
      </c>
      <c r="C270" s="469"/>
      <c r="D270" s="469"/>
      <c r="E270" s="469"/>
      <c r="F270" s="469"/>
      <c r="G270" s="469"/>
      <c r="H270" s="469"/>
      <c r="I270" s="470" t="str">
        <f>IF(L264=2,F264,IF(L265=2,F265,IF(L266=2,F266,"#2 1st Place")))</f>
        <v>fj2crosf1pm</v>
      </c>
      <c r="J270" s="470"/>
      <c r="K270" s="470"/>
      <c r="L270" s="471"/>
      <c r="M270" s="472" t="str">
        <f>IF(W264=2,M264,IF(W265=2,M265,IF(W266=2,M266,"#2 2nd Place")))</f>
        <v>Fort Mill VBC 12 Purple</v>
      </c>
      <c r="N270" s="460"/>
      <c r="O270" s="460"/>
      <c r="P270" s="460"/>
      <c r="Q270" s="460"/>
      <c r="R270" s="460"/>
      <c r="S270" s="460"/>
      <c r="T270" s="461" t="str">
        <f>IF(W264=2,R264,IF(W265=2,R265,IF(W266=2,R266,"#2 2nd Place")))</f>
        <v>fj2fortm1pm</v>
      </c>
      <c r="U270" s="461"/>
      <c r="V270" s="461"/>
      <c r="W270" s="462"/>
      <c r="X270" s="472" t="str">
        <f>IF(AG264=2,X264,IF(AG265=2,X265,IF(AG266=2,X266,"#2 3rd Place")))</f>
        <v>SOAR RISE 12U</v>
      </c>
      <c r="Y270" s="460"/>
      <c r="Z270" s="460"/>
      <c r="AA270" s="460"/>
      <c r="AB270" s="460"/>
      <c r="AC270" s="460"/>
      <c r="AD270" s="460"/>
      <c r="AE270" s="460"/>
      <c r="AF270" s="461" t="str">
        <f>IF(AG264=2,AC264,IF(AG265=2,AC265,IF(AG266=2,AC266,"#2 3rd Place")))</f>
        <v>fj2soarj1pm</v>
      </c>
      <c r="AG270" s="462"/>
      <c r="AH270" s="459" t="str">
        <f>IF(AP264=2,AH264,IF(AP265=2,AH265,IF(AP266=2,AH266,"#2 4th Place")))</f>
        <v>P31 Volleyball Club 12-1</v>
      </c>
      <c r="AI270" s="460"/>
      <c r="AJ270" s="460"/>
      <c r="AK270" s="460"/>
      <c r="AL270" s="460"/>
      <c r="AM270" s="460"/>
      <c r="AN270" s="461" t="str">
        <f>IF(AP264=2,AK264,IF(AP265=2,AK265,IF(AP266=2,AK266,"#2 4th Place")))</f>
        <v>fj2ptvbc1so</v>
      </c>
      <c r="AO270" s="461"/>
      <c r="AP270" s="462"/>
    </row>
    <row r="271" spans="1:54" s="191" customFormat="1" ht="13.5" thickBot="1" x14ac:dyDescent="0.25">
      <c r="A271" s="310" t="s">
        <v>152</v>
      </c>
      <c r="B271" s="463" t="str">
        <f>IF(L264=3,B264,IF(L265=3,B265,IF(L266=3,B266,"#3 1st Place")))</f>
        <v>C1VB 12 Reg Royal Pickens</v>
      </c>
      <c r="C271" s="464"/>
      <c r="D271" s="464"/>
      <c r="E271" s="464"/>
      <c r="F271" s="464"/>
      <c r="G271" s="464"/>
      <c r="H271" s="464"/>
      <c r="I271" s="465" t="str">
        <f>IF(L264=3,F264,IF(L265=3,F265,IF(L266=3,F266,"#3 1st Place")))</f>
        <v>fj2crone3pm</v>
      </c>
      <c r="J271" s="465"/>
      <c r="K271" s="465"/>
      <c r="L271" s="466"/>
      <c r="M271" s="463" t="str">
        <f>IF(W264=3,M264,IF(W265=3,M265,IF(W266=3,M266,"#3 2nd Place")))</f>
        <v>SC Midlands 13 Garnet</v>
      </c>
      <c r="N271" s="464"/>
      <c r="O271" s="464"/>
      <c r="P271" s="464"/>
      <c r="Q271" s="464"/>
      <c r="R271" s="464"/>
      <c r="S271" s="464"/>
      <c r="T271" s="465" t="str">
        <f>IF(W264=3,R264,IF(W265=3,R265,IF(W266=3,R266,"#3 2nd Place")))</f>
        <v>fj3scmid3pm</v>
      </c>
      <c r="U271" s="465"/>
      <c r="V271" s="465"/>
      <c r="W271" s="466"/>
      <c r="X271" s="463" t="str">
        <f>IF(AG264=3,X264,IF(AG265=3,X265,IF(AG266=3,X266,"#3 3rd Place")))</f>
        <v>Soar Court 12U</v>
      </c>
      <c r="Y271" s="464"/>
      <c r="Z271" s="464"/>
      <c r="AA271" s="464"/>
      <c r="AB271" s="464"/>
      <c r="AC271" s="464"/>
      <c r="AD271" s="464"/>
      <c r="AE271" s="464"/>
      <c r="AF271" s="465" t="str">
        <f>IF(AG264=3,AC264,IF(AG265=3,AC265,IF(AG266=3,AC266,"#3 3rd Place")))</f>
        <v>fj2soarj2pm</v>
      </c>
      <c r="AG271" s="466"/>
      <c r="AH271" s="467" t="str">
        <f>IF(AP264=3,AH264,IF(AP265=3,AH265,IF(AP266=3,AH266,"#3 4th Place")))</f>
        <v>C1VB 11 State Greenville</v>
      </c>
      <c r="AI271" s="464"/>
      <c r="AJ271" s="464"/>
      <c r="AK271" s="464"/>
      <c r="AL271" s="464"/>
      <c r="AM271" s="464"/>
      <c r="AN271" s="465" t="str">
        <f>IF(AP264=3,AK264,IF(AP265=3,AK265,IF(AP266=3,AK266,"#3 4th Place")))</f>
        <v>fj1crone1pm</v>
      </c>
      <c r="AO271" s="465"/>
      <c r="AP271" s="466"/>
      <c r="AW271" s="234"/>
      <c r="AX271" s="188"/>
      <c r="AY271" s="188"/>
      <c r="AZ271" s="188"/>
      <c r="BA271" s="188"/>
    </row>
    <row r="272" spans="1:54" s="191" customFormat="1" x14ac:dyDescent="0.2">
      <c r="A272" s="274"/>
      <c r="B272" s="262"/>
      <c r="C272" s="262"/>
      <c r="D272" s="262"/>
      <c r="E272" s="262"/>
      <c r="F272" s="262"/>
      <c r="G272" s="262"/>
      <c r="H272" s="262"/>
      <c r="I272" s="262"/>
      <c r="J272" s="262"/>
      <c r="K272" s="262"/>
      <c r="L272" s="262"/>
      <c r="M272" s="333"/>
      <c r="N272" s="333"/>
      <c r="O272" s="333"/>
      <c r="P272" s="333"/>
      <c r="Q272" s="333"/>
      <c r="R272" s="333"/>
      <c r="S272" s="333"/>
      <c r="T272" s="333"/>
      <c r="U272" s="333"/>
      <c r="V272" s="333"/>
      <c r="W272" s="333"/>
      <c r="AW272" s="234"/>
      <c r="AX272" s="188"/>
      <c r="AY272" s="188"/>
      <c r="AZ272" s="188"/>
      <c r="BA272" s="188"/>
    </row>
    <row r="273" spans="1:56" ht="15.75" x14ac:dyDescent="0.25">
      <c r="A273" s="455" t="s">
        <v>102</v>
      </c>
      <c r="B273" s="455"/>
      <c r="C273" s="455"/>
      <c r="D273" s="455"/>
      <c r="E273" s="455"/>
      <c r="F273" s="455"/>
      <c r="G273" s="455"/>
      <c r="H273" s="455"/>
      <c r="I273" s="455"/>
      <c r="J273" s="455"/>
      <c r="K273" s="455"/>
      <c r="L273" s="455"/>
      <c r="M273" s="455"/>
      <c r="N273" s="455"/>
      <c r="O273" s="455"/>
      <c r="P273" s="455"/>
      <c r="Q273" s="455"/>
      <c r="R273" s="455"/>
      <c r="S273" s="455"/>
      <c r="T273" s="455"/>
      <c r="U273" s="455"/>
      <c r="V273" s="455"/>
      <c r="W273" s="455"/>
      <c r="X273" s="455"/>
      <c r="Y273" s="455"/>
      <c r="Z273" s="455"/>
      <c r="AA273" s="455"/>
      <c r="AB273" s="455"/>
      <c r="AC273" s="455"/>
      <c r="AD273" s="455"/>
      <c r="AE273" s="455"/>
      <c r="AF273" s="455"/>
      <c r="AG273" s="455"/>
      <c r="AH273" s="455"/>
      <c r="AI273" s="455"/>
      <c r="AJ273" s="455"/>
      <c r="AK273" s="455"/>
      <c r="AL273" s="455"/>
      <c r="AM273" s="455"/>
      <c r="AN273" s="455"/>
      <c r="AO273" s="455"/>
      <c r="AP273" s="455"/>
      <c r="AQ273" s="455"/>
      <c r="AT273" s="264"/>
      <c r="AU273" s="264"/>
      <c r="AV273" s="264"/>
    </row>
    <row r="274" spans="1:56" ht="18" x14ac:dyDescent="0.25">
      <c r="A274" s="456" t="s">
        <v>1168</v>
      </c>
      <c r="B274" s="456"/>
      <c r="C274" s="456"/>
      <c r="D274" s="456"/>
      <c r="E274" s="456"/>
      <c r="F274" s="456"/>
      <c r="G274" s="456"/>
      <c r="H274" s="456"/>
      <c r="I274" s="456"/>
      <c r="J274" s="456"/>
      <c r="K274" s="456"/>
      <c r="L274" s="456"/>
      <c r="M274" s="456"/>
      <c r="N274" s="456"/>
      <c r="O274" s="456"/>
      <c r="P274" s="456"/>
      <c r="Q274" s="456"/>
      <c r="R274" s="456"/>
      <c r="S274" s="456"/>
      <c r="T274" s="456"/>
      <c r="U274" s="456"/>
      <c r="V274" s="456"/>
      <c r="W274" s="456"/>
      <c r="X274" s="456"/>
      <c r="Y274" s="456"/>
      <c r="Z274" s="456"/>
      <c r="AA274" s="456"/>
      <c r="AB274" s="456"/>
      <c r="AC274" s="456"/>
      <c r="AD274" s="456"/>
      <c r="AE274" s="456"/>
      <c r="AF274" s="456"/>
      <c r="AG274" s="456"/>
      <c r="AH274" s="456"/>
      <c r="AI274" s="456"/>
      <c r="AJ274" s="456"/>
      <c r="AK274" s="456"/>
      <c r="AL274" s="456"/>
      <c r="AM274" s="456"/>
      <c r="AN274" s="456"/>
      <c r="AO274" s="456"/>
      <c r="AP274" s="456"/>
      <c r="AQ274" s="456"/>
    </row>
    <row r="275" spans="1:56" x14ac:dyDescent="0.2">
      <c r="A275" s="457" t="s">
        <v>1169</v>
      </c>
      <c r="B275" s="457"/>
      <c r="C275" s="457"/>
      <c r="D275" s="457"/>
      <c r="E275" s="457"/>
      <c r="F275" s="457"/>
      <c r="G275" s="457"/>
      <c r="H275" s="457"/>
      <c r="I275" s="457"/>
      <c r="J275" s="457"/>
      <c r="K275" s="457"/>
      <c r="L275" s="457"/>
      <c r="M275" s="457"/>
      <c r="N275" s="457"/>
      <c r="O275" s="457"/>
      <c r="P275" s="457"/>
      <c r="Q275" s="457"/>
      <c r="R275" s="457"/>
      <c r="S275" s="457"/>
      <c r="T275" s="457"/>
      <c r="U275" s="457"/>
      <c r="V275" s="457"/>
      <c r="W275" s="457"/>
      <c r="X275" s="457"/>
      <c r="Y275" s="457"/>
      <c r="Z275" s="457"/>
      <c r="AA275" s="457"/>
      <c r="AB275" s="457"/>
      <c r="AC275" s="457"/>
      <c r="AD275" s="457"/>
      <c r="AE275" s="457"/>
      <c r="AF275" s="457"/>
      <c r="AG275" s="457"/>
      <c r="AH275" s="457"/>
      <c r="AI275" s="457"/>
      <c r="AJ275" s="457"/>
      <c r="AK275" s="457"/>
      <c r="AL275" s="457"/>
      <c r="AM275" s="457"/>
      <c r="AN275" s="457"/>
      <c r="AO275" s="457"/>
      <c r="AP275" s="457"/>
      <c r="AQ275" s="457"/>
    </row>
    <row r="276" spans="1:56" x14ac:dyDescent="0.2">
      <c r="A276" s="457" t="s">
        <v>153</v>
      </c>
      <c r="B276" s="457"/>
      <c r="C276" s="457"/>
      <c r="D276" s="457"/>
      <c r="E276" s="457"/>
      <c r="F276" s="457"/>
      <c r="G276" s="457"/>
      <c r="H276" s="457"/>
      <c r="I276" s="457"/>
      <c r="J276" s="457"/>
      <c r="K276" s="457"/>
      <c r="L276" s="457"/>
      <c r="M276" s="457"/>
      <c r="N276" s="457"/>
      <c r="O276" s="457"/>
      <c r="P276" s="457"/>
      <c r="Q276" s="457"/>
      <c r="R276" s="457"/>
      <c r="S276" s="457"/>
      <c r="T276" s="457"/>
      <c r="U276" s="457"/>
      <c r="V276" s="457"/>
      <c r="W276" s="457"/>
      <c r="X276" s="457"/>
      <c r="Y276" s="457"/>
      <c r="Z276" s="457"/>
      <c r="AA276" s="457"/>
      <c r="AB276" s="457"/>
      <c r="AC276" s="457"/>
      <c r="AD276" s="457"/>
      <c r="AE276" s="457"/>
      <c r="AF276" s="457"/>
      <c r="AG276" s="457"/>
      <c r="AH276" s="457"/>
      <c r="AI276" s="457"/>
      <c r="AJ276" s="457"/>
      <c r="AK276" s="457"/>
      <c r="AL276" s="457"/>
      <c r="AM276" s="457"/>
      <c r="AN276" s="457"/>
      <c r="AO276" s="457"/>
      <c r="AP276" s="457"/>
      <c r="AQ276" s="457"/>
    </row>
    <row r="277" spans="1:56" x14ac:dyDescent="0.2">
      <c r="A277" s="458" t="s">
        <v>104</v>
      </c>
      <c r="B277" s="458"/>
      <c r="C277" s="458"/>
      <c r="D277" s="458"/>
      <c r="E277" s="458"/>
      <c r="F277" s="458"/>
      <c r="G277" s="458"/>
      <c r="H277" s="458"/>
      <c r="I277" s="458"/>
      <c r="J277" s="458"/>
      <c r="K277" s="458"/>
      <c r="L277" s="265"/>
    </row>
    <row r="278" spans="1:56" x14ac:dyDescent="0.2">
      <c r="C278" s="191"/>
      <c r="D278" s="191"/>
      <c r="E278" s="191"/>
      <c r="L278" s="265"/>
    </row>
    <row r="279" spans="1:56" x14ac:dyDescent="0.2">
      <c r="A279" s="432" t="s">
        <v>105</v>
      </c>
      <c r="B279" s="432"/>
      <c r="C279" s="432"/>
      <c r="D279" s="432"/>
      <c r="E279" s="432"/>
      <c r="F279" s="432"/>
      <c r="G279" s="432"/>
      <c r="H279" s="432"/>
      <c r="I279" s="432"/>
      <c r="J279" s="432"/>
      <c r="K279" s="432"/>
      <c r="L279" s="432"/>
      <c r="M279" s="432"/>
      <c r="N279" s="432"/>
      <c r="O279" s="432"/>
      <c r="P279" s="432"/>
      <c r="Q279" s="234"/>
      <c r="S279" s="432" t="s">
        <v>106</v>
      </c>
      <c r="T279" s="432"/>
      <c r="U279" s="432"/>
      <c r="V279" s="432"/>
      <c r="W279" s="432"/>
      <c r="X279" s="432"/>
      <c r="Y279" s="432"/>
      <c r="Z279" s="432"/>
      <c r="AA279" s="432"/>
      <c r="AB279" s="432"/>
      <c r="AC279" s="432"/>
      <c r="AD279" s="432"/>
      <c r="AE279" s="432"/>
      <c r="AF279" s="432"/>
      <c r="AG279" s="432"/>
    </row>
    <row r="281" spans="1:56" ht="13.5" thickBot="1" x14ac:dyDescent="0.25">
      <c r="A281" s="402" t="str">
        <f>IF(B309=1,B301,IF(B309=2,B302,IF(B309=3,B303,IF(B309=4,B304,IF(OR(B309="B",B309="b"),"BYE","invalid")))))</f>
        <v>C1VB 12 Reg Royal Pickens</v>
      </c>
      <c r="B281" s="402"/>
      <c r="C281" s="402"/>
      <c r="D281" s="402"/>
      <c r="E281" s="402"/>
      <c r="F281" s="266"/>
      <c r="G281" s="266"/>
      <c r="H281" s="266"/>
      <c r="I281" s="266"/>
      <c r="J281" s="266"/>
      <c r="K281" s="266"/>
      <c r="L281" s="266"/>
      <c r="M281" s="266"/>
      <c r="N281" s="266"/>
      <c r="O281" s="266"/>
      <c r="T281" s="267"/>
      <c r="U281" s="267"/>
      <c r="V281" s="402" t="str">
        <f>IF(W309=1,X301,IF(W309=2,X302,IF(W309=3,X303,IF(W309=4,X304,IF(OR(W309="B",W309="b"),"BYE","invalid")))))</f>
        <v>Fort Mill VBC 12 Purple</v>
      </c>
      <c r="W281" s="402"/>
      <c r="X281" s="402"/>
      <c r="Y281" s="402"/>
      <c r="Z281" s="402"/>
      <c r="AA281" s="402"/>
      <c r="AB281" s="402"/>
      <c r="AC281" s="266"/>
      <c r="AD281" s="266"/>
      <c r="AE281" s="266"/>
      <c r="AF281" s="266"/>
    </row>
    <row r="282" spans="1:56" x14ac:dyDescent="0.2">
      <c r="A282" s="404" t="s">
        <v>107</v>
      </c>
      <c r="B282" s="404"/>
      <c r="C282" s="404"/>
      <c r="D282" s="404"/>
      <c r="E282" s="404"/>
      <c r="F282" s="268"/>
      <c r="G282" s="266"/>
      <c r="H282" s="266"/>
      <c r="I282" s="266"/>
      <c r="J282" s="266"/>
      <c r="K282" s="266"/>
      <c r="L282" s="266"/>
      <c r="M282" s="266"/>
      <c r="N282" s="266"/>
      <c r="O282" s="266"/>
      <c r="T282" s="269"/>
      <c r="U282" s="269"/>
      <c r="V282" s="426" t="s">
        <v>154</v>
      </c>
      <c r="W282" s="426"/>
      <c r="X282" s="426"/>
      <c r="Y282" s="426"/>
      <c r="Z282" s="426"/>
      <c r="AA282" s="426"/>
      <c r="AB282" s="427"/>
      <c r="AC282" s="266"/>
      <c r="AD282" s="266"/>
      <c r="AE282" s="266"/>
      <c r="AF282" s="266"/>
    </row>
    <row r="283" spans="1:56" x14ac:dyDescent="0.2">
      <c r="A283" s="266"/>
      <c r="B283" s="266"/>
      <c r="C283" s="266"/>
      <c r="D283" s="266"/>
      <c r="E283" s="266"/>
      <c r="F283" s="268"/>
      <c r="G283" s="266"/>
      <c r="H283" s="266"/>
      <c r="I283" s="266"/>
      <c r="J283" s="266"/>
      <c r="K283" s="266"/>
      <c r="L283" s="266"/>
      <c r="M283" s="266"/>
      <c r="N283" s="266"/>
      <c r="O283" s="266"/>
      <c r="S283" s="266"/>
      <c r="T283" s="266"/>
      <c r="U283" s="266"/>
      <c r="V283" s="266"/>
      <c r="W283" s="266"/>
      <c r="X283" s="266"/>
      <c r="Y283" s="266"/>
      <c r="Z283" s="266"/>
      <c r="AA283" s="266"/>
      <c r="AB283" s="306"/>
      <c r="AC283" s="266"/>
      <c r="AD283" s="266"/>
      <c r="AE283" s="266"/>
      <c r="AF283" s="266"/>
    </row>
    <row r="284" spans="1:56" ht="13.5" thickBot="1" x14ac:dyDescent="0.25">
      <c r="A284" s="426" t="str">
        <f>B303&amp;" ref"</f>
        <v>Crossfire 12 ref</v>
      </c>
      <c r="B284" s="426"/>
      <c r="C284" s="426"/>
      <c r="D284" s="426"/>
      <c r="E284" s="427"/>
      <c r="F284" s="421" t="str">
        <f>IF(H309=1,B301,IF(H309=2,B302,IF(H309=3,B303,IF(H309=4,B304,"Winner Match 1"))))</f>
        <v>C1VB 12 Reg Royal Pickens</v>
      </c>
      <c r="G284" s="422"/>
      <c r="H284" s="422"/>
      <c r="I284" s="422"/>
      <c r="J284" s="422"/>
      <c r="K284" s="422"/>
      <c r="L284" s="422"/>
      <c r="M284" s="422"/>
      <c r="N284" s="422"/>
      <c r="O284" s="266"/>
      <c r="Q284" s="270"/>
      <c r="R284" s="270"/>
      <c r="S284" s="270"/>
      <c r="T284" s="270"/>
      <c r="U284" s="426" t="str">
        <f>X303&amp;" ref"</f>
        <v>CSRA Heat 12 Gold ref</v>
      </c>
      <c r="V284" s="426"/>
      <c r="W284" s="426"/>
      <c r="X284" s="426"/>
      <c r="Y284" s="426"/>
      <c r="Z284" s="426"/>
      <c r="AA284" s="426"/>
      <c r="AB284" s="427"/>
      <c r="AC284" s="421" t="str">
        <f>IF(AC309=1,X301,IF(AC309=2,X302,IF(AC309=3,X303,IF(AC309=4,X304,"Winner Match 1"))))</f>
        <v>SOAR RISE 12U</v>
      </c>
      <c r="AD284" s="422"/>
      <c r="AE284" s="422"/>
      <c r="AF284" s="422"/>
      <c r="AG284" s="422"/>
      <c r="AH284" s="422"/>
      <c r="AI284" s="422"/>
    </row>
    <row r="285" spans="1:56" x14ac:dyDescent="0.2">
      <c r="A285" s="419" t="s">
        <v>109</v>
      </c>
      <c r="B285" s="419"/>
      <c r="C285" s="419"/>
      <c r="D285" s="419"/>
      <c r="E285" s="419"/>
      <c r="F285" s="428"/>
      <c r="G285" s="429"/>
      <c r="H285" s="429"/>
      <c r="I285" s="430"/>
      <c r="J285" s="417"/>
      <c r="K285" s="418"/>
      <c r="L285" s="418"/>
      <c r="M285" s="418"/>
      <c r="N285" s="418"/>
      <c r="O285" s="266"/>
      <c r="P285" s="266"/>
      <c r="Q285" s="271"/>
      <c r="R285" s="194"/>
      <c r="S285" s="272"/>
      <c r="T285" s="272"/>
      <c r="U285" s="454" t="s">
        <v>110</v>
      </c>
      <c r="V285" s="454"/>
      <c r="W285" s="454"/>
      <c r="X285" s="454"/>
      <c r="Y285" s="454"/>
      <c r="Z285" s="454"/>
      <c r="AA285" s="454"/>
      <c r="AB285" s="306"/>
      <c r="AC285" s="428"/>
      <c r="AD285" s="429"/>
      <c r="AE285" s="429"/>
      <c r="AF285" s="430"/>
      <c r="AG285" s="417"/>
      <c r="AH285" s="418"/>
      <c r="AI285" s="418"/>
    </row>
    <row r="286" spans="1:56" ht="13.5" thickBot="1" x14ac:dyDescent="0.25">
      <c r="A286" s="402" t="str">
        <f>IF(D309=1,B301,IF(D309=2,B302,IF(D309=3,B303,IF(D309=4,B304,IF(OR(D309="B",D309="b"),"BYE","invalid")))))</f>
        <v>Excell U12 Club</v>
      </c>
      <c r="B286" s="402"/>
      <c r="C286" s="402"/>
      <c r="D286" s="402"/>
      <c r="E286" s="403"/>
      <c r="F286" s="268"/>
      <c r="G286" s="266"/>
      <c r="H286" s="266"/>
      <c r="I286" s="266"/>
      <c r="J286" s="268"/>
      <c r="K286" s="266"/>
      <c r="L286" s="266"/>
      <c r="M286" s="266"/>
      <c r="N286" s="266"/>
      <c r="O286" s="266"/>
      <c r="P286" s="266"/>
      <c r="Q286" s="266"/>
      <c r="U286" s="266"/>
      <c r="V286" s="402" t="str">
        <f>IF(Y309=1,X301,IF(Y309=2,X302,IF(Y309=3,X303,IF(Y309=4,X304,IF(OR(Y309="B",Y309="b"),"BYE","invalid")))))</f>
        <v>SOAR RISE 12U</v>
      </c>
      <c r="W286" s="402"/>
      <c r="X286" s="402"/>
      <c r="Y286" s="402"/>
      <c r="Z286" s="402"/>
      <c r="AA286" s="402"/>
      <c r="AB286" s="403"/>
      <c r="AC286" s="266"/>
      <c r="AD286" s="266"/>
      <c r="AE286" s="266"/>
      <c r="AF286" s="306"/>
      <c r="AG286" s="266"/>
      <c r="AH286" s="266"/>
      <c r="AW286" s="238"/>
      <c r="AX286" s="235"/>
      <c r="AY286" s="235"/>
      <c r="AZ286" s="235"/>
      <c r="BA286" s="235"/>
    </row>
    <row r="287" spans="1:56" x14ac:dyDescent="0.2">
      <c r="A287" s="404" t="s">
        <v>155</v>
      </c>
      <c r="B287" s="404"/>
      <c r="C287" s="404"/>
      <c r="D287" s="404"/>
      <c r="E287" s="404"/>
      <c r="F287" s="266"/>
      <c r="G287" s="266"/>
      <c r="H287" s="266"/>
      <c r="I287" s="266"/>
      <c r="J287" s="268"/>
      <c r="K287" s="266"/>
      <c r="L287" s="266"/>
      <c r="M287" s="266"/>
      <c r="N287" s="266"/>
      <c r="O287" s="266"/>
      <c r="P287" s="266"/>
      <c r="Q287" s="266"/>
      <c r="V287" s="453" t="s">
        <v>156</v>
      </c>
      <c r="W287" s="453"/>
      <c r="X287" s="453"/>
      <c r="Y287" s="453"/>
      <c r="Z287" s="453"/>
      <c r="AA287" s="453"/>
      <c r="AB287" s="453"/>
      <c r="AC287" s="266"/>
      <c r="AD287" s="266"/>
      <c r="AE287" s="266"/>
      <c r="AF287" s="306"/>
      <c r="AG287" s="266"/>
      <c r="AH287" s="266"/>
      <c r="AR287" s="273"/>
      <c r="AS287" s="273"/>
      <c r="AW287" s="238"/>
      <c r="AX287" s="235"/>
      <c r="AY287" s="235"/>
      <c r="AZ287" s="235"/>
      <c r="BA287" s="235"/>
      <c r="BB287" s="273"/>
      <c r="BC287" s="273"/>
      <c r="BD287" s="273"/>
    </row>
    <row r="288" spans="1:56" x14ac:dyDescent="0.2">
      <c r="A288" s="266"/>
      <c r="B288" s="266"/>
      <c r="C288" s="266"/>
      <c r="D288" s="266"/>
      <c r="E288" s="266"/>
      <c r="F288" s="413" t="s">
        <v>113</v>
      </c>
      <c r="G288" s="413"/>
      <c r="H288" s="413"/>
      <c r="I288" s="423"/>
      <c r="J288" s="268"/>
      <c r="K288" s="266"/>
      <c r="L288" s="266"/>
      <c r="M288" s="266"/>
      <c r="N288" s="266"/>
      <c r="O288" s="266"/>
      <c r="P288" s="266"/>
      <c r="Q288" s="266"/>
      <c r="S288" s="266"/>
      <c r="T288" s="266"/>
      <c r="U288" s="266"/>
      <c r="V288" s="266"/>
      <c r="W288" s="266"/>
      <c r="X288" s="270"/>
      <c r="Y288" s="270"/>
      <c r="Z288" s="270"/>
      <c r="AB288" s="270"/>
      <c r="AC288" s="413" t="s">
        <v>113</v>
      </c>
      <c r="AD288" s="413"/>
      <c r="AE288" s="413"/>
      <c r="AF288" s="423"/>
      <c r="AG288" s="266"/>
      <c r="AH288" s="266"/>
      <c r="AW288" s="238"/>
      <c r="AX288" s="235"/>
      <c r="AY288" s="235"/>
      <c r="AZ288" s="235"/>
      <c r="BA288" s="235"/>
    </row>
    <row r="289" spans="1:53" ht="13.5" thickBot="1" x14ac:dyDescent="0.25">
      <c r="A289" s="266"/>
      <c r="B289" s="266"/>
      <c r="C289" s="266"/>
      <c r="D289" s="266"/>
      <c r="E289" s="266"/>
      <c r="F289" s="266"/>
      <c r="G289" s="266"/>
      <c r="H289" s="266"/>
      <c r="I289" s="266"/>
      <c r="J289" s="424" t="str">
        <f>IF(K314=1,B301,IF(K314=2,B302,IF(K314=3,B303,IF(K314=4,B304,"Division Winner"))))</f>
        <v>C1VB 12 Regional Grvl</v>
      </c>
      <c r="K289" s="425"/>
      <c r="L289" s="425"/>
      <c r="M289" s="425"/>
      <c r="N289" s="425"/>
      <c r="O289" s="425"/>
      <c r="P289" s="425"/>
      <c r="Q289" s="425"/>
      <c r="R289" s="267"/>
      <c r="S289" s="266"/>
      <c r="T289" s="266"/>
      <c r="U289" s="266"/>
      <c r="V289" s="266"/>
      <c r="W289" s="266"/>
      <c r="X289" s="266"/>
      <c r="Y289" s="266"/>
      <c r="Z289" s="266"/>
      <c r="AA289" s="266"/>
      <c r="AB289" s="275"/>
      <c r="AC289" s="275"/>
      <c r="AD289" s="275"/>
      <c r="AE289" s="275"/>
      <c r="AF289" s="308"/>
      <c r="AG289" s="424" t="str">
        <f>IF(AF314=1,X301,IF(AF314=2,X302,IF(AF314=3,X303,IF(AF314=4,X304,"Division Winner"))))</f>
        <v>CSRA Heat 12 Gold</v>
      </c>
      <c r="AH289" s="425"/>
      <c r="AI289" s="425"/>
      <c r="AJ289" s="425"/>
      <c r="AK289" s="425"/>
      <c r="AL289" s="425"/>
      <c r="AW289" s="238"/>
      <c r="AX289" s="235"/>
      <c r="AY289" s="235"/>
      <c r="AZ289" s="235"/>
      <c r="BA289" s="235"/>
    </row>
    <row r="290" spans="1:53" ht="13.5" thickBot="1" x14ac:dyDescent="0.25">
      <c r="A290" s="402" t="str">
        <f>IF(E309=1,B301,IF(E309=2,B302,IF(E309=3,B303,IF(E309=4,B304,IF(OR(E309="B",E309="b"),"BYE","invalid")))))</f>
        <v>C1VB 12 Regional Grvl</v>
      </c>
      <c r="B290" s="402"/>
      <c r="C290" s="402"/>
      <c r="D290" s="402"/>
      <c r="E290" s="402"/>
      <c r="F290" s="419" t="s">
        <v>114</v>
      </c>
      <c r="G290" s="419"/>
      <c r="H290" s="419"/>
      <c r="I290" s="419"/>
      <c r="J290" s="412" t="s">
        <v>115</v>
      </c>
      <c r="K290" s="413"/>
      <c r="L290" s="413"/>
      <c r="M290" s="413"/>
      <c r="N290" s="413"/>
      <c r="O290" s="413"/>
      <c r="P290" s="413"/>
      <c r="Q290" s="413"/>
      <c r="S290" s="275"/>
      <c r="T290" s="275"/>
      <c r="U290" s="275"/>
      <c r="V290" s="402" t="str">
        <f>IF(Z309=1,X301,IF(Z309=2,X302,IF(Z309=3,X303,IF(Z309=4,X304,IF(OR(Z309="B",Z309="b"),"BYE","invalid")))))</f>
        <v>SC Midlands 13 Garnet</v>
      </c>
      <c r="W290" s="402"/>
      <c r="X290" s="402"/>
      <c r="Y290" s="402"/>
      <c r="Z290" s="402"/>
      <c r="AA290" s="402"/>
      <c r="AB290" s="402"/>
      <c r="AC290" s="419" t="s">
        <v>116</v>
      </c>
      <c r="AD290" s="419"/>
      <c r="AE290" s="419"/>
      <c r="AF290" s="420"/>
      <c r="AG290" s="412" t="s">
        <v>117</v>
      </c>
      <c r="AH290" s="413"/>
      <c r="AI290" s="413"/>
      <c r="AJ290" s="413"/>
      <c r="AK290" s="413"/>
      <c r="AL290" s="413"/>
      <c r="AW290" s="238"/>
      <c r="AX290" s="235"/>
      <c r="AY290" s="235"/>
      <c r="AZ290" s="235"/>
      <c r="BA290" s="235"/>
    </row>
    <row r="291" spans="1:53" x14ac:dyDescent="0.2">
      <c r="A291" s="404" t="s">
        <v>118</v>
      </c>
      <c r="B291" s="404"/>
      <c r="C291" s="404"/>
      <c r="D291" s="404"/>
      <c r="E291" s="404"/>
      <c r="F291" s="268"/>
      <c r="G291" s="266"/>
      <c r="H291" s="266"/>
      <c r="I291" s="266"/>
      <c r="J291" s="412"/>
      <c r="K291" s="413"/>
      <c r="L291" s="413"/>
      <c r="M291" s="413"/>
      <c r="N291" s="413"/>
      <c r="O291" s="413"/>
      <c r="P291" s="413"/>
      <c r="Q291" s="413"/>
      <c r="R291" s="266"/>
      <c r="S291" s="273"/>
      <c r="T291" s="273"/>
      <c r="U291" s="273"/>
      <c r="V291" s="426" t="s">
        <v>157</v>
      </c>
      <c r="W291" s="426"/>
      <c r="X291" s="426"/>
      <c r="Y291" s="426"/>
      <c r="Z291" s="426"/>
      <c r="AA291" s="426"/>
      <c r="AB291" s="427"/>
      <c r="AC291" s="266"/>
      <c r="AD291" s="266"/>
      <c r="AE291" s="266"/>
      <c r="AF291" s="306"/>
      <c r="AG291" s="266"/>
      <c r="AH291" s="266"/>
      <c r="AW291" s="238"/>
      <c r="AX291" s="235"/>
      <c r="AY291" s="235"/>
      <c r="AZ291" s="235"/>
      <c r="BA291" s="235"/>
    </row>
    <row r="292" spans="1:53" x14ac:dyDescent="0.2">
      <c r="A292" s="266"/>
      <c r="B292" s="266"/>
      <c r="C292" s="266"/>
      <c r="D292" s="266"/>
      <c r="E292" s="266"/>
      <c r="F292" s="268"/>
      <c r="G292" s="266"/>
      <c r="H292" s="266"/>
      <c r="I292" s="266"/>
      <c r="J292" s="268"/>
      <c r="K292" s="266"/>
      <c r="L292" s="266"/>
      <c r="M292" s="266"/>
      <c r="N292" s="266"/>
      <c r="O292" s="266"/>
      <c r="Q292" s="266"/>
      <c r="R292" s="266"/>
      <c r="S292" s="266"/>
      <c r="T292" s="266"/>
      <c r="U292" s="266"/>
      <c r="V292" s="266"/>
      <c r="W292" s="266"/>
      <c r="X292" s="266"/>
      <c r="Y292" s="266"/>
      <c r="Z292" s="266"/>
      <c r="AA292" s="266"/>
      <c r="AB292" s="306"/>
      <c r="AC292" s="268"/>
      <c r="AD292" s="266"/>
      <c r="AE292" s="266"/>
      <c r="AF292" s="306"/>
      <c r="AG292" s="266"/>
      <c r="AH292" s="266"/>
      <c r="AW292" s="238"/>
      <c r="AX292" s="235"/>
      <c r="AY292" s="235"/>
      <c r="AZ292" s="235"/>
      <c r="BA292" s="235"/>
    </row>
    <row r="293" spans="1:53" ht="13.5" thickBot="1" x14ac:dyDescent="0.25">
      <c r="A293" s="413" t="s">
        <v>120</v>
      </c>
      <c r="B293" s="413"/>
      <c r="C293" s="413"/>
      <c r="D293" s="413"/>
      <c r="E293" s="271"/>
      <c r="F293" s="414"/>
      <c r="G293" s="415"/>
      <c r="H293" s="415"/>
      <c r="I293" s="416"/>
      <c r="J293" s="417"/>
      <c r="K293" s="418"/>
      <c r="L293" s="418"/>
      <c r="M293" s="418"/>
      <c r="N293" s="418"/>
      <c r="O293" s="266"/>
      <c r="R293" s="270"/>
      <c r="S293" s="270"/>
      <c r="T293" s="270"/>
      <c r="U293" s="413" t="s">
        <v>120</v>
      </c>
      <c r="V293" s="413"/>
      <c r="W293" s="413"/>
      <c r="X293" s="413"/>
      <c r="Y293" s="413"/>
      <c r="Z293" s="413"/>
      <c r="AA293" s="413"/>
      <c r="AB293" s="266"/>
      <c r="AC293" s="414"/>
      <c r="AD293" s="415"/>
      <c r="AE293" s="415"/>
      <c r="AF293" s="416"/>
      <c r="AG293" s="417"/>
      <c r="AH293" s="418"/>
      <c r="AI293" s="418"/>
      <c r="AW293" s="238"/>
      <c r="AX293" s="235"/>
      <c r="AY293" s="235"/>
      <c r="AZ293" s="235"/>
      <c r="BA293" s="235"/>
    </row>
    <row r="294" spans="1:53" x14ac:dyDescent="0.2">
      <c r="A294" s="419" t="s">
        <v>109</v>
      </c>
      <c r="B294" s="419"/>
      <c r="C294" s="419"/>
      <c r="D294" s="419"/>
      <c r="E294" s="420"/>
      <c r="F294" s="421" t="str">
        <f>IF(J309=1,B301,IF(J309=2,B302,IF(J309=3,B303,IF(J309=4,B304,"Winner Match 2"))))</f>
        <v>C1VB 12 Regional Grvl</v>
      </c>
      <c r="G294" s="422"/>
      <c r="H294" s="422"/>
      <c r="I294" s="422"/>
      <c r="J294" s="422"/>
      <c r="K294" s="422"/>
      <c r="L294" s="422"/>
      <c r="M294" s="422"/>
      <c r="N294" s="422"/>
      <c r="O294" s="266"/>
      <c r="Q294" s="271"/>
      <c r="R294" s="271"/>
      <c r="T294" s="272"/>
      <c r="U294" s="419" t="s">
        <v>110</v>
      </c>
      <c r="V294" s="419"/>
      <c r="W294" s="419"/>
      <c r="X294" s="419"/>
      <c r="Y294" s="419"/>
      <c r="Z294" s="419"/>
      <c r="AA294" s="419"/>
      <c r="AB294" s="306"/>
      <c r="AC294" s="421" t="str">
        <f>IF(AE309=1,X301,IF(AE309=2,X302,IF(AE309=3,X303,IF(AE309=4,X304,"Winner Match 2"))))</f>
        <v>CSRA Heat 12 Gold</v>
      </c>
      <c r="AD294" s="422"/>
      <c r="AE294" s="422"/>
      <c r="AF294" s="422"/>
      <c r="AG294" s="422"/>
      <c r="AH294" s="422"/>
      <c r="AI294" s="422"/>
      <c r="AW294" s="238"/>
      <c r="AX294" s="235"/>
      <c r="AY294" s="235"/>
      <c r="AZ294" s="235"/>
      <c r="BA294" s="235"/>
    </row>
    <row r="295" spans="1:53" ht="13.5" thickBot="1" x14ac:dyDescent="0.25">
      <c r="A295" s="402" t="str">
        <f>IF(G309=1,B301,IF(G309=2,B302,IF(G309=3,B303,IF(G309=4,B304,IF(OR(G309="B",G309="b"),"BYE","invalid")))))</f>
        <v>Crossfire 12</v>
      </c>
      <c r="B295" s="402"/>
      <c r="C295" s="402"/>
      <c r="D295" s="402"/>
      <c r="E295" s="403"/>
      <c r="F295" s="268"/>
      <c r="G295" s="266"/>
      <c r="H295" s="266"/>
      <c r="I295" s="266"/>
      <c r="J295" s="266"/>
      <c r="K295" s="266"/>
      <c r="L295" s="266"/>
      <c r="M295" s="266"/>
      <c r="N295" s="266"/>
      <c r="O295" s="266"/>
      <c r="Q295" s="266"/>
      <c r="R295" s="266"/>
      <c r="S295" s="266"/>
      <c r="T295" s="275"/>
      <c r="U295" s="275"/>
      <c r="V295" s="402" t="str">
        <f>IF(AB309=1,X301,IF(AB309=2,X302,IF(AB309=3,X303,IF(AB309=4,X304,IF(OR(AB309="B",AB309="b"),"BYE","invalid")))))</f>
        <v>CSRA Heat 12 Gold</v>
      </c>
      <c r="W295" s="402"/>
      <c r="X295" s="402"/>
      <c r="Y295" s="402"/>
      <c r="Z295" s="402"/>
      <c r="AA295" s="402"/>
      <c r="AB295" s="403"/>
      <c r="AC295" s="266"/>
      <c r="AD295" s="266"/>
      <c r="AE295" s="266"/>
      <c r="AF295" s="266"/>
      <c r="AW295" s="238"/>
      <c r="AX295" s="235"/>
      <c r="AY295" s="235"/>
      <c r="AZ295" s="235"/>
      <c r="BA295" s="235"/>
    </row>
    <row r="296" spans="1:53" x14ac:dyDescent="0.2">
      <c r="A296" s="404" t="s">
        <v>1170</v>
      </c>
      <c r="B296" s="404"/>
      <c r="C296" s="404"/>
      <c r="D296" s="404"/>
      <c r="E296" s="404"/>
      <c r="T296" s="273"/>
      <c r="U296" s="273"/>
      <c r="V296" s="426" t="s">
        <v>159</v>
      </c>
      <c r="W296" s="426"/>
      <c r="X296" s="426"/>
      <c r="Y296" s="426"/>
      <c r="Z296" s="426"/>
      <c r="AA296" s="426"/>
      <c r="AB296" s="426"/>
      <c r="AW296" s="238"/>
      <c r="AX296" s="235"/>
      <c r="AY296" s="235"/>
      <c r="AZ296" s="235"/>
      <c r="BA296" s="235"/>
    </row>
    <row r="297" spans="1:53" x14ac:dyDescent="0.2">
      <c r="AT297" s="235"/>
      <c r="AU297" s="235"/>
      <c r="AV297" s="235"/>
      <c r="AW297" s="238"/>
      <c r="AX297" s="235"/>
      <c r="AY297" s="235"/>
      <c r="AZ297" s="235"/>
      <c r="BA297" s="235"/>
    </row>
    <row r="298" spans="1:53" x14ac:dyDescent="0.2">
      <c r="AT298" s="235"/>
      <c r="AU298" s="235"/>
      <c r="AV298" s="235"/>
      <c r="AW298" s="238"/>
      <c r="AX298" s="235"/>
      <c r="AY298" s="235"/>
      <c r="AZ298" s="235"/>
      <c r="BA298" s="235"/>
    </row>
    <row r="299" spans="1:53" ht="16.5" thickBot="1" x14ac:dyDescent="0.3">
      <c r="A299" s="405" t="s">
        <v>123</v>
      </c>
      <c r="B299" s="405"/>
      <c r="C299" s="405"/>
      <c r="D299" s="405"/>
      <c r="E299" s="405"/>
      <c r="F299" s="405"/>
      <c r="G299" s="405"/>
      <c r="H299" s="405"/>
      <c r="I299" s="405"/>
      <c r="J299" s="405"/>
      <c r="K299" s="311"/>
      <c r="R299" s="263"/>
      <c r="S299" s="263"/>
      <c r="T299" s="263"/>
      <c r="U299" s="405" t="s">
        <v>124</v>
      </c>
      <c r="V299" s="405"/>
      <c r="W299" s="405"/>
      <c r="X299" s="405"/>
      <c r="Y299" s="405"/>
      <c r="Z299" s="405"/>
      <c r="AA299" s="405"/>
      <c r="AB299" s="405"/>
      <c r="AC299" s="405"/>
      <c r="AD299" s="405"/>
      <c r="AE299" s="405"/>
      <c r="AF299" s="405"/>
      <c r="AT299" s="235"/>
      <c r="AU299" s="235"/>
      <c r="AV299" s="235"/>
      <c r="AW299" s="238"/>
      <c r="AX299" s="235"/>
      <c r="AY299" s="235"/>
      <c r="AZ299" s="235"/>
      <c r="BA299" s="235"/>
    </row>
    <row r="300" spans="1:53" ht="13.5" thickBot="1" x14ac:dyDescent="0.25">
      <c r="A300" s="277" t="s">
        <v>125</v>
      </c>
      <c r="B300" s="406" t="s">
        <v>126</v>
      </c>
      <c r="C300" s="407"/>
      <c r="D300" s="407"/>
      <c r="E300" s="407"/>
      <c r="F300" s="407"/>
      <c r="G300" s="407"/>
      <c r="H300" s="407"/>
      <c r="I300" s="407"/>
      <c r="J300" s="408"/>
      <c r="K300" s="409" t="s">
        <v>127</v>
      </c>
      <c r="L300" s="410"/>
      <c r="M300" s="410"/>
      <c r="N300" s="410"/>
      <c r="O300" s="410"/>
      <c r="P300" s="410"/>
      <c r="Q300" s="411"/>
      <c r="R300" s="266"/>
      <c r="U300" s="450" t="s">
        <v>125</v>
      </c>
      <c r="V300" s="451"/>
      <c r="W300" s="452"/>
      <c r="X300" s="406" t="s">
        <v>126</v>
      </c>
      <c r="Y300" s="407"/>
      <c r="Z300" s="407"/>
      <c r="AA300" s="407"/>
      <c r="AB300" s="407"/>
      <c r="AC300" s="407"/>
      <c r="AD300" s="407"/>
      <c r="AE300" s="407"/>
      <c r="AF300" s="408"/>
      <c r="AG300" s="409" t="s">
        <v>127</v>
      </c>
      <c r="AH300" s="410"/>
      <c r="AI300" s="410"/>
      <c r="AJ300" s="410"/>
      <c r="AK300" s="410"/>
      <c r="AL300" s="410"/>
      <c r="AM300" s="411"/>
      <c r="AT300" s="235"/>
      <c r="AU300" s="235"/>
      <c r="AV300" s="235"/>
      <c r="AW300" s="238"/>
      <c r="AX300" s="235"/>
      <c r="AY300" s="235"/>
      <c r="AZ300" s="235"/>
      <c r="BA300" s="235"/>
    </row>
    <row r="301" spans="1:53" ht="13.5" thickBot="1" x14ac:dyDescent="0.25">
      <c r="A301" s="277">
        <v>1</v>
      </c>
      <c r="B301" s="396" t="str">
        <f>B264</f>
        <v>C1VB 12 Reg Royal Pickens</v>
      </c>
      <c r="C301" s="397"/>
      <c r="D301" s="397"/>
      <c r="E301" s="397"/>
      <c r="F301" s="397"/>
      <c r="G301" s="397"/>
      <c r="H301" s="397"/>
      <c r="I301" s="397"/>
      <c r="J301" s="398"/>
      <c r="K301" s="399" t="str">
        <f>F264</f>
        <v>fj2crone3pm</v>
      </c>
      <c r="L301" s="400"/>
      <c r="M301" s="400"/>
      <c r="N301" s="400"/>
      <c r="O301" s="400"/>
      <c r="P301" s="400"/>
      <c r="Q301" s="401"/>
      <c r="R301" s="266"/>
      <c r="U301" s="450">
        <v>1</v>
      </c>
      <c r="V301" s="451"/>
      <c r="W301" s="452"/>
      <c r="X301" s="396" t="str">
        <f>M270</f>
        <v>Fort Mill VBC 12 Purple</v>
      </c>
      <c r="Y301" s="397"/>
      <c r="Z301" s="397"/>
      <c r="AA301" s="397"/>
      <c r="AB301" s="397"/>
      <c r="AC301" s="397"/>
      <c r="AD301" s="397"/>
      <c r="AE301" s="397"/>
      <c r="AF301" s="398"/>
      <c r="AG301" s="399" t="str">
        <f>T270</f>
        <v>fj2fortm1pm</v>
      </c>
      <c r="AH301" s="400"/>
      <c r="AI301" s="400"/>
      <c r="AJ301" s="400"/>
      <c r="AK301" s="400"/>
      <c r="AL301" s="400"/>
      <c r="AM301" s="401"/>
      <c r="AT301" s="235"/>
      <c r="AU301" s="235"/>
      <c r="AV301" s="235"/>
      <c r="AW301" s="238"/>
      <c r="AX301" s="235"/>
      <c r="AY301" s="235"/>
      <c r="AZ301" s="235"/>
      <c r="BA301" s="235"/>
    </row>
    <row r="302" spans="1:53" ht="13.5" thickBot="1" x14ac:dyDescent="0.25">
      <c r="A302" s="277">
        <v>2</v>
      </c>
      <c r="B302" s="396" t="str">
        <f>B265</f>
        <v>C1VB 12 Regional Grvl</v>
      </c>
      <c r="C302" s="397"/>
      <c r="D302" s="397"/>
      <c r="E302" s="397"/>
      <c r="F302" s="397"/>
      <c r="G302" s="397"/>
      <c r="H302" s="397"/>
      <c r="I302" s="397"/>
      <c r="J302" s="398"/>
      <c r="K302" s="399" t="str">
        <f>F265</f>
        <v>fj2crone1pm</v>
      </c>
      <c r="L302" s="400"/>
      <c r="M302" s="400"/>
      <c r="N302" s="400"/>
      <c r="O302" s="400"/>
      <c r="P302" s="400"/>
      <c r="Q302" s="401"/>
      <c r="R302" s="266"/>
      <c r="U302" s="450">
        <v>2</v>
      </c>
      <c r="V302" s="451"/>
      <c r="W302" s="452"/>
      <c r="X302" s="396" t="str">
        <f>M271</f>
        <v>SC Midlands 13 Garnet</v>
      </c>
      <c r="Y302" s="397"/>
      <c r="Z302" s="397"/>
      <c r="AA302" s="397"/>
      <c r="AB302" s="397"/>
      <c r="AC302" s="397"/>
      <c r="AD302" s="397"/>
      <c r="AE302" s="397"/>
      <c r="AF302" s="398"/>
      <c r="AG302" s="399" t="str">
        <f>T271</f>
        <v>fj3scmid3pm</v>
      </c>
      <c r="AH302" s="400"/>
      <c r="AI302" s="400"/>
      <c r="AJ302" s="400"/>
      <c r="AK302" s="400"/>
      <c r="AL302" s="400"/>
      <c r="AM302" s="401"/>
      <c r="AT302" s="235"/>
      <c r="AU302" s="235"/>
      <c r="AV302" s="235"/>
      <c r="AW302" s="238"/>
      <c r="AX302" s="235"/>
      <c r="AY302" s="235"/>
      <c r="AZ302" s="235"/>
      <c r="BA302" s="235"/>
    </row>
    <row r="303" spans="1:53" ht="13.5" thickBot="1" x14ac:dyDescent="0.25">
      <c r="A303" s="277">
        <v>3</v>
      </c>
      <c r="B303" s="396" t="str">
        <f>B266</f>
        <v>Crossfire 12</v>
      </c>
      <c r="C303" s="397"/>
      <c r="D303" s="397"/>
      <c r="E303" s="397"/>
      <c r="F303" s="397"/>
      <c r="G303" s="397"/>
      <c r="H303" s="397"/>
      <c r="I303" s="397"/>
      <c r="J303" s="398"/>
      <c r="K303" s="399" t="str">
        <f>F266</f>
        <v>fj2crosf1pm</v>
      </c>
      <c r="L303" s="400"/>
      <c r="M303" s="400"/>
      <c r="N303" s="400"/>
      <c r="O303" s="400"/>
      <c r="P303" s="400"/>
      <c r="Q303" s="401"/>
      <c r="R303" s="266"/>
      <c r="U303" s="450">
        <v>3</v>
      </c>
      <c r="V303" s="451"/>
      <c r="W303" s="452"/>
      <c r="X303" s="396" t="str">
        <f>X269</f>
        <v>CSRA Heat 12 Gold</v>
      </c>
      <c r="Y303" s="397"/>
      <c r="Z303" s="397"/>
      <c r="AA303" s="397"/>
      <c r="AB303" s="397"/>
      <c r="AC303" s="397"/>
      <c r="AD303" s="397"/>
      <c r="AE303" s="397"/>
      <c r="AF303" s="398"/>
      <c r="AG303" s="399" t="str">
        <f>AF269</f>
        <v>fj2csrah1pm</v>
      </c>
      <c r="AH303" s="400"/>
      <c r="AI303" s="400"/>
      <c r="AJ303" s="400"/>
      <c r="AK303" s="400"/>
      <c r="AL303" s="400"/>
      <c r="AM303" s="401"/>
      <c r="AT303" s="235"/>
      <c r="AU303" s="235"/>
      <c r="AV303" s="235"/>
      <c r="AW303" s="238"/>
      <c r="AX303" s="235"/>
      <c r="AY303" s="235"/>
      <c r="AZ303" s="235"/>
      <c r="BA303" s="235"/>
    </row>
    <row r="304" spans="1:53" ht="13.5" thickBot="1" x14ac:dyDescent="0.25">
      <c r="A304" s="277">
        <v>4</v>
      </c>
      <c r="B304" s="447" t="str">
        <f>M269</f>
        <v>Excell U12 Club</v>
      </c>
      <c r="C304" s="448"/>
      <c r="D304" s="448"/>
      <c r="E304" s="448"/>
      <c r="F304" s="448"/>
      <c r="G304" s="448"/>
      <c r="H304" s="448"/>
      <c r="I304" s="448"/>
      <c r="J304" s="449"/>
      <c r="K304" s="399" t="str">
        <f>T269</f>
        <v>fj2excel1pm</v>
      </c>
      <c r="L304" s="400"/>
      <c r="M304" s="400"/>
      <c r="N304" s="400"/>
      <c r="O304" s="400"/>
      <c r="P304" s="400"/>
      <c r="Q304" s="401"/>
      <c r="R304" s="266"/>
      <c r="U304" s="450">
        <v>4</v>
      </c>
      <c r="V304" s="451"/>
      <c r="W304" s="452"/>
      <c r="X304" s="396" t="str">
        <f>X270</f>
        <v>SOAR RISE 12U</v>
      </c>
      <c r="Y304" s="397"/>
      <c r="Z304" s="397"/>
      <c r="AA304" s="397"/>
      <c r="AB304" s="397"/>
      <c r="AC304" s="397"/>
      <c r="AD304" s="397"/>
      <c r="AE304" s="397"/>
      <c r="AF304" s="398"/>
      <c r="AG304" s="399" t="str">
        <f>AF270</f>
        <v>fj2soarj1pm</v>
      </c>
      <c r="AH304" s="400"/>
      <c r="AI304" s="400"/>
      <c r="AJ304" s="400"/>
      <c r="AK304" s="400"/>
      <c r="AL304" s="400"/>
      <c r="AM304" s="401"/>
      <c r="AT304" s="235"/>
      <c r="AU304" s="235"/>
      <c r="AV304" s="235"/>
      <c r="AW304" s="238"/>
      <c r="AX304" s="235"/>
      <c r="AY304" s="235"/>
      <c r="AZ304" s="235"/>
      <c r="BA304" s="235"/>
    </row>
    <row r="305" spans="1:71" ht="13.5" thickBot="1" x14ac:dyDescent="0.25">
      <c r="AT305" s="235"/>
      <c r="AU305" s="235"/>
      <c r="AV305" s="235"/>
      <c r="AW305" s="238"/>
      <c r="AX305" s="235"/>
      <c r="AY305" s="235"/>
      <c r="AZ305" s="235"/>
      <c r="BA305" s="235"/>
    </row>
    <row r="306" spans="1:71" x14ac:dyDescent="0.2">
      <c r="B306" s="372" t="s">
        <v>128</v>
      </c>
      <c r="C306" s="373"/>
      <c r="D306" s="374"/>
      <c r="E306" s="375" t="s">
        <v>128</v>
      </c>
      <c r="F306" s="373"/>
      <c r="G306" s="374"/>
      <c r="H306" s="375" t="s">
        <v>11</v>
      </c>
      <c r="I306" s="373"/>
      <c r="J306" s="376"/>
      <c r="K306" s="377" t="s">
        <v>129</v>
      </c>
      <c r="L306" s="378"/>
      <c r="M306" s="378"/>
      <c r="N306" s="378"/>
      <c r="O306" s="378"/>
      <c r="P306" s="378"/>
      <c r="Q306" s="379"/>
      <c r="R306" s="278"/>
      <c r="S306" s="278"/>
      <c r="T306" s="278"/>
      <c r="U306" s="278"/>
      <c r="W306" s="372" t="s">
        <v>128</v>
      </c>
      <c r="X306" s="373"/>
      <c r="Y306" s="374"/>
      <c r="Z306" s="375" t="s">
        <v>128</v>
      </c>
      <c r="AA306" s="373"/>
      <c r="AB306" s="374"/>
      <c r="AC306" s="375" t="s">
        <v>11</v>
      </c>
      <c r="AD306" s="373"/>
      <c r="AE306" s="376"/>
      <c r="AF306" s="377" t="s">
        <v>129</v>
      </c>
      <c r="AG306" s="437"/>
      <c r="AH306" s="437"/>
      <c r="AI306" s="437"/>
      <c r="AJ306" s="438"/>
      <c r="AW306" s="238"/>
      <c r="AX306" s="235"/>
      <c r="AY306" s="235"/>
      <c r="AZ306" s="235"/>
      <c r="BA306" s="235"/>
    </row>
    <row r="307" spans="1:71" x14ac:dyDescent="0.2">
      <c r="A307" s="221" t="s">
        <v>130</v>
      </c>
      <c r="B307" s="386">
        <v>3</v>
      </c>
      <c r="C307" s="387"/>
      <c r="D307" s="388"/>
      <c r="E307" s="389" t="s">
        <v>131</v>
      </c>
      <c r="F307" s="387"/>
      <c r="G307" s="388"/>
      <c r="H307" s="389" t="s">
        <v>132</v>
      </c>
      <c r="I307" s="387"/>
      <c r="J307" s="390"/>
      <c r="K307" s="380"/>
      <c r="L307" s="381"/>
      <c r="M307" s="381"/>
      <c r="N307" s="381"/>
      <c r="O307" s="381"/>
      <c r="P307" s="381"/>
      <c r="Q307" s="382"/>
      <c r="R307" s="278"/>
      <c r="S307" s="278"/>
      <c r="T307" s="445" t="s">
        <v>130</v>
      </c>
      <c r="U307" s="445"/>
      <c r="V307" s="446"/>
      <c r="W307" s="386">
        <v>3</v>
      </c>
      <c r="X307" s="387"/>
      <c r="Y307" s="388"/>
      <c r="Z307" s="389" t="s">
        <v>131</v>
      </c>
      <c r="AA307" s="387"/>
      <c r="AB307" s="388"/>
      <c r="AC307" s="389" t="s">
        <v>132</v>
      </c>
      <c r="AD307" s="387"/>
      <c r="AE307" s="390"/>
      <c r="AF307" s="439"/>
      <c r="AG307" s="440"/>
      <c r="AH307" s="440"/>
      <c r="AI307" s="440"/>
      <c r="AJ307" s="441"/>
      <c r="AW307" s="238"/>
      <c r="AX307" s="235"/>
      <c r="AY307" s="235"/>
      <c r="AZ307" s="235"/>
      <c r="BA307" s="235"/>
    </row>
    <row r="308" spans="1:71" ht="13.5" thickBot="1" x14ac:dyDescent="0.25">
      <c r="A308" s="195"/>
      <c r="B308" s="391" t="s">
        <v>43</v>
      </c>
      <c r="C308" s="392"/>
      <c r="D308" s="393"/>
      <c r="E308" s="394" t="s">
        <v>133</v>
      </c>
      <c r="F308" s="392"/>
      <c r="G308" s="393"/>
      <c r="H308" s="394" t="s">
        <v>134</v>
      </c>
      <c r="I308" s="392"/>
      <c r="J308" s="395"/>
      <c r="K308" s="383"/>
      <c r="L308" s="384"/>
      <c r="M308" s="384"/>
      <c r="N308" s="384"/>
      <c r="O308" s="384"/>
      <c r="P308" s="384"/>
      <c r="Q308" s="385"/>
      <c r="R308" s="278"/>
      <c r="S308" s="278"/>
      <c r="T308" s="433"/>
      <c r="U308" s="433"/>
      <c r="V308" s="434"/>
      <c r="W308" s="391" t="s">
        <v>43</v>
      </c>
      <c r="X308" s="392"/>
      <c r="Y308" s="393"/>
      <c r="Z308" s="394" t="s">
        <v>133</v>
      </c>
      <c r="AA308" s="392"/>
      <c r="AB308" s="393"/>
      <c r="AC308" s="394" t="s">
        <v>134</v>
      </c>
      <c r="AD308" s="392"/>
      <c r="AE308" s="395"/>
      <c r="AF308" s="442"/>
      <c r="AG308" s="443"/>
      <c r="AH308" s="443"/>
      <c r="AI308" s="443"/>
      <c r="AJ308" s="444"/>
      <c r="AW308" s="238"/>
      <c r="AX308" s="235"/>
      <c r="AY308" s="235"/>
      <c r="AZ308" s="235"/>
      <c r="BA308" s="235"/>
    </row>
    <row r="309" spans="1:71" ht="13.5" thickBot="1" x14ac:dyDescent="0.25">
      <c r="A309" s="195"/>
      <c r="B309" s="279">
        <v>1</v>
      </c>
      <c r="C309" s="280" t="s">
        <v>51</v>
      </c>
      <c r="D309" s="281">
        <v>4</v>
      </c>
      <c r="E309" s="282">
        <v>2</v>
      </c>
      <c r="F309" s="280" t="s">
        <v>51</v>
      </c>
      <c r="G309" s="281">
        <v>3</v>
      </c>
      <c r="H309" s="283">
        <f>IF(OR(AND(OR(B313&gt;0,D313&gt;0),B313&gt;D313),OR(D309="b",D309="B")),B309,IF(OR(AND(OR(B313&gt;0,D313&gt;0),D313&gt;B313),OR(B309="b",B309="B")),D309,"W1"))</f>
        <v>1</v>
      </c>
      <c r="I309" s="284" t="s">
        <v>51</v>
      </c>
      <c r="J309" s="285">
        <f>IF(OR(AND(OR(E313&gt;0,G313&gt;0),E313&gt;G313),OR(G309="b",G309="B")),E309,IF(OR(AND(OR(E313&gt;0,G313&gt;0),G313&gt;E313),OR(E309="b",E309="B")),G309,"W2"))</f>
        <v>2</v>
      </c>
      <c r="K309" s="359" t="s">
        <v>135</v>
      </c>
      <c r="L309" s="360"/>
      <c r="M309" s="360"/>
      <c r="N309" s="361"/>
      <c r="R309" s="278"/>
      <c r="S309" s="278"/>
      <c r="T309" s="433"/>
      <c r="U309" s="433"/>
      <c r="V309" s="434"/>
      <c r="W309" s="279">
        <v>1</v>
      </c>
      <c r="X309" s="280" t="s">
        <v>51</v>
      </c>
      <c r="Y309" s="281">
        <v>4</v>
      </c>
      <c r="Z309" s="282">
        <v>2</v>
      </c>
      <c r="AA309" s="280" t="s">
        <v>51</v>
      </c>
      <c r="AB309" s="281">
        <v>3</v>
      </c>
      <c r="AC309" s="283">
        <f>IF(OR(AND(OR(W313&gt;0,Y313&gt;0),W313&gt;Y313),OR(Y309="b",Y309="B")),W309,IF(OR(AND(OR(W313&gt;0,Y313&gt;0),Y313&gt;W313),OR(W309="b",W309="B")),Y309,"W1"))</f>
        <v>4</v>
      </c>
      <c r="AD309" s="284" t="s">
        <v>51</v>
      </c>
      <c r="AE309" s="285">
        <f>IF(OR(AND(OR(Z313&gt;0,AB313&gt;0),Z313&gt;AB313),OR(AB313="b",AB313="B")),Z309,IF(OR(AND(OR(Z313&gt;0,AB313&gt;0),AB313&gt;Z313),OR(Z313="b",Z313="B")),AB309,"W2"))</f>
        <v>3</v>
      </c>
      <c r="AF309" s="359" t="s">
        <v>135</v>
      </c>
      <c r="AG309" s="361"/>
      <c r="AH309" s="278"/>
      <c r="AI309" s="278"/>
      <c r="AJ309" s="278"/>
      <c r="AW309" s="238"/>
      <c r="AX309" s="235"/>
      <c r="AY309" s="235"/>
      <c r="AZ309" s="235"/>
      <c r="BA309" s="235"/>
    </row>
    <row r="310" spans="1:71" ht="13.5" hidden="1" customHeight="1" x14ac:dyDescent="0.2">
      <c r="A310" s="195"/>
      <c r="B310" s="288">
        <f>IF(B314&gt;D314,1,0)</f>
        <v>1</v>
      </c>
      <c r="C310" s="289"/>
      <c r="D310" s="290">
        <f>IF(D314&gt;B314,1,0)</f>
        <v>0</v>
      </c>
      <c r="E310" s="288">
        <f>IF(E314&gt;G314,1,0)</f>
        <v>1</v>
      </c>
      <c r="F310" s="289"/>
      <c r="G310" s="290">
        <f>IF(G314&gt;E314,1,0)</f>
        <v>0</v>
      </c>
      <c r="H310" s="288">
        <f>IF(H314&gt;J314,1,0)</f>
        <v>0</v>
      </c>
      <c r="I310" s="289"/>
      <c r="J310" s="290">
        <f>IF(J314&gt;H314,1,0)</f>
        <v>1</v>
      </c>
      <c r="K310" s="291"/>
      <c r="L310" s="292"/>
      <c r="M310" s="292"/>
      <c r="N310" s="293"/>
      <c r="R310" s="278"/>
      <c r="S310" s="278"/>
      <c r="T310" s="433"/>
      <c r="U310" s="433"/>
      <c r="V310" s="434"/>
      <c r="W310" s="288">
        <f>IF(W314&gt;Y314,1,0)</f>
        <v>1</v>
      </c>
      <c r="X310" s="289"/>
      <c r="Y310" s="290">
        <f>IF(Y314&gt;W314,1,0)</f>
        <v>0</v>
      </c>
      <c r="Z310" s="288">
        <f>IF(Z314&gt;AB314,1,0)</f>
        <v>1</v>
      </c>
      <c r="AA310" s="289"/>
      <c r="AB310" s="290">
        <f>IF(AB314&gt;Z314,1,0)</f>
        <v>0</v>
      </c>
      <c r="AC310" s="288">
        <f>IF(AC314&gt;AE314,1,0)</f>
        <v>0</v>
      </c>
      <c r="AD310" s="289"/>
      <c r="AE310" s="290">
        <f>IF(AE314&gt;AC314,1,0)</f>
        <v>1</v>
      </c>
      <c r="AF310" s="286"/>
      <c r="AG310" s="287"/>
      <c r="AH310" s="278"/>
      <c r="AI310" s="278"/>
      <c r="AJ310" s="278"/>
      <c r="AW310" s="238"/>
      <c r="AX310" s="235"/>
      <c r="AY310" s="235"/>
      <c r="AZ310" s="235"/>
      <c r="BA310" s="235"/>
    </row>
    <row r="311" spans="1:71" ht="13.5" hidden="1" customHeight="1" x14ac:dyDescent="0.2">
      <c r="A311" s="195"/>
      <c r="B311" s="288">
        <f>IF(B315&gt;D315,1,0)</f>
        <v>1</v>
      </c>
      <c r="C311" s="289"/>
      <c r="D311" s="290">
        <f>IF(D315&gt;B315,1,0)</f>
        <v>0</v>
      </c>
      <c r="E311" s="288">
        <f>IF(E315&gt;G315,1,0)</f>
        <v>1</v>
      </c>
      <c r="F311" s="289"/>
      <c r="G311" s="290">
        <f>IF(G315&gt;E315,1,0)</f>
        <v>0</v>
      </c>
      <c r="H311" s="288">
        <f>IF(H315&gt;J315,1,0)</f>
        <v>1</v>
      </c>
      <c r="I311" s="289"/>
      <c r="J311" s="290">
        <f>IF(J315&gt;H315,1,0)</f>
        <v>0</v>
      </c>
      <c r="K311" s="291"/>
      <c r="L311" s="292"/>
      <c r="M311" s="292"/>
      <c r="N311" s="293"/>
      <c r="R311" s="278"/>
      <c r="S311" s="278"/>
      <c r="T311" s="433"/>
      <c r="U311" s="433"/>
      <c r="V311" s="434"/>
      <c r="W311" s="288">
        <f>IF(W315&gt;Y315,1,0)</f>
        <v>0</v>
      </c>
      <c r="X311" s="289"/>
      <c r="Y311" s="290">
        <f>IF(Y315&gt;W315,1,0)</f>
        <v>1</v>
      </c>
      <c r="Z311" s="288">
        <f>IF(Z315&gt;AB315,1,0)</f>
        <v>0</v>
      </c>
      <c r="AA311" s="289"/>
      <c r="AB311" s="290">
        <f>IF(AB315&gt;Z315,1,0)</f>
        <v>1</v>
      </c>
      <c r="AC311" s="288">
        <f>IF(AC315&gt;AE315,1,0)</f>
        <v>1</v>
      </c>
      <c r="AD311" s="289"/>
      <c r="AE311" s="290">
        <f>IF(AE315&gt;AC315,1,0)</f>
        <v>0</v>
      </c>
      <c r="AF311" s="286"/>
      <c r="AG311" s="287"/>
      <c r="AH311" s="278"/>
      <c r="AI311" s="278"/>
      <c r="AJ311" s="278"/>
      <c r="AW311" s="238"/>
      <c r="AX311" s="235"/>
      <c r="AY311" s="235"/>
      <c r="AZ311" s="235"/>
      <c r="BA311" s="235"/>
    </row>
    <row r="312" spans="1:71" ht="13.5" hidden="1" customHeight="1" thickBot="1" x14ac:dyDescent="0.25">
      <c r="A312" s="195"/>
      <c r="B312" s="288">
        <f>IF(B316&gt;D316,1,0)</f>
        <v>0</v>
      </c>
      <c r="C312" s="289"/>
      <c r="D312" s="290">
        <f>IF(D316&gt;B316,1,0)</f>
        <v>0</v>
      </c>
      <c r="E312" s="288">
        <f>IF(E316&gt;G316,1,0)</f>
        <v>0</v>
      </c>
      <c r="F312" s="289"/>
      <c r="G312" s="290">
        <f>IF(G316&gt;E316,1,0)</f>
        <v>0</v>
      </c>
      <c r="H312" s="288">
        <f>IF(H316&gt;J316,1,0)</f>
        <v>0</v>
      </c>
      <c r="I312" s="289"/>
      <c r="J312" s="290">
        <f>IF(J316&gt;H316,1,0)</f>
        <v>1</v>
      </c>
      <c r="K312" s="291"/>
      <c r="L312" s="292"/>
      <c r="M312" s="292"/>
      <c r="N312" s="293"/>
      <c r="R312" s="278"/>
      <c r="S312" s="278"/>
      <c r="T312" s="433"/>
      <c r="U312" s="433"/>
      <c r="V312" s="434"/>
      <c r="W312" s="288">
        <f>IF(W316&gt;Y316,1,0)</f>
        <v>0</v>
      </c>
      <c r="X312" s="289"/>
      <c r="Y312" s="290">
        <f>IF(Y316&gt;W316,1,0)</f>
        <v>1</v>
      </c>
      <c r="Z312" s="288">
        <f>IF(Z316&gt;AB316,1,0)</f>
        <v>0</v>
      </c>
      <c r="AA312" s="289"/>
      <c r="AB312" s="290">
        <f>IF(AB316&gt;Z316,1,0)</f>
        <v>1</v>
      </c>
      <c r="AC312" s="288">
        <f>IF(AC316&gt;AE316,1,0)</f>
        <v>0</v>
      </c>
      <c r="AD312" s="289"/>
      <c r="AE312" s="290">
        <f>IF(AE316&gt;AC316,1,0)</f>
        <v>1</v>
      </c>
      <c r="AF312" s="286"/>
      <c r="AG312" s="287"/>
      <c r="AH312" s="278"/>
      <c r="AI312" s="278"/>
      <c r="AJ312" s="278"/>
      <c r="AW312" s="238"/>
      <c r="AX312" s="235"/>
      <c r="AY312" s="235"/>
      <c r="AZ312" s="235"/>
      <c r="BA312" s="235"/>
    </row>
    <row r="313" spans="1:71" ht="13.5" hidden="1" customHeight="1" x14ac:dyDescent="0.2">
      <c r="A313" s="195"/>
      <c r="B313" s="288">
        <f>SUM(B310:B312)</f>
        <v>2</v>
      </c>
      <c r="C313" s="289"/>
      <c r="D313" s="288">
        <f>SUM(D310:D312)</f>
        <v>0</v>
      </c>
      <c r="E313" s="288">
        <f>SUM(E310:E312)</f>
        <v>2</v>
      </c>
      <c r="F313" s="289"/>
      <c r="G313" s="288">
        <f>SUM(G310:G312)</f>
        <v>0</v>
      </c>
      <c r="H313" s="288">
        <f>SUM(H310:H312)</f>
        <v>1</v>
      </c>
      <c r="I313" s="289"/>
      <c r="J313" s="288">
        <f>SUM(J310:J312)</f>
        <v>2</v>
      </c>
      <c r="K313" s="291"/>
      <c r="L313" s="292"/>
      <c r="M313" s="292"/>
      <c r="N313" s="293"/>
      <c r="R313" s="278"/>
      <c r="S313" s="278"/>
      <c r="T313" s="433"/>
      <c r="U313" s="433"/>
      <c r="V313" s="434"/>
      <c r="W313" s="288">
        <f>SUM(W310:W312)</f>
        <v>1</v>
      </c>
      <c r="X313" s="289"/>
      <c r="Y313" s="288">
        <f>SUM(Y310:Y312)</f>
        <v>2</v>
      </c>
      <c r="Z313" s="288">
        <f>SUM(Z310:Z312)</f>
        <v>1</v>
      </c>
      <c r="AA313" s="289"/>
      <c r="AB313" s="288">
        <f>SUM(AB310:AB312)</f>
        <v>2</v>
      </c>
      <c r="AC313" s="288">
        <f>SUM(AC310:AC312)</f>
        <v>1</v>
      </c>
      <c r="AD313" s="289"/>
      <c r="AE313" s="288">
        <f>SUM(AE310:AE312)</f>
        <v>2</v>
      </c>
      <c r="AF313" s="286"/>
      <c r="AG313" s="287"/>
      <c r="AH313" s="278"/>
      <c r="AI313" s="278"/>
      <c r="AJ313" s="278"/>
      <c r="AW313" s="238"/>
      <c r="AX313" s="235"/>
      <c r="AY313" s="235"/>
      <c r="AZ313" s="235"/>
      <c r="BA313" s="235"/>
    </row>
    <row r="314" spans="1:71" ht="12.75" customHeight="1" x14ac:dyDescent="0.2">
      <c r="A314" s="193" t="s">
        <v>52</v>
      </c>
      <c r="B314" s="294">
        <v>25</v>
      </c>
      <c r="C314" s="230" t="s">
        <v>53</v>
      </c>
      <c r="D314" s="295">
        <v>20</v>
      </c>
      <c r="E314" s="296">
        <v>25</v>
      </c>
      <c r="F314" s="230" t="s">
        <v>53</v>
      </c>
      <c r="G314" s="295">
        <v>23</v>
      </c>
      <c r="H314" s="296">
        <v>21</v>
      </c>
      <c r="I314" s="230" t="s">
        <v>53</v>
      </c>
      <c r="J314" s="297">
        <v>25</v>
      </c>
      <c r="K314" s="362">
        <f>IF(AND(OR(H313&gt;0,J313&gt;0),AND(1&lt;=H309,H309&lt;=4),AND(1&lt;=J309,J309&lt;=4)),IF(H313&gt;J313,H309,IF(J313&gt;H313,J309,"")),"")</f>
        <v>2</v>
      </c>
      <c r="L314" s="363"/>
      <c r="M314" s="363"/>
      <c r="N314" s="364"/>
      <c r="R314" s="278"/>
      <c r="S314" s="278"/>
      <c r="T314" s="298"/>
      <c r="U314" s="298"/>
      <c r="V314" s="193" t="s">
        <v>52</v>
      </c>
      <c r="W314" s="294">
        <v>25</v>
      </c>
      <c r="X314" s="230" t="s">
        <v>53</v>
      </c>
      <c r="Y314" s="295">
        <v>20</v>
      </c>
      <c r="Z314" s="296">
        <v>25</v>
      </c>
      <c r="AA314" s="230" t="s">
        <v>53</v>
      </c>
      <c r="AB314" s="295">
        <v>19</v>
      </c>
      <c r="AC314" s="296">
        <v>21</v>
      </c>
      <c r="AD314" s="230" t="s">
        <v>53</v>
      </c>
      <c r="AE314" s="297">
        <v>25</v>
      </c>
      <c r="AF314" s="362">
        <f>IF(AND(OR(AC313&gt;0,AE313&gt;0),AND(1&lt;=AC309,AC309&lt;=4),AND(1&lt;=AE309,AE309&lt;=4)),IF(AC313&gt;AE313,AC309,IF(AE313&gt;AC313,AE309,"")),"")</f>
        <v>3</v>
      </c>
      <c r="AG314" s="364"/>
      <c r="AH314" s="278"/>
      <c r="AI314" s="278"/>
      <c r="AJ314" s="278"/>
      <c r="AW314" s="238"/>
      <c r="AX314" s="235"/>
      <c r="AY314" s="235"/>
      <c r="AZ314" s="235"/>
      <c r="BA314" s="235"/>
    </row>
    <row r="315" spans="1:71" ht="12.75" customHeight="1" x14ac:dyDescent="0.2">
      <c r="A315" s="193" t="s">
        <v>136</v>
      </c>
      <c r="B315" s="294">
        <v>25</v>
      </c>
      <c r="C315" s="230" t="s">
        <v>53</v>
      </c>
      <c r="D315" s="295">
        <v>23</v>
      </c>
      <c r="E315" s="296">
        <v>25</v>
      </c>
      <c r="F315" s="230" t="s">
        <v>53</v>
      </c>
      <c r="G315" s="295">
        <v>18</v>
      </c>
      <c r="H315" s="296">
        <v>25</v>
      </c>
      <c r="I315" s="230" t="s">
        <v>53</v>
      </c>
      <c r="J315" s="297">
        <v>18</v>
      </c>
      <c r="K315" s="365"/>
      <c r="L315" s="366"/>
      <c r="M315" s="366"/>
      <c r="N315" s="367"/>
      <c r="R315" s="278"/>
      <c r="S315" s="278"/>
      <c r="T315" s="298"/>
      <c r="U315" s="298"/>
      <c r="V315" s="193" t="s">
        <v>136</v>
      </c>
      <c r="W315" s="294">
        <v>17</v>
      </c>
      <c r="X315" s="230" t="s">
        <v>53</v>
      </c>
      <c r="Y315" s="295">
        <v>25</v>
      </c>
      <c r="Z315" s="296">
        <v>23</v>
      </c>
      <c r="AA315" s="230" t="s">
        <v>53</v>
      </c>
      <c r="AB315" s="295">
        <v>25</v>
      </c>
      <c r="AC315" s="296">
        <v>25</v>
      </c>
      <c r="AD315" s="230" t="s">
        <v>53</v>
      </c>
      <c r="AE315" s="297">
        <v>17</v>
      </c>
      <c r="AF315" s="365"/>
      <c r="AG315" s="367"/>
      <c r="AH315" s="278"/>
      <c r="AI315" s="278"/>
      <c r="AJ315" s="278"/>
      <c r="AW315" s="238"/>
      <c r="AX315" s="235"/>
      <c r="AY315" s="235"/>
      <c r="AZ315" s="235"/>
      <c r="BA315" s="235"/>
    </row>
    <row r="316" spans="1:71" ht="13.5" customHeight="1" thickBot="1" x14ac:dyDescent="0.25">
      <c r="A316" s="193" t="s">
        <v>137</v>
      </c>
      <c r="B316" s="299"/>
      <c r="C316" s="300" t="s">
        <v>53</v>
      </c>
      <c r="D316" s="301"/>
      <c r="E316" s="302"/>
      <c r="F316" s="300" t="s">
        <v>53</v>
      </c>
      <c r="G316" s="301"/>
      <c r="H316" s="302">
        <v>11</v>
      </c>
      <c r="I316" s="300" t="s">
        <v>53</v>
      </c>
      <c r="J316" s="303">
        <v>15</v>
      </c>
      <c r="K316" s="368"/>
      <c r="L316" s="369"/>
      <c r="M316" s="369"/>
      <c r="N316" s="370"/>
      <c r="R316" s="278"/>
      <c r="S316" s="278"/>
      <c r="T316" s="298"/>
      <c r="U316" s="298"/>
      <c r="V316" s="193" t="s">
        <v>137</v>
      </c>
      <c r="W316" s="299">
        <v>9</v>
      </c>
      <c r="X316" s="300" t="s">
        <v>53</v>
      </c>
      <c r="Y316" s="301">
        <v>15</v>
      </c>
      <c r="Z316" s="302">
        <v>12</v>
      </c>
      <c r="AA316" s="300" t="s">
        <v>53</v>
      </c>
      <c r="AB316" s="301">
        <v>15</v>
      </c>
      <c r="AC316" s="302">
        <v>10</v>
      </c>
      <c r="AD316" s="300" t="s">
        <v>53</v>
      </c>
      <c r="AE316" s="303">
        <v>15</v>
      </c>
      <c r="AF316" s="368"/>
      <c r="AG316" s="370"/>
      <c r="AH316" s="278"/>
      <c r="AI316" s="278"/>
      <c r="AJ316" s="278"/>
      <c r="AW316" s="238"/>
      <c r="AX316" s="235"/>
      <c r="AY316" s="235"/>
      <c r="AZ316" s="235"/>
      <c r="BA316" s="235"/>
    </row>
    <row r="317" spans="1:71" hidden="1" x14ac:dyDescent="0.2">
      <c r="B317" s="191"/>
      <c r="C317" s="304" t="s">
        <v>87</v>
      </c>
      <c r="D317" s="191" t="s">
        <v>138</v>
      </c>
      <c r="E317" s="191"/>
      <c r="F317" s="304"/>
      <c r="G317" s="188" t="s">
        <v>139</v>
      </c>
      <c r="J317" s="188" t="s">
        <v>140</v>
      </c>
      <c r="W317" s="191"/>
      <c r="X317" s="304" t="s">
        <v>87</v>
      </c>
      <c r="Y317" s="191" t="s">
        <v>138</v>
      </c>
      <c r="Z317" s="191"/>
      <c r="AA317" s="304"/>
      <c r="AB317" s="188" t="s">
        <v>139</v>
      </c>
      <c r="AE317" s="188" t="s">
        <v>140</v>
      </c>
      <c r="AT317" s="188" t="str">
        <f>B318</f>
        <v>C1VB 12 Reg Royal Pickens</v>
      </c>
      <c r="AU317" s="188">
        <f>J318</f>
        <v>1577.5150270118809</v>
      </c>
      <c r="AW317" s="238"/>
      <c r="AX317" s="235"/>
      <c r="AY317" s="235"/>
      <c r="AZ317" s="235"/>
      <c r="BA317" s="235"/>
      <c r="BB317" s="238"/>
      <c r="BC317" s="235"/>
      <c r="BD317" s="235"/>
      <c r="BE317" s="238"/>
      <c r="BF317" s="235"/>
      <c r="BG317" s="235"/>
      <c r="BH317" s="238"/>
      <c r="BI317" s="235"/>
      <c r="BJ317" s="235"/>
      <c r="BK317" s="238"/>
      <c r="BL317" s="235"/>
      <c r="BM317" s="235"/>
      <c r="BN317" s="238"/>
      <c r="BO317" s="235"/>
      <c r="BP317" s="235"/>
      <c r="BQ317" s="238"/>
      <c r="BR317" s="235"/>
      <c r="BS317" s="235"/>
    </row>
    <row r="318" spans="1:71" hidden="1" x14ac:dyDescent="0.2">
      <c r="A318" s="188">
        <v>1</v>
      </c>
      <c r="B318" s="188" t="str">
        <f>B301</f>
        <v>C1VB 12 Reg Royal Pickens</v>
      </c>
      <c r="C318" s="188">
        <f>VLOOKUP(B318,AU$2:AY$22,4,FALSE)</f>
        <v>1569.7710046940956</v>
      </c>
      <c r="D318" s="188">
        <f>IF(A318=B309,B324,IF(A318=D309,D324,C318))</f>
        <v>1582.1006448384503</v>
      </c>
      <c r="G318" s="188">
        <f>IF(A318=E309,E324,IF(A318=G309,G324,D318))</f>
        <v>1582.1006448384503</v>
      </c>
      <c r="J318" s="188">
        <f>IF(A318=H309,H324,IF(A318=J309,J324,G318))</f>
        <v>1577.5150270118809</v>
      </c>
      <c r="U318" s="305"/>
      <c r="V318" s="305">
        <v>1</v>
      </c>
      <c r="W318" s="188" t="str">
        <f>X301</f>
        <v>Fort Mill VBC 12 Purple</v>
      </c>
      <c r="X318" s="188">
        <f>VLOOKUP(W318,AU$2:AY$22,4,FALSE)</f>
        <v>1490.735250413635</v>
      </c>
      <c r="Y318" s="188">
        <f>IF(V318=W309,W324,IF(V318=Y309,Y324,X318))</f>
        <v>1477.5353118598305</v>
      </c>
      <c r="AB318" s="188">
        <f>IF(V318=Z309,Z324,IF(V318=AB309,AB324,Y318))</f>
        <v>1477.5353118598305</v>
      </c>
      <c r="AE318" s="188">
        <f>IF(V318=AC309,AC324,IF(V318=AE309,AE324,AB318))</f>
        <v>1477.5353118598305</v>
      </c>
      <c r="AT318" s="188" t="str">
        <f>B319</f>
        <v>C1VB 12 Regional Grvl</v>
      </c>
      <c r="AU318" s="188">
        <f>J319</f>
        <v>1636.452085468107</v>
      </c>
      <c r="AW318" s="238"/>
      <c r="AX318" s="235"/>
      <c r="AY318" s="235"/>
      <c r="AZ318" s="235"/>
      <c r="BA318" s="235"/>
      <c r="BB318" s="238"/>
      <c r="BC318" s="235"/>
      <c r="BD318" s="235"/>
      <c r="BE318" s="238"/>
      <c r="BF318" s="235"/>
      <c r="BG318" s="235"/>
      <c r="BH318" s="238"/>
      <c r="BI318" s="235"/>
      <c r="BJ318" s="235"/>
      <c r="BK318" s="238"/>
      <c r="BL318" s="235"/>
      <c r="BM318" s="235"/>
      <c r="BN318" s="238"/>
      <c r="BO318" s="235"/>
      <c r="BP318" s="235"/>
      <c r="BQ318" s="238"/>
      <c r="BR318" s="235"/>
      <c r="BS318" s="235"/>
    </row>
    <row r="319" spans="1:71" hidden="1" x14ac:dyDescent="0.2">
      <c r="A319" s="188">
        <v>2</v>
      </c>
      <c r="B319" s="188" t="str">
        <f>B302</f>
        <v>C1VB 12 Regional Grvl</v>
      </c>
      <c r="C319" s="188">
        <f>VLOOKUP(B319,AU$2:AY$22,4,FALSE)</f>
        <v>1620.2482713852037</v>
      </c>
      <c r="D319" s="188">
        <f>IF(A319=B309,B324,IF(A319=D309,D324,C319))</f>
        <v>1620.2482713852037</v>
      </c>
      <c r="G319" s="188">
        <f>IF(A319=E309,E324,IF(A319=G309,G324,D319))</f>
        <v>1631.8664676415376</v>
      </c>
      <c r="J319" s="188">
        <f>IF(A319=H309,H324,IF(A319=J309,J324,G319))</f>
        <v>1636.452085468107</v>
      </c>
      <c r="U319" s="305"/>
      <c r="V319" s="305">
        <v>2</v>
      </c>
      <c r="W319" s="188" t="str">
        <f>X302</f>
        <v>SC Midlands 13 Garnet</v>
      </c>
      <c r="X319" s="188">
        <f>VLOOKUP(W319,AU$2:AY$22,4,FALSE)</f>
        <v>1452.1095814362172</v>
      </c>
      <c r="Y319" s="188">
        <f>IF(V319=W309,W324,IF(V319=Y309,Y324,X319))</f>
        <v>1452.1095814362172</v>
      </c>
      <c r="AB319" s="188">
        <f>IF(V319=Z309,Z324,IF(V319=AB309,AB324,Y319))</f>
        <v>1442.1293939796219</v>
      </c>
      <c r="AE319" s="188">
        <f>IF(V319=AC309,AC324,IF(V319=AE309,AE324,AB319))</f>
        <v>1442.1293939796219</v>
      </c>
      <c r="AT319" s="188" t="str">
        <f>B320</f>
        <v>Crossfire 12</v>
      </c>
      <c r="AU319" s="188">
        <f>J320</f>
        <v>1510.9885122956937</v>
      </c>
      <c r="AW319" s="238"/>
      <c r="AX319" s="235"/>
      <c r="AY319" s="235"/>
      <c r="AZ319" s="235"/>
      <c r="BA319" s="235"/>
      <c r="BB319" s="238"/>
      <c r="BC319" s="235"/>
      <c r="BD319" s="235"/>
      <c r="BE319" s="238"/>
      <c r="BF319" s="235"/>
      <c r="BG319" s="235"/>
      <c r="BH319" s="238"/>
      <c r="BI319" s="235"/>
      <c r="BJ319" s="235"/>
      <c r="BK319" s="238"/>
      <c r="BL319" s="235"/>
      <c r="BM319" s="235"/>
      <c r="BN319" s="238"/>
      <c r="BO319" s="235"/>
      <c r="BP319" s="235"/>
      <c r="BQ319" s="238"/>
      <c r="BR319" s="235"/>
      <c r="BS319" s="235"/>
    </row>
    <row r="320" spans="1:71" hidden="1" x14ac:dyDescent="0.2">
      <c r="A320" s="188">
        <v>3</v>
      </c>
      <c r="B320" s="188" t="str">
        <f>B303</f>
        <v>Crossfire 12</v>
      </c>
      <c r="C320" s="188">
        <f>VLOOKUP(B320,AU$2:AY$22,4,FALSE)</f>
        <v>1522.6067085520276</v>
      </c>
      <c r="D320" s="188">
        <f>IF(A320=B309,B324,IF(A320=D309,D324,C320))</f>
        <v>1522.6067085520276</v>
      </c>
      <c r="G320" s="188">
        <f>IF(A320=E309,E324,IF(A320=G309,G324,D320))</f>
        <v>1510.9885122956937</v>
      </c>
      <c r="J320" s="188">
        <f>IF(A320=H309,H324,IF(A320=J309,J324,G320))</f>
        <v>1510.9885122956937</v>
      </c>
      <c r="U320" s="305"/>
      <c r="V320" s="305">
        <v>3</v>
      </c>
      <c r="W320" s="188" t="str">
        <f>X303</f>
        <v>CSRA Heat 12 Gold</v>
      </c>
      <c r="X320" s="188">
        <f>VLOOKUP(W320,AU$2:AY$22,4,FALSE)</f>
        <v>1423.3781162849898</v>
      </c>
      <c r="Y320" s="188">
        <f>IF(V320=W309,W324,IF(V320=Y309,Y324,X320))</f>
        <v>1423.3781162849898</v>
      </c>
      <c r="AB320" s="188">
        <f>IF(V320=Z309,Z324,IF(V320=AB309,AB324,Y320))</f>
        <v>1433.3583037415851</v>
      </c>
      <c r="AE320" s="188">
        <f>IF(V320=AC309,AC324,IF(V320=AE309,AE324,AB320))</f>
        <v>1440.949944070938</v>
      </c>
      <c r="AT320" s="188" t="str">
        <f>B321</f>
        <v>Excell U12 Club</v>
      </c>
      <c r="AU320" s="188">
        <f>J321</f>
        <v>1476.2966030517014</v>
      </c>
      <c r="AW320" s="238"/>
      <c r="AX320" s="235"/>
      <c r="AY320" s="235"/>
      <c r="AZ320" s="235"/>
      <c r="BA320" s="235"/>
      <c r="BB320" s="238"/>
      <c r="BC320" s="235"/>
      <c r="BD320" s="235"/>
      <c r="BE320" s="238"/>
      <c r="BF320" s="235"/>
      <c r="BG320" s="235"/>
      <c r="BH320" s="238"/>
      <c r="BI320" s="235"/>
      <c r="BJ320" s="235"/>
      <c r="BK320" s="238"/>
      <c r="BL320" s="235"/>
      <c r="BM320" s="235"/>
      <c r="BN320" s="238"/>
      <c r="BO320" s="235"/>
      <c r="BP320" s="235"/>
      <c r="BQ320" s="238"/>
      <c r="BR320" s="235"/>
      <c r="BS320" s="235"/>
    </row>
    <row r="321" spans="1:71" hidden="1" x14ac:dyDescent="0.2">
      <c r="A321" s="188">
        <v>4</v>
      </c>
      <c r="B321" s="188" t="str">
        <f>B304</f>
        <v>Excell U12 Club</v>
      </c>
      <c r="C321" s="188">
        <f>VLOOKUP(B321,AU$2:AY$22,4,FALSE)</f>
        <v>1488.6262431960561</v>
      </c>
      <c r="D321" s="188">
        <f>IF(A321=B309,B324,IF(A321=D309,D324,C321))</f>
        <v>1476.2966030517014</v>
      </c>
      <c r="G321" s="188">
        <f>IF(A321=E309,E324,IF(A321=G309,G324,D321))</f>
        <v>1476.2966030517014</v>
      </c>
      <c r="J321" s="188">
        <f>IF(A321=H309,H324,IF(A321=J309,J324,G321))</f>
        <v>1476.2966030517014</v>
      </c>
      <c r="U321" s="305"/>
      <c r="V321" s="305">
        <v>4</v>
      </c>
      <c r="W321" s="188" t="str">
        <f>X304</f>
        <v>SOAR RISE 12U</v>
      </c>
      <c r="X321" s="188">
        <f>VLOOKUP(W321,AU$2:AY$22,4,FALSE)</f>
        <v>1414.2461828791081</v>
      </c>
      <c r="Y321" s="188">
        <f>IF(V321=W309,W324,IF(V321=Y309,Y324,X321))</f>
        <v>1427.4461214329126</v>
      </c>
      <c r="AB321" s="188">
        <f>IF(V321=Z309,Z324,IF(V321=AB309,AB324,Y321))</f>
        <v>1427.4461214329126</v>
      </c>
      <c r="AE321" s="188">
        <f>IF(V321=AC309,AC324,IF(V321=AE309,AE324,AB321))</f>
        <v>1419.8544811035597</v>
      </c>
      <c r="AT321" s="188" t="str">
        <f>W318</f>
        <v>Fort Mill VBC 12 Purple</v>
      </c>
      <c r="AU321" s="188">
        <f>AE318</f>
        <v>1477.5353118598305</v>
      </c>
      <c r="AW321" s="238"/>
      <c r="AX321" s="235"/>
      <c r="AY321" s="235"/>
      <c r="AZ321" s="235"/>
      <c r="BA321" s="235"/>
      <c r="BB321" s="238"/>
      <c r="BC321" s="235"/>
      <c r="BD321" s="235"/>
      <c r="BE321" s="238"/>
      <c r="BF321" s="235"/>
      <c r="BG321" s="235"/>
      <c r="BH321" s="238"/>
      <c r="BI321" s="235"/>
      <c r="BJ321" s="235"/>
      <c r="BK321" s="238"/>
      <c r="BL321" s="235"/>
      <c r="BM321" s="235"/>
      <c r="BN321" s="238"/>
      <c r="BO321" s="235"/>
      <c r="BP321" s="235"/>
      <c r="BQ321" s="238"/>
      <c r="BR321" s="235"/>
      <c r="BS321" s="235"/>
    </row>
    <row r="322" spans="1:71" hidden="1" x14ac:dyDescent="0.2">
      <c r="A322" s="188" t="s">
        <v>89</v>
      </c>
      <c r="B322" s="188">
        <f>VLOOKUP(B309,$A318:$J321,3,FALSE)</f>
        <v>1569.7710046940956</v>
      </c>
      <c r="D322" s="188">
        <f>VLOOKUP(D309,$A318:$J321,3,FALSE)</f>
        <v>1488.6262431960561</v>
      </c>
      <c r="E322" s="188">
        <f>VLOOKUP(E309,$A318:$J321,4,FALSE)</f>
        <v>1620.2482713852037</v>
      </c>
      <c r="G322" s="188">
        <f>VLOOKUP(G309,$A318:$J321,4,FALSE)</f>
        <v>1522.6067085520276</v>
      </c>
      <c r="H322" s="188">
        <f>VLOOKUP(H309,$A318:$J321,7,FALSE)</f>
        <v>1582.1006448384503</v>
      </c>
      <c r="J322" s="188">
        <f>VLOOKUP(J309,$A318:$J321,7,FALSE)</f>
        <v>1631.8664676415376</v>
      </c>
      <c r="T322" s="435" t="s">
        <v>89</v>
      </c>
      <c r="U322" s="435"/>
      <c r="V322" s="435"/>
      <c r="W322" s="188">
        <f>VLOOKUP(W309,$V318:$AE321,3,FALSE)</f>
        <v>1490.735250413635</v>
      </c>
      <c r="Y322" s="188">
        <f>VLOOKUP(Y309,$V318:$AE321,3,FALSE)</f>
        <v>1414.2461828791081</v>
      </c>
      <c r="Z322" s="188">
        <f>VLOOKUP(Z309,$V318:$AE321,4,FALSE)</f>
        <v>1452.1095814362172</v>
      </c>
      <c r="AB322" s="188">
        <f>VLOOKUP(AB309,$V318:$AE321,4,FALSE)</f>
        <v>1423.3781162849898</v>
      </c>
      <c r="AC322" s="188">
        <f>VLOOKUP(AC309,$V318:$AE321,7,FALSE)</f>
        <v>1427.4461214329126</v>
      </c>
      <c r="AE322" s="188">
        <f>VLOOKUP(AE309,$V318:$AE321,7,FALSE)</f>
        <v>1433.3583037415851</v>
      </c>
      <c r="AT322" s="188" t="str">
        <f>W319</f>
        <v>SC Midlands 13 Garnet</v>
      </c>
      <c r="AU322" s="188">
        <f>AE319</f>
        <v>1442.1293939796219</v>
      </c>
      <c r="AW322" s="238"/>
      <c r="AX322" s="235"/>
      <c r="AY322" s="235"/>
      <c r="AZ322" s="235"/>
      <c r="BA322" s="235"/>
      <c r="BB322" s="238"/>
      <c r="BC322" s="235"/>
      <c r="BD322" s="235"/>
      <c r="BE322" s="238"/>
      <c r="BF322" s="235"/>
      <c r="BG322" s="235"/>
      <c r="BH322" s="238"/>
      <c r="BI322" s="235"/>
      <c r="BJ322" s="235"/>
      <c r="BK322" s="238"/>
      <c r="BL322" s="235"/>
      <c r="BM322" s="235"/>
      <c r="BN322" s="238"/>
      <c r="BO322" s="235"/>
      <c r="BP322" s="235"/>
      <c r="BQ322" s="238"/>
      <c r="BR322" s="235"/>
      <c r="BS322" s="235"/>
    </row>
    <row r="323" spans="1:71" hidden="1" x14ac:dyDescent="0.2">
      <c r="A323" s="249" t="s">
        <v>90</v>
      </c>
      <c r="B323" s="249">
        <f>1/(1+(10^-((B322-D322)/400)))*(B313+D313)</f>
        <v>1.2293974909778334</v>
      </c>
      <c r="C323" s="249"/>
      <c r="D323" s="249">
        <f>1/(1+(10^-((D322-B322)/400)))*(B313+D313)</f>
        <v>0.77060250902216654</v>
      </c>
      <c r="E323" s="249">
        <f>1/(1+(10^-((E322-G322)/400)))*(E313+G313)</f>
        <v>1.2738627339791275</v>
      </c>
      <c r="G323" s="249">
        <f>1/(1+(10^-((G322-E322)/400)))*(E313+G313)</f>
        <v>0.72613726602087247</v>
      </c>
      <c r="H323" s="249">
        <f>1/(1+(10^-((H322-J322)/400)))*(H313+J313)</f>
        <v>1.2866011141605962</v>
      </c>
      <c r="J323" s="249">
        <f>1/(1+(10^-((J322-H322)/400)))*(H313+J313)</f>
        <v>1.7133988858394038</v>
      </c>
      <c r="T323" s="436" t="s">
        <v>90</v>
      </c>
      <c r="U323" s="436"/>
      <c r="V323" s="436"/>
      <c r="W323" s="249">
        <f>1/(1+(10^-((W322-Y322)/400)))*(W313+Y313)</f>
        <v>1.8249961596127806</v>
      </c>
      <c r="X323" s="249"/>
      <c r="Y323" s="249">
        <f>1/(1+(10^-((Y322-W322)/400)))*(W313+Y313)</f>
        <v>1.1750038403872194</v>
      </c>
      <c r="Z323" s="249">
        <f>1/(1+(10^-((Z322-AB322)/400)))*(Z313+AB313)</f>
        <v>1.6237617160372149</v>
      </c>
      <c r="AB323" s="249">
        <f>1/(1+(10^-((AB322-Z322)/400)))*(Z313+AB313)</f>
        <v>1.3762382839627851</v>
      </c>
      <c r="AC323" s="249">
        <f>1/(1+(10^-((AC322-AE322)/400)))*(AC313+AE313)</f>
        <v>1.4744775205845577</v>
      </c>
      <c r="AE323" s="249">
        <f>1/(1+(10^-((AE322-AC322)/400)))*(AC313+AE313)</f>
        <v>1.5255224794154423</v>
      </c>
      <c r="AT323" s="188" t="str">
        <f>W320</f>
        <v>CSRA Heat 12 Gold</v>
      </c>
      <c r="AU323" s="188">
        <f>AE320</f>
        <v>1440.949944070938</v>
      </c>
      <c r="AW323" s="238"/>
      <c r="AX323" s="235"/>
      <c r="AY323" s="235"/>
      <c r="AZ323" s="235"/>
      <c r="BA323" s="235"/>
      <c r="BB323" s="238"/>
      <c r="BC323" s="235"/>
      <c r="BD323" s="235"/>
      <c r="BE323" s="238"/>
      <c r="BF323" s="235"/>
      <c r="BG323" s="235"/>
      <c r="BH323" s="238"/>
      <c r="BI323" s="235"/>
      <c r="BJ323" s="235"/>
      <c r="BK323" s="238"/>
      <c r="BL323" s="235"/>
      <c r="BM323" s="235"/>
      <c r="BN323" s="238"/>
      <c r="BO323" s="235"/>
      <c r="BP323" s="235"/>
      <c r="BQ323" s="238"/>
      <c r="BR323" s="235"/>
      <c r="BS323" s="235"/>
    </row>
    <row r="324" spans="1:71" hidden="1" x14ac:dyDescent="0.2">
      <c r="A324" s="255" t="s">
        <v>91</v>
      </c>
      <c r="B324" s="255">
        <f>B322+(B313-B323)*$BA$2</f>
        <v>1582.1006448384503</v>
      </c>
      <c r="C324" s="255"/>
      <c r="D324" s="255">
        <f>D322+(D313-D323)*$BA$2</f>
        <v>1476.2966030517014</v>
      </c>
      <c r="E324" s="255">
        <f>E322+(E313-E323)*$BA$2</f>
        <v>1631.8664676415376</v>
      </c>
      <c r="G324" s="255">
        <f>G322+(G313-G323)*$BA$2</f>
        <v>1510.9885122956937</v>
      </c>
      <c r="H324" s="255">
        <f>H322+(H313-H323)*$BA$2</f>
        <v>1577.5150270118809</v>
      </c>
      <c r="J324" s="255">
        <f>J322+(J313-J323)*$BA$2</f>
        <v>1636.452085468107</v>
      </c>
      <c r="T324" s="431" t="s">
        <v>91</v>
      </c>
      <c r="U324" s="431"/>
      <c r="V324" s="431"/>
      <c r="W324" s="255">
        <f>W322+(W313-W323)*$BA$2</f>
        <v>1477.5353118598305</v>
      </c>
      <c r="X324" s="255"/>
      <c r="Y324" s="255">
        <f>Y322+(Y313-Y323)*$BA$2</f>
        <v>1427.4461214329126</v>
      </c>
      <c r="Z324" s="255">
        <f>Z322+(Z313-Z323)*$BA$2</f>
        <v>1442.1293939796219</v>
      </c>
      <c r="AB324" s="255">
        <f>AB322+(AB313-AB323)*$BA$2</f>
        <v>1433.3583037415851</v>
      </c>
      <c r="AC324" s="255">
        <f>AC322+(AC313-AC323)*$BA$2</f>
        <v>1419.8544811035597</v>
      </c>
      <c r="AE324" s="255">
        <f>AE322+(AE313-AE323)*$BA$2</f>
        <v>1440.949944070938</v>
      </c>
      <c r="AT324" s="188" t="str">
        <f>W321</f>
        <v>SOAR RISE 12U</v>
      </c>
      <c r="AU324" s="188">
        <f>AE321</f>
        <v>1419.8544811035597</v>
      </c>
      <c r="AW324" s="238"/>
      <c r="AX324" s="235"/>
      <c r="AY324" s="235"/>
      <c r="AZ324" s="235"/>
      <c r="BA324" s="235"/>
      <c r="BB324" s="238"/>
      <c r="BC324" s="235"/>
      <c r="BD324" s="235"/>
      <c r="BE324" s="238"/>
      <c r="BF324" s="235"/>
      <c r="BG324" s="235"/>
      <c r="BH324" s="238"/>
      <c r="BI324" s="235"/>
      <c r="BJ324" s="235"/>
      <c r="BK324" s="238"/>
      <c r="BL324" s="235"/>
      <c r="BM324" s="235"/>
      <c r="BN324" s="238"/>
      <c r="BO324" s="235"/>
      <c r="BP324" s="235"/>
      <c r="BQ324" s="238"/>
      <c r="BR324" s="235"/>
      <c r="BS324" s="235"/>
    </row>
    <row r="325" spans="1:71" x14ac:dyDescent="0.2">
      <c r="A325" s="371" t="s">
        <v>141</v>
      </c>
      <c r="B325" s="371"/>
      <c r="C325" s="371"/>
      <c r="D325" s="371"/>
      <c r="E325" s="371"/>
      <c r="F325" s="371"/>
      <c r="G325" s="371"/>
      <c r="H325" s="371"/>
      <c r="I325" s="371"/>
      <c r="J325" s="371"/>
      <c r="K325" s="371"/>
      <c r="L325" s="371"/>
      <c r="M325" s="371"/>
      <c r="R325" s="278"/>
      <c r="S325" s="278"/>
      <c r="T325" s="298"/>
      <c r="U325" s="298"/>
      <c r="V325" s="371" t="s">
        <v>141</v>
      </c>
      <c r="W325" s="371"/>
      <c r="X325" s="371"/>
      <c r="Y325" s="371"/>
      <c r="Z325" s="371"/>
      <c r="AA325" s="371"/>
      <c r="AB325" s="371"/>
      <c r="AC325" s="371"/>
      <c r="AD325" s="371"/>
      <c r="AE325" s="371"/>
      <c r="AF325" s="371"/>
      <c r="AG325" s="371"/>
      <c r="AH325" s="278"/>
      <c r="AI325" s="278"/>
      <c r="AJ325" s="278"/>
      <c r="AW325" s="238"/>
      <c r="AX325" s="235"/>
      <c r="AY325" s="235"/>
      <c r="AZ325" s="235"/>
      <c r="BA325" s="235"/>
    </row>
    <row r="326" spans="1:71" x14ac:dyDescent="0.2">
      <c r="AT326" s="235"/>
      <c r="AU326" s="235"/>
      <c r="AV326" s="235"/>
      <c r="AW326" s="238"/>
      <c r="AX326" s="235"/>
      <c r="AY326" s="235"/>
      <c r="AZ326" s="235"/>
      <c r="BA326" s="235"/>
    </row>
    <row r="327" spans="1:71" x14ac:dyDescent="0.2">
      <c r="A327" s="432" t="s">
        <v>160</v>
      </c>
      <c r="B327" s="432"/>
      <c r="C327" s="432"/>
      <c r="D327" s="432"/>
      <c r="E327" s="432"/>
      <c r="F327" s="432"/>
      <c r="G327" s="432"/>
      <c r="H327" s="432"/>
      <c r="I327" s="432"/>
      <c r="J327" s="432"/>
      <c r="K327" s="432"/>
      <c r="L327" s="432"/>
      <c r="M327" s="432"/>
      <c r="N327" s="432"/>
      <c r="O327" s="432"/>
      <c r="P327" s="432"/>
      <c r="Q327" s="234"/>
      <c r="S327" s="334"/>
      <c r="T327" s="334"/>
      <c r="U327" s="334"/>
      <c r="V327" s="334"/>
      <c r="W327" s="334"/>
      <c r="X327" s="334"/>
      <c r="Y327" s="334"/>
      <c r="Z327" s="334"/>
      <c r="AA327" s="334"/>
      <c r="AB327" s="334"/>
      <c r="AC327" s="334"/>
      <c r="AD327" s="334"/>
      <c r="AE327" s="334"/>
      <c r="AF327" s="334"/>
      <c r="AG327" s="334"/>
      <c r="AH327" s="278"/>
      <c r="AI327" s="278"/>
      <c r="AJ327" s="278"/>
      <c r="AK327" s="278"/>
      <c r="AL327" s="278"/>
      <c r="AM327" s="278"/>
      <c r="AT327" s="235"/>
      <c r="AU327" s="235"/>
      <c r="AV327" s="235"/>
      <c r="AW327" s="238"/>
      <c r="AX327" s="235"/>
      <c r="AY327" s="235"/>
      <c r="AZ327" s="235"/>
      <c r="BA327" s="235"/>
    </row>
    <row r="328" spans="1:71" x14ac:dyDescent="0.2">
      <c r="S328" s="278"/>
      <c r="T328" s="278"/>
      <c r="U328" s="278"/>
      <c r="V328" s="278"/>
      <c r="W328" s="278"/>
      <c r="X328" s="278"/>
      <c r="Y328" s="278"/>
      <c r="Z328" s="278"/>
      <c r="AA328" s="278"/>
      <c r="AB328" s="278"/>
      <c r="AC328" s="278"/>
      <c r="AD328" s="278"/>
      <c r="AE328" s="278"/>
      <c r="AF328" s="278"/>
      <c r="AG328" s="278"/>
      <c r="AH328" s="278"/>
      <c r="AI328" s="278"/>
      <c r="AJ328" s="278"/>
      <c r="AK328" s="278"/>
      <c r="AL328" s="278"/>
      <c r="AM328" s="278"/>
      <c r="AT328" s="235"/>
      <c r="AU328" s="235"/>
      <c r="AV328" s="235"/>
      <c r="AW328" s="238"/>
      <c r="AX328" s="235"/>
      <c r="AY328" s="235"/>
      <c r="AZ328" s="235"/>
      <c r="BA328" s="235"/>
    </row>
    <row r="329" spans="1:71" ht="13.5" thickBot="1" x14ac:dyDescent="0.25">
      <c r="A329" s="402" t="str">
        <f>IF(B357=1,B349,IF(B357=2,B350,IF(B357=3,B351,IF(B357=4,B352,IF(OR(B357="B",B357="b"),"BYE","invalid")))))</f>
        <v>Soar Court 12U</v>
      </c>
      <c r="B329" s="402"/>
      <c r="C329" s="402"/>
      <c r="D329" s="402"/>
      <c r="E329" s="402"/>
      <c r="F329" s="266"/>
      <c r="G329" s="266"/>
      <c r="H329" s="266"/>
      <c r="I329" s="266"/>
      <c r="J329" s="266"/>
      <c r="K329" s="266"/>
      <c r="L329" s="266"/>
      <c r="M329" s="266"/>
      <c r="N329" s="266"/>
      <c r="O329" s="266"/>
      <c r="S329" s="278"/>
      <c r="T329" s="304"/>
      <c r="U329" s="304"/>
      <c r="V329" s="298"/>
      <c r="W329" s="298"/>
      <c r="X329" s="298"/>
      <c r="Y329" s="298"/>
      <c r="Z329" s="298"/>
      <c r="AA329" s="298"/>
      <c r="AB329" s="298"/>
      <c r="AC329" s="278"/>
      <c r="AD329" s="278"/>
      <c r="AE329" s="278"/>
      <c r="AF329" s="278"/>
      <c r="AG329" s="278"/>
      <c r="AH329" s="278"/>
      <c r="AI329" s="278"/>
      <c r="AJ329" s="278"/>
      <c r="AK329" s="278"/>
      <c r="AL329" s="278"/>
      <c r="AM329" s="278"/>
      <c r="AT329" s="235"/>
      <c r="AU329" s="235"/>
      <c r="AV329" s="235"/>
      <c r="AW329" s="238"/>
      <c r="AX329" s="235"/>
      <c r="AY329" s="235"/>
      <c r="AZ329" s="235"/>
      <c r="BA329" s="235"/>
    </row>
    <row r="330" spans="1:71" x14ac:dyDescent="0.2">
      <c r="A330" s="404" t="s">
        <v>161</v>
      </c>
      <c r="B330" s="404"/>
      <c r="C330" s="404"/>
      <c r="D330" s="404"/>
      <c r="E330" s="404"/>
      <c r="F330" s="268"/>
      <c r="G330" s="266"/>
      <c r="H330" s="266"/>
      <c r="I330" s="266"/>
      <c r="J330" s="266"/>
      <c r="K330" s="266"/>
      <c r="L330" s="266"/>
      <c r="M330" s="266"/>
      <c r="N330" s="266"/>
      <c r="O330" s="266"/>
      <c r="S330" s="278"/>
      <c r="T330" s="335"/>
      <c r="U330" s="335"/>
      <c r="V330" s="336"/>
      <c r="W330" s="336"/>
      <c r="X330" s="336"/>
      <c r="Y330" s="336"/>
      <c r="Z330" s="336"/>
      <c r="AA330" s="336"/>
      <c r="AB330" s="336"/>
      <c r="AC330" s="278"/>
      <c r="AD330" s="278"/>
      <c r="AE330" s="278"/>
      <c r="AF330" s="278"/>
      <c r="AG330" s="278"/>
      <c r="AH330" s="278"/>
      <c r="AI330" s="278"/>
      <c r="AJ330" s="278"/>
      <c r="AK330" s="278"/>
      <c r="AL330" s="278"/>
      <c r="AM330" s="278"/>
      <c r="AT330" s="235"/>
      <c r="AU330" s="235"/>
      <c r="AV330" s="235"/>
      <c r="AW330" s="238"/>
      <c r="AX330" s="235"/>
      <c r="AY330" s="235"/>
      <c r="AZ330" s="235"/>
      <c r="BA330" s="235"/>
    </row>
    <row r="331" spans="1:71" x14ac:dyDescent="0.2">
      <c r="A331" s="266"/>
      <c r="B331" s="266"/>
      <c r="C331" s="307"/>
      <c r="D331" s="266"/>
      <c r="E331" s="266"/>
      <c r="F331" s="268"/>
      <c r="G331" s="266"/>
      <c r="H331" s="266"/>
      <c r="I331" s="266"/>
      <c r="J331" s="266"/>
      <c r="K331" s="266"/>
      <c r="L331" s="266"/>
      <c r="M331" s="266"/>
      <c r="N331" s="266"/>
      <c r="O331" s="266"/>
      <c r="S331" s="278"/>
      <c r="T331" s="278"/>
      <c r="U331" s="278"/>
      <c r="V331" s="278"/>
      <c r="W331" s="278"/>
      <c r="X331" s="278"/>
      <c r="Y331" s="278"/>
      <c r="Z331" s="278"/>
      <c r="AA331" s="278"/>
      <c r="AB331" s="278"/>
      <c r="AC331" s="278"/>
      <c r="AD331" s="278"/>
      <c r="AE331" s="278"/>
      <c r="AF331" s="278"/>
      <c r="AG331" s="278"/>
      <c r="AH331" s="278"/>
      <c r="AI331" s="278"/>
      <c r="AJ331" s="278"/>
      <c r="AK331" s="278"/>
      <c r="AL331" s="278"/>
      <c r="AM331" s="278"/>
      <c r="AT331" s="235"/>
      <c r="AU331" s="235"/>
      <c r="AV331" s="235"/>
      <c r="AW331" s="238"/>
      <c r="AX331" s="235"/>
      <c r="AY331" s="235"/>
      <c r="AZ331" s="235"/>
      <c r="BA331" s="235"/>
    </row>
    <row r="332" spans="1:71" ht="13.5" thickBot="1" x14ac:dyDescent="0.25">
      <c r="A332" s="426" t="str">
        <f>B351&amp;" ref"</f>
        <v>P31 Volleyball Club 12-1 ref</v>
      </c>
      <c r="B332" s="426"/>
      <c r="C332" s="426"/>
      <c r="D332" s="426"/>
      <c r="E332" s="427"/>
      <c r="F332" s="421" t="str">
        <f>IF(H357=1,B349,IF(H357=2,B350,IF(H357=3,B351,IF(H357=4,B352,"Winner Match 1"))))</f>
        <v>Soar Court 12U</v>
      </c>
      <c r="G332" s="422"/>
      <c r="H332" s="422"/>
      <c r="I332" s="422"/>
      <c r="J332" s="422"/>
      <c r="K332" s="422"/>
      <c r="L332" s="422"/>
      <c r="M332" s="422"/>
      <c r="N332" s="422"/>
      <c r="O332" s="266"/>
      <c r="Q332" s="270"/>
      <c r="R332" s="270"/>
      <c r="S332" s="334"/>
      <c r="T332" s="334"/>
      <c r="U332" s="334"/>
      <c r="V332" s="334"/>
      <c r="W332" s="334"/>
      <c r="X332" s="334"/>
      <c r="Y332" s="334"/>
      <c r="Z332" s="334"/>
      <c r="AA332" s="334"/>
      <c r="AB332" s="278"/>
      <c r="AC332" s="298"/>
      <c r="AD332" s="298"/>
      <c r="AE332" s="298"/>
      <c r="AF332" s="298"/>
      <c r="AG332" s="298"/>
      <c r="AH332" s="298"/>
      <c r="AI332" s="298"/>
      <c r="AJ332" s="278"/>
      <c r="AK332" s="278"/>
      <c r="AL332" s="278"/>
      <c r="AM332" s="278"/>
      <c r="AT332" s="235"/>
      <c r="AU332" s="235"/>
      <c r="AV332" s="235"/>
    </row>
    <row r="333" spans="1:71" x14ac:dyDescent="0.2">
      <c r="A333" s="419" t="s">
        <v>165</v>
      </c>
      <c r="B333" s="419"/>
      <c r="C333" s="419"/>
      <c r="D333" s="419"/>
      <c r="E333" s="419"/>
      <c r="F333" s="428"/>
      <c r="G333" s="429"/>
      <c r="H333" s="429"/>
      <c r="I333" s="430"/>
      <c r="J333" s="417"/>
      <c r="K333" s="418"/>
      <c r="L333" s="418"/>
      <c r="M333" s="418"/>
      <c r="N333" s="418"/>
      <c r="O333" s="266"/>
      <c r="P333" s="266"/>
      <c r="Q333" s="271"/>
      <c r="R333" s="194"/>
      <c r="S333" s="337"/>
      <c r="T333" s="337"/>
      <c r="U333" s="338"/>
      <c r="V333" s="338"/>
      <c r="W333" s="338"/>
      <c r="X333" s="338"/>
      <c r="Y333" s="338"/>
      <c r="Z333" s="338"/>
      <c r="AA333" s="338"/>
      <c r="AB333" s="278"/>
      <c r="AC333" s="334"/>
      <c r="AD333" s="334"/>
      <c r="AE333" s="334"/>
      <c r="AF333" s="334"/>
      <c r="AG333" s="334"/>
      <c r="AH333" s="334"/>
      <c r="AI333" s="334"/>
      <c r="AJ333" s="278"/>
      <c r="AK333" s="278"/>
      <c r="AL333" s="278"/>
      <c r="AM333" s="278"/>
      <c r="AT333" s="235"/>
      <c r="AU333" s="235"/>
      <c r="AV333" s="235"/>
      <c r="AW333" s="246"/>
      <c r="AX333" s="241"/>
      <c r="AY333" s="241"/>
      <c r="AZ333" s="241"/>
      <c r="BA333" s="241"/>
    </row>
    <row r="334" spans="1:71" ht="13.5" thickBot="1" x14ac:dyDescent="0.25">
      <c r="A334" s="402" t="str">
        <f>IF(D357=1,B349,IF(D357=2,B350,IF(D357=3,B351,IF(D357=4,B352,IF(OR(D357="B",D357="b"),"BYE","invalid")))))</f>
        <v>C1VB 11 State Greenville</v>
      </c>
      <c r="B334" s="402"/>
      <c r="C334" s="402"/>
      <c r="D334" s="402"/>
      <c r="E334" s="403"/>
      <c r="F334" s="268"/>
      <c r="G334" s="266"/>
      <c r="H334" s="266"/>
      <c r="I334" s="266"/>
      <c r="J334" s="268"/>
      <c r="K334" s="266"/>
      <c r="L334" s="266"/>
      <c r="M334" s="266"/>
      <c r="N334" s="266"/>
      <c r="O334" s="266"/>
      <c r="P334" s="266"/>
      <c r="Q334" s="266"/>
      <c r="S334" s="278"/>
      <c r="T334" s="278"/>
      <c r="U334" s="278"/>
      <c r="V334" s="298"/>
      <c r="W334" s="298"/>
      <c r="X334" s="298"/>
      <c r="Y334" s="298"/>
      <c r="Z334" s="298"/>
      <c r="AA334" s="298"/>
      <c r="AB334" s="298"/>
      <c r="AC334" s="278"/>
      <c r="AD334" s="278"/>
      <c r="AE334" s="278"/>
      <c r="AF334" s="278"/>
      <c r="AG334" s="278"/>
      <c r="AH334" s="278"/>
      <c r="AI334" s="278"/>
      <c r="AJ334" s="278"/>
      <c r="AK334" s="278"/>
      <c r="AL334" s="278"/>
      <c r="AM334" s="278"/>
      <c r="AT334" s="235"/>
      <c r="AU334" s="235"/>
      <c r="AV334" s="235"/>
      <c r="AW334" s="246"/>
      <c r="AX334" s="241"/>
      <c r="AY334" s="241"/>
      <c r="AZ334" s="241"/>
      <c r="BA334" s="241"/>
    </row>
    <row r="335" spans="1:71" x14ac:dyDescent="0.2">
      <c r="A335" s="404" t="s">
        <v>169</v>
      </c>
      <c r="B335" s="404"/>
      <c r="C335" s="404"/>
      <c r="D335" s="404"/>
      <c r="E335" s="404"/>
      <c r="F335" s="266"/>
      <c r="G335" s="266"/>
      <c r="H335" s="266"/>
      <c r="I335" s="266"/>
      <c r="J335" s="268"/>
      <c r="K335" s="266"/>
      <c r="L335" s="266"/>
      <c r="M335" s="266"/>
      <c r="N335" s="266"/>
      <c r="O335" s="266"/>
      <c r="P335" s="266"/>
      <c r="Q335" s="266"/>
      <c r="S335" s="278"/>
      <c r="T335" s="278"/>
      <c r="U335" s="278"/>
      <c r="V335" s="336"/>
      <c r="W335" s="336"/>
      <c r="X335" s="336"/>
      <c r="Y335" s="336"/>
      <c r="Z335" s="336"/>
      <c r="AA335" s="336"/>
      <c r="AB335" s="336"/>
      <c r="AC335" s="278"/>
      <c r="AD335" s="278"/>
      <c r="AE335" s="278"/>
      <c r="AF335" s="278"/>
      <c r="AG335" s="278"/>
      <c r="AH335" s="278"/>
      <c r="AI335" s="278"/>
      <c r="AJ335" s="278"/>
      <c r="AK335" s="278"/>
      <c r="AL335" s="278"/>
      <c r="AM335" s="278"/>
      <c r="AR335" s="273"/>
      <c r="AS335" s="273"/>
      <c r="AT335" s="235"/>
      <c r="AU335" s="235"/>
      <c r="AV335" s="235"/>
      <c r="AW335" s="246"/>
      <c r="AX335" s="241"/>
      <c r="AY335" s="241"/>
      <c r="AZ335" s="241"/>
      <c r="BA335" s="241"/>
      <c r="BB335" s="273"/>
      <c r="BC335" s="273"/>
      <c r="BD335" s="273"/>
    </row>
    <row r="336" spans="1:71" x14ac:dyDescent="0.2">
      <c r="A336" s="266"/>
      <c r="B336" s="266"/>
      <c r="C336" s="266"/>
      <c r="D336" s="266"/>
      <c r="E336" s="266"/>
      <c r="F336" s="413" t="s">
        <v>113</v>
      </c>
      <c r="G336" s="413"/>
      <c r="H336" s="413"/>
      <c r="I336" s="423"/>
      <c r="J336" s="268"/>
      <c r="K336" s="266"/>
      <c r="L336" s="266"/>
      <c r="M336" s="266"/>
      <c r="N336" s="266"/>
      <c r="O336" s="266"/>
      <c r="P336" s="266"/>
      <c r="Q336" s="266"/>
      <c r="S336" s="278"/>
      <c r="T336" s="278"/>
      <c r="U336" s="278"/>
      <c r="V336" s="278"/>
      <c r="W336" s="278"/>
      <c r="X336" s="334"/>
      <c r="Y336" s="334"/>
      <c r="Z336" s="334"/>
      <c r="AA336" s="278"/>
      <c r="AB336" s="334"/>
      <c r="AC336" s="334"/>
      <c r="AD336" s="334"/>
      <c r="AE336" s="334"/>
      <c r="AF336" s="334"/>
      <c r="AG336" s="278"/>
      <c r="AH336" s="278"/>
      <c r="AI336" s="278"/>
      <c r="AJ336" s="278"/>
      <c r="AK336" s="278"/>
      <c r="AL336" s="278"/>
      <c r="AM336" s="278"/>
      <c r="AT336" s="235"/>
      <c r="AU336" s="235"/>
      <c r="AV336" s="235"/>
      <c r="AW336" s="246"/>
      <c r="AX336" s="241"/>
      <c r="AY336" s="241"/>
      <c r="AZ336" s="241"/>
      <c r="BA336" s="241"/>
    </row>
    <row r="337" spans="1:53" ht="13.5" thickBot="1" x14ac:dyDescent="0.25">
      <c r="A337" s="266"/>
      <c r="B337" s="266"/>
      <c r="C337" s="266"/>
      <c r="D337" s="266"/>
      <c r="E337" s="266"/>
      <c r="F337" s="266"/>
      <c r="G337" s="266"/>
      <c r="H337" s="266"/>
      <c r="I337" s="266"/>
      <c r="J337" s="424" t="str">
        <f>IF(K362=1,B349,IF(K362=2,B350,IF(K362=3,B351,IF(K362=4,B352,"Division Winner"))))</f>
        <v>SC Midlands 12 Black</v>
      </c>
      <c r="K337" s="425"/>
      <c r="L337" s="425"/>
      <c r="M337" s="425"/>
      <c r="N337" s="425"/>
      <c r="O337" s="425"/>
      <c r="P337" s="425"/>
      <c r="Q337" s="425"/>
      <c r="R337" s="267"/>
      <c r="S337" s="278"/>
      <c r="T337" s="278"/>
      <c r="U337" s="278"/>
      <c r="V337" s="278"/>
      <c r="W337" s="278"/>
      <c r="X337" s="278"/>
      <c r="Y337" s="278"/>
      <c r="Z337" s="278"/>
      <c r="AA337" s="278"/>
      <c r="AB337" s="298"/>
      <c r="AC337" s="298"/>
      <c r="AD337" s="298"/>
      <c r="AE337" s="298"/>
      <c r="AF337" s="298"/>
      <c r="AG337" s="339"/>
      <c r="AH337" s="339"/>
      <c r="AI337" s="339"/>
      <c r="AJ337" s="339"/>
      <c r="AK337" s="339"/>
      <c r="AL337" s="298"/>
      <c r="AM337" s="278"/>
      <c r="AT337" s="235"/>
      <c r="AU337" s="235"/>
      <c r="AV337" s="235"/>
      <c r="AW337" s="246"/>
      <c r="AX337" s="241"/>
      <c r="AY337" s="241"/>
      <c r="AZ337" s="241"/>
      <c r="BA337" s="241"/>
    </row>
    <row r="338" spans="1:53" ht="13.5" thickBot="1" x14ac:dyDescent="0.25">
      <c r="A338" s="402" t="str">
        <f>IF(E357=1,B349,IF(E357=2,B350,IF(E357=3,B351,IF(E357=4,B352,IF(OR(E357="B",E357="b"),"BYE","invalid")))))</f>
        <v>SC Midlands 12 Black</v>
      </c>
      <c r="B338" s="402"/>
      <c r="C338" s="402"/>
      <c r="D338" s="402"/>
      <c r="E338" s="402"/>
      <c r="F338" s="419" t="s">
        <v>162</v>
      </c>
      <c r="G338" s="419"/>
      <c r="H338" s="419"/>
      <c r="I338" s="419"/>
      <c r="J338" s="412" t="s">
        <v>163</v>
      </c>
      <c r="K338" s="413"/>
      <c r="L338" s="413"/>
      <c r="M338" s="413"/>
      <c r="N338" s="413"/>
      <c r="O338" s="413"/>
      <c r="P338" s="413"/>
      <c r="Q338" s="413"/>
      <c r="S338" s="298"/>
      <c r="T338" s="298"/>
      <c r="U338" s="298"/>
      <c r="V338" s="298"/>
      <c r="W338" s="298"/>
      <c r="X338" s="298"/>
      <c r="Y338" s="298"/>
      <c r="Z338" s="298"/>
      <c r="AA338" s="298"/>
      <c r="AB338" s="298"/>
      <c r="AC338" s="337"/>
      <c r="AD338" s="337"/>
      <c r="AE338" s="337"/>
      <c r="AF338" s="337"/>
      <c r="AG338" s="334"/>
      <c r="AH338" s="334"/>
      <c r="AI338" s="334"/>
      <c r="AJ338" s="334"/>
      <c r="AK338" s="334"/>
      <c r="AL338" s="278"/>
      <c r="AM338" s="278"/>
      <c r="AT338" s="235"/>
      <c r="AU338" s="235"/>
      <c r="AV338" s="235"/>
      <c r="AW338" s="246"/>
      <c r="AX338" s="241"/>
      <c r="AY338" s="241"/>
      <c r="AZ338" s="241"/>
      <c r="BA338" s="241"/>
    </row>
    <row r="339" spans="1:53" x14ac:dyDescent="0.2">
      <c r="A339" s="404" t="s">
        <v>164</v>
      </c>
      <c r="B339" s="404"/>
      <c r="C339" s="404"/>
      <c r="D339" s="404"/>
      <c r="E339" s="404"/>
      <c r="F339" s="268"/>
      <c r="G339" s="266"/>
      <c r="H339" s="266"/>
      <c r="I339" s="266"/>
      <c r="J339" s="412"/>
      <c r="K339" s="413"/>
      <c r="L339" s="413"/>
      <c r="M339" s="413"/>
      <c r="N339" s="413"/>
      <c r="O339" s="413"/>
      <c r="P339" s="413"/>
      <c r="Q339" s="413"/>
      <c r="R339" s="266"/>
      <c r="S339" s="336"/>
      <c r="T339" s="336"/>
      <c r="U339" s="336"/>
      <c r="V339" s="336"/>
      <c r="W339" s="336"/>
      <c r="X339" s="336"/>
      <c r="Y339" s="336"/>
      <c r="Z339" s="336"/>
      <c r="AA339" s="336"/>
      <c r="AB339" s="336"/>
      <c r="AC339" s="278"/>
      <c r="AD339" s="278"/>
      <c r="AE339" s="278"/>
      <c r="AF339" s="278"/>
      <c r="AG339" s="278"/>
      <c r="AH339" s="278"/>
      <c r="AI339" s="278"/>
      <c r="AJ339" s="278"/>
      <c r="AK339" s="278"/>
      <c r="AL339" s="278"/>
      <c r="AM339" s="278"/>
      <c r="AT339" s="235"/>
      <c r="AU339" s="235"/>
      <c r="AV339" s="235"/>
      <c r="AW339" s="246"/>
      <c r="AX339" s="241"/>
      <c r="AY339" s="241"/>
      <c r="AZ339" s="241"/>
      <c r="BA339" s="241"/>
    </row>
    <row r="340" spans="1:53" x14ac:dyDescent="0.2">
      <c r="A340" s="266"/>
      <c r="B340" s="266"/>
      <c r="C340" s="266"/>
      <c r="D340" s="266"/>
      <c r="E340" s="266"/>
      <c r="F340" s="268"/>
      <c r="G340" s="266"/>
      <c r="H340" s="266"/>
      <c r="I340" s="266"/>
      <c r="J340" s="268"/>
      <c r="K340" s="266"/>
      <c r="L340" s="266"/>
      <c r="M340" s="266"/>
      <c r="N340" s="266"/>
      <c r="O340" s="266"/>
      <c r="Q340" s="266"/>
      <c r="R340" s="266"/>
      <c r="S340" s="278"/>
      <c r="T340" s="278"/>
      <c r="U340" s="278"/>
      <c r="V340" s="278"/>
      <c r="W340" s="278"/>
      <c r="X340" s="278"/>
      <c r="Y340" s="278"/>
      <c r="Z340" s="278"/>
      <c r="AA340" s="278"/>
      <c r="AB340" s="278"/>
      <c r="AC340" s="278"/>
      <c r="AD340" s="278"/>
      <c r="AE340" s="278"/>
      <c r="AF340" s="278"/>
      <c r="AG340" s="278"/>
      <c r="AH340" s="278"/>
      <c r="AI340" s="278"/>
      <c r="AJ340" s="278"/>
      <c r="AK340" s="278"/>
      <c r="AL340" s="278"/>
      <c r="AM340" s="278"/>
      <c r="AT340" s="235"/>
      <c r="AU340" s="235"/>
      <c r="AV340" s="235"/>
      <c r="AW340" s="246"/>
      <c r="AX340" s="241"/>
      <c r="AY340" s="241"/>
      <c r="AZ340" s="241"/>
      <c r="BA340" s="241"/>
    </row>
    <row r="341" spans="1:53" ht="13.5" thickBot="1" x14ac:dyDescent="0.25">
      <c r="A341" s="413" t="s">
        <v>120</v>
      </c>
      <c r="B341" s="413"/>
      <c r="C341" s="413"/>
      <c r="D341" s="413"/>
      <c r="E341" s="271"/>
      <c r="F341" s="414"/>
      <c r="G341" s="415"/>
      <c r="H341" s="415"/>
      <c r="I341" s="416"/>
      <c r="J341" s="417"/>
      <c r="K341" s="418"/>
      <c r="L341" s="418"/>
      <c r="M341" s="418"/>
      <c r="N341" s="418"/>
      <c r="O341" s="266"/>
      <c r="R341" s="270"/>
      <c r="S341" s="334"/>
      <c r="T341" s="334"/>
      <c r="U341" s="334"/>
      <c r="V341" s="334"/>
      <c r="W341" s="334"/>
      <c r="X341" s="334"/>
      <c r="Y341" s="334"/>
      <c r="Z341" s="334"/>
      <c r="AA341" s="334"/>
      <c r="AB341" s="278"/>
      <c r="AC341" s="334"/>
      <c r="AD341" s="334"/>
      <c r="AE341" s="334"/>
      <c r="AF341" s="334"/>
      <c r="AG341" s="334"/>
      <c r="AH341" s="334"/>
      <c r="AI341" s="334"/>
      <c r="AJ341" s="278"/>
      <c r="AK341" s="278"/>
      <c r="AL341" s="278"/>
      <c r="AM341" s="278"/>
      <c r="AT341" s="235"/>
      <c r="AU341" s="235"/>
      <c r="AV341" s="235"/>
      <c r="AW341" s="253"/>
      <c r="AX341" s="252"/>
      <c r="AY341" s="252"/>
      <c r="AZ341" s="252"/>
      <c r="BA341" s="252"/>
    </row>
    <row r="342" spans="1:53" x14ac:dyDescent="0.2">
      <c r="A342" s="419" t="s">
        <v>165</v>
      </c>
      <c r="B342" s="419"/>
      <c r="C342" s="419"/>
      <c r="D342" s="419"/>
      <c r="E342" s="420"/>
      <c r="F342" s="421" t="str">
        <f>IF(J357=1,B349,IF(J357=2,B350,IF(J357=3,B351,IF(J357=4,B352,"Winner Match 2"))))</f>
        <v>SC Midlands 12 Black</v>
      </c>
      <c r="G342" s="422"/>
      <c r="H342" s="422"/>
      <c r="I342" s="422"/>
      <c r="J342" s="422"/>
      <c r="K342" s="422"/>
      <c r="L342" s="422"/>
      <c r="M342" s="422"/>
      <c r="N342" s="422"/>
      <c r="O342" s="266"/>
      <c r="Q342" s="271"/>
      <c r="R342" s="271"/>
      <c r="S342" s="278"/>
      <c r="T342" s="337"/>
      <c r="U342" s="337"/>
      <c r="V342" s="337"/>
      <c r="W342" s="337"/>
      <c r="X342" s="337"/>
      <c r="Y342" s="337"/>
      <c r="Z342" s="337"/>
      <c r="AA342" s="337"/>
      <c r="AB342" s="278"/>
      <c r="AC342" s="298"/>
      <c r="AD342" s="298"/>
      <c r="AE342" s="298"/>
      <c r="AF342" s="298"/>
      <c r="AG342" s="298"/>
      <c r="AH342" s="298"/>
      <c r="AI342" s="298"/>
      <c r="AJ342" s="278"/>
      <c r="AK342" s="278"/>
      <c r="AL342" s="278"/>
      <c r="AM342" s="278"/>
      <c r="AT342" s="235"/>
      <c r="AU342" s="235"/>
      <c r="AV342" s="235"/>
      <c r="AW342" s="259"/>
      <c r="AX342" s="258"/>
      <c r="AY342" s="258"/>
      <c r="AZ342" s="258"/>
      <c r="BA342" s="258"/>
    </row>
    <row r="343" spans="1:53" ht="13.5" thickBot="1" x14ac:dyDescent="0.25">
      <c r="A343" s="402" t="str">
        <f>IF(G357=1,B349,IF(G357=2,B350,IF(G357=3,B351,IF(G357=4,B352,IF(OR(G357="B",G357="b"),"BYE","invalid")))))</f>
        <v>P31 Volleyball Club 12-1</v>
      </c>
      <c r="B343" s="402"/>
      <c r="C343" s="402"/>
      <c r="D343" s="402"/>
      <c r="E343" s="403"/>
      <c r="F343" s="268"/>
      <c r="G343" s="266"/>
      <c r="H343" s="266"/>
      <c r="I343" s="266"/>
      <c r="J343" s="266"/>
      <c r="K343" s="266"/>
      <c r="L343" s="266"/>
      <c r="M343" s="266"/>
      <c r="N343" s="266"/>
      <c r="O343" s="266"/>
      <c r="Q343" s="266"/>
      <c r="R343" s="266"/>
      <c r="S343" s="278"/>
      <c r="T343" s="298"/>
      <c r="U343" s="298"/>
      <c r="V343" s="298"/>
      <c r="W343" s="298"/>
      <c r="X343" s="298"/>
      <c r="Y343" s="298"/>
      <c r="Z343" s="298"/>
      <c r="AA343" s="298"/>
      <c r="AB343" s="298"/>
      <c r="AC343" s="278"/>
      <c r="AD343" s="278"/>
      <c r="AE343" s="278"/>
      <c r="AF343" s="278"/>
      <c r="AG343" s="278"/>
      <c r="AH343" s="278"/>
      <c r="AI343" s="278"/>
      <c r="AJ343" s="278"/>
      <c r="AK343" s="278"/>
      <c r="AL343" s="278"/>
      <c r="AM343" s="278"/>
      <c r="AT343" s="235"/>
      <c r="AU343" s="235"/>
      <c r="AV343" s="235"/>
      <c r="AW343" s="259"/>
      <c r="AX343" s="258"/>
      <c r="AY343" s="258"/>
      <c r="AZ343" s="258"/>
      <c r="BA343" s="258"/>
    </row>
    <row r="344" spans="1:53" x14ac:dyDescent="0.2">
      <c r="A344" s="404" t="s">
        <v>166</v>
      </c>
      <c r="B344" s="404"/>
      <c r="C344" s="404"/>
      <c r="D344" s="404"/>
      <c r="E344" s="404"/>
      <c r="S344" s="278"/>
      <c r="T344" s="336"/>
      <c r="U344" s="336"/>
      <c r="V344" s="336"/>
      <c r="W344" s="336"/>
      <c r="X344" s="336"/>
      <c r="Y344" s="336"/>
      <c r="Z344" s="336"/>
      <c r="AA344" s="336"/>
      <c r="AB344" s="336"/>
      <c r="AC344" s="278"/>
      <c r="AD344" s="278"/>
      <c r="AE344" s="278"/>
      <c r="AF344" s="278"/>
      <c r="AG344" s="278"/>
      <c r="AH344" s="278"/>
      <c r="AI344" s="278"/>
      <c r="AJ344" s="278"/>
      <c r="AK344" s="278"/>
      <c r="AL344" s="278"/>
      <c r="AM344" s="278"/>
      <c r="AT344" s="235"/>
      <c r="AU344" s="235"/>
      <c r="AV344" s="235"/>
      <c r="AW344" s="246"/>
      <c r="AX344" s="241"/>
      <c r="AY344" s="241"/>
      <c r="AZ344" s="241"/>
      <c r="BA344" s="241"/>
    </row>
    <row r="345" spans="1:53" x14ac:dyDescent="0.2">
      <c r="S345" s="278"/>
      <c r="T345" s="278"/>
      <c r="U345" s="278"/>
      <c r="V345" s="278"/>
      <c r="W345" s="278"/>
      <c r="X345" s="278"/>
      <c r="Y345" s="278"/>
      <c r="Z345" s="278"/>
      <c r="AA345" s="278"/>
      <c r="AB345" s="278"/>
      <c r="AC345" s="278"/>
      <c r="AD345" s="278"/>
      <c r="AE345" s="278"/>
      <c r="AF345" s="278"/>
      <c r="AG345" s="278"/>
      <c r="AH345" s="278"/>
      <c r="AI345" s="278"/>
      <c r="AJ345" s="278"/>
      <c r="AK345" s="278"/>
      <c r="AL345" s="278"/>
      <c r="AM345" s="278"/>
      <c r="AT345" s="235"/>
      <c r="AU345" s="235"/>
      <c r="AV345" s="235"/>
      <c r="AW345" s="246"/>
      <c r="AX345" s="241"/>
      <c r="AY345" s="241"/>
      <c r="AZ345" s="241"/>
      <c r="BA345" s="241"/>
    </row>
    <row r="346" spans="1:53" x14ac:dyDescent="0.2">
      <c r="S346" s="278"/>
      <c r="T346" s="278"/>
      <c r="U346" s="278"/>
      <c r="V346" s="278"/>
      <c r="W346" s="278"/>
      <c r="X346" s="278"/>
      <c r="Y346" s="278"/>
      <c r="Z346" s="278"/>
      <c r="AA346" s="278"/>
      <c r="AB346" s="278"/>
      <c r="AC346" s="278"/>
      <c r="AD346" s="278"/>
      <c r="AE346" s="278"/>
      <c r="AF346" s="278"/>
      <c r="AG346" s="278"/>
      <c r="AH346" s="278"/>
      <c r="AI346" s="278"/>
      <c r="AJ346" s="278"/>
      <c r="AK346" s="278"/>
      <c r="AL346" s="278"/>
      <c r="AM346" s="278"/>
      <c r="AT346" s="235"/>
      <c r="AU346" s="235"/>
      <c r="AV346" s="235"/>
    </row>
    <row r="347" spans="1:53" ht="16.5" thickBot="1" x14ac:dyDescent="0.3">
      <c r="A347" s="405" t="s">
        <v>167</v>
      </c>
      <c r="B347" s="405"/>
      <c r="C347" s="405"/>
      <c r="D347" s="405"/>
      <c r="E347" s="405"/>
      <c r="F347" s="405"/>
      <c r="G347" s="405"/>
      <c r="H347" s="405"/>
      <c r="I347" s="405"/>
      <c r="J347" s="405"/>
      <c r="K347" s="311"/>
      <c r="R347" s="263"/>
      <c r="S347" s="340"/>
      <c r="T347" s="340"/>
      <c r="U347" s="341"/>
      <c r="V347" s="341"/>
      <c r="W347" s="341"/>
      <c r="X347" s="341"/>
      <c r="Y347" s="341"/>
      <c r="Z347" s="341"/>
      <c r="AA347" s="341"/>
      <c r="AB347" s="341"/>
      <c r="AC347" s="341"/>
      <c r="AD347" s="341"/>
      <c r="AE347" s="341"/>
      <c r="AF347" s="341"/>
      <c r="AG347" s="278"/>
      <c r="AH347" s="278"/>
      <c r="AI347" s="278"/>
      <c r="AJ347" s="278"/>
      <c r="AK347" s="278"/>
      <c r="AL347" s="278"/>
      <c r="AM347" s="278"/>
      <c r="AT347" s="235"/>
      <c r="AU347" s="235"/>
      <c r="AV347" s="235"/>
    </row>
    <row r="348" spans="1:53" ht="13.5" thickBot="1" x14ac:dyDescent="0.25">
      <c r="A348" s="277" t="s">
        <v>125</v>
      </c>
      <c r="B348" s="406" t="s">
        <v>126</v>
      </c>
      <c r="C348" s="407"/>
      <c r="D348" s="407"/>
      <c r="E348" s="407"/>
      <c r="F348" s="407"/>
      <c r="G348" s="407"/>
      <c r="H348" s="407"/>
      <c r="I348" s="407"/>
      <c r="J348" s="408"/>
      <c r="K348" s="409" t="s">
        <v>127</v>
      </c>
      <c r="L348" s="410"/>
      <c r="M348" s="410"/>
      <c r="N348" s="410"/>
      <c r="O348" s="410"/>
      <c r="P348" s="410"/>
      <c r="Q348" s="411"/>
      <c r="R348" s="266"/>
      <c r="S348" s="278"/>
      <c r="T348" s="278"/>
      <c r="U348" s="298"/>
      <c r="V348" s="298"/>
      <c r="W348" s="298"/>
      <c r="X348" s="298"/>
      <c r="Y348" s="278"/>
      <c r="Z348" s="278"/>
      <c r="AA348" s="278"/>
      <c r="AB348" s="278"/>
      <c r="AC348" s="278"/>
      <c r="AD348" s="278"/>
      <c r="AE348" s="278"/>
      <c r="AF348" s="278"/>
      <c r="AG348" s="278"/>
      <c r="AH348" s="278"/>
      <c r="AI348" s="278"/>
      <c r="AJ348" s="278"/>
      <c r="AK348" s="278"/>
      <c r="AL348" s="278"/>
      <c r="AM348" s="278"/>
      <c r="AT348" s="235"/>
      <c r="AU348" s="235"/>
      <c r="AV348" s="235"/>
    </row>
    <row r="349" spans="1:53" ht="13.5" thickBot="1" x14ac:dyDescent="0.25">
      <c r="A349" s="277">
        <v>1</v>
      </c>
      <c r="B349" s="396" t="str">
        <f>X271</f>
        <v>Soar Court 12U</v>
      </c>
      <c r="C349" s="397"/>
      <c r="D349" s="397"/>
      <c r="E349" s="397"/>
      <c r="F349" s="397"/>
      <c r="G349" s="397"/>
      <c r="H349" s="397"/>
      <c r="I349" s="397"/>
      <c r="J349" s="398"/>
      <c r="K349" s="399" t="str">
        <f>AF271</f>
        <v>fj2soarj2pm</v>
      </c>
      <c r="L349" s="400"/>
      <c r="M349" s="400"/>
      <c r="N349" s="400"/>
      <c r="O349" s="400"/>
      <c r="P349" s="400"/>
      <c r="Q349" s="401"/>
      <c r="R349" s="266"/>
      <c r="S349" s="278"/>
      <c r="T349" s="278"/>
      <c r="U349" s="298"/>
      <c r="V349" s="298"/>
      <c r="W349" s="298"/>
      <c r="X349" s="334"/>
      <c r="Y349" s="334"/>
      <c r="Z349" s="334"/>
      <c r="AA349" s="334"/>
      <c r="AB349" s="334"/>
      <c r="AC349" s="334"/>
      <c r="AD349" s="334"/>
      <c r="AE349" s="334"/>
      <c r="AF349" s="334"/>
      <c r="AG349" s="278"/>
      <c r="AH349" s="278"/>
      <c r="AI349" s="278"/>
      <c r="AJ349" s="278"/>
      <c r="AK349" s="278"/>
      <c r="AL349" s="278"/>
      <c r="AM349" s="278"/>
      <c r="AT349" s="235"/>
      <c r="AU349" s="235"/>
      <c r="AV349" s="235"/>
    </row>
    <row r="350" spans="1:53" ht="13.5" thickBot="1" x14ac:dyDescent="0.25">
      <c r="A350" s="277">
        <v>2</v>
      </c>
      <c r="B350" s="396" t="str">
        <f>AH264</f>
        <v>SC Midlands 12 Black</v>
      </c>
      <c r="C350" s="397"/>
      <c r="D350" s="397"/>
      <c r="E350" s="397"/>
      <c r="F350" s="397"/>
      <c r="G350" s="397"/>
      <c r="H350" s="397"/>
      <c r="I350" s="397"/>
      <c r="J350" s="398"/>
      <c r="K350" s="399" t="str">
        <f>AK264</f>
        <v>fj2scmid1pm</v>
      </c>
      <c r="L350" s="400"/>
      <c r="M350" s="400"/>
      <c r="N350" s="400"/>
      <c r="O350" s="400"/>
      <c r="P350" s="400"/>
      <c r="Q350" s="401"/>
      <c r="R350" s="266"/>
      <c r="S350" s="278"/>
      <c r="T350" s="278"/>
      <c r="U350" s="298"/>
      <c r="V350" s="298"/>
      <c r="W350" s="298"/>
      <c r="X350" s="334"/>
      <c r="Y350" s="334"/>
      <c r="Z350" s="334"/>
      <c r="AA350" s="334"/>
      <c r="AB350" s="334"/>
      <c r="AC350" s="334"/>
      <c r="AD350" s="334"/>
      <c r="AE350" s="334"/>
      <c r="AF350" s="334"/>
      <c r="AG350" s="278"/>
      <c r="AH350" s="278"/>
      <c r="AI350" s="278"/>
      <c r="AJ350" s="278"/>
      <c r="AK350" s="278"/>
      <c r="AL350" s="278"/>
      <c r="AM350" s="278"/>
      <c r="AT350" s="235"/>
      <c r="AU350" s="235"/>
      <c r="AV350" s="235"/>
    </row>
    <row r="351" spans="1:53" ht="13.5" thickBot="1" x14ac:dyDescent="0.25">
      <c r="A351" s="277">
        <v>3</v>
      </c>
      <c r="B351" s="396" t="str">
        <f>AH265</f>
        <v>P31 Volleyball Club 12-1</v>
      </c>
      <c r="C351" s="397"/>
      <c r="D351" s="397"/>
      <c r="E351" s="397"/>
      <c r="F351" s="397"/>
      <c r="G351" s="397"/>
      <c r="H351" s="397"/>
      <c r="I351" s="397"/>
      <c r="J351" s="398"/>
      <c r="K351" s="399" t="str">
        <f>AK265</f>
        <v>fj2ptvbc1so</v>
      </c>
      <c r="L351" s="400"/>
      <c r="M351" s="400"/>
      <c r="N351" s="400"/>
      <c r="O351" s="400"/>
      <c r="P351" s="400"/>
      <c r="Q351" s="401"/>
      <c r="R351" s="266"/>
      <c r="S351" s="278"/>
      <c r="T351" s="278"/>
      <c r="U351" s="298"/>
      <c r="V351" s="298"/>
      <c r="W351" s="298"/>
      <c r="X351" s="334"/>
      <c r="Y351" s="334"/>
      <c r="Z351" s="334"/>
      <c r="AA351" s="334"/>
      <c r="AB351" s="334"/>
      <c r="AC351" s="334"/>
      <c r="AD351" s="334"/>
      <c r="AE351" s="334"/>
      <c r="AF351" s="334"/>
      <c r="AG351" s="278"/>
      <c r="AH351" s="278"/>
      <c r="AI351" s="278"/>
      <c r="AJ351" s="278"/>
      <c r="AK351" s="278"/>
      <c r="AL351" s="278"/>
      <c r="AM351" s="278"/>
      <c r="AT351" s="235"/>
      <c r="AU351" s="235"/>
      <c r="AV351" s="235"/>
    </row>
    <row r="352" spans="1:53" ht="13.5" thickBot="1" x14ac:dyDescent="0.25">
      <c r="A352" s="277">
        <v>4</v>
      </c>
      <c r="B352" s="396" t="str">
        <f>AH266</f>
        <v>C1VB 11 State Greenville</v>
      </c>
      <c r="C352" s="397"/>
      <c r="D352" s="397"/>
      <c r="E352" s="397"/>
      <c r="F352" s="397"/>
      <c r="G352" s="397"/>
      <c r="H352" s="397"/>
      <c r="I352" s="397"/>
      <c r="J352" s="398"/>
      <c r="K352" s="399" t="str">
        <f>AK266</f>
        <v>fj1crone1pm</v>
      </c>
      <c r="L352" s="400"/>
      <c r="M352" s="400"/>
      <c r="N352" s="400"/>
      <c r="O352" s="400"/>
      <c r="P352" s="400"/>
      <c r="Q352" s="401"/>
      <c r="R352" s="266"/>
      <c r="S352" s="278"/>
      <c r="T352" s="278"/>
      <c r="U352" s="298"/>
      <c r="V352" s="298"/>
      <c r="W352" s="298"/>
      <c r="X352" s="334"/>
      <c r="Y352" s="334"/>
      <c r="Z352" s="334"/>
      <c r="AA352" s="334"/>
      <c r="AB352" s="334"/>
      <c r="AC352" s="334"/>
      <c r="AD352" s="334"/>
      <c r="AE352" s="334"/>
      <c r="AF352" s="334"/>
      <c r="AG352" s="278"/>
      <c r="AH352" s="278"/>
      <c r="AI352" s="278"/>
      <c r="AJ352" s="278"/>
      <c r="AK352" s="278"/>
      <c r="AL352" s="278"/>
      <c r="AM352" s="278"/>
      <c r="AT352" s="235"/>
      <c r="AU352" s="235"/>
      <c r="AV352" s="235"/>
    </row>
    <row r="353" spans="1:71" ht="13.5" thickBot="1" x14ac:dyDescent="0.25">
      <c r="S353" s="278"/>
      <c r="T353" s="278"/>
      <c r="U353" s="278"/>
      <c r="V353" s="278"/>
      <c r="W353" s="278"/>
      <c r="X353" s="278"/>
      <c r="Y353" s="278"/>
      <c r="Z353" s="278"/>
      <c r="AA353" s="278"/>
      <c r="AB353" s="278"/>
      <c r="AC353" s="278"/>
      <c r="AD353" s="278"/>
      <c r="AE353" s="278"/>
      <c r="AF353" s="278"/>
      <c r="AG353" s="278"/>
      <c r="AH353" s="278"/>
      <c r="AI353" s="278"/>
      <c r="AJ353" s="278"/>
      <c r="AK353" s="278"/>
      <c r="AL353" s="278"/>
      <c r="AM353" s="278"/>
      <c r="AT353" s="235"/>
      <c r="AU353" s="235"/>
      <c r="AV353" s="235"/>
    </row>
    <row r="354" spans="1:71" x14ac:dyDescent="0.2">
      <c r="B354" s="372" t="s">
        <v>128</v>
      </c>
      <c r="C354" s="373"/>
      <c r="D354" s="374"/>
      <c r="E354" s="375" t="s">
        <v>128</v>
      </c>
      <c r="F354" s="373"/>
      <c r="G354" s="374"/>
      <c r="H354" s="375" t="s">
        <v>11</v>
      </c>
      <c r="I354" s="373"/>
      <c r="J354" s="376"/>
      <c r="K354" s="377" t="s">
        <v>129</v>
      </c>
      <c r="L354" s="378"/>
      <c r="M354" s="378"/>
      <c r="N354" s="378"/>
      <c r="O354" s="378"/>
      <c r="P354" s="378"/>
      <c r="Q354" s="379"/>
      <c r="S354" s="278"/>
      <c r="T354" s="278"/>
      <c r="U354" s="278"/>
      <c r="V354" s="278"/>
      <c r="W354" s="278"/>
      <c r="X354" s="342"/>
      <c r="Y354" s="342"/>
      <c r="Z354" s="342"/>
      <c r="AA354" s="342"/>
      <c r="AB354" s="342"/>
      <c r="AC354" s="342"/>
      <c r="AD354" s="342"/>
      <c r="AE354" s="342"/>
      <c r="AF354" s="342"/>
      <c r="AG354" s="278"/>
      <c r="AH354" s="278"/>
      <c r="AI354" s="278"/>
      <c r="AJ354" s="278"/>
      <c r="AK354" s="278"/>
      <c r="AL354" s="278"/>
      <c r="AM354" s="278"/>
      <c r="AT354" s="235"/>
      <c r="AU354" s="235"/>
      <c r="AV354" s="235"/>
    </row>
    <row r="355" spans="1:71" x14ac:dyDescent="0.2">
      <c r="A355" s="221" t="s">
        <v>130</v>
      </c>
      <c r="B355" s="386">
        <v>3</v>
      </c>
      <c r="C355" s="387"/>
      <c r="D355" s="388"/>
      <c r="E355" s="389" t="s">
        <v>131</v>
      </c>
      <c r="F355" s="387"/>
      <c r="G355" s="388"/>
      <c r="H355" s="389" t="s">
        <v>132</v>
      </c>
      <c r="I355" s="387"/>
      <c r="J355" s="390"/>
      <c r="K355" s="380"/>
      <c r="L355" s="381"/>
      <c r="M355" s="381"/>
      <c r="N355" s="381"/>
      <c r="O355" s="381"/>
      <c r="P355" s="381"/>
      <c r="Q355" s="382"/>
      <c r="S355" s="278"/>
      <c r="T355" s="278"/>
      <c r="U355" s="278"/>
      <c r="V355" s="278"/>
      <c r="W355" s="343"/>
      <c r="X355" s="344"/>
      <c r="Y355" s="344"/>
      <c r="Z355" s="344"/>
      <c r="AA355" s="344"/>
      <c r="AB355" s="344"/>
      <c r="AC355" s="344"/>
      <c r="AD355" s="344"/>
      <c r="AE355" s="344"/>
      <c r="AF355" s="344"/>
      <c r="AG355" s="278"/>
      <c r="AH355" s="278"/>
      <c r="AI355" s="278"/>
      <c r="AJ355" s="278"/>
      <c r="AK355" s="278"/>
      <c r="AL355" s="278"/>
      <c r="AM355" s="278"/>
      <c r="AT355" s="241"/>
      <c r="AU355" s="241"/>
      <c r="AV355" s="241"/>
    </row>
    <row r="356" spans="1:71" ht="13.5" thickBot="1" x14ac:dyDescent="0.25">
      <c r="A356" s="195"/>
      <c r="B356" s="391" t="s">
        <v>43</v>
      </c>
      <c r="C356" s="392"/>
      <c r="D356" s="393"/>
      <c r="E356" s="394" t="s">
        <v>133</v>
      </c>
      <c r="F356" s="392"/>
      <c r="G356" s="393"/>
      <c r="H356" s="394" t="s">
        <v>134</v>
      </c>
      <c r="I356" s="392"/>
      <c r="J356" s="395"/>
      <c r="K356" s="383"/>
      <c r="L356" s="384"/>
      <c r="M356" s="384"/>
      <c r="N356" s="384"/>
      <c r="O356" s="384"/>
      <c r="P356" s="384"/>
      <c r="Q356" s="385"/>
      <c r="S356" s="278"/>
      <c r="T356" s="278"/>
      <c r="U356" s="298"/>
      <c r="V356" s="298"/>
      <c r="W356" s="298"/>
      <c r="X356" s="345"/>
      <c r="Y356" s="345"/>
      <c r="Z356" s="345"/>
      <c r="AA356" s="345"/>
      <c r="AB356" s="345"/>
      <c r="AC356" s="345"/>
      <c r="AD356" s="345"/>
      <c r="AE356" s="345"/>
      <c r="AF356" s="345"/>
      <c r="AG356" s="278"/>
      <c r="AH356" s="278"/>
      <c r="AI356" s="278"/>
      <c r="AJ356" s="278"/>
      <c r="AK356" s="278"/>
      <c r="AL356" s="278"/>
      <c r="AM356" s="278"/>
      <c r="AT356" s="241"/>
      <c r="AU356" s="241"/>
      <c r="AV356" s="241"/>
    </row>
    <row r="357" spans="1:71" ht="13.5" thickBot="1" x14ac:dyDescent="0.25">
      <c r="A357" s="195"/>
      <c r="B357" s="279">
        <v>1</v>
      </c>
      <c r="C357" s="280" t="s">
        <v>51</v>
      </c>
      <c r="D357" s="281">
        <v>4</v>
      </c>
      <c r="E357" s="282">
        <v>2</v>
      </c>
      <c r="F357" s="280" t="s">
        <v>51</v>
      </c>
      <c r="G357" s="281">
        <v>3</v>
      </c>
      <c r="H357" s="283">
        <f>IF(OR(AND(OR(B361&gt;0,D361&gt;0),B361&gt;D361),OR(D357="b",D357="B")),B357,IF(OR(AND(OR(B361&gt;0,D361&gt;0),D361&gt;B361),OR(B357="b",B357="B")),D357,"W1"))</f>
        <v>1</v>
      </c>
      <c r="I357" s="284" t="s">
        <v>51</v>
      </c>
      <c r="J357" s="285">
        <f>IF(OR(AND(OR(E361&gt;0,G361&gt;0),E361&gt;G361),OR(G357="b",G357="B")),E357,IF(OR(AND(OR(E361&gt;0,G361&gt;0),G361&gt;E361),OR(E357="b",E357="B")),G357,"W2"))</f>
        <v>2</v>
      </c>
      <c r="K357" s="359" t="s">
        <v>135</v>
      </c>
      <c r="L357" s="360"/>
      <c r="M357" s="360"/>
      <c r="N357" s="361"/>
      <c r="S357" s="278"/>
      <c r="T357" s="278"/>
      <c r="U357" s="298"/>
      <c r="V357" s="298"/>
      <c r="W357" s="298"/>
      <c r="X357" s="346"/>
      <c r="Y357" s="347"/>
      <c r="Z357" s="348"/>
      <c r="AA357" s="346"/>
      <c r="AB357" s="347"/>
      <c r="AC357" s="348"/>
      <c r="AD357" s="346"/>
      <c r="AE357" s="347"/>
      <c r="AF357" s="348"/>
      <c r="AG357" s="345"/>
      <c r="AH357" s="345"/>
      <c r="AI357" s="278"/>
      <c r="AJ357" s="278"/>
      <c r="AK357" s="278"/>
      <c r="AL357" s="278"/>
      <c r="AM357" s="278"/>
    </row>
    <row r="358" spans="1:71" ht="12.75" hidden="1" customHeight="1" x14ac:dyDescent="0.2">
      <c r="A358" s="195"/>
      <c r="B358" s="288">
        <f>IF(B362&gt;D362,1,0)</f>
        <v>1</v>
      </c>
      <c r="C358" s="289"/>
      <c r="D358" s="290">
        <f>IF(D362&gt;B362,1,0)</f>
        <v>0</v>
      </c>
      <c r="E358" s="288">
        <f>IF(E362&gt;G362,1,0)</f>
        <v>1</v>
      </c>
      <c r="F358" s="289"/>
      <c r="G358" s="290">
        <f>IF(G362&gt;E362,1,0)</f>
        <v>0</v>
      </c>
      <c r="H358" s="288">
        <f>IF(H362&gt;J362,1,0)</f>
        <v>0</v>
      </c>
      <c r="I358" s="289"/>
      <c r="J358" s="290">
        <f>IF(J362&gt;H362,1,0)</f>
        <v>1</v>
      </c>
      <c r="K358" s="291"/>
      <c r="L358" s="292"/>
      <c r="M358" s="292"/>
      <c r="N358" s="293"/>
      <c r="S358" s="278"/>
      <c r="T358" s="278"/>
      <c r="U358" s="298"/>
      <c r="V358" s="298"/>
      <c r="W358" s="298"/>
      <c r="X358" s="349"/>
      <c r="Y358" s="304"/>
      <c r="Z358" s="350"/>
      <c r="AA358" s="349"/>
      <c r="AB358" s="304"/>
      <c r="AC358" s="350"/>
      <c r="AD358" s="349"/>
      <c r="AE358" s="304"/>
      <c r="AF358" s="350"/>
      <c r="AG358" s="351"/>
      <c r="AH358" s="351"/>
      <c r="AI358" s="278"/>
      <c r="AJ358" s="278"/>
      <c r="AK358" s="278"/>
      <c r="AL358" s="278"/>
      <c r="AM358" s="278"/>
    </row>
    <row r="359" spans="1:71" ht="12.75" hidden="1" customHeight="1" x14ac:dyDescent="0.2">
      <c r="A359" s="195"/>
      <c r="B359" s="288">
        <f>IF(B363&gt;D363,1,0)</f>
        <v>0</v>
      </c>
      <c r="C359" s="289"/>
      <c r="D359" s="290">
        <f>IF(D363&gt;B363,1,0)</f>
        <v>0</v>
      </c>
      <c r="E359" s="288">
        <f>IF(E363&gt;G363,1,0)</f>
        <v>0</v>
      </c>
      <c r="F359" s="289"/>
      <c r="G359" s="290">
        <f>IF(G363&gt;E363,1,0)</f>
        <v>0</v>
      </c>
      <c r="H359" s="288">
        <f>IF(H363&gt;J363,1,0)</f>
        <v>0</v>
      </c>
      <c r="I359" s="289"/>
      <c r="J359" s="290">
        <f>IF(J363&gt;H363,1,0)</f>
        <v>1</v>
      </c>
      <c r="K359" s="291"/>
      <c r="L359" s="292"/>
      <c r="M359" s="292"/>
      <c r="N359" s="293"/>
      <c r="S359" s="278"/>
      <c r="T359" s="278"/>
      <c r="U359" s="298"/>
      <c r="V359" s="298"/>
      <c r="W359" s="298"/>
      <c r="X359" s="349"/>
      <c r="Y359" s="304"/>
      <c r="Z359" s="350"/>
      <c r="AA359" s="349"/>
      <c r="AB359" s="304"/>
      <c r="AC359" s="350"/>
      <c r="AD359" s="349"/>
      <c r="AE359" s="304"/>
      <c r="AF359" s="350"/>
      <c r="AG359" s="351"/>
      <c r="AH359" s="351"/>
      <c r="AI359" s="278"/>
      <c r="AJ359" s="278"/>
      <c r="AK359" s="278"/>
      <c r="AL359" s="278"/>
      <c r="AM359" s="278"/>
    </row>
    <row r="360" spans="1:71" ht="13.5" hidden="1" customHeight="1" thickBot="1" x14ac:dyDescent="0.25">
      <c r="A360" s="195"/>
      <c r="B360" s="288">
        <f>IF(B364&gt;D364,1,0)</f>
        <v>0</v>
      </c>
      <c r="C360" s="289"/>
      <c r="D360" s="290">
        <f>IF(D364&gt;B364,1,0)</f>
        <v>0</v>
      </c>
      <c r="E360" s="288">
        <f>IF(E364&gt;G364,1,0)</f>
        <v>0</v>
      </c>
      <c r="F360" s="289"/>
      <c r="G360" s="290">
        <f>IF(G364&gt;E364,1,0)</f>
        <v>0</v>
      </c>
      <c r="H360" s="288">
        <f>IF(H364&gt;J364,1,0)</f>
        <v>0</v>
      </c>
      <c r="I360" s="289"/>
      <c r="J360" s="290">
        <f>IF(J364&gt;H364,1,0)</f>
        <v>0</v>
      </c>
      <c r="K360" s="291"/>
      <c r="L360" s="292"/>
      <c r="M360" s="292"/>
      <c r="N360" s="293"/>
      <c r="S360" s="278"/>
      <c r="T360" s="278"/>
      <c r="U360" s="298"/>
      <c r="V360" s="298"/>
      <c r="W360" s="298"/>
      <c r="X360" s="349"/>
      <c r="Y360" s="304"/>
      <c r="Z360" s="350"/>
      <c r="AA360" s="349"/>
      <c r="AB360" s="304"/>
      <c r="AC360" s="350"/>
      <c r="AD360" s="349"/>
      <c r="AE360" s="304"/>
      <c r="AF360" s="350"/>
      <c r="AG360" s="351"/>
      <c r="AH360" s="351"/>
      <c r="AI360" s="278"/>
      <c r="AJ360" s="278"/>
      <c r="AK360" s="278"/>
      <c r="AL360" s="278"/>
      <c r="AM360" s="278"/>
    </row>
    <row r="361" spans="1:71" ht="13.5" hidden="1" thickBot="1" x14ac:dyDescent="0.25">
      <c r="A361" s="195"/>
      <c r="B361" s="288">
        <f>SUM(B358:B360)</f>
        <v>1</v>
      </c>
      <c r="C361" s="289"/>
      <c r="D361" s="288">
        <f>SUM(D358:D360)</f>
        <v>0</v>
      </c>
      <c r="E361" s="288">
        <f>SUM(E358:E360)</f>
        <v>1</v>
      </c>
      <c r="F361" s="289"/>
      <c r="G361" s="288">
        <f>SUM(G358:G360)</f>
        <v>0</v>
      </c>
      <c r="H361" s="288">
        <f>SUM(H358:H360)</f>
        <v>0</v>
      </c>
      <c r="I361" s="289"/>
      <c r="J361" s="288">
        <f>SUM(J358:J360)</f>
        <v>2</v>
      </c>
      <c r="K361" s="291"/>
      <c r="L361" s="292"/>
      <c r="M361" s="292"/>
      <c r="N361" s="293"/>
      <c r="S361" s="278"/>
      <c r="T361" s="278"/>
      <c r="U361" s="298"/>
      <c r="V361" s="298"/>
      <c r="W361" s="298"/>
      <c r="X361" s="298"/>
      <c r="Y361" s="298"/>
      <c r="Z361" s="298"/>
      <c r="AA361" s="298"/>
      <c r="AB361" s="298"/>
      <c r="AC361" s="298"/>
      <c r="AD361" s="298"/>
      <c r="AE361" s="298"/>
      <c r="AF361" s="298"/>
      <c r="AG361" s="298"/>
      <c r="AH361" s="298"/>
      <c r="AI361" s="278"/>
      <c r="AJ361" s="278"/>
      <c r="AK361" s="278"/>
      <c r="AL361" s="278"/>
      <c r="AM361" s="278"/>
    </row>
    <row r="362" spans="1:71" x14ac:dyDescent="0.2">
      <c r="A362" s="193" t="s">
        <v>52</v>
      </c>
      <c r="B362" s="294">
        <v>25</v>
      </c>
      <c r="C362" s="230" t="s">
        <v>53</v>
      </c>
      <c r="D362" s="295">
        <v>19</v>
      </c>
      <c r="E362" s="296">
        <v>25</v>
      </c>
      <c r="F362" s="230" t="s">
        <v>53</v>
      </c>
      <c r="G362" s="295">
        <v>12</v>
      </c>
      <c r="H362" s="296">
        <v>11</v>
      </c>
      <c r="I362" s="230" t="s">
        <v>53</v>
      </c>
      <c r="J362" s="297">
        <v>25</v>
      </c>
      <c r="K362" s="362">
        <f>IF(AND(OR(H361&gt;0,J361&gt;0),AND(1&lt;=H357,H357&lt;=4),AND(1&lt;=J357,J357&lt;=4)),IF(H361&gt;J361,H357,IF(J361&gt;H361,J357,"")),"")</f>
        <v>2</v>
      </c>
      <c r="L362" s="363"/>
      <c r="M362" s="363"/>
      <c r="N362" s="364"/>
    </row>
    <row r="363" spans="1:71" x14ac:dyDescent="0.2">
      <c r="A363" s="193" t="s">
        <v>136</v>
      </c>
      <c r="B363" s="294"/>
      <c r="C363" s="230" t="s">
        <v>53</v>
      </c>
      <c r="D363" s="295"/>
      <c r="E363" s="296"/>
      <c r="F363" s="230" t="s">
        <v>53</v>
      </c>
      <c r="G363" s="295"/>
      <c r="H363" s="296">
        <v>17</v>
      </c>
      <c r="I363" s="230" t="s">
        <v>53</v>
      </c>
      <c r="J363" s="297">
        <v>25</v>
      </c>
      <c r="K363" s="365"/>
      <c r="L363" s="366"/>
      <c r="M363" s="366"/>
      <c r="N363" s="367"/>
    </row>
    <row r="364" spans="1:71" ht="13.5" thickBot="1" x14ac:dyDescent="0.25">
      <c r="A364" s="193" t="s">
        <v>137</v>
      </c>
      <c r="B364" s="299"/>
      <c r="C364" s="300" t="s">
        <v>53</v>
      </c>
      <c r="D364" s="301"/>
      <c r="E364" s="302"/>
      <c r="F364" s="300" t="s">
        <v>53</v>
      </c>
      <c r="G364" s="301"/>
      <c r="H364" s="302"/>
      <c r="I364" s="300" t="s">
        <v>53</v>
      </c>
      <c r="J364" s="303"/>
      <c r="K364" s="368"/>
      <c r="L364" s="369"/>
      <c r="M364" s="369"/>
      <c r="N364" s="370"/>
    </row>
    <row r="365" spans="1:71" hidden="1" x14ac:dyDescent="0.2">
      <c r="B365" s="191"/>
      <c r="C365" s="304" t="s">
        <v>87</v>
      </c>
      <c r="D365" s="191" t="s">
        <v>138</v>
      </c>
      <c r="E365" s="191"/>
      <c r="F365" s="304"/>
      <c r="G365" s="188" t="s">
        <v>139</v>
      </c>
      <c r="J365" s="188" t="s">
        <v>140</v>
      </c>
      <c r="AT365" s="188" t="str">
        <f>B366</f>
        <v>Soar Court 12U</v>
      </c>
      <c r="AU365" s="188">
        <f>J366</f>
        <v>1347.9072899202179</v>
      </c>
      <c r="BB365" s="234"/>
      <c r="BE365" s="234"/>
      <c r="BH365" s="238"/>
      <c r="BI365" s="235"/>
      <c r="BJ365" s="235"/>
      <c r="BK365" s="238"/>
      <c r="BL365" s="235"/>
      <c r="BM365" s="235"/>
      <c r="BN365" s="238"/>
      <c r="BO365" s="235"/>
      <c r="BP365" s="235"/>
      <c r="BQ365" s="238"/>
      <c r="BR365" s="235"/>
      <c r="BS365" s="235"/>
    </row>
    <row r="366" spans="1:71" hidden="1" x14ac:dyDescent="0.2">
      <c r="A366" s="188">
        <v>1</v>
      </c>
      <c r="B366" s="188" t="str">
        <f>B349</f>
        <v>Soar Court 12U</v>
      </c>
      <c r="C366" s="188">
        <f>VLOOKUP(B366,AU$2:AY$22,4,FALSE)</f>
        <v>1354.5101456744082</v>
      </c>
      <c r="D366" s="188">
        <f>IF(A366=B357,B372,IF(A366=D357,D372,C366))</f>
        <v>1361.3197186360583</v>
      </c>
      <c r="G366" s="188">
        <f>IF(A366=E357,E372,IF(A366=G357,G372,D366))</f>
        <v>1361.3197186360583</v>
      </c>
      <c r="J366" s="188">
        <f>IF(A366=H357,H372,IF(A366=J357,J372,G366))</f>
        <v>1347.9072899202179</v>
      </c>
      <c r="AT366" s="188" t="str">
        <f>B367</f>
        <v>SC Midlands 12 Black</v>
      </c>
      <c r="AU366" s="188">
        <f>J367</f>
        <v>1431.4182354610773</v>
      </c>
      <c r="BB366" s="234"/>
      <c r="BE366" s="234"/>
      <c r="BH366" s="238"/>
      <c r="BI366" s="235"/>
      <c r="BJ366" s="235"/>
      <c r="BK366" s="238"/>
      <c r="BL366" s="235"/>
      <c r="BM366" s="235"/>
      <c r="BN366" s="238"/>
      <c r="BO366" s="235"/>
      <c r="BP366" s="235"/>
      <c r="BQ366" s="238"/>
      <c r="BR366" s="235"/>
      <c r="BS366" s="235"/>
    </row>
    <row r="367" spans="1:71" hidden="1" x14ac:dyDescent="0.2">
      <c r="A367" s="188">
        <v>2</v>
      </c>
      <c r="B367" s="188" t="str">
        <f>B350</f>
        <v>SC Midlands 12 Black</v>
      </c>
      <c r="C367" s="188">
        <f>VLOOKUP(B367,AU$2:AY$22,4,FALSE)</f>
        <v>1411.269916034259</v>
      </c>
      <c r="D367" s="188">
        <f>IF(A367=B357,B372,IF(A367=D357,D372,C367))</f>
        <v>1411.269916034259</v>
      </c>
      <c r="G367" s="188">
        <f>IF(A367=E357,E372,IF(A367=G357,G372,D367))</f>
        <v>1418.0058067452369</v>
      </c>
      <c r="J367" s="188">
        <f>IF(A367=H357,H372,IF(A367=J357,J372,G367))</f>
        <v>1431.4182354610773</v>
      </c>
      <c r="AT367" s="188" t="str">
        <f>B368</f>
        <v>P31 Volleyball Club 12-1</v>
      </c>
      <c r="AU367" s="188">
        <f>J368</f>
        <v>1349.1705702720267</v>
      </c>
      <c r="BB367" s="234"/>
      <c r="BE367" s="234"/>
      <c r="BH367" s="238"/>
      <c r="BI367" s="235"/>
      <c r="BJ367" s="235"/>
      <c r="BK367" s="238"/>
      <c r="BL367" s="235"/>
      <c r="BM367" s="235"/>
      <c r="BN367" s="238"/>
      <c r="BO367" s="235"/>
      <c r="BP367" s="235"/>
      <c r="BQ367" s="238"/>
      <c r="BR367" s="235"/>
      <c r="BS367" s="235"/>
    </row>
    <row r="368" spans="1:71" hidden="1" x14ac:dyDescent="0.2">
      <c r="A368" s="188">
        <v>3</v>
      </c>
      <c r="B368" s="188" t="str">
        <f>B351</f>
        <v>P31 Volleyball Club 12-1</v>
      </c>
      <c r="C368" s="188">
        <f>VLOOKUP(B368,AU$2:AY$22,4,FALSE)</f>
        <v>1355.9064609830045</v>
      </c>
      <c r="D368" s="188">
        <f>IF(A368=B357,B372,IF(A368=D357,D372,C368))</f>
        <v>1355.9064609830045</v>
      </c>
      <c r="G368" s="188">
        <f>IF(A368=E357,E372,IF(A368=G357,G372,D368))</f>
        <v>1349.1705702720267</v>
      </c>
      <c r="J368" s="188">
        <f>IF(A368=H357,H372,IF(A368=J357,J372,G368))</f>
        <v>1349.1705702720267</v>
      </c>
      <c r="AT368" s="188" t="str">
        <f>B369</f>
        <v>C1VB 11 State Greenville</v>
      </c>
      <c r="AU368" s="188">
        <f>J369</f>
        <v>1295.6142470840948</v>
      </c>
      <c r="BB368" s="234"/>
      <c r="BE368" s="234"/>
      <c r="BH368" s="238"/>
      <c r="BI368" s="235"/>
      <c r="BJ368" s="235"/>
      <c r="BK368" s="238"/>
      <c r="BL368" s="235"/>
      <c r="BM368" s="235"/>
      <c r="BN368" s="238"/>
      <c r="BO368" s="235"/>
      <c r="BP368" s="235"/>
      <c r="BQ368" s="238"/>
      <c r="BR368" s="235"/>
      <c r="BS368" s="235"/>
    </row>
    <row r="369" spans="1:71" hidden="1" x14ac:dyDescent="0.2">
      <c r="A369" s="188">
        <v>4</v>
      </c>
      <c r="B369" s="188" t="str">
        <f>B352</f>
        <v>C1VB 11 State Greenville</v>
      </c>
      <c r="C369" s="188">
        <f>VLOOKUP(B369,AU$2:AY$22,4,FALSE)</f>
        <v>1302.4238200457448</v>
      </c>
      <c r="D369" s="188">
        <f>IF(A369=B357,B372,IF(A369=D357,D372,C369))</f>
        <v>1295.6142470840948</v>
      </c>
      <c r="G369" s="188">
        <f>IF(A369=E357,E372,IF(A369=G357,G372,D369))</f>
        <v>1295.6142470840948</v>
      </c>
      <c r="J369" s="188">
        <f>IF(A369=H357,H372,IF(A369=J357,J372,G369))</f>
        <v>1295.6142470840948</v>
      </c>
      <c r="AT369" s="188">
        <f>W366</f>
        <v>0</v>
      </c>
      <c r="AU369" s="188">
        <f>AE366</f>
        <v>0</v>
      </c>
      <c r="BB369" s="234"/>
      <c r="BE369" s="234"/>
      <c r="BH369" s="238"/>
      <c r="BI369" s="235"/>
      <c r="BJ369" s="235"/>
      <c r="BK369" s="238"/>
      <c r="BL369" s="235"/>
      <c r="BM369" s="235"/>
      <c r="BN369" s="238"/>
      <c r="BO369" s="235"/>
      <c r="BP369" s="235"/>
      <c r="BQ369" s="238"/>
      <c r="BR369" s="235"/>
      <c r="BS369" s="235"/>
    </row>
    <row r="370" spans="1:71" hidden="1" x14ac:dyDescent="0.2">
      <c r="A370" s="188" t="s">
        <v>89</v>
      </c>
      <c r="B370" s="188">
        <f>VLOOKUP(B357,$A366:$J369,3,FALSE)</f>
        <v>1354.5101456744082</v>
      </c>
      <c r="D370" s="188">
        <f>VLOOKUP(D357,$A366:$J369,3,FALSE)</f>
        <v>1302.4238200457448</v>
      </c>
      <c r="E370" s="188">
        <f>VLOOKUP(E357,$A366:$J369,4,FALSE)</f>
        <v>1411.269916034259</v>
      </c>
      <c r="G370" s="188">
        <f>VLOOKUP(G357,$A366:$J369,4,FALSE)</f>
        <v>1355.9064609830045</v>
      </c>
      <c r="H370" s="188">
        <f>VLOOKUP(H357,$A366:$J369,7,FALSE)</f>
        <v>1361.3197186360583</v>
      </c>
      <c r="J370" s="188">
        <f>VLOOKUP(J357,$A366:$J369,7,FALSE)</f>
        <v>1418.0058067452369</v>
      </c>
      <c r="AT370" s="188">
        <f>W367</f>
        <v>0</v>
      </c>
      <c r="AU370" s="188">
        <f>AE367</f>
        <v>0</v>
      </c>
      <c r="BB370" s="234"/>
      <c r="BE370" s="234"/>
      <c r="BH370" s="238"/>
      <c r="BI370" s="235"/>
      <c r="BJ370" s="235"/>
      <c r="BK370" s="238"/>
      <c r="BL370" s="235"/>
      <c r="BM370" s="235"/>
      <c r="BN370" s="238"/>
      <c r="BO370" s="235"/>
      <c r="BP370" s="235"/>
      <c r="BQ370" s="238"/>
      <c r="BR370" s="235"/>
      <c r="BS370" s="235"/>
    </row>
    <row r="371" spans="1:71" hidden="1" x14ac:dyDescent="0.2">
      <c r="A371" s="249" t="s">
        <v>90</v>
      </c>
      <c r="B371" s="249">
        <f>1/(1+(10^-((B370-D370)/400)))*(B361+D361)</f>
        <v>0.57440168989686813</v>
      </c>
      <c r="C371" s="249"/>
      <c r="D371" s="249">
        <f>1/(1+(10^-((D370-B370)/400)))*(B361+D361)</f>
        <v>0.42559831010313187</v>
      </c>
      <c r="E371" s="249">
        <f>1/(1+(10^-((E370-G370)/400)))*(E361+G361)</f>
        <v>0.57900683056387747</v>
      </c>
      <c r="G371" s="249">
        <f>1/(1+(10^-((G370-E370)/400)))*(E361+G361)</f>
        <v>0.42099316943612253</v>
      </c>
      <c r="H371" s="249">
        <f>1/(1+(10^-((H370-J370)/400)))*(H361+J361)</f>
        <v>0.83827679474002692</v>
      </c>
      <c r="J371" s="249">
        <f>1/(1+(10^-((J370-H370)/400)))*(H361+J361)</f>
        <v>1.1617232052599731</v>
      </c>
      <c r="AT371" s="188">
        <f>W368</f>
        <v>0</v>
      </c>
      <c r="AU371" s="188">
        <f>AE368</f>
        <v>0</v>
      </c>
      <c r="AW371" s="238"/>
      <c r="AX371" s="235"/>
      <c r="AY371" s="235"/>
      <c r="AZ371" s="235"/>
      <c r="BA371" s="235"/>
      <c r="BB371" s="238"/>
      <c r="BC371" s="235"/>
      <c r="BD371" s="235"/>
      <c r="BE371" s="234"/>
      <c r="BH371" s="238"/>
      <c r="BI371" s="235"/>
      <c r="BJ371" s="235"/>
      <c r="BK371" s="238"/>
      <c r="BL371" s="235"/>
      <c r="BM371" s="235"/>
      <c r="BN371" s="238"/>
      <c r="BO371" s="235"/>
      <c r="BP371" s="235"/>
      <c r="BQ371" s="238"/>
      <c r="BR371" s="235"/>
      <c r="BS371" s="235"/>
    </row>
    <row r="372" spans="1:71" hidden="1" x14ac:dyDescent="0.2">
      <c r="A372" s="255" t="s">
        <v>91</v>
      </c>
      <c r="B372" s="255">
        <f>B370+(B361-B371)*$BA$2</f>
        <v>1361.3197186360583</v>
      </c>
      <c r="C372" s="255"/>
      <c r="D372" s="255">
        <f>D370+(D361-D371)*$BA$2</f>
        <v>1295.6142470840948</v>
      </c>
      <c r="E372" s="255">
        <f>E370+(E361-E371)*$BA$2</f>
        <v>1418.0058067452369</v>
      </c>
      <c r="G372" s="255">
        <f>G370+(G361-G371)*$BA$2</f>
        <v>1349.1705702720267</v>
      </c>
      <c r="H372" s="255">
        <f>H370+(H361-H371)*$BA$2</f>
        <v>1347.9072899202179</v>
      </c>
      <c r="J372" s="255">
        <f>J370+(J361-J371)*$BA$2</f>
        <v>1431.4182354610773</v>
      </c>
      <c r="AT372" s="188">
        <f>W369</f>
        <v>0</v>
      </c>
      <c r="AU372" s="188">
        <f>AE369</f>
        <v>0</v>
      </c>
      <c r="AW372" s="238"/>
      <c r="AX372" s="235"/>
      <c r="AY372" s="235"/>
      <c r="AZ372" s="235"/>
      <c r="BA372" s="235"/>
      <c r="BB372" s="238"/>
      <c r="BC372" s="235"/>
      <c r="BD372" s="235"/>
      <c r="BE372" s="234"/>
      <c r="BH372" s="238"/>
      <c r="BI372" s="235"/>
      <c r="BJ372" s="235"/>
      <c r="BK372" s="238"/>
      <c r="BL372" s="235"/>
      <c r="BM372" s="235"/>
      <c r="BN372" s="238"/>
      <c r="BO372" s="235"/>
      <c r="BP372" s="235"/>
      <c r="BQ372" s="238"/>
      <c r="BR372" s="235"/>
      <c r="BS372" s="235"/>
    </row>
    <row r="373" spans="1:71" x14ac:dyDescent="0.2">
      <c r="A373" s="371" t="s">
        <v>141</v>
      </c>
      <c r="B373" s="371"/>
      <c r="C373" s="371"/>
      <c r="D373" s="371"/>
      <c r="E373" s="371"/>
      <c r="F373" s="371"/>
      <c r="G373" s="371"/>
      <c r="H373" s="371"/>
      <c r="I373" s="371"/>
      <c r="J373" s="371"/>
      <c r="K373" s="371"/>
      <c r="L373" s="371"/>
      <c r="M373" s="371"/>
      <c r="AW373" s="238"/>
      <c r="AX373" s="235"/>
      <c r="AY373" s="235"/>
      <c r="AZ373" s="235"/>
      <c r="BA373" s="235"/>
    </row>
    <row r="374" spans="1:71" x14ac:dyDescent="0.2">
      <c r="AW374" s="238"/>
      <c r="AX374" s="235"/>
      <c r="AY374" s="235"/>
      <c r="AZ374" s="235"/>
      <c r="BA374" s="235"/>
    </row>
    <row r="375" spans="1:71" x14ac:dyDescent="0.2">
      <c r="AW375" s="238"/>
      <c r="AX375" s="235"/>
      <c r="AY375" s="235"/>
      <c r="AZ375" s="235"/>
      <c r="BA375" s="235"/>
    </row>
    <row r="376" spans="1:71" x14ac:dyDescent="0.2">
      <c r="AW376" s="238"/>
      <c r="AX376" s="235"/>
      <c r="AY376" s="235"/>
      <c r="AZ376" s="235"/>
      <c r="BA376" s="235"/>
    </row>
    <row r="377" spans="1:71" x14ac:dyDescent="0.2">
      <c r="AW377" s="238"/>
      <c r="AX377" s="235"/>
      <c r="AY377" s="235"/>
      <c r="AZ377" s="235"/>
      <c r="BA377" s="235"/>
    </row>
    <row r="378" spans="1:71" x14ac:dyDescent="0.2">
      <c r="AW378" s="238"/>
      <c r="AX378" s="235"/>
      <c r="AY378" s="235"/>
      <c r="AZ378" s="235"/>
      <c r="BA378" s="235"/>
    </row>
    <row r="379" spans="1:71" x14ac:dyDescent="0.2">
      <c r="AT379" s="273"/>
      <c r="AU379" s="273"/>
      <c r="AW379" s="238"/>
      <c r="AX379" s="235"/>
      <c r="AY379" s="235"/>
      <c r="AZ379" s="235"/>
      <c r="BA379" s="235"/>
    </row>
    <row r="380" spans="1:71" x14ac:dyDescent="0.2">
      <c r="AW380" s="238"/>
      <c r="AX380" s="235"/>
      <c r="AY380" s="235"/>
      <c r="AZ380" s="235"/>
      <c r="BA380" s="235"/>
    </row>
    <row r="381" spans="1:71" x14ac:dyDescent="0.2">
      <c r="AW381" s="238"/>
      <c r="AX381" s="235"/>
      <c r="AY381" s="235"/>
      <c r="AZ381" s="235"/>
      <c r="BA381" s="235"/>
    </row>
    <row r="382" spans="1:71" x14ac:dyDescent="0.2">
      <c r="AW382" s="238"/>
      <c r="AX382" s="235"/>
      <c r="AY382" s="235"/>
      <c r="AZ382" s="235"/>
      <c r="BA382" s="235"/>
    </row>
    <row r="383" spans="1:71" x14ac:dyDescent="0.2">
      <c r="AW383" s="238"/>
      <c r="AX383" s="235"/>
      <c r="AY383" s="235"/>
      <c r="AZ383" s="235"/>
      <c r="BA383" s="235"/>
    </row>
    <row r="384" spans="1:71" x14ac:dyDescent="0.2">
      <c r="AW384" s="238"/>
      <c r="AX384" s="235"/>
      <c r="AY384" s="235"/>
      <c r="AZ384" s="235"/>
      <c r="BA384" s="235"/>
    </row>
    <row r="385" spans="49:53" x14ac:dyDescent="0.2">
      <c r="AW385" s="238"/>
      <c r="AX385" s="235"/>
      <c r="AY385" s="235"/>
      <c r="AZ385" s="235"/>
      <c r="BA385" s="235"/>
    </row>
    <row r="386" spans="49:53" x14ac:dyDescent="0.2">
      <c r="AW386" s="238"/>
      <c r="AX386" s="235"/>
      <c r="AY386" s="235"/>
      <c r="AZ386" s="235"/>
      <c r="BA386" s="235"/>
    </row>
    <row r="387" spans="49:53" x14ac:dyDescent="0.2">
      <c r="AW387" s="238"/>
      <c r="AX387" s="235"/>
      <c r="AY387" s="235"/>
      <c r="AZ387" s="235"/>
      <c r="BA387" s="235"/>
    </row>
    <row r="388" spans="49:53" x14ac:dyDescent="0.2">
      <c r="AW388" s="238"/>
      <c r="AX388" s="235"/>
      <c r="AY388" s="235"/>
      <c r="AZ388" s="235"/>
      <c r="BA388" s="235"/>
    </row>
    <row r="389" spans="49:53" x14ac:dyDescent="0.2">
      <c r="AW389" s="238"/>
      <c r="AX389" s="235"/>
      <c r="AY389" s="235"/>
      <c r="AZ389" s="235"/>
      <c r="BA389" s="235"/>
    </row>
    <row r="390" spans="49:53" x14ac:dyDescent="0.2">
      <c r="AW390" s="238"/>
      <c r="AX390" s="235"/>
      <c r="AY390" s="235"/>
      <c r="AZ390" s="235"/>
      <c r="BA390" s="235"/>
    </row>
    <row r="391" spans="49:53" x14ac:dyDescent="0.2">
      <c r="AW391" s="238"/>
      <c r="AX391" s="235"/>
      <c r="AY391" s="235"/>
      <c r="AZ391" s="235"/>
      <c r="BA391" s="235"/>
    </row>
    <row r="392" spans="49:53" x14ac:dyDescent="0.2">
      <c r="AW392" s="238"/>
      <c r="AX392" s="235"/>
      <c r="AY392" s="235"/>
      <c r="AZ392" s="235"/>
      <c r="BA392" s="235"/>
    </row>
    <row r="393" spans="49:53" x14ac:dyDescent="0.2">
      <c r="AW393" s="238"/>
      <c r="AX393" s="235"/>
      <c r="AY393" s="235"/>
      <c r="AZ393" s="235"/>
      <c r="BA393" s="235"/>
    </row>
    <row r="394" spans="49:53" x14ac:dyDescent="0.2">
      <c r="AW394" s="238"/>
      <c r="AX394" s="235"/>
      <c r="AY394" s="235"/>
      <c r="AZ394" s="235"/>
      <c r="BA394" s="235"/>
    </row>
    <row r="395" spans="49:53" x14ac:dyDescent="0.2">
      <c r="AW395" s="238"/>
      <c r="AX395" s="235"/>
      <c r="AY395" s="235"/>
      <c r="AZ395" s="235"/>
      <c r="BA395" s="235"/>
    </row>
    <row r="396" spans="49:53" x14ac:dyDescent="0.2">
      <c r="AW396" s="238"/>
      <c r="AX396" s="235"/>
      <c r="AY396" s="235"/>
      <c r="AZ396" s="235"/>
      <c r="BA396" s="235"/>
    </row>
    <row r="397" spans="49:53" x14ac:dyDescent="0.2">
      <c r="AW397" s="238"/>
      <c r="AX397" s="235"/>
      <c r="AY397" s="235"/>
      <c r="AZ397" s="235"/>
      <c r="BA397" s="235"/>
    </row>
    <row r="398" spans="49:53" x14ac:dyDescent="0.2">
      <c r="AW398" s="238"/>
      <c r="AX398" s="235"/>
      <c r="AY398" s="235"/>
      <c r="AZ398" s="235"/>
      <c r="BA398" s="235"/>
    </row>
    <row r="399" spans="49:53" x14ac:dyDescent="0.2">
      <c r="AW399" s="238"/>
      <c r="AX399" s="235"/>
      <c r="AY399" s="235"/>
      <c r="AZ399" s="235"/>
      <c r="BA399" s="235"/>
    </row>
    <row r="400" spans="49:53" x14ac:dyDescent="0.2">
      <c r="AW400" s="238"/>
      <c r="AX400" s="235"/>
      <c r="AY400" s="235"/>
      <c r="AZ400" s="235"/>
      <c r="BA400" s="235"/>
    </row>
    <row r="401" spans="46:53" x14ac:dyDescent="0.2">
      <c r="AW401" s="238"/>
      <c r="AX401" s="235"/>
      <c r="AY401" s="235"/>
      <c r="AZ401" s="235"/>
      <c r="BA401" s="235"/>
    </row>
    <row r="402" spans="46:53" x14ac:dyDescent="0.2">
      <c r="AW402" s="238"/>
      <c r="AX402" s="235"/>
      <c r="AY402" s="235"/>
      <c r="AZ402" s="235"/>
      <c r="BA402" s="235"/>
    </row>
    <row r="403" spans="46:53" x14ac:dyDescent="0.2">
      <c r="AW403" s="238"/>
      <c r="AX403" s="235"/>
      <c r="AY403" s="235"/>
      <c r="AZ403" s="235"/>
      <c r="BA403" s="235"/>
    </row>
    <row r="404" spans="46:53" x14ac:dyDescent="0.2">
      <c r="AW404" s="238"/>
      <c r="AX404" s="235"/>
      <c r="AY404" s="235"/>
      <c r="AZ404" s="235"/>
      <c r="BA404" s="235"/>
    </row>
    <row r="405" spans="46:53" x14ac:dyDescent="0.2">
      <c r="AW405" s="238"/>
      <c r="AX405" s="235"/>
      <c r="AY405" s="235"/>
      <c r="AZ405" s="235"/>
      <c r="BA405" s="235"/>
    </row>
    <row r="406" spans="46:53" x14ac:dyDescent="0.2">
      <c r="AW406" s="238"/>
      <c r="AX406" s="235"/>
      <c r="AY406" s="235"/>
      <c r="AZ406" s="235"/>
      <c r="BA406" s="235"/>
    </row>
    <row r="407" spans="46:53" x14ac:dyDescent="0.2">
      <c r="AW407" s="238"/>
      <c r="AX407" s="235"/>
      <c r="AY407" s="235"/>
      <c r="AZ407" s="235"/>
      <c r="BA407" s="235"/>
    </row>
    <row r="408" spans="46:53" x14ac:dyDescent="0.2">
      <c r="AW408" s="238"/>
      <c r="AX408" s="235"/>
      <c r="AY408" s="235"/>
      <c r="AZ408" s="235"/>
      <c r="BA408" s="235"/>
    </row>
    <row r="409" spans="46:53" x14ac:dyDescent="0.2">
      <c r="AW409" s="238"/>
      <c r="AX409" s="235"/>
      <c r="AY409" s="235"/>
      <c r="AZ409" s="235"/>
      <c r="BA409" s="235"/>
    </row>
    <row r="410" spans="46:53" x14ac:dyDescent="0.2">
      <c r="AW410" s="238"/>
      <c r="AX410" s="235"/>
      <c r="AY410" s="235"/>
      <c r="AZ410" s="235"/>
      <c r="BA410" s="235"/>
    </row>
    <row r="411" spans="46:53" x14ac:dyDescent="0.2">
      <c r="AW411" s="238"/>
      <c r="AX411" s="235"/>
      <c r="AY411" s="235"/>
      <c r="AZ411" s="235"/>
      <c r="BA411" s="235"/>
    </row>
    <row r="412" spans="46:53" x14ac:dyDescent="0.2">
      <c r="AW412" s="238"/>
      <c r="AX412" s="235"/>
      <c r="AY412" s="235"/>
      <c r="AZ412" s="235"/>
      <c r="BA412" s="235"/>
    </row>
    <row r="413" spans="46:53" x14ac:dyDescent="0.2">
      <c r="AW413" s="238"/>
      <c r="AX413" s="235"/>
      <c r="AY413" s="235"/>
      <c r="AZ413" s="235"/>
      <c r="BA413" s="235"/>
    </row>
    <row r="414" spans="46:53" x14ac:dyDescent="0.2">
      <c r="AW414" s="238"/>
      <c r="AX414" s="235"/>
      <c r="AY414" s="235"/>
      <c r="AZ414" s="235"/>
      <c r="BA414" s="235"/>
    </row>
    <row r="415" spans="46:53" x14ac:dyDescent="0.2">
      <c r="AT415" s="273"/>
      <c r="AU415" s="273"/>
      <c r="AW415" s="238"/>
      <c r="AX415" s="235"/>
      <c r="AY415" s="235"/>
      <c r="AZ415" s="235"/>
      <c r="BA415" s="235"/>
    </row>
    <row r="416" spans="46:53" x14ac:dyDescent="0.2">
      <c r="AW416" s="238"/>
      <c r="AX416" s="235"/>
      <c r="AY416" s="235"/>
      <c r="AZ416" s="235"/>
      <c r="BA416" s="235"/>
    </row>
    <row r="418" spans="49:53" x14ac:dyDescent="0.2">
      <c r="AW418" s="246"/>
      <c r="AX418" s="241"/>
      <c r="AY418" s="241"/>
      <c r="AZ418" s="241"/>
      <c r="BA418" s="241"/>
    </row>
    <row r="419" spans="49:53" x14ac:dyDescent="0.2">
      <c r="AW419" s="246"/>
      <c r="AX419" s="241"/>
      <c r="AY419" s="241"/>
      <c r="AZ419" s="241"/>
      <c r="BA419" s="241"/>
    </row>
    <row r="420" spans="49:53" x14ac:dyDescent="0.2">
      <c r="AW420" s="246"/>
      <c r="AX420" s="241"/>
      <c r="AY420" s="241"/>
      <c r="AZ420" s="241"/>
      <c r="BA420" s="241"/>
    </row>
    <row r="421" spans="49:53" x14ac:dyDescent="0.2">
      <c r="AW421" s="246"/>
      <c r="AX421" s="241"/>
      <c r="AY421" s="241"/>
      <c r="AZ421" s="241"/>
      <c r="BA421" s="241"/>
    </row>
    <row r="422" spans="49:53" x14ac:dyDescent="0.2">
      <c r="AW422" s="246"/>
      <c r="AX422" s="241"/>
      <c r="AY422" s="241"/>
      <c r="AZ422" s="241"/>
      <c r="BA422" s="241"/>
    </row>
    <row r="423" spans="49:53" x14ac:dyDescent="0.2">
      <c r="AW423" s="246"/>
      <c r="AX423" s="241"/>
      <c r="AY423" s="241"/>
      <c r="AZ423" s="241"/>
      <c r="BA423" s="241"/>
    </row>
    <row r="424" spans="49:53" x14ac:dyDescent="0.2">
      <c r="AW424" s="246"/>
      <c r="AX424" s="241"/>
      <c r="AY424" s="241"/>
      <c r="AZ424" s="241"/>
      <c r="BA424" s="241"/>
    </row>
    <row r="425" spans="49:53" x14ac:dyDescent="0.2">
      <c r="AW425" s="246"/>
      <c r="AX425" s="241"/>
      <c r="AY425" s="241"/>
      <c r="AZ425" s="241"/>
      <c r="BA425" s="241"/>
    </row>
    <row r="426" spans="49:53" x14ac:dyDescent="0.2">
      <c r="AW426" s="253"/>
      <c r="AX426" s="252"/>
      <c r="AY426" s="252"/>
      <c r="AZ426" s="252"/>
      <c r="BA426" s="252"/>
    </row>
    <row r="427" spans="49:53" x14ac:dyDescent="0.2">
      <c r="AW427" s="259"/>
      <c r="AX427" s="258"/>
      <c r="AY427" s="258"/>
      <c r="AZ427" s="258"/>
      <c r="BA427" s="258"/>
    </row>
    <row r="428" spans="49:53" x14ac:dyDescent="0.2">
      <c r="AW428" s="259"/>
      <c r="AX428" s="258"/>
      <c r="AY428" s="258"/>
      <c r="AZ428" s="258"/>
      <c r="BA428" s="258"/>
    </row>
    <row r="429" spans="49:53" x14ac:dyDescent="0.2">
      <c r="AW429" s="246"/>
      <c r="AX429" s="241"/>
      <c r="AY429" s="241"/>
      <c r="AZ429" s="241"/>
      <c r="BA429" s="241"/>
    </row>
    <row r="430" spans="49:53" x14ac:dyDescent="0.2">
      <c r="AW430" s="246"/>
      <c r="AX430" s="241"/>
      <c r="AY430" s="241"/>
      <c r="AZ430" s="241"/>
      <c r="BA430" s="241"/>
    </row>
    <row r="488" spans="49:49" x14ac:dyDescent="0.2">
      <c r="AW488" s="188"/>
    </row>
    <row r="489" spans="49:49" x14ac:dyDescent="0.2">
      <c r="AW489" s="188"/>
    </row>
    <row r="490" spans="49:49" x14ac:dyDescent="0.2">
      <c r="AW490" s="188"/>
    </row>
    <row r="491" spans="49:49" x14ac:dyDescent="0.2">
      <c r="AW491" s="188"/>
    </row>
    <row r="492" spans="49:49" x14ac:dyDescent="0.2">
      <c r="AW492" s="188"/>
    </row>
    <row r="493" spans="49:49" x14ac:dyDescent="0.2">
      <c r="AW493" s="188"/>
    </row>
    <row r="494" spans="49:49" x14ac:dyDescent="0.2">
      <c r="AW494" s="188"/>
    </row>
    <row r="495" spans="49:49" x14ac:dyDescent="0.2">
      <c r="AW495" s="188"/>
    </row>
    <row r="496" spans="49:49" x14ac:dyDescent="0.2">
      <c r="AW496" s="188"/>
    </row>
    <row r="542" spans="49:49" x14ac:dyDescent="0.2">
      <c r="AW542" s="188"/>
    </row>
    <row r="543" spans="49:49" x14ac:dyDescent="0.2">
      <c r="AW543" s="188"/>
    </row>
    <row r="544" spans="49:49" x14ac:dyDescent="0.2">
      <c r="AW544" s="188"/>
    </row>
    <row r="545" spans="49:49" x14ac:dyDescent="0.2">
      <c r="AW545" s="188"/>
    </row>
    <row r="546" spans="49:49" x14ac:dyDescent="0.2">
      <c r="AW546" s="188"/>
    </row>
    <row r="547" spans="49:49" x14ac:dyDescent="0.2">
      <c r="AW547" s="188"/>
    </row>
    <row r="548" spans="49:49" x14ac:dyDescent="0.2">
      <c r="AW548" s="188"/>
    </row>
    <row r="549" spans="49:49" x14ac:dyDescent="0.2">
      <c r="AW549" s="188"/>
    </row>
    <row r="550" spans="49:49" x14ac:dyDescent="0.2">
      <c r="AW550" s="188"/>
    </row>
    <row r="596" spans="49:49" x14ac:dyDescent="0.2">
      <c r="AW596" s="188"/>
    </row>
    <row r="597" spans="49:49" x14ac:dyDescent="0.2">
      <c r="AW597" s="188"/>
    </row>
    <row r="598" spans="49:49" x14ac:dyDescent="0.2">
      <c r="AW598" s="188"/>
    </row>
    <row r="599" spans="49:49" x14ac:dyDescent="0.2">
      <c r="AW599" s="188"/>
    </row>
    <row r="600" spans="49:49" x14ac:dyDescent="0.2">
      <c r="AW600" s="188"/>
    </row>
    <row r="601" spans="49:49" x14ac:dyDescent="0.2">
      <c r="AW601" s="188"/>
    </row>
    <row r="602" spans="49:49" x14ac:dyDescent="0.2">
      <c r="AW602" s="188"/>
    </row>
    <row r="603" spans="49:49" x14ac:dyDescent="0.2">
      <c r="AW603" s="188"/>
    </row>
    <row r="604" spans="49:49" x14ac:dyDescent="0.2">
      <c r="AW604" s="188"/>
    </row>
    <row r="650" spans="49:49" x14ac:dyDescent="0.2">
      <c r="AW650" s="188"/>
    </row>
    <row r="651" spans="49:49" x14ac:dyDescent="0.2">
      <c r="AW651" s="188"/>
    </row>
    <row r="652" spans="49:49" x14ac:dyDescent="0.2">
      <c r="AW652" s="188"/>
    </row>
    <row r="653" spans="49:49" x14ac:dyDescent="0.2">
      <c r="AW653" s="188"/>
    </row>
    <row r="654" spans="49:49" x14ac:dyDescent="0.2">
      <c r="AW654" s="188"/>
    </row>
    <row r="655" spans="49:49" x14ac:dyDescent="0.2">
      <c r="AW655" s="188"/>
    </row>
    <row r="656" spans="49:49" x14ac:dyDescent="0.2">
      <c r="AW656" s="188"/>
    </row>
    <row r="657" spans="49:49" x14ac:dyDescent="0.2">
      <c r="AW657" s="188"/>
    </row>
    <row r="658" spans="49:49" x14ac:dyDescent="0.2">
      <c r="AW658" s="188"/>
    </row>
  </sheetData>
  <sheetCalcPr fullCalcOnLoad="1"/>
  <sheetProtection formatCells="0" selectLockedCells="1"/>
  <mergeCells count="668">
    <mergeCell ref="A1:AI1"/>
    <mergeCell ref="AT1:AW1"/>
    <mergeCell ref="AX1:AY1"/>
    <mergeCell ref="A2:I2"/>
    <mergeCell ref="J2:X2"/>
    <mergeCell ref="Y2:AC2"/>
    <mergeCell ref="AD2:AI2"/>
    <mergeCell ref="B3:O3"/>
    <mergeCell ref="P3:R3"/>
    <mergeCell ref="S3:X3"/>
    <mergeCell ref="Y3:AD3"/>
    <mergeCell ref="AE3:AF3"/>
    <mergeCell ref="AG3:AI3"/>
    <mergeCell ref="A4:D4"/>
    <mergeCell ref="E4:M4"/>
    <mergeCell ref="N4:Q4"/>
    <mergeCell ref="R4:AA4"/>
    <mergeCell ref="AB4:AE4"/>
    <mergeCell ref="AF4:AI4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AC8:AE9"/>
    <mergeCell ref="AF8:AF9"/>
    <mergeCell ref="AG8:AG9"/>
    <mergeCell ref="AH8:AI9"/>
    <mergeCell ref="B9:D9"/>
    <mergeCell ref="E9:K9"/>
    <mergeCell ref="A10:A11"/>
    <mergeCell ref="B10:D10"/>
    <mergeCell ref="E10:K10"/>
    <mergeCell ref="L10:P11"/>
    <mergeCell ref="R10:V11"/>
    <mergeCell ref="W10:Y11"/>
    <mergeCell ref="Z10:AB11"/>
    <mergeCell ref="AC10:AE11"/>
    <mergeCell ref="AF10:AF11"/>
    <mergeCell ref="AG10:AG11"/>
    <mergeCell ref="AH10:AI11"/>
    <mergeCell ref="B11:D11"/>
    <mergeCell ref="E11:K11"/>
    <mergeCell ref="A12:A13"/>
    <mergeCell ref="B12:D12"/>
    <mergeCell ref="E12:K12"/>
    <mergeCell ref="L12:P13"/>
    <mergeCell ref="R12:V13"/>
    <mergeCell ref="W12:Y13"/>
    <mergeCell ref="Z12:AB13"/>
    <mergeCell ref="AC12:AE13"/>
    <mergeCell ref="AF12:AF13"/>
    <mergeCell ref="AG12:AG13"/>
    <mergeCell ref="AH12:AI13"/>
    <mergeCell ref="B13:D13"/>
    <mergeCell ref="E13:K13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AG14:AG15"/>
    <mergeCell ref="AH14:AI15"/>
    <mergeCell ref="B15:D15"/>
    <mergeCell ref="E15:K15"/>
    <mergeCell ref="A16:A17"/>
    <mergeCell ref="B16:D16"/>
    <mergeCell ref="E16:K16"/>
    <mergeCell ref="L16:P17"/>
    <mergeCell ref="R16:V17"/>
    <mergeCell ref="W16:Y17"/>
    <mergeCell ref="Z16:AB17"/>
    <mergeCell ref="AC16:AE17"/>
    <mergeCell ref="AF16:AF17"/>
    <mergeCell ref="AG16:AG17"/>
    <mergeCell ref="AH16:AI17"/>
    <mergeCell ref="B17:D17"/>
    <mergeCell ref="E17:K17"/>
    <mergeCell ref="B18:AI18"/>
    <mergeCell ref="AT18:AY19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3:AB23"/>
    <mergeCell ref="AC23:AE23"/>
    <mergeCell ref="AG57:AK57"/>
    <mergeCell ref="A89:AM89"/>
    <mergeCell ref="AN89:AQ89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Z95:AB96"/>
    <mergeCell ref="AC95:AE96"/>
    <mergeCell ref="AF95:AF96"/>
    <mergeCell ref="AG95:AG96"/>
    <mergeCell ref="AH95:AI96"/>
    <mergeCell ref="B96:D96"/>
    <mergeCell ref="E96:K96"/>
    <mergeCell ref="A97:A98"/>
    <mergeCell ref="B97:D97"/>
    <mergeCell ref="E97:K97"/>
    <mergeCell ref="L97:P98"/>
    <mergeCell ref="R97:V98"/>
    <mergeCell ref="W97:Y98"/>
    <mergeCell ref="Z97:AB98"/>
    <mergeCell ref="AC97:AE98"/>
    <mergeCell ref="AF97:AF98"/>
    <mergeCell ref="AG97:AG98"/>
    <mergeCell ref="AH97:AI98"/>
    <mergeCell ref="B98:D98"/>
    <mergeCell ref="E98:K98"/>
    <mergeCell ref="A99:A100"/>
    <mergeCell ref="B99:D99"/>
    <mergeCell ref="E99:K99"/>
    <mergeCell ref="L99:P100"/>
    <mergeCell ref="R99:V100"/>
    <mergeCell ref="W99:Y100"/>
    <mergeCell ref="Z99:AB100"/>
    <mergeCell ref="AC99:AE100"/>
    <mergeCell ref="AF99:AF100"/>
    <mergeCell ref="AG99:AG100"/>
    <mergeCell ref="AH99:AI100"/>
    <mergeCell ref="B100:D100"/>
    <mergeCell ref="E100:K100"/>
    <mergeCell ref="A101:A102"/>
    <mergeCell ref="B101:D101"/>
    <mergeCell ref="E101:K101"/>
    <mergeCell ref="L101:P102"/>
    <mergeCell ref="R101:V102"/>
    <mergeCell ref="W101:Y102"/>
    <mergeCell ref="Z101:AB102"/>
    <mergeCell ref="AC101:AE102"/>
    <mergeCell ref="AF101:AF102"/>
    <mergeCell ref="AG101:AG102"/>
    <mergeCell ref="AH101:AI102"/>
    <mergeCell ref="B102:D102"/>
    <mergeCell ref="E102:K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8:AB108"/>
    <mergeCell ref="AC108:AE108"/>
    <mergeCell ref="AG142:AK142"/>
    <mergeCell ref="A174:AM174"/>
    <mergeCell ref="AN174:AQ174"/>
    <mergeCell ref="A175:AQ175"/>
    <mergeCell ref="C176:H176"/>
    <mergeCell ref="I176:J176"/>
    <mergeCell ref="K176:AI176"/>
    <mergeCell ref="B177:K177"/>
    <mergeCell ref="L177:P177"/>
    <mergeCell ref="Q177:Q187"/>
    <mergeCell ref="R177:V177"/>
    <mergeCell ref="W177:Y177"/>
    <mergeCell ref="Z177:AB177"/>
    <mergeCell ref="AC177:AE177"/>
    <mergeCell ref="AH177:AI177"/>
    <mergeCell ref="A178:A179"/>
    <mergeCell ref="B178:D178"/>
    <mergeCell ref="E178:K178"/>
    <mergeCell ref="L178:P179"/>
    <mergeCell ref="R178:V179"/>
    <mergeCell ref="W178:Y179"/>
    <mergeCell ref="Z178:AB179"/>
    <mergeCell ref="AC178:AE179"/>
    <mergeCell ref="AF178:AF179"/>
    <mergeCell ref="AG178:AG179"/>
    <mergeCell ref="AH178:AI179"/>
    <mergeCell ref="B179:D179"/>
    <mergeCell ref="E179:K179"/>
    <mergeCell ref="A180:A181"/>
    <mergeCell ref="B180:D180"/>
    <mergeCell ref="E180:K180"/>
    <mergeCell ref="L180:P181"/>
    <mergeCell ref="R180:V181"/>
    <mergeCell ref="W180:Y181"/>
    <mergeCell ref="Z180:AB181"/>
    <mergeCell ref="AC180:AE181"/>
    <mergeCell ref="AF180:AF181"/>
    <mergeCell ref="AG180:AG181"/>
    <mergeCell ref="AH180:AI181"/>
    <mergeCell ref="B181:D181"/>
    <mergeCell ref="E181:K181"/>
    <mergeCell ref="A182:A183"/>
    <mergeCell ref="B182:D182"/>
    <mergeCell ref="E182:K182"/>
    <mergeCell ref="L182:P183"/>
    <mergeCell ref="R182:V183"/>
    <mergeCell ref="W182:Y183"/>
    <mergeCell ref="Z182:AB183"/>
    <mergeCell ref="AC182:AE183"/>
    <mergeCell ref="AF182:AF183"/>
    <mergeCell ref="AG182:AG183"/>
    <mergeCell ref="AH182:AI183"/>
    <mergeCell ref="B183:D183"/>
    <mergeCell ref="E183:K183"/>
    <mergeCell ref="A184:A185"/>
    <mergeCell ref="B184:D184"/>
    <mergeCell ref="E184:K184"/>
    <mergeCell ref="L184:P185"/>
    <mergeCell ref="R184:V185"/>
    <mergeCell ref="W184:Y185"/>
    <mergeCell ref="Z184:AB185"/>
    <mergeCell ref="AC184:AE185"/>
    <mergeCell ref="AF184:AF185"/>
    <mergeCell ref="AG184:AG185"/>
    <mergeCell ref="AH184:AI185"/>
    <mergeCell ref="B185:D185"/>
    <mergeCell ref="E185:K185"/>
    <mergeCell ref="A186:A187"/>
    <mergeCell ref="B186:D186"/>
    <mergeCell ref="E186:K186"/>
    <mergeCell ref="L186:P187"/>
    <mergeCell ref="R186:V187"/>
    <mergeCell ref="W186:Y187"/>
    <mergeCell ref="Z186:AB187"/>
    <mergeCell ref="AC186:AE187"/>
    <mergeCell ref="AF186:AF187"/>
    <mergeCell ref="AG186:AG187"/>
    <mergeCell ref="AH186:AI187"/>
    <mergeCell ref="B187:D187"/>
    <mergeCell ref="E187:K187"/>
    <mergeCell ref="B188:AI188"/>
    <mergeCell ref="B189:D189"/>
    <mergeCell ref="E189:G189"/>
    <mergeCell ref="H189:J189"/>
    <mergeCell ref="K189:M189"/>
    <mergeCell ref="N189:P189"/>
    <mergeCell ref="Q189:S189"/>
    <mergeCell ref="T189:V189"/>
    <mergeCell ref="W189:Y189"/>
    <mergeCell ref="Z189:AB189"/>
    <mergeCell ref="AC189:AE189"/>
    <mergeCell ref="AF189:AQ192"/>
    <mergeCell ref="B190:D190"/>
    <mergeCell ref="E190:G190"/>
    <mergeCell ref="H190:J190"/>
    <mergeCell ref="K190:M190"/>
    <mergeCell ref="N190:P190"/>
    <mergeCell ref="Q190:S190"/>
    <mergeCell ref="T190:V190"/>
    <mergeCell ref="W190:Y190"/>
    <mergeCell ref="Z190:AB190"/>
    <mergeCell ref="AC190:AE190"/>
    <mergeCell ref="B191:D191"/>
    <mergeCell ref="E191:G191"/>
    <mergeCell ref="H191:J191"/>
    <mergeCell ref="K191:M191"/>
    <mergeCell ref="N191:P191"/>
    <mergeCell ref="Q191:S191"/>
    <mergeCell ref="T191:V191"/>
    <mergeCell ref="W191:Y191"/>
    <mergeCell ref="Z191:AB191"/>
    <mergeCell ref="AC191:AE191"/>
    <mergeCell ref="B192:D192"/>
    <mergeCell ref="E192:G192"/>
    <mergeCell ref="H192:J192"/>
    <mergeCell ref="K192:M192"/>
    <mergeCell ref="N192:P192"/>
    <mergeCell ref="Q192:S192"/>
    <mergeCell ref="T192:V192"/>
    <mergeCell ref="W192:Y192"/>
    <mergeCell ref="Z192:AB192"/>
    <mergeCell ref="AC192:AE192"/>
    <mergeCell ref="B193:D193"/>
    <mergeCell ref="E193:G193"/>
    <mergeCell ref="H193:J193"/>
    <mergeCell ref="K193:M193"/>
    <mergeCell ref="N193:P193"/>
    <mergeCell ref="Q193:S193"/>
    <mergeCell ref="T193:V193"/>
    <mergeCell ref="W193:Y193"/>
    <mergeCell ref="Z193:AB193"/>
    <mergeCell ref="AC193:AE193"/>
    <mergeCell ref="AG227:AK227"/>
    <mergeCell ref="A259:AM259"/>
    <mergeCell ref="AN259:AQ259"/>
    <mergeCell ref="A260:AQ260"/>
    <mergeCell ref="A261:AQ261"/>
    <mergeCell ref="A262:A263"/>
    <mergeCell ref="B262:L262"/>
    <mergeCell ref="M262:W262"/>
    <mergeCell ref="X262:AG262"/>
    <mergeCell ref="AH262:AP262"/>
    <mergeCell ref="B263:E263"/>
    <mergeCell ref="F263:I263"/>
    <mergeCell ref="J263:K263"/>
    <mergeCell ref="M263:Q263"/>
    <mergeCell ref="R263:T263"/>
    <mergeCell ref="U263:V263"/>
    <mergeCell ref="X263:AB263"/>
    <mergeCell ref="AC263:AE263"/>
    <mergeCell ref="AH263:AJ263"/>
    <mergeCell ref="AK263:AM263"/>
    <mergeCell ref="AN263:AO263"/>
    <mergeCell ref="B264:E264"/>
    <mergeCell ref="F264:I264"/>
    <mergeCell ref="J264:K264"/>
    <mergeCell ref="M264:Q264"/>
    <mergeCell ref="R264:T264"/>
    <mergeCell ref="U264:V264"/>
    <mergeCell ref="X264:AB264"/>
    <mergeCell ref="AC264:AE264"/>
    <mergeCell ref="AH264:AJ264"/>
    <mergeCell ref="AK264:AM264"/>
    <mergeCell ref="AN264:AO264"/>
    <mergeCell ref="B265:E265"/>
    <mergeCell ref="F265:I265"/>
    <mergeCell ref="J265:K265"/>
    <mergeCell ref="M265:Q265"/>
    <mergeCell ref="R265:T265"/>
    <mergeCell ref="U265:V265"/>
    <mergeCell ref="X265:AB265"/>
    <mergeCell ref="AC265:AE265"/>
    <mergeCell ref="AH265:AJ265"/>
    <mergeCell ref="AK265:AM265"/>
    <mergeCell ref="AN265:AO265"/>
    <mergeCell ref="B266:E266"/>
    <mergeCell ref="F266:I266"/>
    <mergeCell ref="J266:K266"/>
    <mergeCell ref="M266:Q266"/>
    <mergeCell ref="R266:T266"/>
    <mergeCell ref="U266:V266"/>
    <mergeCell ref="X266:AB266"/>
    <mergeCell ref="AN266:AO266"/>
    <mergeCell ref="A267:A268"/>
    <mergeCell ref="B267:L267"/>
    <mergeCell ref="M267:W267"/>
    <mergeCell ref="X267:AG267"/>
    <mergeCell ref="AH267:AP267"/>
    <mergeCell ref="B268:H268"/>
    <mergeCell ref="M268:S268"/>
    <mergeCell ref="T268:W268"/>
    <mergeCell ref="X268:AE268"/>
    <mergeCell ref="AF268:AG268"/>
    <mergeCell ref="AH268:AM268"/>
    <mergeCell ref="AC266:AE266"/>
    <mergeCell ref="AH266:AJ266"/>
    <mergeCell ref="AK266:AM266"/>
    <mergeCell ref="AN268:AP268"/>
    <mergeCell ref="B269:H269"/>
    <mergeCell ref="I269:L269"/>
    <mergeCell ref="M269:S269"/>
    <mergeCell ref="T269:W269"/>
    <mergeCell ref="X269:AE269"/>
    <mergeCell ref="AF269:AG269"/>
    <mergeCell ref="AH269:AM269"/>
    <mergeCell ref="AN269:AP269"/>
    <mergeCell ref="I268:L268"/>
    <mergeCell ref="B270:H270"/>
    <mergeCell ref="I270:L270"/>
    <mergeCell ref="M270:S270"/>
    <mergeCell ref="T270:W270"/>
    <mergeCell ref="X270:AE270"/>
    <mergeCell ref="AF270:AG270"/>
    <mergeCell ref="AH270:AM270"/>
    <mergeCell ref="AN270:AP270"/>
    <mergeCell ref="B271:H271"/>
    <mergeCell ref="I271:L271"/>
    <mergeCell ref="M271:S271"/>
    <mergeCell ref="T271:W271"/>
    <mergeCell ref="X271:AE271"/>
    <mergeCell ref="AF271:AG271"/>
    <mergeCell ref="AH271:AM271"/>
    <mergeCell ref="AN271:AP271"/>
    <mergeCell ref="A273:AQ273"/>
    <mergeCell ref="A274:AQ274"/>
    <mergeCell ref="A275:AQ275"/>
    <mergeCell ref="A276:AQ276"/>
    <mergeCell ref="A277:K277"/>
    <mergeCell ref="A279:P279"/>
    <mergeCell ref="S279:AG279"/>
    <mergeCell ref="A281:E281"/>
    <mergeCell ref="V281:AB281"/>
    <mergeCell ref="A282:E282"/>
    <mergeCell ref="V282:AB282"/>
    <mergeCell ref="A284:E284"/>
    <mergeCell ref="F284:N284"/>
    <mergeCell ref="U284:AB284"/>
    <mergeCell ref="AC284:AI284"/>
    <mergeCell ref="A285:E285"/>
    <mergeCell ref="F285:I285"/>
    <mergeCell ref="J285:N285"/>
    <mergeCell ref="U285:AA285"/>
    <mergeCell ref="AC285:AF285"/>
    <mergeCell ref="AG285:AI285"/>
    <mergeCell ref="A286:E286"/>
    <mergeCell ref="V286:AB286"/>
    <mergeCell ref="A287:E287"/>
    <mergeCell ref="V287:AB287"/>
    <mergeCell ref="F288:I288"/>
    <mergeCell ref="AC288:AF288"/>
    <mergeCell ref="J289:Q289"/>
    <mergeCell ref="AG289:AL289"/>
    <mergeCell ref="A290:E290"/>
    <mergeCell ref="F290:I290"/>
    <mergeCell ref="J290:Q290"/>
    <mergeCell ref="V290:AB290"/>
    <mergeCell ref="AC290:AF290"/>
    <mergeCell ref="AG290:AL290"/>
    <mergeCell ref="A291:E291"/>
    <mergeCell ref="J291:Q291"/>
    <mergeCell ref="V291:AB291"/>
    <mergeCell ref="A293:D293"/>
    <mergeCell ref="F293:I293"/>
    <mergeCell ref="J293:N293"/>
    <mergeCell ref="U293:AA293"/>
    <mergeCell ref="AC293:AF293"/>
    <mergeCell ref="AG293:AI293"/>
    <mergeCell ref="A294:E294"/>
    <mergeCell ref="F294:N294"/>
    <mergeCell ref="U294:AA294"/>
    <mergeCell ref="AC294:AI294"/>
    <mergeCell ref="A295:E295"/>
    <mergeCell ref="V295:AB295"/>
    <mergeCell ref="A296:E296"/>
    <mergeCell ref="V296:AB296"/>
    <mergeCell ref="A299:J299"/>
    <mergeCell ref="U299:AF299"/>
    <mergeCell ref="B300:J300"/>
    <mergeCell ref="K300:Q300"/>
    <mergeCell ref="U300:W300"/>
    <mergeCell ref="X300:AF300"/>
    <mergeCell ref="AG300:AM300"/>
    <mergeCell ref="B301:J301"/>
    <mergeCell ref="K301:Q301"/>
    <mergeCell ref="U301:W301"/>
    <mergeCell ref="X301:AF301"/>
    <mergeCell ref="AG301:AM301"/>
    <mergeCell ref="B302:J302"/>
    <mergeCell ref="K302:Q302"/>
    <mergeCell ref="U302:W302"/>
    <mergeCell ref="X302:AF302"/>
    <mergeCell ref="AG302:AM302"/>
    <mergeCell ref="B303:J303"/>
    <mergeCell ref="K303:Q303"/>
    <mergeCell ref="U303:W303"/>
    <mergeCell ref="X303:AF303"/>
    <mergeCell ref="AG303:AM303"/>
    <mergeCell ref="B304:J304"/>
    <mergeCell ref="K304:Q304"/>
    <mergeCell ref="U304:W304"/>
    <mergeCell ref="X304:AF304"/>
    <mergeCell ref="AG304:AM304"/>
    <mergeCell ref="B306:D306"/>
    <mergeCell ref="E306:G306"/>
    <mergeCell ref="H306:J306"/>
    <mergeCell ref="K306:Q308"/>
    <mergeCell ref="W306:Y306"/>
    <mergeCell ref="Z306:AB306"/>
    <mergeCell ref="AC306:AE306"/>
    <mergeCell ref="AF306:AJ308"/>
    <mergeCell ref="B307:D307"/>
    <mergeCell ref="E307:G307"/>
    <mergeCell ref="H307:J307"/>
    <mergeCell ref="T307:V307"/>
    <mergeCell ref="W307:Y307"/>
    <mergeCell ref="Z307:AB307"/>
    <mergeCell ref="AC307:AE307"/>
    <mergeCell ref="B308:D308"/>
    <mergeCell ref="E308:G308"/>
    <mergeCell ref="H308:J308"/>
    <mergeCell ref="T308:V308"/>
    <mergeCell ref="W308:Y308"/>
    <mergeCell ref="Z308:AB308"/>
    <mergeCell ref="AC308:AE308"/>
    <mergeCell ref="K309:N309"/>
    <mergeCell ref="T309:V309"/>
    <mergeCell ref="AF309:AG309"/>
    <mergeCell ref="T310:V310"/>
    <mergeCell ref="T311:V311"/>
    <mergeCell ref="T312:V312"/>
    <mergeCell ref="T313:V313"/>
    <mergeCell ref="K314:N316"/>
    <mergeCell ref="AF314:AG316"/>
    <mergeCell ref="T322:V322"/>
    <mergeCell ref="T323:V323"/>
    <mergeCell ref="T324:V324"/>
    <mergeCell ref="A325:M325"/>
    <mergeCell ref="V325:AG325"/>
    <mergeCell ref="A327:P327"/>
    <mergeCell ref="A329:E329"/>
    <mergeCell ref="A330:E330"/>
    <mergeCell ref="A332:E332"/>
    <mergeCell ref="F332:N332"/>
    <mergeCell ref="A333:E333"/>
    <mergeCell ref="F333:I333"/>
    <mergeCell ref="J333:N333"/>
    <mergeCell ref="A334:E334"/>
    <mergeCell ref="A335:E335"/>
    <mergeCell ref="F336:I336"/>
    <mergeCell ref="J337:Q337"/>
    <mergeCell ref="A338:E338"/>
    <mergeCell ref="F338:I338"/>
    <mergeCell ref="J338:Q338"/>
    <mergeCell ref="A339:E339"/>
    <mergeCell ref="J339:Q339"/>
    <mergeCell ref="A341:D341"/>
    <mergeCell ref="F341:I341"/>
    <mergeCell ref="J341:N341"/>
    <mergeCell ref="A342:E342"/>
    <mergeCell ref="F342:N342"/>
    <mergeCell ref="A343:E343"/>
    <mergeCell ref="A344:E344"/>
    <mergeCell ref="A347:J347"/>
    <mergeCell ref="B348:J348"/>
    <mergeCell ref="K348:Q348"/>
    <mergeCell ref="B349:J349"/>
    <mergeCell ref="K349:Q349"/>
    <mergeCell ref="B356:D356"/>
    <mergeCell ref="E356:G356"/>
    <mergeCell ref="H356:J356"/>
    <mergeCell ref="B350:J350"/>
    <mergeCell ref="K350:Q350"/>
    <mergeCell ref="B351:J351"/>
    <mergeCell ref="K351:Q351"/>
    <mergeCell ref="B352:J352"/>
    <mergeCell ref="K352:Q352"/>
    <mergeCell ref="K357:N357"/>
    <mergeCell ref="K362:N364"/>
    <mergeCell ref="A373:M373"/>
    <mergeCell ref="B354:D354"/>
    <mergeCell ref="E354:G354"/>
    <mergeCell ref="H354:J354"/>
    <mergeCell ref="K354:Q356"/>
    <mergeCell ref="B355:D355"/>
    <mergeCell ref="E355:G355"/>
    <mergeCell ref="H355:J355"/>
  </mergeCells>
  <conditionalFormatting sqref="A8 A93 A178">
    <cfRule type="expression" dxfId="2706" priority="4" stopIfTrue="1">
      <formula>IF(AK9&gt;0,0,1)</formula>
    </cfRule>
  </conditionalFormatting>
  <conditionalFormatting sqref="A10:A11 A95:A96 A180:A181">
    <cfRule type="expression" dxfId="2705" priority="5" stopIfTrue="1">
      <formula>IF(#REF!&gt;1,0,1)</formula>
    </cfRule>
  </conditionalFormatting>
  <conditionalFormatting sqref="A12:A13 A97:A98 A182:A183">
    <cfRule type="expression" dxfId="2704" priority="6" stopIfTrue="1">
      <formula>IF(#REF!&gt;2,0,1)</formula>
    </cfRule>
  </conditionalFormatting>
  <conditionalFormatting sqref="A14:A15 A99:A100 A184:A185">
    <cfRule type="expression" dxfId="2703" priority="7" stopIfTrue="1">
      <formula>IF(#REF!&gt;3,0,1)</formula>
    </cfRule>
  </conditionalFormatting>
  <conditionalFormatting sqref="A16:A17 A101:A102 A186:A187">
    <cfRule type="expression" dxfId="2702" priority="8" stopIfTrue="1">
      <formula>IF(#REF!&gt;4,0,1)</formula>
    </cfRule>
  </conditionalFormatting>
  <conditionalFormatting sqref="B8 B93 B178">
    <cfRule type="expression" dxfId="2701" priority="9" stopIfTrue="1">
      <formula>IF(AK9&gt;0,0,1)</formula>
    </cfRule>
  </conditionalFormatting>
  <conditionalFormatting sqref="B9 B94 B179">
    <cfRule type="expression" dxfId="2700" priority="10" stopIfTrue="1">
      <formula>IF(AK9&gt;0,0,1)</formula>
    </cfRule>
  </conditionalFormatting>
  <conditionalFormatting sqref="B10 B95 B180">
    <cfRule type="expression" dxfId="2699" priority="11" stopIfTrue="1">
      <formula>IF(#REF!&gt;1,0,1)</formula>
    </cfRule>
  </conditionalFormatting>
  <conditionalFormatting sqref="B11:D11 B96:D96 B181:D181">
    <cfRule type="expression" dxfId="2698" priority="12" stopIfTrue="1">
      <formula>IF(#REF!&gt;1,0,1)</formula>
    </cfRule>
  </conditionalFormatting>
  <conditionalFormatting sqref="B12:D12 B97:D97 B182:D182">
    <cfRule type="expression" dxfId="2697" priority="13" stopIfTrue="1">
      <formula>IF(#REF!&gt;2,0,1)</formula>
    </cfRule>
  </conditionalFormatting>
  <conditionalFormatting sqref="B13:D13 B98:D98 B183:D183">
    <cfRule type="expression" dxfId="2696" priority="14" stopIfTrue="1">
      <formula>IF(#REF!&gt;2,0,1)</formula>
    </cfRule>
  </conditionalFormatting>
  <conditionalFormatting sqref="B14:D14 B99:D99 B184:D184">
    <cfRule type="expression" dxfId="2695" priority="15" stopIfTrue="1">
      <formula>IF(#REF!&gt;3,0,1)</formula>
    </cfRule>
  </conditionalFormatting>
  <conditionalFormatting sqref="B15:D15 B100:D100 B185:D185">
    <cfRule type="expression" dxfId="2694" priority="16" stopIfTrue="1">
      <formula>IF(#REF!&gt;3,0,1)</formula>
    </cfRule>
  </conditionalFormatting>
  <conditionalFormatting sqref="B16:D16 B101:D101 B186:D186">
    <cfRule type="expression" dxfId="2693" priority="17" stopIfTrue="1">
      <formula>IF(#REF!&gt;4,0,1)</formula>
    </cfRule>
  </conditionalFormatting>
  <conditionalFormatting sqref="B17:D17 B102:D102 B187:D187">
    <cfRule type="expression" dxfId="2692" priority="18" stopIfTrue="1">
      <formula>IF(#REF!&gt;4,0,1)</formula>
    </cfRule>
  </conditionalFormatting>
  <conditionalFormatting sqref="E93 E8 E178">
    <cfRule type="expression" dxfId="2691" priority="19" stopIfTrue="1">
      <formula>IF(AK9&gt;0,0,1)</formula>
    </cfRule>
  </conditionalFormatting>
  <conditionalFormatting sqref="E94 E9 E179">
    <cfRule type="expression" dxfId="2690" priority="20" stopIfTrue="1">
      <formula>IF(AK9&gt;0,0,1)</formula>
    </cfRule>
  </conditionalFormatting>
  <conditionalFormatting sqref="E95 E10 E180">
    <cfRule type="expression" dxfId="2689" priority="21" stopIfTrue="1">
      <formula>IF(#REF!&gt;1,0,1)</formula>
    </cfRule>
  </conditionalFormatting>
  <conditionalFormatting sqref="E96 E11 E181">
    <cfRule type="expression" dxfId="2688" priority="22" stopIfTrue="1">
      <formula>IF(#REF!&gt;1,0,1)</formula>
    </cfRule>
  </conditionalFormatting>
  <conditionalFormatting sqref="E97 E12 E182">
    <cfRule type="expression" dxfId="2687" priority="23" stopIfTrue="1">
      <formula>IF(#REF!&gt;2,0,1)</formula>
    </cfRule>
  </conditionalFormatting>
  <conditionalFormatting sqref="E98 E13 E183">
    <cfRule type="expression" dxfId="2686" priority="24" stopIfTrue="1">
      <formula>IF(#REF!&gt;2,0,1)</formula>
    </cfRule>
  </conditionalFormatting>
  <conditionalFormatting sqref="E99 E14 E184">
    <cfRule type="expression" dxfId="2685" priority="25" stopIfTrue="1">
      <formula>IF(#REF!&gt;3,0,1)</formula>
    </cfRule>
  </conditionalFormatting>
  <conditionalFormatting sqref="E100 E15 E185">
    <cfRule type="expression" dxfId="2684" priority="26" stopIfTrue="1">
      <formula>IF(#REF!&gt;3,0,1)</formula>
    </cfRule>
  </conditionalFormatting>
  <conditionalFormatting sqref="E101 E16 E186">
    <cfRule type="expression" dxfId="2683" priority="27" stopIfTrue="1">
      <formula>IF(#REF!&gt;4,0,1)</formula>
    </cfRule>
  </conditionalFormatting>
  <conditionalFormatting sqref="E102 E17 E187">
    <cfRule type="expression" dxfId="2682" priority="28" stopIfTrue="1">
      <formula>IF(#REF!&gt;4,0,1)</formula>
    </cfRule>
  </conditionalFormatting>
  <conditionalFormatting sqref="AC8 AC93 AC178">
    <cfRule type="expression" dxfId="2681" priority="29" stopIfTrue="1">
      <formula>IF(AK11=1,IF(AK9&gt;0,0,1),1)</formula>
    </cfRule>
  </conditionalFormatting>
  <conditionalFormatting sqref="AC10:AE11 AC95:AE96 AC180:AE181">
    <cfRule type="expression" dxfId="2680" priority="30" stopIfTrue="1">
      <formula>IF(AK11=1,IF(#REF!&gt;1,0,1),1)</formula>
    </cfRule>
  </conditionalFormatting>
  <conditionalFormatting sqref="AC12:AE13 AC97:AE98 AC182:AE183">
    <cfRule type="expression" dxfId="2679" priority="31" stopIfTrue="1">
      <formula>IF(#REF!=1,IF(#REF!&gt;2,0,1),1)</formula>
    </cfRule>
  </conditionalFormatting>
  <conditionalFormatting sqref="AC14:AE15 AC99:AE100 AC184:AE185">
    <cfRule type="expression" dxfId="2678" priority="32" stopIfTrue="1">
      <formula>IF(#REF!=1,IF(#REF!&gt;3,0,1),1)</formula>
    </cfRule>
  </conditionalFormatting>
  <conditionalFormatting sqref="AC16:AE17 AC101:AE102 AC186:AE187">
    <cfRule type="expression" dxfId="2677" priority="33" stopIfTrue="1">
      <formula>IF(#REF!=1,IF(#REF!&gt;4,0,1),1)</formula>
    </cfRule>
  </conditionalFormatting>
  <conditionalFormatting sqref="AH8 AH93 AH178">
    <cfRule type="expression" dxfId="2676" priority="34" stopIfTrue="1">
      <formula>IF(AK9&gt;0,0,1)</formula>
    </cfRule>
  </conditionalFormatting>
  <conditionalFormatting sqref="AH10:AI11 AH95:AI96 AH180:AI181">
    <cfRule type="expression" dxfId="2675" priority="35" stopIfTrue="1">
      <formula>IF(#REF!&gt;1,0,1)</formula>
    </cfRule>
  </conditionalFormatting>
  <conditionalFormatting sqref="AH12:AI13 AH97:AI98 AH182:AI183">
    <cfRule type="expression" dxfId="2674" priority="36" stopIfTrue="1">
      <formula>IF(#REF!&gt;2,0,1)</formula>
    </cfRule>
  </conditionalFormatting>
  <conditionalFormatting sqref="AH14:AI15 AH99:AI100 AH184:AI185">
    <cfRule type="expression" dxfId="2673" priority="37" stopIfTrue="1">
      <formula>IF(#REF!&gt;3,0,1)</formula>
    </cfRule>
  </conditionalFormatting>
  <conditionalFormatting sqref="AH16:AI17 AH101:AI102 AH186:AI187">
    <cfRule type="expression" dxfId="2672" priority="38" stopIfTrue="1">
      <formula>IF(#REF!&gt;4,0,1)</formula>
    </cfRule>
  </conditionalFormatting>
  <conditionalFormatting sqref="B19:D19 B104:D104 B189:D189">
    <cfRule type="expression" dxfId="2671" priority="39" stopIfTrue="1">
      <formula>IF(#REF!&gt;0,0,1)</formula>
    </cfRule>
  </conditionalFormatting>
  <conditionalFormatting sqref="E19:G19 E104:G104 E189:G189">
    <cfRule type="expression" dxfId="2670" priority="40" stopIfTrue="1">
      <formula>IF(#REF!&gt;1,0,1)</formula>
    </cfRule>
  </conditionalFormatting>
  <conditionalFormatting sqref="H19:J19 H104:J104 H189:J189">
    <cfRule type="expression" dxfId="2669" priority="41" stopIfTrue="1">
      <formula>IF(#REF!&gt;2,0,1)</formula>
    </cfRule>
  </conditionalFormatting>
  <conditionalFormatting sqref="K19:M19 K104:M104 K189:M189">
    <cfRule type="expression" dxfId="2668" priority="42" stopIfTrue="1">
      <formula>IF(#REF!&gt;3,0,1)</formula>
    </cfRule>
  </conditionalFormatting>
  <conditionalFormatting sqref="N19:P19 N104:P104 N189:P189">
    <cfRule type="expression" dxfId="2667" priority="43" stopIfTrue="1">
      <formula>IF(#REF!&gt;4,0,1)</formula>
    </cfRule>
  </conditionalFormatting>
  <conditionalFormatting sqref="Q19:S19 Q104:S104 Q189:S189">
    <cfRule type="expression" dxfId="2666" priority="44" stopIfTrue="1">
      <formula>IF(#REF!&gt;5,0,1)</formula>
    </cfRule>
  </conditionalFormatting>
  <conditionalFormatting sqref="T19:V19 T104:V104 T189:V189">
    <cfRule type="expression" dxfId="2665" priority="45" stopIfTrue="1">
      <formula>IF(#REF!&gt;6,0,1)</formula>
    </cfRule>
  </conditionalFormatting>
  <conditionalFormatting sqref="W19:Y19 W104:Y104 W189:Y189">
    <cfRule type="expression" dxfId="2664" priority="46" stopIfTrue="1">
      <formula>IF(#REF!&gt;7,0,1)</formula>
    </cfRule>
  </conditionalFormatting>
  <conditionalFormatting sqref="Z19:AB19 Z104:AB104 Z189:AB189">
    <cfRule type="expression" dxfId="2663" priority="47" stopIfTrue="1">
      <formula>IF(#REF!&gt;8,0,1)</formula>
    </cfRule>
  </conditionalFormatting>
  <conditionalFormatting sqref="AC19:AE19 AC104:AE104 AC189:AE189">
    <cfRule type="expression" dxfId="2662" priority="48" stopIfTrue="1">
      <formula>IF(#REF!&gt;9,0,1)</formula>
    </cfRule>
  </conditionalFormatting>
  <conditionalFormatting sqref="B20:D20 B105:D105 B190:D190">
    <cfRule type="expression" dxfId="2661" priority="49" stopIfTrue="1">
      <formula>IF(#REF!&gt;0,0,1)</formula>
    </cfRule>
  </conditionalFormatting>
  <conditionalFormatting sqref="E20:G20 E105:G105 E190:G190">
    <cfRule type="expression" dxfId="2660" priority="50" stopIfTrue="1">
      <formula>IF(#REF!&gt;1,0,1)</formula>
    </cfRule>
  </conditionalFormatting>
  <conditionalFormatting sqref="H20:J20 H105:J105 H190:J190">
    <cfRule type="expression" dxfId="2659" priority="51" stopIfTrue="1">
      <formula>IF(#REF!&gt;2,0,1)</formula>
    </cfRule>
  </conditionalFormatting>
  <conditionalFormatting sqref="K20:M20 K105:M105 K190:M190">
    <cfRule type="expression" dxfId="2658" priority="52" stopIfTrue="1">
      <formula>IF(#REF!&gt;3,0,1)</formula>
    </cfRule>
  </conditionalFormatting>
  <conditionalFormatting sqref="N20:P20 N105:P105 N190:P190">
    <cfRule type="expression" dxfId="2657" priority="53" stopIfTrue="1">
      <formula>IF(#REF!&gt;4,0,1)</formula>
    </cfRule>
  </conditionalFormatting>
  <conditionalFormatting sqref="Q20:S20 Q105:S105 Q190:S190">
    <cfRule type="expression" dxfId="2656" priority="54" stopIfTrue="1">
      <formula>IF(#REF!&gt;5,0,1)</formula>
    </cfRule>
  </conditionalFormatting>
  <conditionalFormatting sqref="T20:V20 T105:V105 T190:V190">
    <cfRule type="expression" dxfId="2655" priority="55" stopIfTrue="1">
      <formula>IF(#REF!&gt;6,0,1)</formula>
    </cfRule>
  </conditionalFormatting>
  <conditionalFormatting sqref="W20:Y20 W105:Y105 W190:Y190">
    <cfRule type="expression" dxfId="2654" priority="56" stopIfTrue="1">
      <formula>IF(#REF!&gt;7,0,1)</formula>
    </cfRule>
  </conditionalFormatting>
  <conditionalFormatting sqref="Z20:AB20 Z105:AB105 Z190:AB190">
    <cfRule type="expression" dxfId="2653" priority="57" stopIfTrue="1">
      <formula>IF(#REF!&gt;8,0,1)</formula>
    </cfRule>
  </conditionalFormatting>
  <conditionalFormatting sqref="AC20:AE20 AC105:AE105 AC190:AE190">
    <cfRule type="expression" dxfId="2652" priority="58" stopIfTrue="1">
      <formula>IF(#REF!&gt;9,0,1)</formula>
    </cfRule>
  </conditionalFormatting>
  <conditionalFormatting sqref="E22:G22 E107:G107 E192:G192">
    <cfRule type="expression" dxfId="2651" priority="59" stopIfTrue="1">
      <formula>IF(#REF!&gt;1,0,1)</formula>
    </cfRule>
  </conditionalFormatting>
  <conditionalFormatting sqref="H22:J22 H107:J107 H192:J192">
    <cfRule type="expression" dxfId="2650" priority="60" stopIfTrue="1">
      <formula>IF(#REF!&gt;2,0,1)</formula>
    </cfRule>
  </conditionalFormatting>
  <conditionalFormatting sqref="K22:M22 K107:M107 K192:M192">
    <cfRule type="expression" dxfId="2649" priority="61" stopIfTrue="1">
      <formula>IF(#REF!&gt;3,0,1)</formula>
    </cfRule>
  </conditionalFormatting>
  <conditionalFormatting sqref="N22:P22 N107:P107 N192:P192">
    <cfRule type="expression" dxfId="2648" priority="62" stopIfTrue="1">
      <formula>IF(#REF!&gt;4,0,1)</formula>
    </cfRule>
  </conditionalFormatting>
  <conditionalFormatting sqref="Q22:S22 Q107:S107 Q192:S192">
    <cfRule type="expression" dxfId="2647" priority="63" stopIfTrue="1">
      <formula>IF(#REF!&gt;5,0,1)</formula>
    </cfRule>
  </conditionalFormatting>
  <conditionalFormatting sqref="T22:V22 T107:V107 T192:V192">
    <cfRule type="expression" dxfId="2646" priority="64" stopIfTrue="1">
      <formula>IF(#REF!&gt;6,0,1)</formula>
    </cfRule>
  </conditionalFormatting>
  <conditionalFormatting sqref="W22:Y22 W107:Y107 W192:Y192">
    <cfRule type="expression" dxfId="2645" priority="65" stopIfTrue="1">
      <formula>IF(#REF!&gt;7,0,1)</formula>
    </cfRule>
  </conditionalFormatting>
  <conditionalFormatting sqref="Z22:AB22 Z107:AB107 Z192:AB192">
    <cfRule type="expression" dxfId="2644" priority="66" stopIfTrue="1">
      <formula>IF(#REF!&gt;8,0,1)</formula>
    </cfRule>
  </conditionalFormatting>
  <conditionalFormatting sqref="AC22:AE22 AC107:AE107 AC192:AE192">
    <cfRule type="expression" dxfId="2643" priority="67" stopIfTrue="1">
      <formula>IF(#REF!&gt;9,0,1)</formula>
    </cfRule>
  </conditionalFormatting>
  <conditionalFormatting sqref="B24 B109 B194">
    <cfRule type="expression" dxfId="2642" priority="68" stopIfTrue="1">
      <formula>IF(#REF!&gt;0,0,1)</formula>
    </cfRule>
  </conditionalFormatting>
  <conditionalFormatting sqref="C24 C109 C194">
    <cfRule type="expression" dxfId="2641" priority="69" stopIfTrue="1">
      <formula>IF(#REF!&gt;0,0,1)</formula>
    </cfRule>
  </conditionalFormatting>
  <conditionalFormatting sqref="D24 D109 D194">
    <cfRule type="expression" dxfId="2640" priority="70" stopIfTrue="1">
      <formula>IF(#REF!&gt;0,0,1)</formula>
    </cfRule>
  </conditionalFormatting>
  <conditionalFormatting sqref="E23:G23 E193:G193 E108:G108">
    <cfRule type="expression" dxfId="2639" priority="71" stopIfTrue="1">
      <formula>IF(#REF!&gt;1,0,1)</formula>
    </cfRule>
  </conditionalFormatting>
  <conditionalFormatting sqref="F24 F109 F194">
    <cfRule type="expression" dxfId="2638" priority="72" stopIfTrue="1">
      <formula>IF(#REF!&gt;1,0,1)</formula>
    </cfRule>
  </conditionalFormatting>
  <conditionalFormatting sqref="G24 G109 G194">
    <cfRule type="expression" dxfId="2637" priority="73" stopIfTrue="1">
      <formula>IF(#REF!&gt;1,0,1)</formula>
    </cfRule>
  </conditionalFormatting>
  <conditionalFormatting sqref="H23:J23 H193:J193 H108:J108">
    <cfRule type="expression" dxfId="2636" priority="74" stopIfTrue="1">
      <formula>IF(#REF!&gt;2,0,1)</formula>
    </cfRule>
  </conditionalFormatting>
  <conditionalFormatting sqref="I24 I109 I194">
    <cfRule type="expression" dxfId="2635" priority="75" stopIfTrue="1">
      <formula>IF(#REF!&gt;2,0,1)</formula>
    </cfRule>
  </conditionalFormatting>
  <conditionalFormatting sqref="J24 J109 J194">
    <cfRule type="expression" dxfId="2634" priority="76" stopIfTrue="1">
      <formula>IF(#REF!&gt;2,0,1)</formula>
    </cfRule>
  </conditionalFormatting>
  <conditionalFormatting sqref="K23:M23 K193:M193 K108:M108">
    <cfRule type="expression" dxfId="2633" priority="77" stopIfTrue="1">
      <formula>IF(#REF!&gt;3,0,1)</formula>
    </cfRule>
  </conditionalFormatting>
  <conditionalFormatting sqref="L24 L109 L194">
    <cfRule type="expression" dxfId="2632" priority="78" stopIfTrue="1">
      <formula>IF(#REF!&gt;3,0,1)</formula>
    </cfRule>
  </conditionalFormatting>
  <conditionalFormatting sqref="M24 M109 M194">
    <cfRule type="expression" dxfId="2631" priority="79" stopIfTrue="1">
      <formula>IF(#REF!&gt;3,0,1)</formula>
    </cfRule>
  </conditionalFormatting>
  <conditionalFormatting sqref="N23:P23 N193:P193 N108:P108">
    <cfRule type="expression" dxfId="2630" priority="80" stopIfTrue="1">
      <formula>IF(#REF!&gt;4,0,1)</formula>
    </cfRule>
  </conditionalFormatting>
  <conditionalFormatting sqref="O24 O109 O194">
    <cfRule type="expression" dxfId="2629" priority="81" stopIfTrue="1">
      <formula>IF(#REF!&gt;4,0,1)</formula>
    </cfRule>
  </conditionalFormatting>
  <conditionalFormatting sqref="P24 P109 P194">
    <cfRule type="expression" dxfId="2628" priority="82" stopIfTrue="1">
      <formula>IF(#REF!&gt;4,0,1)</formula>
    </cfRule>
  </conditionalFormatting>
  <conditionalFormatting sqref="Q23:S23 Q193:S193 Q108:S108">
    <cfRule type="expression" dxfId="2627" priority="83" stopIfTrue="1">
      <formula>IF(#REF!&gt;5,0,1)</formula>
    </cfRule>
  </conditionalFormatting>
  <conditionalFormatting sqref="R24 R109 R194">
    <cfRule type="expression" dxfId="2626" priority="84" stopIfTrue="1">
      <formula>IF(#REF!&gt;5,0,1)</formula>
    </cfRule>
  </conditionalFormatting>
  <conditionalFormatting sqref="S24 S109 S194">
    <cfRule type="expression" dxfId="2625" priority="85" stopIfTrue="1">
      <formula>IF(#REF!&gt;5,0,1)</formula>
    </cfRule>
  </conditionalFormatting>
  <conditionalFormatting sqref="T23:V23 T193:V193 T108:V108">
    <cfRule type="expression" dxfId="2624" priority="86" stopIfTrue="1">
      <formula>IF(#REF!&gt;6,0,1)</formula>
    </cfRule>
  </conditionalFormatting>
  <conditionalFormatting sqref="U24 U109 U194">
    <cfRule type="expression" dxfId="2623" priority="87" stopIfTrue="1">
      <formula>IF(#REF!&gt;6,0,1)</formula>
    </cfRule>
  </conditionalFormatting>
  <conditionalFormatting sqref="V24 V109 V194">
    <cfRule type="expression" dxfId="2622" priority="88" stopIfTrue="1">
      <formula>IF(#REF!&gt;6,0,1)</formula>
    </cfRule>
  </conditionalFormatting>
  <conditionalFormatting sqref="W23:Y23 W193:Y193 W108:Y108">
    <cfRule type="expression" dxfId="2621" priority="89" stopIfTrue="1">
      <formula>IF(#REF!&gt;7,0,1)</formula>
    </cfRule>
  </conditionalFormatting>
  <conditionalFormatting sqref="X24 X109 X194">
    <cfRule type="expression" dxfId="2620" priority="90" stopIfTrue="1">
      <formula>IF(#REF!&gt;7,0,1)</formula>
    </cfRule>
  </conditionalFormatting>
  <conditionalFormatting sqref="Y24 Y109 Y194">
    <cfRule type="expression" dxfId="2619" priority="91" stopIfTrue="1">
      <formula>IF(#REF!&gt;7,0,1)</formula>
    </cfRule>
  </conditionalFormatting>
  <conditionalFormatting sqref="Z23:AB23 Z193:AB193 Z108:AB108">
    <cfRule type="expression" dxfId="2618" priority="92" stopIfTrue="1">
      <formula>IF(#REF!&gt;8,0,1)</formula>
    </cfRule>
  </conditionalFormatting>
  <conditionalFormatting sqref="AA24 AA109 AA194">
    <cfRule type="expression" dxfId="2617" priority="93" stopIfTrue="1">
      <formula>IF(#REF!&gt;8,0,1)</formula>
    </cfRule>
  </conditionalFormatting>
  <conditionalFormatting sqref="AB24 AB109 AB194">
    <cfRule type="expression" dxfId="2616" priority="94" stopIfTrue="1">
      <formula>IF(#REF!&gt;8,0,1)</formula>
    </cfRule>
  </conditionalFormatting>
  <conditionalFormatting sqref="AC23:AE23 AC193:AE193 AC108:AE108">
    <cfRule type="expression" dxfId="2615" priority="95" stopIfTrue="1">
      <formula>IF(#REF!&gt;9,0,1)</formula>
    </cfRule>
  </conditionalFormatting>
  <conditionalFormatting sqref="AD24 AD109 AD194">
    <cfRule type="expression" dxfId="2614" priority="96" stopIfTrue="1">
      <formula>IF(#REF!&gt;9,0,1)</formula>
    </cfRule>
  </conditionalFormatting>
  <conditionalFormatting sqref="AE24 AE109 AE194">
    <cfRule type="expression" dxfId="2613" priority="97" stopIfTrue="1">
      <formula>IF(#REF!&gt;9,0,1)</formula>
    </cfRule>
  </conditionalFormatting>
  <conditionalFormatting sqref="A26 A111 A196">
    <cfRule type="expression" dxfId="2612" priority="98" stopIfTrue="1">
      <formula>IF(#REF!&gt;1,0,1)</formula>
    </cfRule>
  </conditionalFormatting>
  <conditionalFormatting sqref="A27 A112 A197">
    <cfRule type="expression" dxfId="2611" priority="99" stopIfTrue="1">
      <formula>IF(#REF!&gt;2,0,1)</formula>
    </cfRule>
  </conditionalFormatting>
  <conditionalFormatting sqref="A28 A113 A198">
    <cfRule type="expression" dxfId="2610" priority="100" stopIfTrue="1">
      <formula>IF(#REF!&gt;3,0,1)</formula>
    </cfRule>
  </conditionalFormatting>
  <conditionalFormatting sqref="A29 A114 A199">
    <cfRule type="expression" dxfId="2609" priority="101" stopIfTrue="1">
      <formula>IF(#REF!&gt;4,0,1)</formula>
    </cfRule>
  </conditionalFormatting>
  <conditionalFormatting sqref="B25:D25 B110:D110 B195:D195">
    <cfRule type="expression" dxfId="2608" priority="102" stopIfTrue="1">
      <formula>IF(#REF!&gt;0,0,1)</formula>
    </cfRule>
  </conditionalFormatting>
  <conditionalFormatting sqref="B26:D26 B111:D111 B196:D196">
    <cfRule type="expression" dxfId="2607" priority="103" stopIfTrue="1">
      <formula>IF(#REF!&lt;1,1,IF(#REF!&lt;2,1,0))</formula>
    </cfRule>
  </conditionalFormatting>
  <conditionalFormatting sqref="B27:D27 B112:D112 B197:D197">
    <cfRule type="expression" dxfId="2606" priority="104" stopIfTrue="1">
      <formula>IF(#REF!&lt;1,1,IF(#REF!&lt;3,1,0))</formula>
    </cfRule>
  </conditionalFormatting>
  <conditionalFormatting sqref="B28:D28 B113:D113 B198:D198">
    <cfRule type="expression" dxfId="2605" priority="105" stopIfTrue="1">
      <formula>IF(#REF!&lt;1,1,IF(#REF!&lt;4,1,0))</formula>
    </cfRule>
  </conditionalFormatting>
  <conditionalFormatting sqref="B29:D29 B114:D114 B199:D199">
    <cfRule type="expression" dxfId="2604" priority="106" stopIfTrue="1">
      <formula>IF(#REF!&lt;1,1,IF(#REF!&lt;5,1,0))</formula>
    </cfRule>
  </conditionalFormatting>
  <conditionalFormatting sqref="AG23 AG108 AG193">
    <cfRule type="expression" dxfId="2603" priority="107" stopIfTrue="1">
      <formula>IF(#REF!&lt;1,1,0)</formula>
    </cfRule>
  </conditionalFormatting>
  <conditionalFormatting sqref="AH23 AH108 AH193">
    <cfRule type="expression" dxfId="2602" priority="108" stopIfTrue="1">
      <formula>IF(#REF!&lt;2,1,0)</formula>
    </cfRule>
  </conditionalFormatting>
  <conditionalFormatting sqref="AI23 AI108 AI193">
    <cfRule type="expression" dxfId="2601" priority="109" stopIfTrue="1">
      <formula>IF(#REF!&lt;3,1,0)</formula>
    </cfRule>
  </conditionalFormatting>
  <conditionalFormatting sqref="AJ23 AJ108 AJ193">
    <cfRule type="expression" dxfId="2600" priority="110" stopIfTrue="1">
      <formula>IF(#REF!&lt;4,1,0)</formula>
    </cfRule>
  </conditionalFormatting>
  <conditionalFormatting sqref="AK23 AK108 AK193">
    <cfRule type="expression" dxfId="2599" priority="111" stopIfTrue="1">
      <formula>IF(#REF!&lt;5,1,0)</formula>
    </cfRule>
  </conditionalFormatting>
  <conditionalFormatting sqref="AL23 AL108 AL193">
    <cfRule type="expression" dxfId="2598" priority="112" stopIfTrue="1">
      <formula>IF(#REF!&lt;6,1,0)</formula>
    </cfRule>
  </conditionalFormatting>
  <conditionalFormatting sqref="AM23 AM108 AM193">
    <cfRule type="expression" dxfId="2597" priority="113" stopIfTrue="1">
      <formula>IF(#REF!&lt;7,1,0)</formula>
    </cfRule>
  </conditionalFormatting>
  <conditionalFormatting sqref="AN23 AN108 AN193">
    <cfRule type="expression" dxfId="2596" priority="114" stopIfTrue="1">
      <formula>IF(#REF!&lt;8,1,0)</formula>
    </cfRule>
  </conditionalFormatting>
  <conditionalFormatting sqref="AO23 AO108 AO193">
    <cfRule type="expression" dxfId="2595" priority="115" stopIfTrue="1">
      <formula>IF(#REF!&lt;9,1,0)</formula>
    </cfRule>
  </conditionalFormatting>
  <conditionalFormatting sqref="AP23 AP108 AP193">
    <cfRule type="expression" dxfId="2594" priority="116" stopIfTrue="1">
      <formula>IF(#REF!&lt;10,1,0)</formula>
    </cfRule>
  </conditionalFormatting>
  <conditionalFormatting sqref="AQ24 AQ109 AQ194">
    <cfRule type="expression" dxfId="2593" priority="117" stopIfTrue="1">
      <formula>IF(#REF!&gt;0,0,1)</formula>
    </cfRule>
  </conditionalFormatting>
  <conditionalFormatting sqref="AQ25 AQ110 AQ195">
    <cfRule type="expression" dxfId="2592" priority="118" stopIfTrue="1">
      <formula>IF(#REF!&gt;1,0,1)</formula>
    </cfRule>
  </conditionalFormatting>
  <conditionalFormatting sqref="AQ26 H25:J25 AQ111 H110:J110 AQ196 H195:J195">
    <cfRule type="expression" dxfId="2591" priority="119" stopIfTrue="1">
      <formula>IF(#REF!&gt;2,0,1)</formula>
    </cfRule>
  </conditionalFormatting>
  <conditionalFormatting sqref="K110:M110 K25:M25 K195:M195">
    <cfRule type="expression" dxfId="2590" priority="120" stopIfTrue="1">
      <formula>IF(#REF!&gt;3,0,1)</formula>
    </cfRule>
  </conditionalFormatting>
  <conditionalFormatting sqref="AQ28 AQ113 AQ198">
    <cfRule type="expression" dxfId="2589" priority="121" stopIfTrue="1">
      <formula>IF(#REF!&gt;4,0,1)</formula>
    </cfRule>
  </conditionalFormatting>
  <conditionalFormatting sqref="E26:G26 E111:G111 E196:G196">
    <cfRule type="expression" dxfId="2588" priority="122" stopIfTrue="1">
      <formula>IF(#REF!&lt;2,1,IF(#REF!&lt;2,1,0))</formula>
    </cfRule>
  </conditionalFormatting>
  <conditionalFormatting sqref="E27:G27 E112:G112 E197:G197">
    <cfRule type="expression" dxfId="2587" priority="123" stopIfTrue="1">
      <formula>IF(#REF!&lt;2,1,IF(#REF!&lt;3,1,0))</formula>
    </cfRule>
  </conditionalFormatting>
  <conditionalFormatting sqref="E28:G28 E113:G113 E198:G198">
    <cfRule type="expression" dxfId="2586" priority="124" stopIfTrue="1">
      <formula>IF(#REF!&lt;2,1,IF(#REF!&lt;4,1,0))</formula>
    </cfRule>
  </conditionalFormatting>
  <conditionalFormatting sqref="E29:G29 E114:G114 E199:G199">
    <cfRule type="expression" dxfId="2585" priority="125" stopIfTrue="1">
      <formula>IF(#REF!&lt;2,1,IF(#REF!&lt;5,1,0))</formula>
    </cfRule>
  </conditionalFormatting>
  <conditionalFormatting sqref="N25:P25 N110:P110 N195:P195">
    <cfRule type="expression" dxfId="2584" priority="126" stopIfTrue="1">
      <formula>IF(#REF!&gt;4,0,1)</formula>
    </cfRule>
  </conditionalFormatting>
  <conditionalFormatting sqref="Q25:S25 Q110:S110 Q195:S195">
    <cfRule type="expression" dxfId="2583" priority="127" stopIfTrue="1">
      <formula>IF(#REF!&gt;5,0,1)</formula>
    </cfRule>
  </conditionalFormatting>
  <conditionalFormatting sqref="T25:V25 T110:V110 T195:V195">
    <cfRule type="expression" dxfId="2582" priority="128" stopIfTrue="1">
      <formula>IF(#REF!&gt;6,0,1)</formula>
    </cfRule>
  </conditionalFormatting>
  <conditionalFormatting sqref="W25:Y25 W110:Y110 W195:Y195">
    <cfRule type="expression" dxfId="2581" priority="129" stopIfTrue="1">
      <formula>IF(#REF!&gt;7,0,1)</formula>
    </cfRule>
  </conditionalFormatting>
  <conditionalFormatting sqref="Z25:AB25 Z110:AB110 Z195:AB195">
    <cfRule type="expression" dxfId="2580" priority="130" stopIfTrue="1">
      <formula>IF(#REF!&gt;8,0,1)</formula>
    </cfRule>
  </conditionalFormatting>
  <conditionalFormatting sqref="AC25:AE25 AC110:AE110 AC195:AE195">
    <cfRule type="expression" dxfId="2579" priority="131" stopIfTrue="1">
      <formula>IF(#REF!&gt;9,0,1)</formula>
    </cfRule>
  </conditionalFormatting>
  <conditionalFormatting sqref="H26:J26 H111:J111 H196:J196">
    <cfRule type="expression" dxfId="2578" priority="132" stopIfTrue="1">
      <formula>IF(#REF!&lt;3,1,IF(#REF!&lt;2,1,0))</formula>
    </cfRule>
  </conditionalFormatting>
  <conditionalFormatting sqref="K26:M26 K111:M111 K196:M196">
    <cfRule type="expression" dxfId="2577" priority="133" stopIfTrue="1">
      <formula>IF(#REF!&lt;4,1,IF(#REF!&lt;2,1,0))</formula>
    </cfRule>
  </conditionalFormatting>
  <conditionalFormatting sqref="N26:P26 N111:P111 N196:P196">
    <cfRule type="expression" dxfId="2576" priority="134" stopIfTrue="1">
      <formula>IF(#REF!&lt;5,1,IF(#REF!&lt;2,1,0))</formula>
    </cfRule>
  </conditionalFormatting>
  <conditionalFormatting sqref="Q26:S26 Q111:S111 Q196:S196">
    <cfRule type="expression" dxfId="2575" priority="135" stopIfTrue="1">
      <formula>IF(#REF!&lt;6,1,IF(#REF!&lt;2,1,0))</formula>
    </cfRule>
  </conditionalFormatting>
  <conditionalFormatting sqref="T26:V26 T111:V111 T196:V196">
    <cfRule type="expression" dxfId="2574" priority="136" stopIfTrue="1">
      <formula>IF(#REF!&lt;7,1,IF(#REF!&lt;2,1,0))</formula>
    </cfRule>
  </conditionalFormatting>
  <conditionalFormatting sqref="W26:Y26 W111:Y111 W196:Y196">
    <cfRule type="expression" dxfId="2573" priority="137" stopIfTrue="1">
      <formula>IF(#REF!&lt;8,1,IF(#REF!&lt;2,1,0))</formula>
    </cfRule>
  </conditionalFormatting>
  <conditionalFormatting sqref="Z26:AB26 Z111:AB111 Z196:AB196">
    <cfRule type="expression" dxfId="2572" priority="138" stopIfTrue="1">
      <formula>IF(#REF!&lt;9,1,IF(#REF!&lt;2,1,0))</formula>
    </cfRule>
  </conditionalFormatting>
  <conditionalFormatting sqref="AC26:AE26 AC111:AE111 AC196:AE196">
    <cfRule type="expression" dxfId="2571" priority="139" stopIfTrue="1">
      <formula>IF(#REF!&lt;10,1,IF(#REF!&lt;2,1,0))</formula>
    </cfRule>
  </conditionalFormatting>
  <conditionalFormatting sqref="H27:J27 H112:J112 H197:J197">
    <cfRule type="expression" dxfId="2570" priority="140" stopIfTrue="1">
      <formula>IF(#REF!&lt;3,1,IF(#REF!&lt;3,1,0))</formula>
    </cfRule>
  </conditionalFormatting>
  <conditionalFormatting sqref="K27:M27 K112:M112 K197:M197">
    <cfRule type="expression" dxfId="2569" priority="141" stopIfTrue="1">
      <formula>IF(#REF!&lt;4,1,IF(#REF!&lt;3,1,0))</formula>
    </cfRule>
  </conditionalFormatting>
  <conditionalFormatting sqref="N27:P27 N112:P112 N197:P197">
    <cfRule type="expression" dxfId="2568" priority="142" stopIfTrue="1">
      <formula>IF(#REF!&lt;5,1,IF(#REF!&lt;3,1,0))</formula>
    </cfRule>
  </conditionalFormatting>
  <conditionalFormatting sqref="Q27:S27 Q112:S112 Q197:S197">
    <cfRule type="expression" dxfId="2567" priority="143" stopIfTrue="1">
      <formula>IF(#REF!&lt;6,1,IF(#REF!&lt;3,1,0))</formula>
    </cfRule>
  </conditionalFormatting>
  <conditionalFormatting sqref="T27:V27 T112:V112 T197:V197">
    <cfRule type="expression" dxfId="2566" priority="144" stopIfTrue="1">
      <formula>IF(#REF!&lt;7,1,IF(#REF!&lt;3,1,0))</formula>
    </cfRule>
  </conditionalFormatting>
  <conditionalFormatting sqref="W27:Y27 W112:Y112 W197:Y197">
    <cfRule type="expression" dxfId="2565" priority="145" stopIfTrue="1">
      <formula>IF(#REF!&lt;8,1,IF(#REF!&lt;3,1,0))</formula>
    </cfRule>
  </conditionalFormatting>
  <conditionalFormatting sqref="Z27:AB27 Z112:AB112 Z197:AB197">
    <cfRule type="expression" dxfId="2564" priority="146" stopIfTrue="1">
      <formula>IF(#REF!&lt;9,1,IF(#REF!&lt;3,1,0))</formula>
    </cfRule>
  </conditionalFormatting>
  <conditionalFormatting sqref="AC27:AE27 AC112:AE112 AC197:AE197">
    <cfRule type="expression" dxfId="2563" priority="147" stopIfTrue="1">
      <formula>IF(#REF!&lt;10,1,IF(#REF!&lt;3,1,0))</formula>
    </cfRule>
  </conditionalFormatting>
  <conditionalFormatting sqref="H28:J28 H113:J113 H198:J198">
    <cfRule type="expression" dxfId="2562" priority="148" stopIfTrue="1">
      <formula>IF(#REF!&lt;3,1,IF(#REF!&lt;4,1,0))</formula>
    </cfRule>
  </conditionalFormatting>
  <conditionalFormatting sqref="K28:M28 K113:M113 K198:M198">
    <cfRule type="expression" dxfId="2561" priority="149" stopIfTrue="1">
      <formula>IF(#REF!&lt;4,1,IF(#REF!&lt;4,1,0))</formula>
    </cfRule>
  </conditionalFormatting>
  <conditionalFormatting sqref="N28:P28 N113:P113 N198:P198">
    <cfRule type="expression" dxfId="2560" priority="150" stopIfTrue="1">
      <formula>IF(#REF!&lt;5,1,IF(#REF!&lt;4,1,0))</formula>
    </cfRule>
  </conditionalFormatting>
  <conditionalFormatting sqref="Q28:S28 Q113:S113 Q198:S198">
    <cfRule type="expression" dxfId="2559" priority="151" stopIfTrue="1">
      <formula>IF(#REF!&lt;6,1,IF(#REF!&lt;4,1,0))</formula>
    </cfRule>
  </conditionalFormatting>
  <conditionalFormatting sqref="T28:V28 T113:V113 T198:V198">
    <cfRule type="expression" dxfId="2558" priority="152" stopIfTrue="1">
      <formula>IF(#REF!&lt;7,1,IF(#REF!&lt;4,1,0))</formula>
    </cfRule>
  </conditionalFormatting>
  <conditionalFormatting sqref="W28:Y28 W113:Y113 W198:Y198">
    <cfRule type="expression" dxfId="2557" priority="153" stopIfTrue="1">
      <formula>IF(#REF!&lt;8,1,IF(#REF!&lt;4,1,0))</formula>
    </cfRule>
  </conditionalFormatting>
  <conditionalFormatting sqref="Z28:AB28 Z113:AB113 Z198:AB198">
    <cfRule type="expression" dxfId="2556" priority="154" stopIfTrue="1">
      <formula>IF(#REF!&lt;9,1,IF(#REF!&lt;4,1,0))</formula>
    </cfRule>
  </conditionalFormatting>
  <conditionalFormatting sqref="AC28:AE28 AC113:AE113 AC198:AE198">
    <cfRule type="expression" dxfId="2555" priority="155" stopIfTrue="1">
      <formula>IF(#REF!&lt;10,1,IF(#REF!&lt;4,1,0))</formula>
    </cfRule>
  </conditionalFormatting>
  <conditionalFormatting sqref="H29:J29 H114:J114 H199:J199">
    <cfRule type="expression" dxfId="2554" priority="156" stopIfTrue="1">
      <formula>IF(#REF!&lt;3,1,IF(#REF!&lt;5,1,0))</formula>
    </cfRule>
  </conditionalFormatting>
  <conditionalFormatting sqref="K29:M29 K114:M114 K199:M199">
    <cfRule type="expression" dxfId="2553" priority="157" stopIfTrue="1">
      <formula>IF(#REF!&lt;4,1,IF(#REF!&lt;5,1,0))</formula>
    </cfRule>
  </conditionalFormatting>
  <conditionalFormatting sqref="N29:P29 N114:P114 N199:P199">
    <cfRule type="expression" dxfId="2552" priority="158" stopIfTrue="1">
      <formula>IF(#REF!&lt;5,1,IF(#REF!&lt;5,1,0))</formula>
    </cfRule>
  </conditionalFormatting>
  <conditionalFormatting sqref="Q29:S29 Q114:S114 Q199:S199">
    <cfRule type="expression" dxfId="2551" priority="159" stopIfTrue="1">
      <formula>IF(#REF!&lt;6,1,IF(#REF!&lt;5,1,0))</formula>
    </cfRule>
  </conditionalFormatting>
  <conditionalFormatting sqref="T29:V29 T114:V114 T199:V199">
    <cfRule type="expression" dxfId="2550" priority="160" stopIfTrue="1">
      <formula>IF(#REF!&lt;7,1,IF(#REF!&lt;5,1,0))</formula>
    </cfRule>
  </conditionalFormatting>
  <conditionalFormatting sqref="W29:Y29 W114:Y114 W199:Y199">
    <cfRule type="expression" dxfId="2549" priority="161" stopIfTrue="1">
      <formula>IF(#REF!&lt;8,1,IF(#REF!&lt;5,1,0))</formula>
    </cfRule>
  </conditionalFormatting>
  <conditionalFormatting sqref="Z29:AB29 Z114:AB114 Z199:AB199">
    <cfRule type="expression" dxfId="2548" priority="162" stopIfTrue="1">
      <formula>IF(#REF!&lt;9,1,IF(#REF!&lt;5,1,0))</formula>
    </cfRule>
  </conditionalFormatting>
  <conditionalFormatting sqref="AC29:AE29 AC114:AE114 AC199:AE199">
    <cfRule type="expression" dxfId="2547" priority="163" stopIfTrue="1">
      <formula>IF(#REF!&lt;10,1,IF(#REF!&lt;5,1,0))</formula>
    </cfRule>
  </conditionalFormatting>
  <conditionalFormatting sqref="R99:AB100 AF99:AF100 L99:P100 R14:AB15 AF14:AF15 L14:P15 R184:AB185 AF184:AF185 L184:P185 AG14 AG99 AG184">
    <cfRule type="expression" dxfId="2546" priority="164" stopIfTrue="1">
      <formula>IF(#REF!&gt;3,0,1)</formula>
    </cfRule>
  </conditionalFormatting>
  <conditionalFormatting sqref="R101:AB102 AF101:AF102 L101:P102 R16:AB17 AF16:AF17 L16:P17 R186:AB187 AF186:AF187 L186:P187 AG16 AG101 AG186">
    <cfRule type="expression" dxfId="2545" priority="165" stopIfTrue="1">
      <formula>IF(#REF!&gt;4,0,1)</formula>
    </cfRule>
  </conditionalFormatting>
  <conditionalFormatting sqref="R93:AB94 AF93:AF94 L93:P94 R8:AB9 AF8:AF9 L8:P9 R178:AB179 AF178:AF179 L178:P179 AG8 AG93 AG178">
    <cfRule type="expression" dxfId="2544" priority="166" stopIfTrue="1">
      <formula>IF($AK9&gt;0,0,1)</formula>
    </cfRule>
  </conditionalFormatting>
  <conditionalFormatting sqref="R95:AB96 AF95:AF96 L95:P96 R10:AB11 AF10:AF11 L10:P11 R180:AB181 AF180:AF181 L180:P181 AG10 AG95 AG180">
    <cfRule type="expression" dxfId="2543" priority="167" stopIfTrue="1">
      <formula>IF(#REF!&gt;1,0,1)</formula>
    </cfRule>
  </conditionalFormatting>
  <conditionalFormatting sqref="R97:AB98 AF97:AF98 L97:P98 R12:AB13 AF12:AF13 L12:P13 R182:AB183 AF182:AF183 L182:P183 AG12 AG97 AG182">
    <cfRule type="expression" dxfId="2542" priority="168" stopIfTrue="1">
      <formula>IF(#REF!&gt;2,0,1)</formula>
    </cfRule>
  </conditionalFormatting>
  <conditionalFormatting sqref="E109 E24 E194">
    <cfRule type="expression" dxfId="2541" priority="169" stopIfTrue="1">
      <formula>IF(#REF!&gt;1,0,1)</formula>
    </cfRule>
  </conditionalFormatting>
  <conditionalFormatting sqref="H109 H24 H194">
    <cfRule type="expression" dxfId="2540" priority="170" stopIfTrue="1">
      <formula>IF(#REF!&gt;2,0,1)</formula>
    </cfRule>
  </conditionalFormatting>
  <conditionalFormatting sqref="K109 K24 K194">
    <cfRule type="expression" dxfId="2539" priority="171" stopIfTrue="1">
      <formula>IF(#REF!&gt;3,0,1)</formula>
    </cfRule>
  </conditionalFormatting>
  <conditionalFormatting sqref="N109 N24 N194">
    <cfRule type="expression" dxfId="2538" priority="172" stopIfTrue="1">
      <formula>IF(#REF!&gt;4,0,1)</formula>
    </cfRule>
  </conditionalFormatting>
  <conditionalFormatting sqref="Q109 Q24 Q194">
    <cfRule type="expression" dxfId="2537" priority="173" stopIfTrue="1">
      <formula>IF(#REF!&gt;5,0,1)</formula>
    </cfRule>
  </conditionalFormatting>
  <conditionalFormatting sqref="T109 T24 T194">
    <cfRule type="expression" dxfId="2536" priority="174" stopIfTrue="1">
      <formula>IF(#REF!&gt;6,0,1)</formula>
    </cfRule>
  </conditionalFormatting>
  <conditionalFormatting sqref="W109 W24 W194">
    <cfRule type="expression" dxfId="2535" priority="175" stopIfTrue="1">
      <formula>IF(#REF!&gt;7,0,1)</formula>
    </cfRule>
  </conditionalFormatting>
  <conditionalFormatting sqref="Z109 Z24 Z194">
    <cfRule type="expression" dxfId="2534" priority="176" stopIfTrue="1">
      <formula>IF(#REF!&gt;8,0,1)</formula>
    </cfRule>
  </conditionalFormatting>
  <conditionalFormatting sqref="AC109 AC24 AC194">
    <cfRule type="expression" dxfId="2533" priority="177" stopIfTrue="1">
      <formula>IF(#REF!&gt;9,0,1)</formula>
    </cfRule>
  </conditionalFormatting>
  <conditionalFormatting sqref="AQ112 AQ27 AQ197">
    <cfRule type="expression" dxfId="2532" priority="178" stopIfTrue="1">
      <formula>IF(#REF!&gt;3,0,1)</formula>
    </cfRule>
  </conditionalFormatting>
  <conditionalFormatting sqref="E110:G110 E25:G25 E195:G195">
    <cfRule type="expression" dxfId="2531" priority="179" stopIfTrue="1">
      <formula>IF(#REF!&gt;1,0,1)</formula>
    </cfRule>
  </conditionalFormatting>
  <conditionalFormatting sqref="B106:D106 B21:D21 B191:D191">
    <cfRule type="expression" dxfId="2530" priority="180" stopIfTrue="1">
      <formula>IF(#REF!&gt;0,0,1)</formula>
    </cfRule>
  </conditionalFormatting>
  <conditionalFormatting sqref="E106:G106 E21:G21 E191:G191">
    <cfRule type="expression" dxfId="2529" priority="181" stopIfTrue="1">
      <formula>IF(#REF!&gt;1,0,1)</formula>
    </cfRule>
  </conditionalFormatting>
  <conditionalFormatting sqref="H106:J106 H21:J21 H191:J191">
    <cfRule type="expression" dxfId="2528" priority="182" stopIfTrue="1">
      <formula>IF(#REF!&gt;2,0,1)</formula>
    </cfRule>
  </conditionalFormatting>
  <conditionalFormatting sqref="K106:M106 K21:M21 K191:M191">
    <cfRule type="expression" dxfId="2527" priority="183" stopIfTrue="1">
      <formula>IF(#REF!&gt;3,0,1)</formula>
    </cfRule>
  </conditionalFormatting>
  <conditionalFormatting sqref="N106:P106 N21:P21 N191:P191">
    <cfRule type="expression" dxfId="2526" priority="184" stopIfTrue="1">
      <formula>IF(#REF!&gt;4,0,1)</formula>
    </cfRule>
  </conditionalFormatting>
  <conditionalFormatting sqref="Q106:S106 Q21:S21 Q191:S191">
    <cfRule type="expression" dxfId="2525" priority="185" stopIfTrue="1">
      <formula>IF(#REF!&gt;5,0,1)</formula>
    </cfRule>
  </conditionalFormatting>
  <conditionalFormatting sqref="T106:V106 T21:V21 T191:V191">
    <cfRule type="expression" dxfId="2524" priority="186" stopIfTrue="1">
      <formula>IF(#REF!&gt;6,0,1)</formula>
    </cfRule>
  </conditionalFormatting>
  <conditionalFormatting sqref="W106:Y106 W21:Y21 W191:Y191">
    <cfRule type="expression" dxfId="2523" priority="187" stopIfTrue="1">
      <formula>IF(#REF!&gt;7,0,1)</formula>
    </cfRule>
  </conditionalFormatting>
  <conditionalFormatting sqref="Z106:AB106 Z21:AB21 Z191:AB191">
    <cfRule type="expression" dxfId="2522" priority="188" stopIfTrue="1">
      <formula>IF(#REF!&gt;8,0,1)</formula>
    </cfRule>
  </conditionalFormatting>
  <conditionalFormatting sqref="AC106:AE106 AC21:AE21 AC191:AE191">
    <cfRule type="expression" dxfId="2521" priority="189" stopIfTrue="1">
      <formula>IF(#REF!&gt;9,0,1)</formula>
    </cfRule>
  </conditionalFormatting>
  <conditionalFormatting sqref="W309:Y314 Z310:AE313 AA314:AA316 I314:I316 C315:C316 B306:B307 C306:D306 B309:D314 E310:J313 F314:F316 AD314:AD316 I362:I364 W306:W307 X306:Y306 X357:Z358 Y359:Y360 AB358:AB360 X354:X355 AE358:AE360 C363:C364 B354:B355 C354:D354 B357:D362 E358:J361 X315:X316 F362:F364">
    <cfRule type="expression" dxfId="2520" priority="190" stopIfTrue="1">
      <formula>IF(#REF!&gt;0,0,1)</formula>
    </cfRule>
  </conditionalFormatting>
  <conditionalFormatting sqref="Z314 Z306:Z309 F306:G306 G314 F309:G309 E314 E306:E309 AA306:AB306 AB314 AA309:AB309 AA354:AA358 AC357:AC358 AB357 F354:G354 G362 F357:G357 E362 E354:E357">
    <cfRule type="expression" dxfId="2519" priority="191" stopIfTrue="1">
      <formula>IF(#REF!&gt;1,0,1)</formula>
    </cfRule>
  </conditionalFormatting>
  <conditionalFormatting sqref="AC306:AC309 AD306:AE306 AE314 AD309:AE309 AC314 H306:H309 I306:J306 J314 I309:J309 H314 AD354:AD358 AF357:AF358 AE357 AG358 H354:H357 I354:J354 J362 I357:J357 H362">
    <cfRule type="expression" dxfId="2518" priority="192" stopIfTrue="1">
      <formula>IF(#REF!&gt;2,0,1)</formula>
    </cfRule>
  </conditionalFormatting>
  <conditionalFormatting sqref="W315 Y315 B315 D315 X359 Z359 B363 D363">
    <cfRule type="expression" dxfId="2517" priority="193" stopIfTrue="1">
      <formula>IF(#REF!&lt;1,1,IF(#REF!&lt;2,1,0))</formula>
    </cfRule>
  </conditionalFormatting>
  <conditionalFormatting sqref="Z315 AB315 E315 G315 AA359 AC359 E363 G363">
    <cfRule type="expression" dxfId="2516" priority="194" stopIfTrue="1">
      <formula>IF(#REF!&lt;2,1,IF(#REF!&lt;2,1,0))</formula>
    </cfRule>
  </conditionalFormatting>
  <conditionalFormatting sqref="AC315 AE315 H315 J315 AD359 AF359 H363 J363">
    <cfRule type="expression" dxfId="2515" priority="195" stopIfTrue="1">
      <formula>IF(#REF!&lt;3,1,IF(#REF!&lt;2,1,0))</formula>
    </cfRule>
  </conditionalFormatting>
  <conditionalFormatting sqref="Y316 B316 D316 B364 X360 Z360 W316 D364">
    <cfRule type="expression" dxfId="2514" priority="196" stopIfTrue="1">
      <formula>IF(#REF!&lt;1,1,IF(#REF!&lt;3,1,0))</formula>
    </cfRule>
  </conditionalFormatting>
  <conditionalFormatting sqref="AB316 E316 G316 E364 AA360 AC360 Z316 G364">
    <cfRule type="expression" dxfId="2513" priority="197" stopIfTrue="1">
      <formula>IF(#REF!&lt;2,1,IF(#REF!&lt;3,1,0))</formula>
    </cfRule>
  </conditionalFormatting>
  <conditionalFormatting sqref="AE316 H316 J316 H364 AD360 AF360 AC316 J364">
    <cfRule type="expression" dxfId="2512" priority="198" stopIfTrue="1">
      <formula>IF(#REF!&lt;3,1,IF(#REF!&lt;3,1,0))</formula>
    </cfRule>
  </conditionalFormatting>
  <conditionalFormatting sqref="AG109:AP113 AG24:AP28 AG194:AP198">
    <cfRule type="cellIs" dxfId="2511" priority="199" stopIfTrue="1" operator="notBetween">
      <formula>-9999</formula>
      <formula>9999</formula>
    </cfRule>
  </conditionalFormatting>
  <conditionalFormatting sqref="AC7 AC92 AC177">
    <cfRule type="expression" dxfId="2510" priority="200" stopIfTrue="1">
      <formula>IF($AK$11=0,1,0)</formula>
    </cfRule>
  </conditionalFormatting>
  <conditionalFormatting sqref="B103 B18 B188">
    <cfRule type="expression" dxfId="2509" priority="201" stopIfTrue="1">
      <formula>IF($AK$9&gt;0,0,1)</formula>
    </cfRule>
  </conditionalFormatting>
  <conditionalFormatting sqref="B192:D193 B22:D23 B107:D108">
    <cfRule type="cellIs" dxfId="2508" priority="202" stopIfTrue="1" operator="equal">
      <formula>99</formula>
    </cfRule>
  </conditionalFormatting>
  <conditionalFormatting sqref="C317 F317 X317 AA317 C365 F365">
    <cfRule type="expression" dxfId="2507" priority="203" stopIfTrue="1">
      <formula>IF(#REF!&gt;0,0,1)</formula>
    </cfRule>
  </conditionalFormatting>
  <conditionalFormatting sqref="K354">
    <cfRule type="expression" dxfId="2506" priority="3" stopIfTrue="1">
      <formula>IF(ISNUMBER(K362),0,1)</formula>
    </cfRule>
  </conditionalFormatting>
  <conditionalFormatting sqref="K306">
    <cfRule type="expression" dxfId="2505" priority="2" stopIfTrue="1">
      <formula>IF(ISNUMBER(K314),0,1)</formula>
    </cfRule>
  </conditionalFormatting>
  <conditionalFormatting sqref="AF306">
    <cfRule type="expression" dxfId="2504" priority="1" stopIfTrue="1">
      <formula>IF(ISNUMBER(AF314),0,1)</formula>
    </cfRule>
  </conditionalFormatting>
  <pageMargins left="0.25" right="0.25" top="0.25" bottom="0.25" header="0" footer="0"/>
  <pageSetup scale="30" orientation="portrait" horizontalDpi="4294967293" verticalDpi="4294967293"/>
  <headerFooter alignWithMargins="0"/>
  <rowBreaks count="4" manualBreakCount="4">
    <brk id="90" max="42" man="1"/>
    <brk id="175" max="42" man="1"/>
    <brk id="272" max="42" man="1"/>
    <brk id="326" max="42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rgb="FFFFFF00"/>
    <pageSetUpPr fitToPage="1"/>
  </sheetPr>
  <dimension ref="A1:BY658"/>
  <sheetViews>
    <sheetView zoomScale="70" zoomScaleNormal="70" workbookViewId="0">
      <selection activeCell="AV16" sqref="AU16:AV18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62" customWidth="1"/>
    <col min="50" max="50" width="10.42578125" style="4" customWidth="1"/>
    <col min="51" max="51" width="11.28515625" style="4" customWidth="1"/>
    <col min="52" max="52" width="25" style="4" customWidth="1"/>
    <col min="53" max="53" width="6" style="4" customWidth="1"/>
    <col min="54" max="16384" width="8.7109375" style="4"/>
  </cols>
  <sheetData>
    <row r="1" spans="1:53" ht="13.5" thickBot="1" x14ac:dyDescent="0.25">
      <c r="A1" s="914" t="s">
        <v>0</v>
      </c>
      <c r="B1" s="914"/>
      <c r="C1" s="914"/>
      <c r="D1" s="914"/>
      <c r="E1" s="914"/>
      <c r="F1" s="914"/>
      <c r="G1" s="914"/>
      <c r="H1" s="914"/>
      <c r="I1" s="914"/>
      <c r="J1" s="914"/>
      <c r="K1" s="914"/>
      <c r="L1" s="914"/>
      <c r="M1" s="914"/>
      <c r="N1" s="914"/>
      <c r="O1" s="914"/>
      <c r="P1" s="914"/>
      <c r="Q1" s="914"/>
      <c r="R1" s="914"/>
      <c r="S1" s="914"/>
      <c r="T1" s="914"/>
      <c r="U1" s="914"/>
      <c r="V1" s="914"/>
      <c r="W1" s="914"/>
      <c r="X1" s="914"/>
      <c r="Y1" s="914"/>
      <c r="Z1" s="914"/>
      <c r="AA1" s="914"/>
      <c r="AB1" s="914"/>
      <c r="AC1" s="914"/>
      <c r="AD1" s="914"/>
      <c r="AE1" s="914"/>
      <c r="AF1" s="914"/>
      <c r="AG1" s="914"/>
      <c r="AH1" s="914"/>
      <c r="AI1" s="914"/>
      <c r="AJ1" s="1"/>
      <c r="AK1" s="1"/>
      <c r="AL1" s="1"/>
      <c r="AM1" s="1"/>
      <c r="AN1" s="1"/>
      <c r="AO1" s="1"/>
      <c r="AP1" s="1"/>
      <c r="AQ1" s="2" t="s">
        <v>349</v>
      </c>
      <c r="AR1" s="3"/>
      <c r="AT1" s="915" t="s">
        <v>1</v>
      </c>
      <c r="AU1" s="916"/>
      <c r="AV1" s="916"/>
      <c r="AW1" s="917"/>
      <c r="AX1" s="918" t="s">
        <v>2</v>
      </c>
      <c r="AY1" s="919"/>
      <c r="AZ1" s="9" t="s">
        <v>3</v>
      </c>
      <c r="BA1" s="10">
        <v>32</v>
      </c>
    </row>
    <row r="2" spans="1:53" ht="18.75" customHeight="1" thickBot="1" x14ac:dyDescent="0.3">
      <c r="A2" s="920" t="s">
        <v>4</v>
      </c>
      <c r="B2" s="921"/>
      <c r="C2" s="921"/>
      <c r="D2" s="921"/>
      <c r="E2" s="921"/>
      <c r="F2" s="921"/>
      <c r="G2" s="921"/>
      <c r="H2" s="921"/>
      <c r="I2" s="922"/>
      <c r="J2" s="923" t="s">
        <v>351</v>
      </c>
      <c r="K2" s="924"/>
      <c r="L2" s="924"/>
      <c r="M2" s="924"/>
      <c r="N2" s="924"/>
      <c r="O2" s="924"/>
      <c r="P2" s="924"/>
      <c r="Q2" s="924"/>
      <c r="R2" s="924"/>
      <c r="S2" s="924"/>
      <c r="T2" s="924"/>
      <c r="U2" s="924"/>
      <c r="V2" s="924"/>
      <c r="W2" s="924"/>
      <c r="X2" s="925"/>
      <c r="Y2" s="926" t="s">
        <v>5</v>
      </c>
      <c r="Z2" s="927"/>
      <c r="AA2" s="927"/>
      <c r="AB2" s="927"/>
      <c r="AC2" s="928"/>
      <c r="AD2" s="929">
        <v>42434</v>
      </c>
      <c r="AE2" s="897"/>
      <c r="AF2" s="897"/>
      <c r="AG2" s="897"/>
      <c r="AH2" s="897"/>
      <c r="AI2" s="898"/>
      <c r="AJ2" s="11"/>
      <c r="AK2" s="11"/>
      <c r="AL2" s="11"/>
      <c r="AM2" s="11"/>
      <c r="AN2" s="11"/>
      <c r="AO2" s="11"/>
      <c r="AP2" s="11"/>
      <c r="AQ2" s="11"/>
      <c r="AR2" s="3"/>
      <c r="AT2" s="12" t="s">
        <v>6</v>
      </c>
      <c r="AU2" s="5" t="s">
        <v>7</v>
      </c>
      <c r="AV2" s="6" t="s">
        <v>8</v>
      </c>
      <c r="AW2" s="8" t="s">
        <v>9</v>
      </c>
      <c r="AX2" s="13" t="s">
        <v>10</v>
      </c>
      <c r="AY2" s="8" t="s">
        <v>11</v>
      </c>
      <c r="AZ2" s="9" t="s">
        <v>12</v>
      </c>
      <c r="BA2" s="10">
        <v>16</v>
      </c>
    </row>
    <row r="3" spans="1:53" ht="18.75" customHeight="1" thickBot="1" x14ac:dyDescent="0.3">
      <c r="A3" s="14" t="s">
        <v>13</v>
      </c>
      <c r="B3" s="899" t="s">
        <v>360</v>
      </c>
      <c r="C3" s="900"/>
      <c r="D3" s="900"/>
      <c r="E3" s="900"/>
      <c r="F3" s="900"/>
      <c r="G3" s="900"/>
      <c r="H3" s="900"/>
      <c r="I3" s="900"/>
      <c r="J3" s="900"/>
      <c r="K3" s="900"/>
      <c r="L3" s="900"/>
      <c r="M3" s="900"/>
      <c r="N3" s="900"/>
      <c r="O3" s="901"/>
      <c r="P3" s="902" t="s">
        <v>14</v>
      </c>
      <c r="Q3" s="903"/>
      <c r="R3" s="903"/>
      <c r="S3" s="904" t="s">
        <v>361</v>
      </c>
      <c r="T3" s="905"/>
      <c r="U3" s="905"/>
      <c r="V3" s="905"/>
      <c r="W3" s="905"/>
      <c r="X3" s="906"/>
      <c r="Y3" s="907" t="s">
        <v>15</v>
      </c>
      <c r="Z3" s="908"/>
      <c r="AA3" s="908"/>
      <c r="AB3" s="908"/>
      <c r="AC3" s="908"/>
      <c r="AD3" s="909"/>
      <c r="AE3" s="910" t="s">
        <v>16</v>
      </c>
      <c r="AF3" s="911"/>
      <c r="AG3" s="912" t="s">
        <v>17</v>
      </c>
      <c r="AH3" s="912"/>
      <c r="AI3" s="913"/>
      <c r="AJ3" s="11"/>
      <c r="AK3" s="11"/>
      <c r="AL3" s="11"/>
      <c r="AM3" s="11"/>
      <c r="AN3" s="11"/>
      <c r="AO3" s="11"/>
      <c r="AP3" s="11"/>
      <c r="AQ3" s="11"/>
      <c r="AR3" s="3"/>
      <c r="AT3" s="15">
        <v>1</v>
      </c>
      <c r="AU3" s="167" t="s">
        <v>421</v>
      </c>
      <c r="AV3" s="167" t="s">
        <v>422</v>
      </c>
      <c r="AW3" s="16">
        <f>VLOOKUP(AV3,Initial!G:K,5,FALSE)</f>
        <v>1282.8814689298702</v>
      </c>
      <c r="AX3" s="17">
        <f t="shared" ref="AX3:AX12" si="0">VLOOKUP(AU3,AT$79:AU$174,2,FALSE)</f>
        <v>1354.0267614924403</v>
      </c>
      <c r="AY3" s="18">
        <f t="shared" ref="AY3:AY12" si="1">IF(ISNA(VLOOKUP(AU3,AT$182:AU$234,2,FALSE)),AX3,VLOOKUP(AU3,AT$182:AU$234,2,FALSE))</f>
        <v>1348.0654211657343</v>
      </c>
    </row>
    <row r="4" spans="1:53" ht="24" customHeight="1" thickBot="1" x14ac:dyDescent="0.25">
      <c r="A4" s="890" t="s">
        <v>18</v>
      </c>
      <c r="B4" s="891"/>
      <c r="C4" s="891"/>
      <c r="D4" s="892"/>
      <c r="E4" s="893" t="s">
        <v>352</v>
      </c>
      <c r="F4" s="894"/>
      <c r="G4" s="894"/>
      <c r="H4" s="894"/>
      <c r="I4" s="894"/>
      <c r="J4" s="894"/>
      <c r="K4" s="894"/>
      <c r="L4" s="894"/>
      <c r="M4" s="895"/>
      <c r="N4" s="890" t="s">
        <v>19</v>
      </c>
      <c r="O4" s="891"/>
      <c r="P4" s="891"/>
      <c r="Q4" s="892"/>
      <c r="R4" s="896"/>
      <c r="S4" s="897"/>
      <c r="T4" s="897"/>
      <c r="U4" s="897"/>
      <c r="V4" s="897"/>
      <c r="W4" s="897"/>
      <c r="X4" s="897"/>
      <c r="Y4" s="897"/>
      <c r="Z4" s="897"/>
      <c r="AA4" s="898"/>
      <c r="AB4" s="890" t="s">
        <v>20</v>
      </c>
      <c r="AC4" s="891"/>
      <c r="AD4" s="891"/>
      <c r="AE4" s="892"/>
      <c r="AF4" s="896"/>
      <c r="AG4" s="897"/>
      <c r="AH4" s="897"/>
      <c r="AI4" s="898"/>
      <c r="AJ4" s="11"/>
      <c r="AK4" s="11"/>
      <c r="AL4" s="11"/>
      <c r="AM4" s="11"/>
      <c r="AN4" s="11"/>
      <c r="AO4" s="11"/>
      <c r="AP4" s="11"/>
      <c r="AQ4" s="11"/>
      <c r="AR4" s="3"/>
      <c r="AT4" s="19">
        <v>2</v>
      </c>
      <c r="AU4" s="167" t="s">
        <v>513</v>
      </c>
      <c r="AV4" s="167" t="s">
        <v>514</v>
      </c>
      <c r="AW4" s="16">
        <f>VLOOKUP(AV4,Initial!G:K,5,FALSE)</f>
        <v>1405.1025780622188</v>
      </c>
      <c r="AX4" s="20">
        <f t="shared" si="0"/>
        <v>1444.5594875899783</v>
      </c>
      <c r="AY4" s="21">
        <f t="shared" si="1"/>
        <v>1464.6860920817701</v>
      </c>
    </row>
    <row r="5" spans="1:53" ht="15.75" thickBot="1" x14ac:dyDescent="0.25">
      <c r="A5" s="1" t="s">
        <v>21</v>
      </c>
      <c r="B5" s="887" t="s">
        <v>21</v>
      </c>
      <c r="C5" s="888"/>
      <c r="D5" s="888"/>
      <c r="E5" s="888"/>
      <c r="F5" s="888"/>
      <c r="G5" s="888"/>
      <c r="H5" s="888"/>
      <c r="I5" s="888"/>
      <c r="J5" s="888"/>
      <c r="K5" s="889" t="s">
        <v>21</v>
      </c>
      <c r="L5" s="889"/>
      <c r="M5" s="889"/>
      <c r="N5" s="889"/>
      <c r="O5" s="889"/>
      <c r="P5" s="889"/>
      <c r="Q5" s="889"/>
      <c r="R5" s="889"/>
      <c r="S5" s="889"/>
      <c r="T5" s="889"/>
      <c r="U5" s="889"/>
      <c r="V5" s="889"/>
      <c r="W5" s="889"/>
      <c r="X5" s="889"/>
      <c r="Y5" s="889"/>
      <c r="Z5" s="889"/>
      <c r="AA5" s="889"/>
      <c r="AB5" s="889"/>
      <c r="AC5" s="889"/>
      <c r="AD5" s="889"/>
      <c r="AE5" s="889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9">
        <v>3</v>
      </c>
      <c r="AU5" s="167" t="s">
        <v>292</v>
      </c>
      <c r="AV5" s="167" t="s">
        <v>293</v>
      </c>
      <c r="AW5" s="16">
        <f>VLOOKUP(AV5,Initial!G:K,5,FALSE)</f>
        <v>1262.2688698980021</v>
      </c>
      <c r="AX5" s="20">
        <f t="shared" si="0"/>
        <v>1160.6389153145926</v>
      </c>
      <c r="AY5" s="21">
        <f t="shared" si="1"/>
        <v>1160.6389153145926</v>
      </c>
    </row>
    <row r="6" spans="1:53" ht="24" customHeight="1" thickBot="1" x14ac:dyDescent="0.25">
      <c r="A6" s="22" t="s">
        <v>22</v>
      </c>
      <c r="B6" s="23" t="s">
        <v>23</v>
      </c>
      <c r="C6" s="862" t="s">
        <v>24</v>
      </c>
      <c r="D6" s="863"/>
      <c r="E6" s="863"/>
      <c r="F6" s="863"/>
      <c r="G6" s="863"/>
      <c r="H6" s="864"/>
      <c r="I6" s="865">
        <v>1</v>
      </c>
      <c r="J6" s="866"/>
      <c r="K6" s="867" t="str">
        <f>"Pool "&amp;B6&amp;" - Round 1 - Court "&amp;I6</f>
        <v>Pool A - Round 1 - Court 1</v>
      </c>
      <c r="L6" s="868"/>
      <c r="M6" s="868"/>
      <c r="N6" s="868"/>
      <c r="O6" s="868"/>
      <c r="P6" s="868"/>
      <c r="Q6" s="868"/>
      <c r="R6" s="868"/>
      <c r="S6" s="868"/>
      <c r="T6" s="868"/>
      <c r="U6" s="868"/>
      <c r="V6" s="868"/>
      <c r="W6" s="868"/>
      <c r="X6" s="868"/>
      <c r="Y6" s="868"/>
      <c r="Z6" s="868"/>
      <c r="AA6" s="868"/>
      <c r="AB6" s="868"/>
      <c r="AC6" s="868"/>
      <c r="AD6" s="868"/>
      <c r="AE6" s="868"/>
      <c r="AF6" s="868"/>
      <c r="AG6" s="868"/>
      <c r="AH6" s="868"/>
      <c r="AI6" s="869"/>
      <c r="AJ6" s="11"/>
      <c r="AK6" s="11"/>
      <c r="AL6" s="11"/>
      <c r="AM6" s="11"/>
      <c r="AN6" s="11"/>
      <c r="AO6" s="11"/>
      <c r="AP6" s="11"/>
      <c r="AQ6" s="11"/>
      <c r="AT6" s="19">
        <v>4</v>
      </c>
      <c r="AU6" s="167" t="s">
        <v>503</v>
      </c>
      <c r="AV6" s="167" t="s">
        <v>504</v>
      </c>
      <c r="AW6" s="16">
        <f>VLOOKUP(AV6,Initial!G:K,5,FALSE)</f>
        <v>1375.4433983168517</v>
      </c>
      <c r="AX6" s="20">
        <f t="shared" si="0"/>
        <v>1370.1272528343436</v>
      </c>
      <c r="AY6" s="21">
        <f t="shared" si="1"/>
        <v>1362.8879663810731</v>
      </c>
    </row>
    <row r="7" spans="1:53" ht="27" customHeight="1" thickBot="1" x14ac:dyDescent="0.25">
      <c r="A7" s="24" t="s">
        <v>25</v>
      </c>
      <c r="B7" s="870" t="s">
        <v>7</v>
      </c>
      <c r="C7" s="871"/>
      <c r="D7" s="871"/>
      <c r="E7" s="871"/>
      <c r="F7" s="871"/>
      <c r="G7" s="871"/>
      <c r="H7" s="871"/>
      <c r="I7" s="871"/>
      <c r="J7" s="871"/>
      <c r="K7" s="871"/>
      <c r="L7" s="870" t="str">
        <f>IF($AK10=0,"Games Won","Matches Won")</f>
        <v>Games Won</v>
      </c>
      <c r="M7" s="871"/>
      <c r="N7" s="871"/>
      <c r="O7" s="871"/>
      <c r="P7" s="871"/>
      <c r="Q7" s="872"/>
      <c r="R7" s="870" t="str">
        <f>IF($AK10=0,"Games Lost","Matches Lost")</f>
        <v>Games Lost</v>
      </c>
      <c r="S7" s="873"/>
      <c r="T7" s="873"/>
      <c r="U7" s="873"/>
      <c r="V7" s="874"/>
      <c r="W7" s="875" t="s">
        <v>26</v>
      </c>
      <c r="X7" s="876"/>
      <c r="Y7" s="877"/>
      <c r="Z7" s="875" t="s">
        <v>27</v>
      </c>
      <c r="AA7" s="876"/>
      <c r="AB7" s="877"/>
      <c r="AC7" s="878" t="s">
        <v>28</v>
      </c>
      <c r="AD7" s="879"/>
      <c r="AE7" s="880"/>
      <c r="AF7" s="25" t="s">
        <v>29</v>
      </c>
      <c r="AG7" s="26" t="s">
        <v>6</v>
      </c>
      <c r="AH7" s="860" t="s">
        <v>30</v>
      </c>
      <c r="AI7" s="861"/>
      <c r="AJ7" s="27"/>
      <c r="AK7" s="28">
        <v>2</v>
      </c>
      <c r="AL7" s="29" t="s">
        <v>31</v>
      </c>
      <c r="AM7" s="29"/>
      <c r="AN7" s="29"/>
      <c r="AO7" s="29"/>
      <c r="AP7" s="29"/>
      <c r="AQ7" s="29"/>
      <c r="AR7" s="30"/>
      <c r="AT7" s="19">
        <v>5</v>
      </c>
      <c r="AU7" s="167" t="s">
        <v>173</v>
      </c>
      <c r="AV7" s="167" t="s">
        <v>250</v>
      </c>
      <c r="AW7" s="16">
        <f>VLOOKUP(AV7,Initial!G:K,5,FALSE)</f>
        <v>1354.0026826130036</v>
      </c>
      <c r="AX7" s="20">
        <f t="shared" si="0"/>
        <v>1305.6049247791282</v>
      </c>
      <c r="AY7" s="21">
        <f t="shared" si="1"/>
        <v>1295.6475178966837</v>
      </c>
    </row>
    <row r="8" spans="1:53" ht="18.75" customHeight="1" thickBot="1" x14ac:dyDescent="0.25">
      <c r="A8" s="829" t="str">
        <f>IF($AK9&gt;0,"1","")</f>
        <v>1</v>
      </c>
      <c r="B8" s="857" t="s">
        <v>7</v>
      </c>
      <c r="C8" s="858"/>
      <c r="D8" s="859"/>
      <c r="E8" s="833" t="str">
        <f>AU3</f>
        <v>OLC 12s Purple</v>
      </c>
      <c r="F8" s="834"/>
      <c r="G8" s="834"/>
      <c r="H8" s="834"/>
      <c r="I8" s="834"/>
      <c r="J8" s="834"/>
      <c r="K8" s="835"/>
      <c r="L8" s="836">
        <f>IF($AK10=0,AF64,AF46)</f>
        <v>6</v>
      </c>
      <c r="M8" s="837"/>
      <c r="N8" s="837"/>
      <c r="O8" s="837"/>
      <c r="P8" s="837"/>
      <c r="Q8" s="872"/>
      <c r="R8" s="836">
        <f>IF($AK10=0,AG64,AG46)</f>
        <v>2</v>
      </c>
      <c r="S8" s="837"/>
      <c r="T8" s="837"/>
      <c r="U8" s="837"/>
      <c r="V8" s="837"/>
      <c r="W8" s="836">
        <f>AQ24</f>
        <v>33</v>
      </c>
      <c r="X8" s="837"/>
      <c r="Y8" s="837"/>
      <c r="Z8" s="809">
        <f>IF(AF58&gt;0,(AQ24/AF58),0)</f>
        <v>0.16417910447761194</v>
      </c>
      <c r="AA8" s="810"/>
      <c r="AB8" s="810"/>
      <c r="AC8" s="813">
        <f>IF(AF72=0,0,(AF64/AF72))</f>
        <v>0.75</v>
      </c>
      <c r="AD8" s="814"/>
      <c r="AE8" s="815"/>
      <c r="AF8" s="819">
        <v>1</v>
      </c>
      <c r="AG8" s="819">
        <v>1</v>
      </c>
      <c r="AH8" s="821">
        <v>3</v>
      </c>
      <c r="AI8" s="822"/>
      <c r="AJ8" s="27"/>
      <c r="AK8" s="28">
        <v>10</v>
      </c>
      <c r="AL8" s="29" t="s">
        <v>32</v>
      </c>
      <c r="AM8" s="29"/>
      <c r="AN8" s="29"/>
      <c r="AO8" s="29"/>
      <c r="AP8" s="29"/>
      <c r="AQ8" s="29"/>
      <c r="AR8" s="30"/>
      <c r="AT8" s="19">
        <v>6</v>
      </c>
      <c r="AU8" s="167" t="s">
        <v>484</v>
      </c>
      <c r="AV8" s="167" t="s">
        <v>485</v>
      </c>
      <c r="AW8" s="16">
        <f>VLOOKUP(AV8,Initial!G:K,5,FALSE)</f>
        <v>1344.0894005280031</v>
      </c>
      <c r="AX8" s="20">
        <f t="shared" si="0"/>
        <v>1403.2647402531561</v>
      </c>
      <c r="AY8" s="21">
        <f t="shared" si="1"/>
        <v>1396.3387625413409</v>
      </c>
    </row>
    <row r="9" spans="1:53" ht="18.75" customHeight="1" thickBot="1" x14ac:dyDescent="0.25">
      <c r="A9" s="830"/>
      <c r="B9" s="854" t="s">
        <v>8</v>
      </c>
      <c r="C9" s="855"/>
      <c r="D9" s="856"/>
      <c r="E9" s="850" t="str">
        <f>AV3</f>
        <v>fj2ladyc1pm</v>
      </c>
      <c r="F9" s="851"/>
      <c r="G9" s="851"/>
      <c r="H9" s="851"/>
      <c r="I9" s="851"/>
      <c r="J9" s="851"/>
      <c r="K9" s="851"/>
      <c r="L9" s="852"/>
      <c r="M9" s="853"/>
      <c r="N9" s="853"/>
      <c r="O9" s="853"/>
      <c r="P9" s="853"/>
      <c r="Q9" s="872"/>
      <c r="R9" s="852"/>
      <c r="S9" s="853"/>
      <c r="T9" s="853"/>
      <c r="U9" s="853"/>
      <c r="V9" s="853"/>
      <c r="W9" s="852"/>
      <c r="X9" s="853"/>
      <c r="Y9" s="853"/>
      <c r="Z9" s="840"/>
      <c r="AA9" s="841"/>
      <c r="AB9" s="841"/>
      <c r="AC9" s="842"/>
      <c r="AD9" s="843"/>
      <c r="AE9" s="844"/>
      <c r="AF9" s="845"/>
      <c r="AG9" s="845"/>
      <c r="AH9" s="846"/>
      <c r="AI9" s="847"/>
      <c r="AJ9" s="27"/>
      <c r="AK9" s="28">
        <v>5</v>
      </c>
      <c r="AL9" s="29" t="s">
        <v>33</v>
      </c>
      <c r="AM9" s="27"/>
      <c r="AN9" s="27"/>
      <c r="AO9" s="27"/>
      <c r="AP9" s="27"/>
      <c r="AQ9" s="27"/>
      <c r="AR9" s="3"/>
      <c r="AT9" s="19">
        <v>7</v>
      </c>
      <c r="AU9" s="167" t="s">
        <v>373</v>
      </c>
      <c r="AV9" s="167" t="s">
        <v>374</v>
      </c>
      <c r="AW9" s="16">
        <f>VLOOKUP(AV9,Initial!G:K,5,FALSE)</f>
        <v>1216.8565925282476</v>
      </c>
      <c r="AX9" s="20">
        <f t="shared" si="0"/>
        <v>1183.3446562815466</v>
      </c>
      <c r="AY9" s="21">
        <f t="shared" si="1"/>
        <v>1178.064106587741</v>
      </c>
    </row>
    <row r="10" spans="1:53" ht="18.75" customHeight="1" thickBot="1" x14ac:dyDescent="0.25">
      <c r="A10" s="829" t="str">
        <f>IF($AK9&gt;1,"2","")</f>
        <v>2</v>
      </c>
      <c r="B10" s="857" t="s">
        <v>7</v>
      </c>
      <c r="C10" s="858"/>
      <c r="D10" s="859"/>
      <c r="E10" s="833" t="str">
        <f>AU6</f>
        <v>Palm Strikers 12 Platinum</v>
      </c>
      <c r="F10" s="834"/>
      <c r="G10" s="834"/>
      <c r="H10" s="834"/>
      <c r="I10" s="834"/>
      <c r="J10" s="834"/>
      <c r="K10" s="835"/>
      <c r="L10" s="836">
        <f>IF($AK10=0,AF65,AF47)</f>
        <v>5</v>
      </c>
      <c r="M10" s="837"/>
      <c r="N10" s="837"/>
      <c r="O10" s="837"/>
      <c r="P10" s="837"/>
      <c r="Q10" s="872"/>
      <c r="R10" s="836">
        <f>IF($AK10=0,AG65,AG47)</f>
        <v>3</v>
      </c>
      <c r="S10" s="837"/>
      <c r="T10" s="837"/>
      <c r="U10" s="837"/>
      <c r="V10" s="837"/>
      <c r="W10" s="836">
        <f>AQ25</f>
        <v>26</v>
      </c>
      <c r="X10" s="837"/>
      <c r="Y10" s="837"/>
      <c r="Z10" s="809">
        <f>IF(AF59&gt;0,(AQ25/AF59),0)</f>
        <v>0.12745098039215685</v>
      </c>
      <c r="AA10" s="810"/>
      <c r="AB10" s="810"/>
      <c r="AC10" s="813">
        <f>IF(AF73=0,0,(AF65/AF73))</f>
        <v>0.625</v>
      </c>
      <c r="AD10" s="814"/>
      <c r="AE10" s="815"/>
      <c r="AF10" s="819">
        <v>2</v>
      </c>
      <c r="AG10" s="819">
        <v>1</v>
      </c>
      <c r="AH10" s="821">
        <v>3</v>
      </c>
      <c r="AI10" s="822"/>
      <c r="AJ10" s="27"/>
      <c r="AK10" s="28">
        <v>0</v>
      </c>
      <c r="AL10" s="29" t="s">
        <v>34</v>
      </c>
      <c r="AM10" s="29"/>
      <c r="AN10" s="29"/>
      <c r="AO10" s="29"/>
      <c r="AP10" s="29"/>
      <c r="AQ10" s="29"/>
      <c r="AR10" s="30"/>
      <c r="AT10" s="19">
        <v>8</v>
      </c>
      <c r="AU10" s="167" t="s">
        <v>482</v>
      </c>
      <c r="AV10" s="167" t="s">
        <v>483</v>
      </c>
      <c r="AW10" s="16">
        <f>VLOOKUP(AV10,Initial!G:K,5,FALSE)</f>
        <v>1314.8627941243271</v>
      </c>
      <c r="AX10" s="20">
        <f t="shared" si="0"/>
        <v>1306.3420087964055</v>
      </c>
      <c r="AY10" s="21">
        <f t="shared" si="1"/>
        <v>1323.8787834707246</v>
      </c>
    </row>
    <row r="11" spans="1:53" ht="18.75" customHeight="1" thickBot="1" x14ac:dyDescent="0.25">
      <c r="A11" s="830"/>
      <c r="B11" s="848" t="s">
        <v>8</v>
      </c>
      <c r="C11" s="849"/>
      <c r="D11" s="849"/>
      <c r="E11" s="850" t="str">
        <f>AV6</f>
        <v>fj2pstri1pm</v>
      </c>
      <c r="F11" s="851"/>
      <c r="G11" s="851"/>
      <c r="H11" s="851"/>
      <c r="I11" s="851"/>
      <c r="J11" s="851"/>
      <c r="K11" s="851"/>
      <c r="L11" s="852"/>
      <c r="M11" s="853"/>
      <c r="N11" s="853"/>
      <c r="O11" s="853"/>
      <c r="P11" s="853"/>
      <c r="Q11" s="872"/>
      <c r="R11" s="852"/>
      <c r="S11" s="853"/>
      <c r="T11" s="853"/>
      <c r="U11" s="853"/>
      <c r="V11" s="853"/>
      <c r="W11" s="852"/>
      <c r="X11" s="853"/>
      <c r="Y11" s="853"/>
      <c r="Z11" s="840"/>
      <c r="AA11" s="841"/>
      <c r="AB11" s="841"/>
      <c r="AC11" s="842"/>
      <c r="AD11" s="843"/>
      <c r="AE11" s="844"/>
      <c r="AF11" s="845"/>
      <c r="AG11" s="845"/>
      <c r="AH11" s="846"/>
      <c r="AI11" s="847"/>
      <c r="AJ11" s="27"/>
      <c r="AK11" s="28">
        <v>1</v>
      </c>
      <c r="AL11" s="29" t="s">
        <v>35</v>
      </c>
      <c r="AM11" s="27"/>
      <c r="AN11" s="27"/>
      <c r="AO11" s="27"/>
      <c r="AP11" s="27"/>
      <c r="AQ11" s="27"/>
      <c r="AR11" s="3"/>
      <c r="AT11" s="19">
        <v>9</v>
      </c>
      <c r="AU11" s="167" t="s">
        <v>409</v>
      </c>
      <c r="AV11" s="167" t="s">
        <v>410</v>
      </c>
      <c r="AW11" s="16">
        <f>VLOOKUP(AV11,Initial!G:K,5,FALSE)</f>
        <v>1172.8946927404108</v>
      </c>
      <c r="AX11" s="20">
        <f t="shared" si="0"/>
        <v>1163.9840888221456</v>
      </c>
      <c r="AY11" s="21">
        <f t="shared" si="1"/>
        <v>1163.9840888221456</v>
      </c>
    </row>
    <row r="12" spans="1:53" ht="18.75" customHeight="1" thickBot="1" x14ac:dyDescent="0.25">
      <c r="A12" s="829" t="str">
        <f>IF($AK9&gt;2,"3","")</f>
        <v>3</v>
      </c>
      <c r="B12" s="831" t="s">
        <v>7</v>
      </c>
      <c r="C12" s="832"/>
      <c r="D12" s="832"/>
      <c r="E12" s="833" t="str">
        <f>AU7</f>
        <v>Kershaw 12 Black</v>
      </c>
      <c r="F12" s="834"/>
      <c r="G12" s="834"/>
      <c r="H12" s="834"/>
      <c r="I12" s="834"/>
      <c r="J12" s="834"/>
      <c r="K12" s="835"/>
      <c r="L12" s="836">
        <f>IF($AK10=0,AF66,AF48)</f>
        <v>3</v>
      </c>
      <c r="M12" s="837"/>
      <c r="N12" s="837"/>
      <c r="O12" s="837"/>
      <c r="P12" s="837"/>
      <c r="Q12" s="872"/>
      <c r="R12" s="836">
        <f>IF($AK10=0,AG66,AG48)</f>
        <v>5</v>
      </c>
      <c r="S12" s="837"/>
      <c r="T12" s="837"/>
      <c r="U12" s="837"/>
      <c r="V12" s="837"/>
      <c r="W12" s="836">
        <f>AQ26</f>
        <v>-14</v>
      </c>
      <c r="X12" s="837"/>
      <c r="Y12" s="837"/>
      <c r="Z12" s="809">
        <f>IF(AF60&gt;0,(AQ26/AF60),0)</f>
        <v>-6.9306930693069313E-2</v>
      </c>
      <c r="AA12" s="810"/>
      <c r="AB12" s="810"/>
      <c r="AC12" s="813">
        <f>IF(AF74=0,0,(AF66/AF74))</f>
        <v>0.375</v>
      </c>
      <c r="AD12" s="814"/>
      <c r="AE12" s="815"/>
      <c r="AF12" s="819">
        <v>4</v>
      </c>
      <c r="AG12" s="819">
        <v>1</v>
      </c>
      <c r="AH12" s="821">
        <v>7</v>
      </c>
      <c r="AI12" s="822"/>
      <c r="AJ12" s="36"/>
      <c r="AK12" s="28">
        <v>8</v>
      </c>
      <c r="AL12" s="37" t="s">
        <v>36</v>
      </c>
      <c r="AM12" s="29"/>
      <c r="AN12" s="29"/>
      <c r="AO12" s="29"/>
      <c r="AP12" s="29"/>
      <c r="AQ12" s="29"/>
      <c r="AR12" s="30"/>
      <c r="AT12" s="31">
        <v>10</v>
      </c>
      <c r="AU12" s="167" t="s">
        <v>474</v>
      </c>
      <c r="AV12" s="167" t="s">
        <v>475</v>
      </c>
      <c r="AW12" s="16">
        <f>VLOOKUP(AV12,Initial!G:K,5,FALSE)</f>
        <v>1182.3261223768773</v>
      </c>
      <c r="AX12" s="32">
        <f t="shared" si="0"/>
        <v>1218.8357639540752</v>
      </c>
      <c r="AY12" s="33">
        <f t="shared" si="1"/>
        <v>1216.5369458560062</v>
      </c>
    </row>
    <row r="13" spans="1:53" ht="18.75" customHeight="1" thickBot="1" x14ac:dyDescent="0.25">
      <c r="A13" s="830"/>
      <c r="B13" s="848" t="s">
        <v>8</v>
      </c>
      <c r="C13" s="849"/>
      <c r="D13" s="849"/>
      <c r="E13" s="850" t="str">
        <f>AV7</f>
        <v>fj2kersh1pm</v>
      </c>
      <c r="F13" s="851"/>
      <c r="G13" s="851"/>
      <c r="H13" s="851"/>
      <c r="I13" s="851"/>
      <c r="J13" s="851"/>
      <c r="K13" s="851"/>
      <c r="L13" s="852"/>
      <c r="M13" s="853"/>
      <c r="N13" s="853"/>
      <c r="O13" s="853"/>
      <c r="P13" s="853"/>
      <c r="Q13" s="872"/>
      <c r="R13" s="852"/>
      <c r="S13" s="853"/>
      <c r="T13" s="853"/>
      <c r="U13" s="853"/>
      <c r="V13" s="853"/>
      <c r="W13" s="852"/>
      <c r="X13" s="853"/>
      <c r="Y13" s="853"/>
      <c r="Z13" s="840"/>
      <c r="AA13" s="841"/>
      <c r="AB13" s="841"/>
      <c r="AC13" s="842"/>
      <c r="AD13" s="843"/>
      <c r="AE13" s="844"/>
      <c r="AF13" s="845"/>
      <c r="AG13" s="845"/>
      <c r="AH13" s="846"/>
      <c r="AI13" s="847"/>
      <c r="AJ13" s="36"/>
      <c r="AK13" s="38"/>
      <c r="AL13" s="39"/>
      <c r="AM13" s="39"/>
      <c r="AN13" s="39"/>
      <c r="AO13" s="39"/>
      <c r="AP13" s="39"/>
      <c r="AQ13" s="27"/>
      <c r="AR13" s="3"/>
      <c r="AT13" s="881" t="s">
        <v>37</v>
      </c>
      <c r="AU13" s="882"/>
      <c r="AV13" s="882"/>
      <c r="AW13" s="882"/>
      <c r="AX13" s="882"/>
      <c r="AY13" s="883"/>
    </row>
    <row r="14" spans="1:53" ht="18.75" customHeight="1" thickBot="1" x14ac:dyDescent="0.25">
      <c r="A14" s="829" t="str">
        <f>IF($AK9&gt;3,"4","")</f>
        <v>4</v>
      </c>
      <c r="B14" s="831" t="s">
        <v>7</v>
      </c>
      <c r="C14" s="832"/>
      <c r="D14" s="832"/>
      <c r="E14" s="833" t="str">
        <f>AU10</f>
        <v>C1VB 12 State Greenville</v>
      </c>
      <c r="F14" s="834"/>
      <c r="G14" s="834"/>
      <c r="H14" s="834"/>
      <c r="I14" s="834"/>
      <c r="J14" s="834"/>
      <c r="K14" s="835"/>
      <c r="L14" s="836">
        <f>IF($AK10=0,AF67,AF49)</f>
        <v>4</v>
      </c>
      <c r="M14" s="837"/>
      <c r="N14" s="837"/>
      <c r="O14" s="837"/>
      <c r="P14" s="837"/>
      <c r="Q14" s="872"/>
      <c r="R14" s="836">
        <f>IF($AK10=0,AG67,AG49)</f>
        <v>4</v>
      </c>
      <c r="S14" s="837"/>
      <c r="T14" s="837"/>
      <c r="U14" s="837"/>
      <c r="V14" s="837"/>
      <c r="W14" s="836">
        <f>AQ27</f>
        <v>4</v>
      </c>
      <c r="X14" s="837"/>
      <c r="Y14" s="837"/>
      <c r="Z14" s="809">
        <f>IF(AF61&gt;0,(AQ27/AF61),0)</f>
        <v>1.9704433497536946E-2</v>
      </c>
      <c r="AA14" s="810"/>
      <c r="AB14" s="810"/>
      <c r="AC14" s="813">
        <f>IF(AF75=0,0,(AF67/AF75))</f>
        <v>0.5</v>
      </c>
      <c r="AD14" s="814"/>
      <c r="AE14" s="815"/>
      <c r="AF14" s="819">
        <v>3</v>
      </c>
      <c r="AG14" s="819">
        <v>1</v>
      </c>
      <c r="AH14" s="821">
        <v>5</v>
      </c>
      <c r="AI14" s="822"/>
      <c r="AJ14" s="11"/>
      <c r="AK14" s="39"/>
      <c r="AL14" s="39"/>
      <c r="AM14" s="39"/>
      <c r="AN14" s="39"/>
      <c r="AO14" s="39"/>
      <c r="AP14" s="39"/>
      <c r="AQ14" s="29"/>
      <c r="AR14" s="30"/>
      <c r="AT14" s="884"/>
      <c r="AU14" s="885"/>
      <c r="AV14" s="885"/>
      <c r="AW14" s="885"/>
      <c r="AX14" s="885"/>
      <c r="AY14" s="886"/>
    </row>
    <row r="15" spans="1:53" ht="18.75" customHeight="1" thickBot="1" x14ac:dyDescent="0.25">
      <c r="A15" s="830"/>
      <c r="B15" s="848" t="s">
        <v>8</v>
      </c>
      <c r="C15" s="849"/>
      <c r="D15" s="849"/>
      <c r="E15" s="850" t="str">
        <f>AV10</f>
        <v>fj2crone4pm</v>
      </c>
      <c r="F15" s="851"/>
      <c r="G15" s="851"/>
      <c r="H15" s="851"/>
      <c r="I15" s="851"/>
      <c r="J15" s="851"/>
      <c r="K15" s="851"/>
      <c r="L15" s="852"/>
      <c r="M15" s="853"/>
      <c r="N15" s="853"/>
      <c r="O15" s="853"/>
      <c r="P15" s="853"/>
      <c r="Q15" s="872"/>
      <c r="R15" s="852"/>
      <c r="S15" s="853"/>
      <c r="T15" s="853"/>
      <c r="U15" s="853"/>
      <c r="V15" s="853"/>
      <c r="W15" s="852"/>
      <c r="X15" s="853"/>
      <c r="Y15" s="853"/>
      <c r="Z15" s="840"/>
      <c r="AA15" s="841"/>
      <c r="AB15" s="841"/>
      <c r="AC15" s="842"/>
      <c r="AD15" s="843"/>
      <c r="AE15" s="844"/>
      <c r="AF15" s="845"/>
      <c r="AG15" s="845"/>
      <c r="AH15" s="846"/>
      <c r="AI15" s="847"/>
      <c r="AJ15" s="11"/>
      <c r="AK15" s="39"/>
      <c r="AL15" s="39"/>
      <c r="AM15" s="39"/>
      <c r="AN15" s="39"/>
      <c r="AO15" s="39"/>
      <c r="AP15" s="39"/>
      <c r="AQ15" s="11"/>
      <c r="AR15" s="3"/>
      <c r="AW15" s="35"/>
      <c r="AX15" s="35"/>
      <c r="AY15" s="35"/>
    </row>
    <row r="16" spans="1:53" ht="18.75" customHeight="1" thickBot="1" x14ac:dyDescent="0.25">
      <c r="A16" s="829" t="str">
        <f>IF($AK9&gt;4,"5","")</f>
        <v>5</v>
      </c>
      <c r="B16" s="831" t="s">
        <v>7</v>
      </c>
      <c r="C16" s="832"/>
      <c r="D16" s="832"/>
      <c r="E16" s="833" t="str">
        <f>AU11</f>
        <v>High Velocity 12's</v>
      </c>
      <c r="F16" s="834"/>
      <c r="G16" s="834"/>
      <c r="H16" s="834"/>
      <c r="I16" s="834"/>
      <c r="J16" s="834"/>
      <c r="K16" s="835"/>
      <c r="L16" s="836">
        <f>IF($AK10=0,AF68,AF50)</f>
        <v>2</v>
      </c>
      <c r="M16" s="837"/>
      <c r="N16" s="837"/>
      <c r="O16" s="837"/>
      <c r="P16" s="837"/>
      <c r="Q16" s="872"/>
      <c r="R16" s="836">
        <f>IF($AK10=0,AG68,AG50)</f>
        <v>6</v>
      </c>
      <c r="S16" s="837"/>
      <c r="T16" s="837"/>
      <c r="U16" s="837"/>
      <c r="V16" s="837"/>
      <c r="W16" s="836">
        <f>AQ28</f>
        <v>-49</v>
      </c>
      <c r="X16" s="837"/>
      <c r="Y16" s="837"/>
      <c r="Z16" s="809">
        <f>IF(AF62&gt;0,(AQ28/AF62),0)</f>
        <v>-0.245</v>
      </c>
      <c r="AA16" s="810"/>
      <c r="AB16" s="810"/>
      <c r="AC16" s="813">
        <f>IF(AF76=0,0,(AF68/AF76))</f>
        <v>0.25</v>
      </c>
      <c r="AD16" s="814"/>
      <c r="AE16" s="815"/>
      <c r="AF16" s="819">
        <v>5</v>
      </c>
      <c r="AG16" s="819">
        <v>1</v>
      </c>
      <c r="AH16" s="821">
        <v>9</v>
      </c>
      <c r="AI16" s="822"/>
      <c r="AJ16" s="11"/>
      <c r="AK16" s="39"/>
      <c r="AL16" s="39"/>
      <c r="AM16" s="39"/>
      <c r="AN16" s="39"/>
      <c r="AO16" s="39"/>
      <c r="AP16" s="39"/>
      <c r="AQ16" s="11"/>
      <c r="AR16" s="3"/>
      <c r="AT16" s="34"/>
      <c r="AU16" s="167"/>
      <c r="AV16" s="167"/>
      <c r="AW16" s="35"/>
      <c r="AX16" s="35"/>
      <c r="AY16" s="35"/>
    </row>
    <row r="17" spans="1:51" ht="18.75" customHeight="1" thickBot="1" x14ac:dyDescent="0.25">
      <c r="A17" s="830"/>
      <c r="B17" s="825" t="s">
        <v>8</v>
      </c>
      <c r="C17" s="826"/>
      <c r="D17" s="826"/>
      <c r="E17" s="827" t="str">
        <f>AV11</f>
        <v>fj2hvelo1pm</v>
      </c>
      <c r="F17" s="828"/>
      <c r="G17" s="828"/>
      <c r="H17" s="828"/>
      <c r="I17" s="828"/>
      <c r="J17" s="828"/>
      <c r="K17" s="828"/>
      <c r="L17" s="838"/>
      <c r="M17" s="839"/>
      <c r="N17" s="839"/>
      <c r="O17" s="839"/>
      <c r="P17" s="839"/>
      <c r="Q17" s="872"/>
      <c r="R17" s="838"/>
      <c r="S17" s="839"/>
      <c r="T17" s="839"/>
      <c r="U17" s="839"/>
      <c r="V17" s="839"/>
      <c r="W17" s="838"/>
      <c r="X17" s="839"/>
      <c r="Y17" s="839"/>
      <c r="Z17" s="811"/>
      <c r="AA17" s="812"/>
      <c r="AB17" s="812"/>
      <c r="AC17" s="816"/>
      <c r="AD17" s="817"/>
      <c r="AE17" s="818"/>
      <c r="AF17" s="820"/>
      <c r="AG17" s="820"/>
      <c r="AH17" s="823"/>
      <c r="AI17" s="824"/>
      <c r="AJ17" s="11"/>
      <c r="AK17" s="39"/>
      <c r="AL17" s="39"/>
      <c r="AM17" s="39"/>
      <c r="AN17" s="39"/>
      <c r="AO17" s="39"/>
      <c r="AP17" s="39"/>
      <c r="AQ17" s="11"/>
      <c r="AR17" s="3"/>
      <c r="AT17" s="34"/>
      <c r="AU17" s="35"/>
      <c r="AV17" s="35"/>
      <c r="AW17" s="35"/>
      <c r="AX17" s="35"/>
      <c r="AY17" s="35"/>
    </row>
    <row r="18" spans="1:51" ht="21" customHeight="1" thickTop="1" thickBot="1" x14ac:dyDescent="0.25">
      <c r="A18" s="40"/>
      <c r="B18" s="806" t="s">
        <v>353</v>
      </c>
      <c r="C18" s="807"/>
      <c r="D18" s="807"/>
      <c r="E18" s="807"/>
      <c r="F18" s="807"/>
      <c r="G18" s="807"/>
      <c r="H18" s="807"/>
      <c r="I18" s="807"/>
      <c r="J18" s="807"/>
      <c r="K18" s="807"/>
      <c r="L18" s="807"/>
      <c r="M18" s="807"/>
      <c r="N18" s="807"/>
      <c r="O18" s="807"/>
      <c r="P18" s="807"/>
      <c r="Q18" s="807"/>
      <c r="R18" s="807"/>
      <c r="S18" s="807"/>
      <c r="T18" s="807"/>
      <c r="U18" s="807"/>
      <c r="V18" s="807"/>
      <c r="W18" s="807"/>
      <c r="X18" s="807"/>
      <c r="Y18" s="807"/>
      <c r="Z18" s="807"/>
      <c r="AA18" s="807"/>
      <c r="AB18" s="807"/>
      <c r="AC18" s="807"/>
      <c r="AD18" s="807"/>
      <c r="AE18" s="807"/>
      <c r="AF18" s="807"/>
      <c r="AG18" s="807"/>
      <c r="AH18" s="807"/>
      <c r="AI18" s="808"/>
      <c r="AJ18" s="11"/>
      <c r="AK18" s="39"/>
      <c r="AL18" s="39"/>
      <c r="AM18" s="39"/>
      <c r="AN18" s="39"/>
      <c r="AO18" s="39"/>
      <c r="AP18" s="39"/>
      <c r="AQ18" s="11"/>
      <c r="AR18" s="3"/>
      <c r="AT18" s="34"/>
      <c r="AU18" s="167"/>
      <c r="AV18" s="167"/>
      <c r="AW18" s="4"/>
    </row>
    <row r="19" spans="1:51" ht="13.5" thickTop="1" x14ac:dyDescent="0.2">
      <c r="A19" s="4" t="s">
        <v>39</v>
      </c>
      <c r="B19" s="795">
        <v>0.35416666666666669</v>
      </c>
      <c r="C19" s="796"/>
      <c r="D19" s="797"/>
      <c r="E19" s="795">
        <v>0.38541666666666669</v>
      </c>
      <c r="F19" s="796"/>
      <c r="G19" s="797"/>
      <c r="H19" s="795">
        <v>0.41666666666666669</v>
      </c>
      <c r="I19" s="796"/>
      <c r="J19" s="797"/>
      <c r="K19" s="795">
        <v>0.44791666666666669</v>
      </c>
      <c r="L19" s="796"/>
      <c r="M19" s="797"/>
      <c r="N19" s="795">
        <v>0.47916666666666669</v>
      </c>
      <c r="O19" s="796"/>
      <c r="P19" s="797"/>
      <c r="Q19" s="795">
        <v>0.51041666666666663</v>
      </c>
      <c r="R19" s="796"/>
      <c r="S19" s="797"/>
      <c r="T19" s="795">
        <v>4.1666666666666664E-2</v>
      </c>
      <c r="U19" s="796"/>
      <c r="V19" s="797"/>
      <c r="W19" s="795">
        <v>7.2916666666666671E-2</v>
      </c>
      <c r="X19" s="796"/>
      <c r="Y19" s="797"/>
      <c r="Z19" s="795">
        <v>0.10416666666666667</v>
      </c>
      <c r="AA19" s="796"/>
      <c r="AB19" s="797"/>
      <c r="AC19" s="795">
        <v>0.13541666666666666</v>
      </c>
      <c r="AD19" s="796"/>
      <c r="AE19" s="797"/>
      <c r="AF19" s="798" t="s">
        <v>40</v>
      </c>
      <c r="AG19" s="799"/>
      <c r="AH19" s="799"/>
      <c r="AI19" s="799"/>
      <c r="AJ19" s="800"/>
      <c r="AK19" s="800"/>
      <c r="AL19" s="800"/>
      <c r="AM19" s="800"/>
      <c r="AN19" s="800"/>
      <c r="AO19" s="800"/>
      <c r="AP19" s="800"/>
      <c r="AQ19" s="801"/>
      <c r="AT19" s="34"/>
      <c r="AU19" s="35"/>
      <c r="AV19" s="35"/>
      <c r="AW19" s="4"/>
    </row>
    <row r="20" spans="1:51" x14ac:dyDescent="0.2">
      <c r="A20" s="41" t="s">
        <v>41</v>
      </c>
      <c r="B20" s="792">
        <v>0.35416666666666669</v>
      </c>
      <c r="C20" s="793"/>
      <c r="D20" s="794"/>
      <c r="E20" s="792">
        <v>0.38611111111111113</v>
      </c>
      <c r="F20" s="793"/>
      <c r="G20" s="794"/>
      <c r="H20" s="792">
        <v>0.41319444444444442</v>
      </c>
      <c r="I20" s="793"/>
      <c r="J20" s="794"/>
      <c r="K20" s="792">
        <v>0.44305555555555554</v>
      </c>
      <c r="L20" s="793"/>
      <c r="M20" s="794"/>
      <c r="N20" s="792">
        <v>0.48402777777777778</v>
      </c>
      <c r="O20" s="793"/>
      <c r="P20" s="794"/>
      <c r="Q20" s="792">
        <v>0.49791666666666662</v>
      </c>
      <c r="R20" s="793"/>
      <c r="S20" s="794"/>
      <c r="T20" s="792">
        <v>0.53472222222222221</v>
      </c>
      <c r="U20" s="793"/>
      <c r="V20" s="794"/>
      <c r="W20" s="792">
        <v>7.0833333333333331E-2</v>
      </c>
      <c r="X20" s="793"/>
      <c r="Y20" s="794"/>
      <c r="Z20" s="792">
        <v>9.9999999999999992E-2</v>
      </c>
      <c r="AA20" s="793"/>
      <c r="AB20" s="794"/>
      <c r="AC20" s="792">
        <v>0.12986111111111112</v>
      </c>
      <c r="AD20" s="793"/>
      <c r="AE20" s="794"/>
      <c r="AF20" s="798"/>
      <c r="AG20" s="799"/>
      <c r="AH20" s="799"/>
      <c r="AI20" s="799"/>
      <c r="AJ20" s="799"/>
      <c r="AK20" s="799"/>
      <c r="AL20" s="799"/>
      <c r="AM20" s="799"/>
      <c r="AN20" s="799"/>
      <c r="AO20" s="799"/>
      <c r="AP20" s="799"/>
      <c r="AQ20" s="802"/>
      <c r="AT20" s="34"/>
      <c r="AU20" s="35"/>
      <c r="AV20" s="35"/>
      <c r="AW20" s="4"/>
    </row>
    <row r="21" spans="1:51" x14ac:dyDescent="0.2">
      <c r="A21" s="41" t="s">
        <v>42</v>
      </c>
      <c r="B21" s="792">
        <v>0.37916666666666665</v>
      </c>
      <c r="C21" s="793"/>
      <c r="D21" s="794"/>
      <c r="E21" s="792">
        <v>0.40902777777777777</v>
      </c>
      <c r="F21" s="793"/>
      <c r="G21" s="794"/>
      <c r="H21" s="792">
        <v>0.43611111111111112</v>
      </c>
      <c r="I21" s="793"/>
      <c r="J21" s="794"/>
      <c r="K21" s="792">
        <v>0.46875</v>
      </c>
      <c r="L21" s="793"/>
      <c r="M21" s="794"/>
      <c r="N21" s="792">
        <v>0.49652777777777773</v>
      </c>
      <c r="O21" s="793"/>
      <c r="P21" s="794"/>
      <c r="Q21" s="792">
        <v>0.52777777777777779</v>
      </c>
      <c r="R21" s="793"/>
      <c r="S21" s="794"/>
      <c r="T21" s="792">
        <v>6.25E-2</v>
      </c>
      <c r="U21" s="793"/>
      <c r="V21" s="794"/>
      <c r="W21" s="792">
        <v>9.1666666666666674E-2</v>
      </c>
      <c r="X21" s="793"/>
      <c r="Y21" s="794"/>
      <c r="Z21" s="792">
        <v>0.12291666666666667</v>
      </c>
      <c r="AA21" s="793"/>
      <c r="AB21" s="794"/>
      <c r="AC21" s="792">
        <v>0.15416666666666667</v>
      </c>
      <c r="AD21" s="793"/>
      <c r="AE21" s="794"/>
      <c r="AF21" s="798"/>
      <c r="AG21" s="799"/>
      <c r="AH21" s="799"/>
      <c r="AI21" s="799"/>
      <c r="AJ21" s="799"/>
      <c r="AK21" s="799"/>
      <c r="AL21" s="799"/>
      <c r="AM21" s="799"/>
      <c r="AN21" s="799"/>
      <c r="AO21" s="799"/>
      <c r="AP21" s="799"/>
      <c r="AQ21" s="802"/>
      <c r="AT21" s="10"/>
      <c r="AU21" s="10"/>
      <c r="AV21" s="10"/>
      <c r="AW21" s="4"/>
    </row>
    <row r="22" spans="1:51" ht="13.5" thickBot="1" x14ac:dyDescent="0.25">
      <c r="A22" s="11"/>
      <c r="B22" s="684" t="s">
        <v>43</v>
      </c>
      <c r="C22" s="685"/>
      <c r="D22" s="691"/>
      <c r="E22" s="684" t="str">
        <f>IF($AK8&gt;1,"Match 2","")</f>
        <v>Match 2</v>
      </c>
      <c r="F22" s="685"/>
      <c r="G22" s="691"/>
      <c r="H22" s="684" t="str">
        <f>IF($AK8&gt;2,"Match 3","")</f>
        <v>Match 3</v>
      </c>
      <c r="I22" s="685"/>
      <c r="J22" s="691"/>
      <c r="K22" s="684" t="str">
        <f>IF($AK8&gt;3,"Match 4","")</f>
        <v>Match 4</v>
      </c>
      <c r="L22" s="685"/>
      <c r="M22" s="691"/>
      <c r="N22" s="684" t="str">
        <f>IF($AK8&gt;4,"Match 5","")</f>
        <v>Match 5</v>
      </c>
      <c r="O22" s="685"/>
      <c r="P22" s="691"/>
      <c r="Q22" s="684" t="str">
        <f>IF($AK8&gt;5,"Match 6","")</f>
        <v>Match 6</v>
      </c>
      <c r="R22" s="685"/>
      <c r="S22" s="691"/>
      <c r="T22" s="684" t="str">
        <f>IF($AK8&gt;6,"Match 7","")</f>
        <v>Match 7</v>
      </c>
      <c r="U22" s="685"/>
      <c r="V22" s="691"/>
      <c r="W22" s="684" t="str">
        <f>IF($AK8&gt;7,"Match 8","")</f>
        <v>Match 8</v>
      </c>
      <c r="X22" s="685"/>
      <c r="Y22" s="691"/>
      <c r="Z22" s="684" t="str">
        <f>IF($AK8&gt;8,"Match 9","")</f>
        <v>Match 9</v>
      </c>
      <c r="AA22" s="685"/>
      <c r="AB22" s="691"/>
      <c r="AC22" s="684" t="str">
        <f>IF($AK8&gt;9,"Match 10","")</f>
        <v>Match 10</v>
      </c>
      <c r="AD22" s="685"/>
      <c r="AE22" s="691"/>
      <c r="AF22" s="803"/>
      <c r="AG22" s="804"/>
      <c r="AH22" s="804"/>
      <c r="AI22" s="804"/>
      <c r="AJ22" s="804"/>
      <c r="AK22" s="804"/>
      <c r="AL22" s="804"/>
      <c r="AM22" s="804"/>
      <c r="AN22" s="804"/>
      <c r="AO22" s="804"/>
      <c r="AP22" s="804"/>
      <c r="AQ22" s="805"/>
      <c r="AT22" s="34"/>
      <c r="AU22" s="35"/>
      <c r="AV22" s="35"/>
      <c r="AW22" s="4"/>
    </row>
    <row r="23" spans="1:51" ht="15.75" x14ac:dyDescent="0.25">
      <c r="A23" s="11"/>
      <c r="B23" s="786" t="s">
        <v>44</v>
      </c>
      <c r="C23" s="787"/>
      <c r="D23" s="788"/>
      <c r="E23" s="786" t="s">
        <v>45</v>
      </c>
      <c r="F23" s="787"/>
      <c r="G23" s="788"/>
      <c r="H23" s="786" t="s">
        <v>46</v>
      </c>
      <c r="I23" s="787"/>
      <c r="J23" s="788"/>
      <c r="K23" s="786" t="s">
        <v>47</v>
      </c>
      <c r="L23" s="787"/>
      <c r="M23" s="788"/>
      <c r="N23" s="786" t="s">
        <v>48</v>
      </c>
      <c r="O23" s="787"/>
      <c r="P23" s="788"/>
      <c r="Q23" s="786" t="s">
        <v>46</v>
      </c>
      <c r="R23" s="787"/>
      <c r="S23" s="788"/>
      <c r="T23" s="786" t="s">
        <v>44</v>
      </c>
      <c r="U23" s="787"/>
      <c r="V23" s="788"/>
      <c r="W23" s="786" t="s">
        <v>48</v>
      </c>
      <c r="X23" s="787"/>
      <c r="Y23" s="788"/>
      <c r="Z23" s="786" t="s">
        <v>47</v>
      </c>
      <c r="AA23" s="787"/>
      <c r="AB23" s="788"/>
      <c r="AC23" s="786" t="s">
        <v>45</v>
      </c>
      <c r="AD23" s="787"/>
      <c r="AE23" s="788"/>
      <c r="AF23" s="42" t="s">
        <v>49</v>
      </c>
      <c r="AG23" s="43">
        <v>1</v>
      </c>
      <c r="AH23" s="43">
        <v>2</v>
      </c>
      <c r="AI23" s="43">
        <v>3</v>
      </c>
      <c r="AJ23" s="43">
        <v>4</v>
      </c>
      <c r="AK23" s="43">
        <v>5</v>
      </c>
      <c r="AL23" s="43">
        <v>6</v>
      </c>
      <c r="AM23" s="43">
        <v>7</v>
      </c>
      <c r="AN23" s="43">
        <v>8</v>
      </c>
      <c r="AO23" s="43">
        <v>9</v>
      </c>
      <c r="AP23" s="43">
        <v>10</v>
      </c>
      <c r="AQ23" s="44" t="s">
        <v>50</v>
      </c>
      <c r="AT23" s="34"/>
      <c r="AU23" s="35"/>
      <c r="AV23" s="35"/>
      <c r="AW23" s="35"/>
      <c r="AX23" s="35"/>
      <c r="AY23" s="35"/>
    </row>
    <row r="24" spans="1:51" ht="15.75" x14ac:dyDescent="0.25">
      <c r="A24" s="11"/>
      <c r="B24" s="45">
        <v>2</v>
      </c>
      <c r="C24" s="46" t="s">
        <v>51</v>
      </c>
      <c r="D24" s="47">
        <v>5</v>
      </c>
      <c r="E24" s="45">
        <v>1</v>
      </c>
      <c r="F24" s="46" t="str">
        <f>IF($AK8&gt;1,"v","")</f>
        <v>v</v>
      </c>
      <c r="G24" s="47">
        <v>4</v>
      </c>
      <c r="H24" s="45">
        <v>3</v>
      </c>
      <c r="I24" s="46" t="str">
        <f>IF($AK8&gt;2,"v","")</f>
        <v>v</v>
      </c>
      <c r="J24" s="47">
        <v>5</v>
      </c>
      <c r="K24" s="45">
        <v>2</v>
      </c>
      <c r="L24" s="46" t="str">
        <f>IF($AK8&gt;3,"v","")</f>
        <v>v</v>
      </c>
      <c r="M24" s="47">
        <v>4</v>
      </c>
      <c r="N24" s="45">
        <v>1</v>
      </c>
      <c r="O24" s="46" t="str">
        <f>IF($AK8&gt;4,"v","")</f>
        <v>v</v>
      </c>
      <c r="P24" s="47">
        <v>3</v>
      </c>
      <c r="Q24" s="45">
        <v>4</v>
      </c>
      <c r="R24" s="46" t="str">
        <f>IF($AK8&gt;5,"v","")</f>
        <v>v</v>
      </c>
      <c r="S24" s="47">
        <v>5</v>
      </c>
      <c r="T24" s="45">
        <v>2</v>
      </c>
      <c r="U24" s="46" t="str">
        <f>IF($AK8&gt;6,"v","")</f>
        <v>v</v>
      </c>
      <c r="V24" s="47">
        <v>3</v>
      </c>
      <c r="W24" s="45">
        <v>1</v>
      </c>
      <c r="X24" s="46" t="str">
        <f>IF($AK8&gt;7,"v","")</f>
        <v>v</v>
      </c>
      <c r="Y24" s="47">
        <v>5</v>
      </c>
      <c r="Z24" s="45">
        <v>3</v>
      </c>
      <c r="AA24" s="46" t="str">
        <f>IF($AK8&gt;8,"v","")</f>
        <v>v</v>
      </c>
      <c r="AB24" s="47">
        <v>4</v>
      </c>
      <c r="AC24" s="45">
        <v>1</v>
      </c>
      <c r="AD24" s="46" t="str">
        <f>IF($AK8&gt;9,"v","")</f>
        <v>v</v>
      </c>
      <c r="AE24" s="47">
        <v>2</v>
      </c>
      <c r="AF24" s="42" t="str">
        <f>IF($AK9&gt;0,"Team 1","")</f>
        <v>Team 1</v>
      </c>
      <c r="AG24" s="48" t="str">
        <f>IF($AK9&lt;1,"",IF($AK8&lt;1,"",IF(B24=1,B30-D30,IF(D24=1,D30-B30,""))))</f>
        <v/>
      </c>
      <c r="AH24" s="48">
        <f>IF($AK9&lt;1,"",IF($AK8&lt;2,"",IF(E24=1,E30-G30,IF(G24=1,G30-E30,""))))</f>
        <v>-2</v>
      </c>
      <c r="AI24" s="48" t="str">
        <f>IF($AK9&lt;1,"",IF($AK8&lt;3,"",IF(H24=1,H30-J30,IF(J24=1,J30-H30,""))))</f>
        <v/>
      </c>
      <c r="AJ24" s="48" t="str">
        <f>IF($AK9&lt;1,"",IF($AK8&lt;4,"",IF(K24=1,K30-M30,IF(M24=1,M30-K30,""))))</f>
        <v/>
      </c>
      <c r="AK24" s="48">
        <f>IF($AK9&lt;1,"",IF($AK8&lt;5,"",IF(N24=1,N30-P30,IF(P24=1,P30-N30,""))))</f>
        <v>8</v>
      </c>
      <c r="AL24" s="48" t="str">
        <f>IF($AK9&lt;1,"",IF($AK8&lt;6,"",IF(Q24=1,Q30-S30,IF(S24=1,S30-Q30,""))))</f>
        <v/>
      </c>
      <c r="AM24" s="48" t="str">
        <f>IF($AK9&lt;1,"",IF($AK8&lt;7,"",IF(T24=1,T30-V30,IF(V24=1,V30-T30,""))))</f>
        <v/>
      </c>
      <c r="AN24" s="48">
        <f>IF($AK9&lt;1,"",IF($AK8&lt;8,"",IF(W24=1,W30-Y30,IF(Y24=1,Y30-W30,""))))</f>
        <v>19</v>
      </c>
      <c r="AO24" s="48" t="str">
        <f>IF($AK9&lt;1,"",IF($AK8&lt;9,"",IF(Z24=1,Z30-AB30,IF(AB24=1,AB30-Z30,""))))</f>
        <v/>
      </c>
      <c r="AP24" s="48">
        <f>IF($AK9&lt;1,"",IF($AK8&lt;10,"",IF(AC24=1,AC30-AE30,IF(AE24=1,AE30-AC30,""))))</f>
        <v>8</v>
      </c>
      <c r="AQ24" s="44">
        <f>SUM(AG24:AP24)</f>
        <v>33</v>
      </c>
      <c r="AT24" s="34"/>
      <c r="AU24" s="35"/>
      <c r="AV24" s="35"/>
      <c r="AW24" s="35"/>
      <c r="AX24" s="35"/>
      <c r="AY24" s="35"/>
    </row>
    <row r="25" spans="1:51" ht="15" x14ac:dyDescent="0.2">
      <c r="A25" s="4" t="s">
        <v>52</v>
      </c>
      <c r="B25" s="49">
        <v>25</v>
      </c>
      <c r="C25" s="50" t="s">
        <v>53</v>
      </c>
      <c r="D25" s="51">
        <v>15</v>
      </c>
      <c r="E25" s="49">
        <v>21</v>
      </c>
      <c r="F25" s="50" t="str">
        <f>IF($AK8&gt;1,"/","")</f>
        <v>/</v>
      </c>
      <c r="G25" s="51">
        <v>25</v>
      </c>
      <c r="H25" s="49">
        <v>25</v>
      </c>
      <c r="I25" s="50" t="str">
        <f>IF($AK8&gt;2,"/","")</f>
        <v>/</v>
      </c>
      <c r="J25" s="51">
        <v>22</v>
      </c>
      <c r="K25" s="49">
        <v>26</v>
      </c>
      <c r="L25" s="50" t="str">
        <f>IF($AK8&gt;3,"/","")</f>
        <v>/</v>
      </c>
      <c r="M25" s="51">
        <v>27</v>
      </c>
      <c r="N25" s="49">
        <v>18</v>
      </c>
      <c r="O25" s="50" t="str">
        <f>IF($AK8&gt;4,"/","")</f>
        <v>/</v>
      </c>
      <c r="P25" s="51">
        <v>25</v>
      </c>
      <c r="Q25" s="49">
        <v>23</v>
      </c>
      <c r="R25" s="50" t="str">
        <f>IF($AK8&gt;5,"/","")</f>
        <v>/</v>
      </c>
      <c r="S25" s="51">
        <v>25</v>
      </c>
      <c r="T25" s="49">
        <v>27</v>
      </c>
      <c r="U25" s="50" t="str">
        <f>IF($AK8&gt;6,"/","")</f>
        <v>/</v>
      </c>
      <c r="V25" s="51">
        <v>25</v>
      </c>
      <c r="W25" s="49">
        <v>25</v>
      </c>
      <c r="X25" s="50" t="str">
        <f>IF($AK8&gt;7,"/","")</f>
        <v>/</v>
      </c>
      <c r="Y25" s="51">
        <v>11</v>
      </c>
      <c r="Z25" s="49">
        <v>19</v>
      </c>
      <c r="AA25" s="50" t="str">
        <f>IF($AK8&gt;8,"/","")</f>
        <v>/</v>
      </c>
      <c r="AB25" s="51">
        <v>25</v>
      </c>
      <c r="AC25" s="49">
        <v>25</v>
      </c>
      <c r="AD25" s="50" t="str">
        <f>IF($AK8&gt;9,"/","")</f>
        <v>/</v>
      </c>
      <c r="AE25" s="51">
        <v>22</v>
      </c>
      <c r="AF25" s="42" t="str">
        <f>IF($AK9&gt;1,"Team 2","")</f>
        <v>Team 2</v>
      </c>
      <c r="AG25" s="48">
        <f>IF($AK9&lt;2,"",IF($AK8&lt;1,"",IF(B24=2,B30-D30,IF(D24=2,D30-B30,""))))</f>
        <v>24</v>
      </c>
      <c r="AH25" s="48" t="str">
        <f>IF($AK9&lt;2,"",IF($AK8&lt;2,"",IF(E24=2,E30-G30,IF(G24=2,G30-E30,""))))</f>
        <v/>
      </c>
      <c r="AI25" s="48" t="str">
        <f>IF($AK9&lt;2,"",IF($AK8&lt;3,"",IF(H24=2,H30-J30,IF(J24=2,J30-H30,""))))</f>
        <v/>
      </c>
      <c r="AJ25" s="48">
        <f>IF($AK9&lt;2,"",IF($AK8&lt;4,"",IF(K24=2,K30-M30,IF(M24=2,M30-K30,""))))</f>
        <v>5</v>
      </c>
      <c r="AK25" s="48" t="str">
        <f>IF($AK9&lt;2,"",IF($AK8&lt;5,"",IF(N24=2,N30-P30,IF(P24=2,P30-N30,""))))</f>
        <v/>
      </c>
      <c r="AL25" s="48" t="str">
        <f>IF($AK9&lt;2,"",IF($AK8&lt;6,"",IF(Q24=2,Q30-S30,IF(S24=2,S30-Q30,""))))</f>
        <v/>
      </c>
      <c r="AM25" s="48">
        <f>IF($AK9&lt;2,"",IF($AK8&lt;7,"",IF(T24=2,T30-V30,IF(V24=2,V30-T30,""))))</f>
        <v>5</v>
      </c>
      <c r="AN25" s="48" t="str">
        <f>IF($AK9&lt;2,"",IF($AK8&lt;8,"",IF(W24=2,W30-Y30,IF(Y24=2,Y30-W30,""))))</f>
        <v/>
      </c>
      <c r="AO25" s="48" t="str">
        <f>IF($AK9&lt;2,"",IF($AK8&lt;9,"",IF(Z24=2,Z30-AB30,IF(AB24=2,AB30-Z30,""))))</f>
        <v/>
      </c>
      <c r="AP25" s="48">
        <f>IF($AK9&lt;2,"",IF($AK8&lt;10,"",IF(AC24=2,AC30-AE30,IF(AE24=2,AE30-AC30,""))))</f>
        <v>-8</v>
      </c>
      <c r="AQ25" s="44">
        <f>SUM(AG25:AP25)</f>
        <v>26</v>
      </c>
      <c r="AW25" s="4"/>
    </row>
    <row r="26" spans="1:51" ht="15" x14ac:dyDescent="0.2">
      <c r="A26" s="3" t="str">
        <f>IF($AK7&gt;1,"Game 2","")</f>
        <v>Game 2</v>
      </c>
      <c r="B26" s="49">
        <v>25</v>
      </c>
      <c r="C26" s="50" t="s">
        <v>53</v>
      </c>
      <c r="D26" s="51">
        <v>11</v>
      </c>
      <c r="E26" s="49">
        <v>26</v>
      </c>
      <c r="F26" s="50" t="str">
        <f>IF($AK8&gt;1,IF($AK7&gt;1,"/",""),"")</f>
        <v>/</v>
      </c>
      <c r="G26" s="51">
        <v>24</v>
      </c>
      <c r="H26" s="49">
        <v>21</v>
      </c>
      <c r="I26" s="50" t="str">
        <f>IF($AK8&gt;2,IF($AK7&gt;1,"/",""),"")</f>
        <v>/</v>
      </c>
      <c r="J26" s="51">
        <v>25</v>
      </c>
      <c r="K26" s="49">
        <v>25</v>
      </c>
      <c r="L26" s="50" t="str">
        <f>IF($AK8&gt;3,IF($AK7&gt;1,"/",""),"")</f>
        <v>/</v>
      </c>
      <c r="M26" s="51">
        <v>19</v>
      </c>
      <c r="N26" s="49">
        <v>25</v>
      </c>
      <c r="O26" s="50" t="str">
        <f>IF($AK8&gt;4,IF($AK7&gt;1,"/",""),"")</f>
        <v>/</v>
      </c>
      <c r="P26" s="51">
        <v>10</v>
      </c>
      <c r="Q26" s="49">
        <v>25</v>
      </c>
      <c r="R26" s="50" t="str">
        <f>IF($AK8&gt;5,IF($AK7&gt;1,"/",""),"")</f>
        <v>/</v>
      </c>
      <c r="S26" s="51">
        <v>16</v>
      </c>
      <c r="T26" s="49">
        <v>25</v>
      </c>
      <c r="U26" s="50" t="str">
        <f>IF($AK8&gt;6,IF($AK7&gt;1,"/",""),"")</f>
        <v>/</v>
      </c>
      <c r="V26" s="51">
        <v>22</v>
      </c>
      <c r="W26" s="49">
        <v>25</v>
      </c>
      <c r="X26" s="50" t="str">
        <f>IF($AK8&gt;7,IF($AK7&gt;1,"/",""),"")</f>
        <v>/</v>
      </c>
      <c r="Y26" s="51">
        <v>20</v>
      </c>
      <c r="Z26" s="49">
        <v>25</v>
      </c>
      <c r="AA26" s="50" t="str">
        <f>IF($AK8&gt;8,IF($AK7&gt;1,"/",""),"")</f>
        <v>/</v>
      </c>
      <c r="AB26" s="51">
        <v>19</v>
      </c>
      <c r="AC26" s="49">
        <v>25</v>
      </c>
      <c r="AD26" s="50" t="str">
        <f>IF($AK8&gt;9,IF($AK7&gt;1,"/",""),"")</f>
        <v>/</v>
      </c>
      <c r="AE26" s="51">
        <v>20</v>
      </c>
      <c r="AF26" s="42" t="str">
        <f>IF($AK9&gt;2,"Team 3","")</f>
        <v>Team 3</v>
      </c>
      <c r="AG26" s="48" t="str">
        <f>IF($AK9&lt;3,"",IF($AK8&lt;1,"",IF(B24=3,B30-D30,IF(D24=3,D30-B30,""))))</f>
        <v/>
      </c>
      <c r="AH26" s="48" t="str">
        <f>IF($AK9&lt;3,"",IF($AK8&lt;2,"",IF(E24=3,E30-G30,IF(G24=3,G30-E30,""))))</f>
        <v/>
      </c>
      <c r="AI26" s="48">
        <f>IF($AK9&lt;3,"",IF($AK8&lt;3,"",IF(H24=3,H30-J30,IF(J24=3,J30-H30,""))))</f>
        <v>-1</v>
      </c>
      <c r="AJ26" s="48" t="str">
        <f>IF($AK9&lt;3,"",IF($AK8&lt;4,"",IF(K24=3,K30-M30,IF(M24=3,M30-K30,""))))</f>
        <v/>
      </c>
      <c r="AK26" s="48">
        <f>IF($AK9&lt;3,"",IF($AK8&lt;5,"",IF(N24=3,N30-P30,IF(P24=3,P30-N30,""))))</f>
        <v>-8</v>
      </c>
      <c r="AL26" s="48" t="str">
        <f>IF($AK9&lt;3,"",IF($AK8&lt;6,"",IF(Q24=3,Q30-S30,IF(S24=3,S30-Q30,""))))</f>
        <v/>
      </c>
      <c r="AM26" s="48">
        <f>IF($AK9&lt;3,"",IF($AK8&lt;7,"",IF(T24=3,T30-V30,IF(V24=3,V30-T30,""))))</f>
        <v>-5</v>
      </c>
      <c r="AN26" s="48" t="str">
        <f>IF($AK9&lt;3,"",IF($AK8&lt;8,"",IF(W24=3,W30-Y30,IF(Y24=3,Y30-W30,""))))</f>
        <v/>
      </c>
      <c r="AO26" s="48">
        <f>IF($AK9&lt;3,"",IF($AK8&lt;9,"",IF(Z24=3,Z30-AB30,IF(AB24=3,AB30-Z30,""))))</f>
        <v>0</v>
      </c>
      <c r="AP26" s="48" t="str">
        <f>IF($AK9&lt;3,"",IF($AK8&lt;9,"",IF(AC24=3,AC30-AE30,IF(AE24=3,AE30-AC30,""))))</f>
        <v/>
      </c>
      <c r="AQ26" s="44">
        <f>SUM(AG26:AP26)</f>
        <v>-14</v>
      </c>
      <c r="AW26" s="4"/>
    </row>
    <row r="27" spans="1:51" ht="15" x14ac:dyDescent="0.2">
      <c r="A27" s="3" t="str">
        <f>IF($AK7&gt;2,"Game 3","")</f>
        <v/>
      </c>
      <c r="B27" s="49"/>
      <c r="C27" s="50" t="s">
        <v>53</v>
      </c>
      <c r="D27" s="51"/>
      <c r="E27" s="49"/>
      <c r="F27" s="50" t="str">
        <f>IF($AK8&gt;1,IF($AK7&gt;2,"/",""),"")</f>
        <v/>
      </c>
      <c r="G27" s="51"/>
      <c r="H27" s="49"/>
      <c r="I27" s="50" t="str">
        <f>IF($AK8&gt;2,IF($AK7&gt;2,"/",""),"")</f>
        <v/>
      </c>
      <c r="J27" s="51"/>
      <c r="K27" s="49"/>
      <c r="L27" s="50" t="str">
        <f>IF($AK8&gt;3,IF($AK7&gt;2,"/",""),"")</f>
        <v/>
      </c>
      <c r="M27" s="51"/>
      <c r="N27" s="49"/>
      <c r="O27" s="50" t="str">
        <f>IF($AK8&gt;4,IF($AK7&gt;2,"/",""),"")</f>
        <v/>
      </c>
      <c r="P27" s="51"/>
      <c r="Q27" s="49"/>
      <c r="R27" s="50" t="str">
        <f>IF($AK8&gt;5,IF($AK7&gt;2,"/",""),"")</f>
        <v/>
      </c>
      <c r="S27" s="51"/>
      <c r="T27" s="49"/>
      <c r="U27" s="50" t="str">
        <f>IF($AK8&gt;6,IF($AK7&gt;2,"/",""),"")</f>
        <v/>
      </c>
      <c r="V27" s="51"/>
      <c r="W27" s="49"/>
      <c r="X27" s="50" t="str">
        <f>IF($AK8&gt;7,IF($AK7&gt;2,"/",""),"")</f>
        <v/>
      </c>
      <c r="Y27" s="51"/>
      <c r="Z27" s="49"/>
      <c r="AA27" s="50" t="str">
        <f>IF($AK8&gt;8,IF($AK7&gt;2,"/",""),"")</f>
        <v/>
      </c>
      <c r="AB27" s="51"/>
      <c r="AC27" s="49"/>
      <c r="AD27" s="50" t="str">
        <f>IF($AK8&gt;9,IF($AK7&gt;2,"/",""),"")</f>
        <v/>
      </c>
      <c r="AE27" s="51"/>
      <c r="AF27" s="42" t="str">
        <f>IF($AK9&gt;3,"Team 4","")</f>
        <v>Team 4</v>
      </c>
      <c r="AG27" s="48" t="str">
        <f>IF($AK9&lt;4,"",IF($AK8&lt;1,"",IF(B24=4,B30-D30,IF(D24=4,D30-B30,""))))</f>
        <v/>
      </c>
      <c r="AH27" s="48">
        <f>IF($AK9&lt;4,"",IF($AK8&lt;2,"",IF(E24=4,E30-G30,IF(G24=4,G30-E30,""))))</f>
        <v>2</v>
      </c>
      <c r="AI27" s="48" t="str">
        <f>IF($AK9&lt;4,"",IF($AK8&lt;3,"",IF(H24=4,H30-J30,IF(J24=4,J30-H30,""))))</f>
        <v/>
      </c>
      <c r="AJ27" s="48">
        <f>IF($AK9&lt;4,"",IF($AK8&lt;4,"",IF(K24=4,K30-M30,IF(M24=4,M30-K30,""))))</f>
        <v>-5</v>
      </c>
      <c r="AK27" s="48" t="str">
        <f>IF($AK9&lt;4,"",IF($AK8&lt;5,"",IF(N24=4,N30-P30,IF(P24=4,P30-N30,""))))</f>
        <v/>
      </c>
      <c r="AL27" s="48">
        <f>IF($AK9&lt;4,"",IF($AK8&lt;6,"",IF(Q24=4,Q30-S30,IF(S24=4,S30-Q30,""))))</f>
        <v>7</v>
      </c>
      <c r="AM27" s="48" t="str">
        <f>IF($AK9&lt;4,"",IF($AK8&lt;7,"",IF(T24=4,T30-V30,IF(V24=4,V30-T30,""))))</f>
        <v/>
      </c>
      <c r="AN27" s="48" t="str">
        <f>IF($AK9&lt;4,"",IF($AK8&lt;8,"",IF(W24=4,W30-Y30,IF(Y24=4,Y30-W30,""))))</f>
        <v/>
      </c>
      <c r="AO27" s="48">
        <f>IF($AK9&lt;4,"",IF($AK8&lt;9,"",IF(Z24=4,Z30-AB30,IF(AB24=4,AB30-Z30,""))))</f>
        <v>0</v>
      </c>
      <c r="AP27" s="48" t="str">
        <f>IF($AK9&lt;4,"",IF($AK8&lt;10,"",IF(AC24=4,AC30-AE30,IF(AE24=4,AE30-AC30,""))))</f>
        <v/>
      </c>
      <c r="AQ27" s="44">
        <f>SUM(AG27:AP27)</f>
        <v>4</v>
      </c>
      <c r="AW27" s="4"/>
    </row>
    <row r="28" spans="1:51" ht="15" x14ac:dyDescent="0.2">
      <c r="A28" s="3" t="str">
        <f>IF($AK7&gt;3,"Game 4","")</f>
        <v/>
      </c>
      <c r="B28" s="49"/>
      <c r="C28" s="50" t="s">
        <v>53</v>
      </c>
      <c r="D28" s="51"/>
      <c r="E28" s="49"/>
      <c r="F28" s="50" t="str">
        <f>IF($AK8&gt;1,IF($AK7&gt;3,"/",""),"")</f>
        <v/>
      </c>
      <c r="G28" s="51"/>
      <c r="H28" s="49"/>
      <c r="I28" s="50" t="str">
        <f>IF($AK8&gt;2,IF($AK7&gt;3,"/",""),"")</f>
        <v/>
      </c>
      <c r="J28" s="51"/>
      <c r="K28" s="49"/>
      <c r="L28" s="50" t="str">
        <f>IF($AK8&gt;3,IF($AK7&gt;3,"/",""),"")</f>
        <v/>
      </c>
      <c r="M28" s="51"/>
      <c r="N28" s="49"/>
      <c r="O28" s="50" t="str">
        <f>IF($AK8&gt;4,IF($AK7&gt;3,"/",""),"")</f>
        <v/>
      </c>
      <c r="P28" s="51"/>
      <c r="Q28" s="49"/>
      <c r="R28" s="50" t="str">
        <f>IF($AK8&gt;5,IF($AK7&gt;3,"/",""),"")</f>
        <v/>
      </c>
      <c r="S28" s="51"/>
      <c r="T28" s="49"/>
      <c r="U28" s="50" t="str">
        <f>IF($AK8&gt;6,IF($AK7&gt;3,"/",""),"")</f>
        <v/>
      </c>
      <c r="V28" s="51"/>
      <c r="W28" s="49"/>
      <c r="X28" s="50" t="str">
        <f>IF($AK8&gt;7,IF($AK7&gt;3,"/",""),"")</f>
        <v/>
      </c>
      <c r="Y28" s="51"/>
      <c r="Z28" s="49"/>
      <c r="AA28" s="50" t="str">
        <f>IF($AK8&gt;8,IF($AK7&gt;3,"/",""),"")</f>
        <v/>
      </c>
      <c r="AB28" s="51"/>
      <c r="AC28" s="49"/>
      <c r="AD28" s="50" t="str">
        <f>IF($AK8&gt;9,IF($AK7&gt;3,"/",""),"")</f>
        <v/>
      </c>
      <c r="AE28" s="51"/>
      <c r="AF28" s="42" t="str">
        <f>IF($AK9&gt;4,"Team 5","")</f>
        <v>Team 5</v>
      </c>
      <c r="AG28" s="52">
        <f>IF($AK9&lt;5,"",IF($AK8&lt;1,"",IF(B24=5,B30-D30,IF(D24=5,D30-B30,""))))</f>
        <v>-24</v>
      </c>
      <c r="AH28" s="48" t="str">
        <f>IF($AK9&lt;5,"",IF($AK8&lt;2,"",IF(E24=5,E30-G30,IF(G24=5,G30-E30,""))))</f>
        <v/>
      </c>
      <c r="AI28" s="48">
        <f>IF($AK9&lt;5,"",IF($AK8&lt;3,"",IF(H24=5,H30-J30,IF(J24=5,J30-H30,""))))</f>
        <v>1</v>
      </c>
      <c r="AJ28" s="48" t="str">
        <f>IF($AK9&lt;5,"",IF($AK8&lt;4,"",IF(K24=5,K30-M30,IF(M24=5,M30-K30,""))))</f>
        <v/>
      </c>
      <c r="AK28" s="48" t="str">
        <f>IF($AK9&lt;5,"",IF($AK8&lt;5,"",IF(N24=5,N30-P30,IF(P24=5,P30-N30,""))))</f>
        <v/>
      </c>
      <c r="AL28" s="48">
        <f>IF($AK9&lt;5,"",IF($AK8&lt;6,"",IF(Q24=5,Q30-S30,IF(S24=5,S30-Q30,""))))</f>
        <v>-7</v>
      </c>
      <c r="AM28" s="48" t="str">
        <f>IF($AK9&lt;5,"",IF($AK8&lt;7,"",IF(T24=5,T30-V30,IF(V24=5,V30-T30,""))))</f>
        <v/>
      </c>
      <c r="AN28" s="48">
        <f>IF($AK9&lt;5,"",IF($AK8&lt;8,"",IF(W24=5,W30-Y30,IF(Y24=5,Y30-W30,""))))</f>
        <v>-19</v>
      </c>
      <c r="AO28" s="48" t="str">
        <f>IF($AK9&lt;5,"",IF($AK8&lt;9,"",IF(Z24=5,Z30-AB30,IF(AB24=5,AB30-Z30,""))))</f>
        <v/>
      </c>
      <c r="AP28" s="48" t="str">
        <f>IF($AK9&lt;5,"",IF($AK8&lt;10,"",IF(AC24=5,AC30-AE30,IF(AE24=5,AE30-AC30,""))))</f>
        <v/>
      </c>
      <c r="AQ28" s="44">
        <f>SUM(AG28:AP28)</f>
        <v>-49</v>
      </c>
      <c r="AW28" s="10"/>
      <c r="AX28" s="10"/>
      <c r="AY28" s="10"/>
    </row>
    <row r="29" spans="1:51" ht="15" x14ac:dyDescent="0.2">
      <c r="A29" s="3" t="str">
        <f>IF($AK7&gt;4,"Game 5","")</f>
        <v/>
      </c>
      <c r="B29" s="49"/>
      <c r="C29" s="50" t="s">
        <v>53</v>
      </c>
      <c r="D29" s="51"/>
      <c r="E29" s="49"/>
      <c r="F29" s="50" t="str">
        <f>IF($AK8&gt;1,IF($AK7&gt;4,"/",""),"")</f>
        <v/>
      </c>
      <c r="G29" s="51"/>
      <c r="H29" s="49"/>
      <c r="I29" s="50" t="str">
        <f>IF($AK8&gt;2,IF($AK7&gt;4,"/",""),"")</f>
        <v/>
      </c>
      <c r="J29" s="51"/>
      <c r="K29" s="49"/>
      <c r="L29" s="50" t="str">
        <f>IF($AK8&gt;3,IF($AK7&gt;4,"/",""),"")</f>
        <v/>
      </c>
      <c r="M29" s="51"/>
      <c r="N29" s="49"/>
      <c r="O29" s="50" t="str">
        <f>IF($AK8&gt;4,IF($AK7&gt;4,"/",""),"")</f>
        <v/>
      </c>
      <c r="P29" s="51"/>
      <c r="Q29" s="49"/>
      <c r="R29" s="50" t="str">
        <f>IF($AK8&gt;5,IF($AK7&gt;4,"/",""),"")</f>
        <v/>
      </c>
      <c r="S29" s="51"/>
      <c r="T29" s="49"/>
      <c r="U29" s="50" t="str">
        <f>IF($AK8&gt;6,IF($AK7&gt;4,"/",""),"")</f>
        <v/>
      </c>
      <c r="V29" s="51"/>
      <c r="W29" s="49"/>
      <c r="X29" s="50" t="str">
        <f>IF($AK8&gt;7,IF($AK7&gt;4,"/",""),"")</f>
        <v/>
      </c>
      <c r="Y29" s="51"/>
      <c r="Z29" s="49"/>
      <c r="AA29" s="50" t="str">
        <f>IF($AK8&gt;8,IF($AK7&gt;4,"/",""),"")</f>
        <v/>
      </c>
      <c r="AB29" s="51"/>
      <c r="AC29" s="49"/>
      <c r="AD29" s="50" t="str">
        <f>IF($AK8&gt;9,IF($AK7&gt;4,"/",""),"")</f>
        <v/>
      </c>
      <c r="AE29" s="5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W29" s="10"/>
      <c r="AX29" s="10"/>
      <c r="AY29" s="10"/>
    </row>
    <row r="30" spans="1:51" hidden="1" x14ac:dyDescent="0.2">
      <c r="A30" s="53"/>
      <c r="B30" s="53">
        <f>IF($AK7=5,SUM(B25:B29),IF($AK7=4,SUM(B25:B28),IF($AK7=3,SUM(B25:B27),IF($AK7=2,SUM(B25:B26),B25))))</f>
        <v>50</v>
      </c>
      <c r="C30" s="53"/>
      <c r="D30" s="53">
        <f>IF($AK7=5,SUM(D25:D29),IF($AK7=4,SUM(D25:D28),IF($AK7=3,SUM(D25:D27),IF($AK7=2,SUM(D25:D26),D25))))</f>
        <v>26</v>
      </c>
      <c r="E30" s="53">
        <f>IF($AK7=5,SUM(E25:E29),IF($AK7=4,SUM(E25:E28),IF($AK7=3,SUM(E25:E27),IF($AK7=2,SUM(E25:E26),E25))))</f>
        <v>47</v>
      </c>
      <c r="F30" s="53"/>
      <c r="G30" s="53">
        <f>IF($AK7=5,SUM(G25:G29),IF($AK7=4,SUM(G25:G28),IF($AK7=3,SUM(G25:G27),IF($AK7=2,SUM(G25:G26),G25))))</f>
        <v>49</v>
      </c>
      <c r="H30" s="53">
        <f>IF($AK7=5,SUM(H25:H29),IF($AK7=4,SUM(H25:H28),IF($AK7=3,SUM(H25:H27),IF($AK7=2,SUM(H25:H26),H25))))</f>
        <v>46</v>
      </c>
      <c r="I30" s="53"/>
      <c r="J30" s="53">
        <f>IF($AK7=5,SUM(J25:J29),IF($AK7=4,SUM(J25:J28),IF($AK7=3,SUM(J25:J27),IF($AK7=2,SUM(J25:J26),J25))))</f>
        <v>47</v>
      </c>
      <c r="K30" s="53">
        <f>IF($AK7=5,SUM(K25:K29),IF($AK7=4,SUM(K25:K28),IF($AK7=3,SUM(K25:K27),IF($AK7=2,SUM(K25:K26),K25))))</f>
        <v>51</v>
      </c>
      <c r="L30" s="53"/>
      <c r="M30" s="53">
        <f>IF($AK7=5,SUM(M25:M29),IF($AK7=4,SUM(M25:M28),IF($AK7=3,SUM(M25:M27),IF($AK7=2,SUM(M25:M26),M25))))</f>
        <v>46</v>
      </c>
      <c r="N30" s="53">
        <f>IF($AK7=5,SUM(N25:N29),IF($AK7=4,SUM(N25:N28),IF($AK7=3,SUM(N25:N27),IF($AK7=2,SUM(N25:N26),N25))))</f>
        <v>43</v>
      </c>
      <c r="O30" s="53"/>
      <c r="P30" s="53">
        <f>IF($AK7=5,SUM(P25:P29),IF($AK7=4,SUM(P25:P28),IF($AK7=3,SUM(P25:P27),IF($AK7=2,SUM(P25:P26),P25))))</f>
        <v>35</v>
      </c>
      <c r="Q30" s="53">
        <f>IF($AK7=5,SUM(Q25:Q29),IF($AK7=4,SUM(Q25:Q28),IF($AK7=3,SUM(Q25:Q27),IF($AK7=2,SUM(Q25:Q26),Q25))))</f>
        <v>48</v>
      </c>
      <c r="R30" s="53"/>
      <c r="S30" s="53">
        <f>IF($AK7=5,SUM(S25:S29),IF($AK7=4,SUM(S25:S28),IF($AK7=3,SUM(S25:S27),IF($AK7=2,SUM(S25:S26),S25))))</f>
        <v>41</v>
      </c>
      <c r="T30" s="53">
        <f>IF($AK7=5,SUM(T25:T29),IF($AK7=4,SUM(T25:T28),IF($AK7=3,SUM(T25:T27),IF($AK7=2,SUM(T25:T26),T25))))</f>
        <v>52</v>
      </c>
      <c r="U30" s="53"/>
      <c r="V30" s="53">
        <f>IF($AK7=5,SUM(V25:V29),IF($AK7=4,SUM(V25:V28),IF($AK7=3,SUM(V25:V27),IF($AK7=2,SUM(V25:V26),V25))))</f>
        <v>47</v>
      </c>
      <c r="W30" s="53">
        <f>IF($AK7=5,SUM(W25:W29),IF($AK7=4,SUM(W25:W28),IF($AK7=3,SUM(W25:W27),IF($AK7=2,SUM(W25:W26),W25))))</f>
        <v>50</v>
      </c>
      <c r="X30" s="53"/>
      <c r="Y30" s="53">
        <f>IF($AK7=5,SUM(Y25:Y29),IF($AK7=4,SUM(Y25:Y28),IF($AK7=3,SUM(Y25:Y27),IF($AK7=2,SUM(Y25:Y26),Y25))))</f>
        <v>31</v>
      </c>
      <c r="Z30" s="53">
        <f>IF($AK7=5,SUM(Z25:Z29),IF($AK7=4,SUM(Z25:Z28),IF($AK7=3,SUM(Z25:Z27),IF($AK7=2,SUM(Z25:Z26),Z25))))</f>
        <v>44</v>
      </c>
      <c r="AA30" s="53"/>
      <c r="AB30" s="53">
        <f>IF($AK7=5,SUM(AB25:AB29),IF($AK7=4,SUM(AB25:AB28),IF($AK7=3,SUM(AB25:AB27),IF($AK7=2,SUM(AB25:AB26),AB25))))</f>
        <v>44</v>
      </c>
      <c r="AC30" s="53">
        <f>IF($AK7=5,SUM(AC25:AC29),IF($AK7=4,SUM(AC25:AC28),IF($AK7=3,SUM(AC25:AC27),IF($AK7=2,SUM(AC25:AC26),AC25))))</f>
        <v>50</v>
      </c>
      <c r="AD30" s="53"/>
      <c r="AE30" s="53">
        <f>IF($AK7=5,SUM(AE25:AE29),IF($AK7=4,SUM(AE25:AE28),IF($AK7=3,SUM(AE25:AE27),IF($AK7=2,SUM(AE25:AE26),AE25))))</f>
        <v>42</v>
      </c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</row>
    <row r="31" spans="1:51" s="54" customFormat="1" ht="12.75" hidden="1" customHeight="1" x14ac:dyDescent="0.2">
      <c r="A31" s="54" t="s">
        <v>54</v>
      </c>
      <c r="B31" s="55">
        <f>IF(AND(B25&gt;D25,$AK8&gt;0,ISNUMBER(B25),ISNUMBER(D25)),1,0)</f>
        <v>1</v>
      </c>
      <c r="C31" s="55"/>
      <c r="D31" s="56">
        <f>IF(AND(D25&gt;B25,$AK8&gt;0,ISNUMBER(B25),ISNUMBER(D25)),1,0)</f>
        <v>0</v>
      </c>
      <c r="E31" s="55">
        <f>IF(AND(E25&gt;G25,$AK8&gt;1,ISNUMBER(E25),ISNUMBER(G25)),1,0)</f>
        <v>0</v>
      </c>
      <c r="F31" s="55"/>
      <c r="G31" s="56">
        <f>IF(AND(G25&gt;E25,$AK8&gt;1,ISNUMBER(E25),ISNUMBER(G25)),1,0)</f>
        <v>1</v>
      </c>
      <c r="H31" s="55">
        <f>IF(AND(H25&gt;J25,$AK8&gt;2,ISNUMBER(H25),ISNUMBER(J25)),1,0)</f>
        <v>1</v>
      </c>
      <c r="I31" s="55"/>
      <c r="J31" s="56">
        <f>IF(AND(J25&gt;H25,$AK8&gt;2,ISNUMBER(H25),ISNUMBER(J25)),1,0)</f>
        <v>0</v>
      </c>
      <c r="K31" s="55">
        <f>IF(AND(K25&gt;M25,$AK8&gt;3,ISNUMBER(K25),ISNUMBER(M25)),1,0)</f>
        <v>0</v>
      </c>
      <c r="L31" s="55"/>
      <c r="M31" s="56">
        <f>IF(AND(M25&gt;K25,$AK8&gt;3,ISNUMBER(K25),ISNUMBER(M25)),1,0)</f>
        <v>1</v>
      </c>
      <c r="N31" s="55">
        <f>IF(AND(N25&gt;P25,$AK8&gt;4,ISNUMBER(N25),ISNUMBER(P25)),1,0)</f>
        <v>0</v>
      </c>
      <c r="O31" s="55"/>
      <c r="P31" s="56">
        <f>IF(AND(P25&gt;N25,$AK8&gt;4,ISNUMBER(N25),ISNUMBER(P25)),1,0)</f>
        <v>1</v>
      </c>
      <c r="Q31" s="55">
        <f>IF(AND(Q25&gt;S25,$AK8&gt;5,ISNUMBER(Q25),ISNUMBER(S25)),1,0)</f>
        <v>0</v>
      </c>
      <c r="R31" s="55"/>
      <c r="S31" s="56">
        <f>IF(AND(S25&gt;Q25,$AK8&gt;5,ISNUMBER(Q25),ISNUMBER(S25)),1,0)</f>
        <v>1</v>
      </c>
      <c r="T31" s="55">
        <f>IF(AND(T25&gt;V25,$AK8&gt;6,ISNUMBER(T25),ISNUMBER(V25)),1,0)</f>
        <v>1</v>
      </c>
      <c r="U31" s="55"/>
      <c r="V31" s="56">
        <f>IF(AND(V25&gt;T25,$AK8&gt;6,ISNUMBER(T25),ISNUMBER(V25)),1,0)</f>
        <v>0</v>
      </c>
      <c r="W31" s="55">
        <f>IF(AND(W25&gt;Y25,$AK8&gt;7,ISNUMBER(W25),ISNUMBER(Y25)),1,0)</f>
        <v>1</v>
      </c>
      <c r="X31" s="55"/>
      <c r="Y31" s="56">
        <f>IF(AND(Y25&gt;W25,$AK8&gt;7,ISNUMBER(W25),ISNUMBER(Y25)),1,0)</f>
        <v>0</v>
      </c>
      <c r="Z31" s="55">
        <f>IF(AND(Z25&gt;AB25,$AK8&gt;8,ISNUMBER(Z25),ISNUMBER(AB25)),1,0)</f>
        <v>0</v>
      </c>
      <c r="AA31" s="55"/>
      <c r="AB31" s="56">
        <f>IF(AND(AB25&gt;Z25,$AK8&gt;8,ISNUMBER(Z25),ISNUMBER(AB25)),1,0)</f>
        <v>1</v>
      </c>
      <c r="AC31" s="55">
        <f>IF(AND(AC25&gt;AE25,$AK8&gt;9,ISNUMBER(AC25),ISNUMBER(AE25)),1,0)</f>
        <v>1</v>
      </c>
      <c r="AD31" s="55"/>
      <c r="AE31" s="56">
        <f>IF(AND(AE25&gt;AC25,$AK8&gt;9,ISNUMBER(AC25),ISNUMBER(AE25)),1,0)</f>
        <v>0</v>
      </c>
      <c r="AW31" s="146"/>
    </row>
    <row r="32" spans="1:51" s="54" customFormat="1" ht="12.75" hidden="1" customHeight="1" x14ac:dyDescent="0.2">
      <c r="A32" s="54" t="s">
        <v>55</v>
      </c>
      <c r="B32" s="55">
        <f>IF(AND(B26&gt;D26,$AK8&gt;0,$AK7&gt;1,ISNUMBER(B26),ISNUMBER(D26)),1,0)</f>
        <v>1</v>
      </c>
      <c r="C32" s="55"/>
      <c r="D32" s="56">
        <f>IF(AND(D26&gt;B26,$AK8&gt;0,$AK7&gt;1,ISNUMBER(B26),ISNUMBER(D26)),1,0)</f>
        <v>0</v>
      </c>
      <c r="E32" s="55">
        <f>IF(AND(E26&gt;G26,$AK8&gt;1,$AK7&gt;1,ISNUMBER(E26),ISNUMBER(G26)),1,0)</f>
        <v>1</v>
      </c>
      <c r="F32" s="55"/>
      <c r="G32" s="56">
        <f>IF(AND(G26&gt;E26,$AK8&gt;1,$AK7&gt;1,ISNUMBER(E26),ISNUMBER(G26)),1,0)</f>
        <v>0</v>
      </c>
      <c r="H32" s="55">
        <f>IF(AND(H26&gt;J26,$AK8&gt;2,$AK7&gt;1,ISNUMBER(H26),ISNUMBER(J26)),1,0)</f>
        <v>0</v>
      </c>
      <c r="I32" s="55"/>
      <c r="J32" s="56">
        <f>IF(AND(J26&gt;H26,$AK8&gt;2,$AK7&gt;1,ISNUMBER(H26),ISNUMBER(J26)),1,0)</f>
        <v>1</v>
      </c>
      <c r="K32" s="55">
        <f>IF(AND(K26&gt;M26,$AK8&gt;3,$AK7&gt;1,ISNUMBER(K26),ISNUMBER(M26)),1,0)</f>
        <v>1</v>
      </c>
      <c r="L32" s="55"/>
      <c r="M32" s="56">
        <f>IF(AND(M26&gt;K26,$AK8&gt;3,$AK7&gt;1,ISNUMBER(K26),ISNUMBER(M26)),1,0)</f>
        <v>0</v>
      </c>
      <c r="N32" s="55">
        <f>IF(AND(N26&gt;P26,$AK8&gt;4,$AK7&gt;1,ISNUMBER(N26),ISNUMBER(P26)),1,0)</f>
        <v>1</v>
      </c>
      <c r="O32" s="55"/>
      <c r="P32" s="56">
        <f>IF(AND(P26&gt;N26,$AK8&gt;4,$AK7&gt;1,ISNUMBER(N26),ISNUMBER(P26)),1,0)</f>
        <v>0</v>
      </c>
      <c r="Q32" s="55">
        <f>IF(AND(Q26&gt;S26,$AK8&gt;5,$AK7&gt;1,ISNUMBER(Q26),ISNUMBER(S26)),1,0)</f>
        <v>1</v>
      </c>
      <c r="R32" s="55"/>
      <c r="S32" s="56">
        <f>IF(AND(S26&gt;Q26,$AK8&gt;5,$AK7&gt;1,ISNUMBER(Q26),ISNUMBER(S26)),1,0)</f>
        <v>0</v>
      </c>
      <c r="T32" s="55">
        <f>IF(AND(T26&gt;V26,$AK8&gt;6,$AK7&gt;1,ISNUMBER(T26),ISNUMBER(V26)),1,0)</f>
        <v>1</v>
      </c>
      <c r="U32" s="55"/>
      <c r="V32" s="56">
        <f>IF(AND(V26&gt;T26,$AK8&gt;6,$AK7&gt;1,ISNUMBER(T26),ISNUMBER(V26)),1,0)</f>
        <v>0</v>
      </c>
      <c r="W32" s="55">
        <f>IF(AND(W26&gt;Y26,$AK8&gt;7,$AK7&gt;1,ISNUMBER(W26),ISNUMBER(Y26)),1,0)</f>
        <v>1</v>
      </c>
      <c r="X32" s="55"/>
      <c r="Y32" s="56">
        <f>IF(AND(Y26&gt;W26,$AK8&gt;7,$AK7&gt;1,ISNUMBER(W26),ISNUMBER(Y26)),1,0)</f>
        <v>0</v>
      </c>
      <c r="Z32" s="55">
        <f>IF(AND(Z26&gt;AB26,$AK8&gt;8,$AK7&gt;1,ISNUMBER(Z26),ISNUMBER(AB26)),1,0)</f>
        <v>1</v>
      </c>
      <c r="AA32" s="55"/>
      <c r="AB32" s="56">
        <f>IF(AND(AB26&gt;Z26,$AK8&gt;8,$AK7&gt;1,ISNUMBER(Z26),ISNUMBER(AB26)),1,0)</f>
        <v>0</v>
      </c>
      <c r="AC32" s="55">
        <f>IF(AND(AC26&gt;AE26,$AK8&gt;9,$AK7&gt;1,ISNUMBER(AC26),ISNUMBER(AE26)),1,0)</f>
        <v>1</v>
      </c>
      <c r="AD32" s="55"/>
      <c r="AE32" s="56">
        <f>IF(AND(AE26&gt;AC26,$AK8&gt;9,$AK7&gt;1,ISNUMBER(AC26),ISNUMBER(AE26)),1,0)</f>
        <v>0</v>
      </c>
      <c r="AW32" s="146"/>
    </row>
    <row r="33" spans="1:49" s="54" customFormat="1" ht="12.75" hidden="1" customHeight="1" x14ac:dyDescent="0.2">
      <c r="A33" s="54" t="s">
        <v>56</v>
      </c>
      <c r="B33" s="55">
        <f>IF(AND(B27&gt;D27,$AK8&gt;0,$AK7&gt;2,ISNUMBER(B27),ISNUMBER(D27)),1,0)</f>
        <v>0</v>
      </c>
      <c r="C33" s="55"/>
      <c r="D33" s="56">
        <f>IF(AND(D27&gt;B27,$AK8&gt;0,$AK7&gt;2,ISNUMBER(B27),ISNUMBER(D27)),1,0)</f>
        <v>0</v>
      </c>
      <c r="E33" s="55">
        <f>IF(AND(E27&gt;G27,$AK8&gt;1,$AK7&gt;2,ISNUMBER(E27),ISNUMBER(G27)),1,0)</f>
        <v>0</v>
      </c>
      <c r="F33" s="55"/>
      <c r="G33" s="56">
        <f>IF(AND(G27&gt;E27,$AK8&gt;1,$AK7&gt;2,ISNUMBER(E27),ISNUMBER(G27)),1,0)</f>
        <v>0</v>
      </c>
      <c r="H33" s="55">
        <f>IF(AND(H27&gt;J27,$AK8&gt;2,$AK7&gt;2,ISNUMBER(H27),ISNUMBER(J27)),1,0)</f>
        <v>0</v>
      </c>
      <c r="I33" s="55"/>
      <c r="J33" s="56">
        <f>IF(AND(J27&gt;H27,$AK8&gt;2,$AK7&gt;2,ISNUMBER(H27),ISNUMBER(J27)),1,0)</f>
        <v>0</v>
      </c>
      <c r="K33" s="55">
        <f>IF(AND(K27&gt;M27,$AK8&gt;3,$AK7&gt;2,ISNUMBER(K27),ISNUMBER(M27)),1,0)</f>
        <v>0</v>
      </c>
      <c r="L33" s="55"/>
      <c r="M33" s="56">
        <f>IF(AND(M27&gt;K27,$AK8&gt;3,$AK7&gt;2,ISNUMBER(K27),ISNUMBER(M27)),1,0)</f>
        <v>0</v>
      </c>
      <c r="N33" s="55">
        <f>IF(AND(N27&gt;P27,$AK8&gt;4,$AK7&gt;2,ISNUMBER(N27),ISNUMBER(P27)),1,0)</f>
        <v>0</v>
      </c>
      <c r="O33" s="55"/>
      <c r="P33" s="56">
        <f>IF(AND(P27&gt;N27,$AK8&gt;4,$AK7&gt;2,ISNUMBER(N27),ISNUMBER(P27)),1,0)</f>
        <v>0</v>
      </c>
      <c r="Q33" s="55">
        <f>IF(AND(Q27&gt;S27,$AK8&gt;5,$AK7&gt;2,ISNUMBER(Q27),ISNUMBER(S27)),1,0)</f>
        <v>0</v>
      </c>
      <c r="R33" s="55"/>
      <c r="S33" s="56">
        <f>IF(AND(S27&gt;Q27,$AK8&gt;5,$AK7&gt;2,ISNUMBER(Q27),ISNUMBER(S27)),1,0)</f>
        <v>0</v>
      </c>
      <c r="T33" s="55">
        <f>IF(AND(T27&gt;V27,$AK8&gt;6,$AK7&gt;2,ISNUMBER(T27),ISNUMBER(V27)),1,0)</f>
        <v>0</v>
      </c>
      <c r="U33" s="55"/>
      <c r="V33" s="56">
        <f>IF(AND(V27&gt;T27,$AK8&gt;6,$AK7&gt;2,ISNUMBER(T27),ISNUMBER(V27)),1,0)</f>
        <v>0</v>
      </c>
      <c r="W33" s="55">
        <f>IF(AND(W27&gt;Y27,$AK8&gt;7,$AK7&gt;2,ISNUMBER(W27),ISNUMBER(Y27)),1,0)</f>
        <v>0</v>
      </c>
      <c r="X33" s="55"/>
      <c r="Y33" s="56">
        <f>IF(AND(Y27&gt;W27,$AK8&gt;7,$AK7&gt;2,ISNUMBER(W27),ISNUMBER(Y27)),1,0)</f>
        <v>0</v>
      </c>
      <c r="Z33" s="55">
        <f>IF(AND(Z27&gt;AB27,$AK8&gt;8,$AK7&gt;2,ISNUMBER(Z27),ISNUMBER(AB27)),1,0)</f>
        <v>0</v>
      </c>
      <c r="AA33" s="55"/>
      <c r="AB33" s="56">
        <f>IF(AND(AB27&gt;Z27,$AK8&gt;8,$AK7&gt;2,ISNUMBER(Z27),ISNUMBER(AB27)),1,0)</f>
        <v>0</v>
      </c>
      <c r="AC33" s="55">
        <f>IF(AND(AC27&gt;AE27,$AK8&gt;9,$AK7&gt;2,ISNUMBER(AC27),ISNUMBER(AE27)),1,0)</f>
        <v>0</v>
      </c>
      <c r="AD33" s="55"/>
      <c r="AE33" s="56">
        <f>IF(AND(AE27&gt;AC27,$AK8&gt;9,$AK7&gt;2,ISNUMBER(AC27),ISNUMBER(AE27)),1,0)</f>
        <v>0</v>
      </c>
      <c r="AW33" s="146"/>
    </row>
    <row r="34" spans="1:49" s="54" customFormat="1" ht="12.75" hidden="1" customHeight="1" x14ac:dyDescent="0.2">
      <c r="A34" s="54" t="s">
        <v>57</v>
      </c>
      <c r="B34" s="55">
        <f>IF(AND(B28&gt;D28,$AK8&gt;0,$AK7&gt;3,ISNUMBER(B28),ISNUMBER(D28)),1,0)</f>
        <v>0</v>
      </c>
      <c r="C34" s="55"/>
      <c r="D34" s="56">
        <f>IF(AND(D28&gt;B28,$AK8&gt;0,$AK7&gt;3,ISNUMBER(B28),ISNUMBER(D28)),1,0)</f>
        <v>0</v>
      </c>
      <c r="E34" s="55">
        <f>IF(AND(E28&gt;G28,$AK8&gt;1,$AK7&gt;3,ISNUMBER(E28),ISNUMBER(G28)),1,0)</f>
        <v>0</v>
      </c>
      <c r="F34" s="55"/>
      <c r="G34" s="56">
        <f>IF(AND(G28&gt;E28,$AK8&gt;1,$AK7&gt;3,ISNUMBER(E28),ISNUMBER(G28)),1,0)</f>
        <v>0</v>
      </c>
      <c r="H34" s="55">
        <f>IF(AND(H28&gt;J28,$AK8&gt;2,$AK7&gt;3,ISNUMBER(H28),ISNUMBER(J28)),1,0)</f>
        <v>0</v>
      </c>
      <c r="I34" s="55"/>
      <c r="J34" s="56">
        <f>IF(AND(J28&gt;H28,$AK8&gt;2,$AK7&gt;3,ISNUMBER(H28),ISNUMBER(J28)),1,0)</f>
        <v>0</v>
      </c>
      <c r="K34" s="55">
        <f>IF(AND(K28&gt;M28,$AK8&gt;3,$AK7&gt;3,ISNUMBER(K28),ISNUMBER(M28)),1,0)</f>
        <v>0</v>
      </c>
      <c r="L34" s="55"/>
      <c r="M34" s="56">
        <f>IF(AND(M28&gt;K28,$AK8&gt;3,$AK7&gt;3,ISNUMBER(K28),ISNUMBER(M28)),1,0)</f>
        <v>0</v>
      </c>
      <c r="N34" s="55">
        <f>IF(AND(N28&gt;P28,$AK8&gt;4,$AK7&gt;3,ISNUMBER(N28),ISNUMBER(P28)),1,0)</f>
        <v>0</v>
      </c>
      <c r="O34" s="55"/>
      <c r="P34" s="56">
        <f>IF(AND(P28&gt;N28,$AK8&gt;4,$AK7&gt;3,ISNUMBER(N28),ISNUMBER(P28)),1,0)</f>
        <v>0</v>
      </c>
      <c r="Q34" s="55">
        <f>IF(AND(Q28&gt;S28,$AK8&gt;5,$AK7&gt;3,ISNUMBER(Q28),ISNUMBER(S28)),1,0)</f>
        <v>0</v>
      </c>
      <c r="R34" s="55"/>
      <c r="S34" s="56">
        <f>IF(AND(S28&gt;Q28,$AK8&gt;5,$AK7&gt;3,ISNUMBER(Q28),ISNUMBER(S28)),1,0)</f>
        <v>0</v>
      </c>
      <c r="T34" s="55">
        <f>IF(AND(T28&gt;V28,$AK8&gt;6,$AK7&gt;3,ISNUMBER(T28),ISNUMBER(V28)),1,0)</f>
        <v>0</v>
      </c>
      <c r="U34" s="55"/>
      <c r="V34" s="56">
        <f>IF(AND(V28&gt;T28,$AK8&gt;6,$AK7&gt;3,ISNUMBER(T28),ISNUMBER(V28)),1,0)</f>
        <v>0</v>
      </c>
      <c r="W34" s="55">
        <f>IF(AND(W28&gt;Y28,$AK8&gt;7,$AK7&gt;3,ISNUMBER(W28),ISNUMBER(Y28)),1,0)</f>
        <v>0</v>
      </c>
      <c r="X34" s="55"/>
      <c r="Y34" s="56">
        <f>IF(AND(Y28&gt;W28,$AK8&gt;7,$AK7&gt;3,ISNUMBER(W28),ISNUMBER(Y28)),1,0)</f>
        <v>0</v>
      </c>
      <c r="Z34" s="55">
        <f>IF(AND(Z28&gt;AB28,$AK8&gt;8,$AK7&gt;3,ISNUMBER(Z28),ISNUMBER(AB28)),1,0)</f>
        <v>0</v>
      </c>
      <c r="AA34" s="55"/>
      <c r="AB34" s="56">
        <f>IF(AND(AB28&gt;Z28,$AK8&gt;8,$AK7&gt;3,ISNUMBER(Z28),ISNUMBER(AB28)),1,0)</f>
        <v>0</v>
      </c>
      <c r="AC34" s="55">
        <f>IF(AND(AC28&gt;AE28,$AK8&gt;9,$AK7&gt;3,ISNUMBER(AC28),ISNUMBER(AE28)),1,0)</f>
        <v>0</v>
      </c>
      <c r="AD34" s="55"/>
      <c r="AE34" s="56">
        <f>IF(AND(AE28&gt;AC28,$AK8&gt;9,$AK7&gt;3,ISNUMBER(AC28),ISNUMBER(AE28)),1,0)</f>
        <v>0</v>
      </c>
      <c r="AW34" s="146"/>
    </row>
    <row r="35" spans="1:49" s="54" customFormat="1" ht="12.75" hidden="1" customHeight="1" x14ac:dyDescent="0.2">
      <c r="A35" s="54" t="s">
        <v>58</v>
      </c>
      <c r="B35" s="55">
        <f>IF(AND(B29&gt;D29,$AK8&gt;0,$AK7&gt;4,ISNUMBER(B29),ISNUMBER(D29)),1,0)</f>
        <v>0</v>
      </c>
      <c r="C35" s="55"/>
      <c r="D35" s="56">
        <f>IF(AND(D29&gt;B29,$AK8&gt;0,$AK7&gt;4,ISNUMBER(B29),ISNUMBER(D29)),1,0)</f>
        <v>0</v>
      </c>
      <c r="E35" s="55">
        <f>IF(AND(E29&gt;G29,$AK8&gt;1,$AK7&gt;4,ISNUMBER(E29),ISNUMBER(G29)),1,0)</f>
        <v>0</v>
      </c>
      <c r="F35" s="55"/>
      <c r="G35" s="56">
        <f>IF(AND(G29&gt;E29,$AK8&gt;1,$AK7&gt;4,ISNUMBER(E29),ISNUMBER(G29)),1,0)</f>
        <v>0</v>
      </c>
      <c r="H35" s="55">
        <f>IF(AND(H29&gt;J29,$AK8&gt;2,$AK7&gt;4,ISNUMBER(H29),ISNUMBER(J29)),1,0)</f>
        <v>0</v>
      </c>
      <c r="I35" s="55"/>
      <c r="J35" s="56">
        <f>IF(AND(J29&gt;H29,$AK8&gt;2,$AK7&gt;4,ISNUMBER(H29),ISNUMBER(J29)),1,0)</f>
        <v>0</v>
      </c>
      <c r="K35" s="55">
        <f>IF(AND(K29&gt;M29,$AK8&gt;3,$AK7&gt;4,ISNUMBER(K29),ISNUMBER(M29)),1,0)</f>
        <v>0</v>
      </c>
      <c r="L35" s="55"/>
      <c r="M35" s="56">
        <f>IF(AND(M29&gt;K29,$AK8&gt;3,$AK7&gt;4,ISNUMBER(K29),ISNUMBER(M29)),1,0)</f>
        <v>0</v>
      </c>
      <c r="N35" s="55">
        <f>IF(AND(N29&gt;P29,$AK8&gt;4,$AK7&gt;4,ISNUMBER(N29),ISNUMBER(P29)),1,0)</f>
        <v>0</v>
      </c>
      <c r="O35" s="55"/>
      <c r="P35" s="56">
        <f>IF(AND(P29&gt;N29,$AK8&gt;4,$AK7&gt;4,ISNUMBER(N29),ISNUMBER(P29)),1,0)</f>
        <v>0</v>
      </c>
      <c r="Q35" s="55">
        <f>IF(AND(Q29&gt;S29,$AK8&gt;5,$AK7&gt;4,ISNUMBER(Q29),ISNUMBER(S29)),1,0)</f>
        <v>0</v>
      </c>
      <c r="R35" s="55"/>
      <c r="S35" s="56">
        <f>IF(AND(S29&gt;Q29,$AK8&gt;5,$AK7&gt;4,ISNUMBER(Q29),ISNUMBER(S29)),1,0)</f>
        <v>0</v>
      </c>
      <c r="T35" s="55">
        <f>IF(AND(T29&gt;V29,$AK8&gt;6,$AK7&gt;4,ISNUMBER(T29),ISNUMBER(V29)),1,0)</f>
        <v>0</v>
      </c>
      <c r="U35" s="55"/>
      <c r="V35" s="56">
        <f>IF(AND(V29&gt;T29,$AK8&gt;6,$AK7&gt;4,ISNUMBER(T29),ISNUMBER(V29)),1,0)</f>
        <v>0</v>
      </c>
      <c r="W35" s="55">
        <f>IF(AND(W29&gt;Y29,$AK8&gt;7,$AK7&gt;4,ISNUMBER(W29),ISNUMBER(Y29)),1,0)</f>
        <v>0</v>
      </c>
      <c r="X35" s="55"/>
      <c r="Y35" s="56">
        <f>IF(AND(Y29&gt;W29,$AK8&gt;7,$AK7&gt;4,ISNUMBER(W29),ISNUMBER(Y29)),1,0)</f>
        <v>0</v>
      </c>
      <c r="Z35" s="55">
        <f>IF(AND(Z29&gt;AB29,$AK8&gt;8,$AK7&gt;4,ISNUMBER(Z29),ISNUMBER(AB29)),1,0)</f>
        <v>0</v>
      </c>
      <c r="AA35" s="55"/>
      <c r="AB35" s="56">
        <f>IF(AND(AB29&gt;Z29,$AK8&gt;8,$AK7&gt;4,ISNUMBER(Z29),ISNUMBER(AB29)),1,0)</f>
        <v>0</v>
      </c>
      <c r="AC35" s="55">
        <f>IF(AND(AC29&gt;AE29,$AK8&gt;9,$AK7&gt;4,ISNUMBER(AC29),ISNUMBER(AE29)),1,0)</f>
        <v>0</v>
      </c>
      <c r="AD35" s="55"/>
      <c r="AE35" s="56">
        <f>IF(AND(AE29&gt;AC29,$AK8&gt;9,$AK7&gt;4,ISNUMBER(AC29),ISNUMBER(AE29)),1,0)</f>
        <v>0</v>
      </c>
      <c r="AW35" s="146"/>
    </row>
    <row r="36" spans="1:49" s="54" customFormat="1" ht="38.25" hidden="1" customHeight="1" x14ac:dyDescent="0.2">
      <c r="A36" s="57" t="s">
        <v>59</v>
      </c>
      <c r="B36" s="54">
        <f>SUM(B31:B35)</f>
        <v>2</v>
      </c>
      <c r="D36" s="58">
        <f>SUM(D31:D35)</f>
        <v>0</v>
      </c>
      <c r="E36" s="54">
        <f>SUM(E31:E35)</f>
        <v>1</v>
      </c>
      <c r="G36" s="58">
        <f>SUM(G31:G35)</f>
        <v>1</v>
      </c>
      <c r="H36" s="54">
        <f>SUM(H31:H35)</f>
        <v>1</v>
      </c>
      <c r="J36" s="58">
        <f>SUM(J31:J35)</f>
        <v>1</v>
      </c>
      <c r="K36" s="54">
        <f>SUM(K31:K35)</f>
        <v>1</v>
      </c>
      <c r="M36" s="58">
        <f>SUM(M31:M35)</f>
        <v>1</v>
      </c>
      <c r="N36" s="54">
        <f>SUM(N31:N35)</f>
        <v>1</v>
      </c>
      <c r="P36" s="58">
        <f>SUM(P31:P35)</f>
        <v>1</v>
      </c>
      <c r="Q36" s="54">
        <f>SUM(Q31:Q35)</f>
        <v>1</v>
      </c>
      <c r="S36" s="58">
        <f>SUM(S31:S35)</f>
        <v>1</v>
      </c>
      <c r="T36" s="54">
        <f>SUM(T31:T35)</f>
        <v>2</v>
      </c>
      <c r="V36" s="58">
        <f>SUM(V31:V35)</f>
        <v>0</v>
      </c>
      <c r="W36" s="54">
        <f>SUM(W31:W35)</f>
        <v>2</v>
      </c>
      <c r="Y36" s="58">
        <f>SUM(Y31:Y35)</f>
        <v>0</v>
      </c>
      <c r="Z36" s="54">
        <f>SUM(Z31:Z35)</f>
        <v>1</v>
      </c>
      <c r="AB36" s="58">
        <f>SUM(AB31:AB35)</f>
        <v>1</v>
      </c>
      <c r="AC36" s="54">
        <f>SUM(AC31:AC35)</f>
        <v>2</v>
      </c>
      <c r="AE36" s="58">
        <f>SUM(AE31:AE35)</f>
        <v>0</v>
      </c>
      <c r="AW36" s="146"/>
    </row>
    <row r="37" spans="1:49" s="54" customFormat="1" ht="25.5" hidden="1" customHeight="1" x14ac:dyDescent="0.2">
      <c r="A37" s="57" t="s">
        <v>60</v>
      </c>
      <c r="B37" s="54">
        <f>IF(B36&gt;D36,IF(C71=AK7,1,IF(C71=AK7-1,1,0)),0)</f>
        <v>1</v>
      </c>
      <c r="C37" s="54">
        <f>B37+D37</f>
        <v>1</v>
      </c>
      <c r="D37" s="58">
        <f>IF(D36&gt;B36,IF(C71=AK7,1,IF(C71=AK7-1,1,0)),0)</f>
        <v>0</v>
      </c>
      <c r="E37" s="54">
        <f>IF(E36&gt;G36,IF(F71=AK7,1,IF(F71=AK7-1,1,0)),0)</f>
        <v>0</v>
      </c>
      <c r="F37" s="54">
        <f>E37+G37</f>
        <v>0</v>
      </c>
      <c r="G37" s="58">
        <f>IF(G36&gt;E36,IF(F71=AK7,1,IF(F71=AK7-1,1,0)),0)</f>
        <v>0</v>
      </c>
      <c r="H37" s="54">
        <f>IF(H36&gt;J36,IF(I71=AK7,1,IF(I71=AK7-1,1,0)),0)</f>
        <v>0</v>
      </c>
      <c r="I37" s="54">
        <f>H37+J37</f>
        <v>0</v>
      </c>
      <c r="J37" s="58">
        <f>IF(J36&gt;H36,IF(I71=AK7,1,IF(I71=AK7-1,1,0)),0)</f>
        <v>0</v>
      </c>
      <c r="K37" s="54">
        <f>IF(K36&gt;M36,IF(L71=AK7,1,IF(L71=AK7-1,1,0)),0)</f>
        <v>0</v>
      </c>
      <c r="L37" s="54">
        <f>K37+M37</f>
        <v>0</v>
      </c>
      <c r="M37" s="58">
        <f>IF(M36&gt;K36,IF(L71=AK7,1,IF(L71=AK7-1,1,0)),0)</f>
        <v>0</v>
      </c>
      <c r="N37" s="54">
        <f>IF(N36&gt;P36,IF(O71=AK7,1,IF(O71=AK7-1,1,0)),0)</f>
        <v>0</v>
      </c>
      <c r="O37" s="54">
        <f>N37+P37</f>
        <v>0</v>
      </c>
      <c r="P37" s="58">
        <f>IF(P36&gt;N36,IF(O71=AK7,1,IF(O71=AK7-1,1,0)),0)</f>
        <v>0</v>
      </c>
      <c r="Q37" s="54">
        <f>IF(Q36&gt;S36,IF(R71=AK7,1,IF(R71=AK7-1,1,0)),0)</f>
        <v>0</v>
      </c>
      <c r="R37" s="54">
        <f>Q37+S37</f>
        <v>0</v>
      </c>
      <c r="S37" s="58">
        <f>IF(S36&gt;Q36,IF(R71=AK7,1,IF(R71=AK7-1,1,0)),0)</f>
        <v>0</v>
      </c>
      <c r="T37" s="54">
        <f>IF(T36&gt;V36,IF(U71=AK7,1,IF(U71=AK7-1,1,0)),0)</f>
        <v>1</v>
      </c>
      <c r="U37" s="54">
        <f>T37+V37</f>
        <v>1</v>
      </c>
      <c r="V37" s="58">
        <f>IF(V36&gt;T36,IF(U71=AK7,1,IF(U71=AK7-1,1,0)),0)</f>
        <v>0</v>
      </c>
      <c r="W37" s="54">
        <f>IF(W36&gt;Y36,IF(X71=AK7,1,IF(X71=AK7-1,1,0)),0)</f>
        <v>1</v>
      </c>
      <c r="X37" s="54">
        <f>W37+Y37</f>
        <v>1</v>
      </c>
      <c r="Y37" s="58">
        <f>IF(Y36&gt;W36,IF(X71=AK7,1,IF(X71=AK7-1,1,0)),0)</f>
        <v>0</v>
      </c>
      <c r="Z37" s="54">
        <f>IF(Z36&gt;AB36,IF(AA71=AK7,1,IF(AA71=AK7-1,1,0)),0)</f>
        <v>0</v>
      </c>
      <c r="AA37" s="54">
        <f>Z37+AB37</f>
        <v>0</v>
      </c>
      <c r="AB37" s="58">
        <f>IF(AB36&gt;Z36,IF(AA71=AK7,1,IF(AA71=AK7-1,1,0)),0)</f>
        <v>0</v>
      </c>
      <c r="AC37" s="54">
        <f>IF(AC36&gt;AE36,IF(AD71=AK7,1,IF(AD71=AK7-1,1,0)),0)</f>
        <v>1</v>
      </c>
      <c r="AD37" s="54">
        <f>AC37+AE37</f>
        <v>1</v>
      </c>
      <c r="AE37" s="58">
        <f>IF(AE36&gt;AC36,IF(AD71=AK7,1,IF(AD71=AK7-1,1,0)),0)</f>
        <v>0</v>
      </c>
      <c r="AW37" s="146"/>
    </row>
    <row r="38" spans="1:49" s="54" customFormat="1" ht="25.5" hidden="1" customHeight="1" x14ac:dyDescent="0.2">
      <c r="A38" s="57"/>
      <c r="D38" s="58"/>
      <c r="G38" s="58"/>
      <c r="J38" s="58"/>
      <c r="M38" s="58"/>
      <c r="P38" s="58"/>
      <c r="S38" s="58"/>
      <c r="V38" s="58"/>
      <c r="Y38" s="58"/>
      <c r="AB38" s="58"/>
      <c r="AE38" s="58"/>
      <c r="AW38" s="146"/>
    </row>
    <row r="39" spans="1:49" s="54" customFormat="1" ht="12.75" hidden="1" customHeight="1" x14ac:dyDescent="0.2">
      <c r="A39" s="54" t="s">
        <v>61</v>
      </c>
      <c r="B39" s="54">
        <f>IF(B31=1,B25,0)</f>
        <v>25</v>
      </c>
      <c r="D39" s="58">
        <f t="shared" ref="D39:E43" si="2">IF(D31=1,D25,0)</f>
        <v>0</v>
      </c>
      <c r="E39" s="54">
        <f t="shared" si="2"/>
        <v>0</v>
      </c>
      <c r="G39" s="58">
        <f t="shared" ref="G39:H43" si="3">IF(G31=1,G25,0)</f>
        <v>25</v>
      </c>
      <c r="H39" s="54">
        <f t="shared" si="3"/>
        <v>25</v>
      </c>
      <c r="J39" s="58">
        <f t="shared" ref="J39:K43" si="4">IF(J31=1,J25,0)</f>
        <v>0</v>
      </c>
      <c r="K39" s="54">
        <f t="shared" si="4"/>
        <v>0</v>
      </c>
      <c r="M39" s="58">
        <f t="shared" ref="M39:N43" si="5">IF(M31=1,M25,0)</f>
        <v>27</v>
      </c>
      <c r="N39" s="54">
        <f t="shared" si="5"/>
        <v>0</v>
      </c>
      <c r="P39" s="58">
        <f t="shared" ref="P39:Q43" si="6">IF(P31=1,P25,0)</f>
        <v>25</v>
      </c>
      <c r="Q39" s="54">
        <f t="shared" si="6"/>
        <v>0</v>
      </c>
      <c r="S39" s="58">
        <f t="shared" ref="S39:T43" si="7">IF(S31=1,S25,0)</f>
        <v>25</v>
      </c>
      <c r="T39" s="54">
        <f t="shared" si="7"/>
        <v>27</v>
      </c>
      <c r="V39" s="58">
        <f t="shared" ref="V39:W43" si="8">IF(V31=1,V25,0)</f>
        <v>0</v>
      </c>
      <c r="W39" s="54">
        <f t="shared" si="8"/>
        <v>25</v>
      </c>
      <c r="Y39" s="58">
        <f t="shared" ref="Y39:Z43" si="9">IF(Y31=1,Y25,0)</f>
        <v>0</v>
      </c>
      <c r="Z39" s="54">
        <f t="shared" si="9"/>
        <v>0</v>
      </c>
      <c r="AB39" s="58">
        <f t="shared" ref="AB39:AC43" si="10">IF(AB31=1,AB25,0)</f>
        <v>25</v>
      </c>
      <c r="AC39" s="54">
        <f t="shared" si="10"/>
        <v>25</v>
      </c>
      <c r="AE39" s="58">
        <f>IF(AE31=1,AE25,0)</f>
        <v>0</v>
      </c>
      <c r="AW39" s="146"/>
    </row>
    <row r="40" spans="1:49" s="54" customFormat="1" ht="12.75" hidden="1" customHeight="1" x14ac:dyDescent="0.2">
      <c r="A40" s="54" t="s">
        <v>62</v>
      </c>
      <c r="B40" s="54">
        <f>IF(B32=1,B26,0)</f>
        <v>25</v>
      </c>
      <c r="D40" s="58">
        <f t="shared" si="2"/>
        <v>0</v>
      </c>
      <c r="E40" s="54">
        <f t="shared" si="2"/>
        <v>26</v>
      </c>
      <c r="G40" s="58">
        <f t="shared" si="3"/>
        <v>0</v>
      </c>
      <c r="H40" s="54">
        <f t="shared" si="3"/>
        <v>0</v>
      </c>
      <c r="J40" s="58">
        <f t="shared" si="4"/>
        <v>25</v>
      </c>
      <c r="K40" s="54">
        <f t="shared" si="4"/>
        <v>25</v>
      </c>
      <c r="M40" s="58">
        <f t="shared" si="5"/>
        <v>0</v>
      </c>
      <c r="N40" s="54">
        <f t="shared" si="5"/>
        <v>25</v>
      </c>
      <c r="P40" s="58">
        <f t="shared" si="6"/>
        <v>0</v>
      </c>
      <c r="Q40" s="54">
        <f t="shared" si="6"/>
        <v>25</v>
      </c>
      <c r="S40" s="58">
        <f t="shared" si="7"/>
        <v>0</v>
      </c>
      <c r="T40" s="54">
        <f t="shared" si="7"/>
        <v>25</v>
      </c>
      <c r="V40" s="58">
        <f t="shared" si="8"/>
        <v>0</v>
      </c>
      <c r="W40" s="54">
        <f t="shared" si="8"/>
        <v>25</v>
      </c>
      <c r="Y40" s="58">
        <f t="shared" si="9"/>
        <v>0</v>
      </c>
      <c r="Z40" s="54">
        <f t="shared" si="9"/>
        <v>25</v>
      </c>
      <c r="AB40" s="58">
        <f t="shared" si="10"/>
        <v>0</v>
      </c>
      <c r="AC40" s="54">
        <f t="shared" si="10"/>
        <v>25</v>
      </c>
      <c r="AE40" s="58">
        <f>IF(AE32=1,AE26,0)</f>
        <v>0</v>
      </c>
      <c r="AW40" s="146"/>
    </row>
    <row r="41" spans="1:49" s="54" customFormat="1" ht="12.75" hidden="1" customHeight="1" x14ac:dyDescent="0.2">
      <c r="A41" s="54" t="s">
        <v>63</v>
      </c>
      <c r="B41" s="54">
        <f>IF(B33=1,B27,0)</f>
        <v>0</v>
      </c>
      <c r="D41" s="58">
        <f t="shared" si="2"/>
        <v>0</v>
      </c>
      <c r="E41" s="54">
        <f t="shared" si="2"/>
        <v>0</v>
      </c>
      <c r="G41" s="58">
        <f t="shared" si="3"/>
        <v>0</v>
      </c>
      <c r="H41" s="54">
        <f t="shared" si="3"/>
        <v>0</v>
      </c>
      <c r="J41" s="58">
        <f t="shared" si="4"/>
        <v>0</v>
      </c>
      <c r="K41" s="54">
        <f t="shared" si="4"/>
        <v>0</v>
      </c>
      <c r="M41" s="58">
        <f t="shared" si="5"/>
        <v>0</v>
      </c>
      <c r="N41" s="54">
        <f t="shared" si="5"/>
        <v>0</v>
      </c>
      <c r="P41" s="58">
        <f t="shared" si="6"/>
        <v>0</v>
      </c>
      <c r="Q41" s="54">
        <f t="shared" si="6"/>
        <v>0</v>
      </c>
      <c r="S41" s="58">
        <f t="shared" si="7"/>
        <v>0</v>
      </c>
      <c r="T41" s="54">
        <f t="shared" si="7"/>
        <v>0</v>
      </c>
      <c r="V41" s="58">
        <f t="shared" si="8"/>
        <v>0</v>
      </c>
      <c r="W41" s="54">
        <f t="shared" si="8"/>
        <v>0</v>
      </c>
      <c r="Y41" s="58">
        <f t="shared" si="9"/>
        <v>0</v>
      </c>
      <c r="Z41" s="54">
        <f t="shared" si="9"/>
        <v>0</v>
      </c>
      <c r="AB41" s="58">
        <f t="shared" si="10"/>
        <v>0</v>
      </c>
      <c r="AC41" s="54">
        <f t="shared" si="10"/>
        <v>0</v>
      </c>
      <c r="AE41" s="58">
        <f>IF(AE33=1,AE27,0)</f>
        <v>0</v>
      </c>
      <c r="AW41" s="146"/>
    </row>
    <row r="42" spans="1:49" s="54" customFormat="1" ht="12.75" hidden="1" customHeight="1" x14ac:dyDescent="0.2">
      <c r="A42" s="54" t="s">
        <v>64</v>
      </c>
      <c r="B42" s="54">
        <f>IF(B34=1,B28,0)</f>
        <v>0</v>
      </c>
      <c r="D42" s="58">
        <f t="shared" si="2"/>
        <v>0</v>
      </c>
      <c r="E42" s="54">
        <f t="shared" si="2"/>
        <v>0</v>
      </c>
      <c r="G42" s="58">
        <f t="shared" si="3"/>
        <v>0</v>
      </c>
      <c r="H42" s="54">
        <f t="shared" si="3"/>
        <v>0</v>
      </c>
      <c r="J42" s="58">
        <f t="shared" si="4"/>
        <v>0</v>
      </c>
      <c r="K42" s="54">
        <f t="shared" si="4"/>
        <v>0</v>
      </c>
      <c r="M42" s="58">
        <f t="shared" si="5"/>
        <v>0</v>
      </c>
      <c r="N42" s="54">
        <f t="shared" si="5"/>
        <v>0</v>
      </c>
      <c r="P42" s="58">
        <f t="shared" si="6"/>
        <v>0</v>
      </c>
      <c r="Q42" s="54">
        <f t="shared" si="6"/>
        <v>0</v>
      </c>
      <c r="S42" s="58">
        <f t="shared" si="7"/>
        <v>0</v>
      </c>
      <c r="T42" s="54">
        <f t="shared" si="7"/>
        <v>0</v>
      </c>
      <c r="V42" s="58">
        <f t="shared" si="8"/>
        <v>0</v>
      </c>
      <c r="W42" s="54">
        <f t="shared" si="8"/>
        <v>0</v>
      </c>
      <c r="Y42" s="58">
        <f t="shared" si="9"/>
        <v>0</v>
      </c>
      <c r="Z42" s="54">
        <f t="shared" si="9"/>
        <v>0</v>
      </c>
      <c r="AB42" s="58">
        <f t="shared" si="10"/>
        <v>0</v>
      </c>
      <c r="AC42" s="54">
        <f t="shared" si="10"/>
        <v>0</v>
      </c>
      <c r="AE42" s="58">
        <f>IF(AE34=1,AE28,0)</f>
        <v>0</v>
      </c>
      <c r="AW42" s="146"/>
    </row>
    <row r="43" spans="1:49" s="54" customFormat="1" ht="12.75" hidden="1" customHeight="1" x14ac:dyDescent="0.2">
      <c r="A43" s="54" t="s">
        <v>65</v>
      </c>
      <c r="B43" s="54">
        <f>IF(B35=1,B29,0)</f>
        <v>0</v>
      </c>
      <c r="D43" s="58">
        <f t="shared" si="2"/>
        <v>0</v>
      </c>
      <c r="E43" s="54">
        <f t="shared" si="2"/>
        <v>0</v>
      </c>
      <c r="G43" s="58">
        <f t="shared" si="3"/>
        <v>0</v>
      </c>
      <c r="H43" s="54">
        <f t="shared" si="3"/>
        <v>0</v>
      </c>
      <c r="J43" s="58">
        <f t="shared" si="4"/>
        <v>0</v>
      </c>
      <c r="K43" s="54">
        <f t="shared" si="4"/>
        <v>0</v>
      </c>
      <c r="M43" s="58">
        <f t="shared" si="5"/>
        <v>0</v>
      </c>
      <c r="N43" s="54">
        <f t="shared" si="5"/>
        <v>0</v>
      </c>
      <c r="P43" s="58">
        <f t="shared" si="6"/>
        <v>0</v>
      </c>
      <c r="Q43" s="54">
        <f t="shared" si="6"/>
        <v>0</v>
      </c>
      <c r="S43" s="58">
        <f t="shared" si="7"/>
        <v>0</v>
      </c>
      <c r="T43" s="54">
        <f t="shared" si="7"/>
        <v>0</v>
      </c>
      <c r="V43" s="58">
        <f t="shared" si="8"/>
        <v>0</v>
      </c>
      <c r="W43" s="54">
        <f t="shared" si="8"/>
        <v>0</v>
      </c>
      <c r="Y43" s="58">
        <f t="shared" si="9"/>
        <v>0</v>
      </c>
      <c r="Z43" s="54">
        <f t="shared" si="9"/>
        <v>0</v>
      </c>
      <c r="AB43" s="58">
        <f t="shared" si="10"/>
        <v>0</v>
      </c>
      <c r="AC43" s="54">
        <f t="shared" si="10"/>
        <v>0</v>
      </c>
      <c r="AE43" s="58">
        <f>IF(AE35=1,AE29,0)</f>
        <v>0</v>
      </c>
      <c r="AW43" s="146"/>
    </row>
    <row r="44" spans="1:49" s="54" customFormat="1" ht="38.25" hidden="1" customHeight="1" x14ac:dyDescent="0.2">
      <c r="A44" s="57" t="s">
        <v>66</v>
      </c>
      <c r="B44" s="54">
        <f>SUM(B39:D43)</f>
        <v>50</v>
      </c>
      <c r="D44" s="58"/>
      <c r="E44" s="54">
        <f>SUM(E39:G43)</f>
        <v>51</v>
      </c>
      <c r="G44" s="58"/>
      <c r="H44" s="54">
        <f>SUM(H39:J43)</f>
        <v>50</v>
      </c>
      <c r="J44" s="58"/>
      <c r="K44" s="54">
        <f>SUM(K39:M43)</f>
        <v>52</v>
      </c>
      <c r="M44" s="58"/>
      <c r="N44" s="54">
        <f>SUM(N39:P43)</f>
        <v>50</v>
      </c>
      <c r="P44" s="58"/>
      <c r="Q44" s="54">
        <f>SUM(Q39:S43)</f>
        <v>50</v>
      </c>
      <c r="S44" s="58"/>
      <c r="T44" s="54">
        <f>SUM(T39:V43)</f>
        <v>52</v>
      </c>
      <c r="V44" s="58"/>
      <c r="W44" s="54">
        <f>SUM(W39:Y43)</f>
        <v>50</v>
      </c>
      <c r="Y44" s="58"/>
      <c r="Z44" s="54">
        <f>SUM(Z39:AB43)</f>
        <v>50</v>
      </c>
      <c r="AB44" s="58"/>
      <c r="AC44" s="54">
        <f>SUM(AC39:AE43)</f>
        <v>50</v>
      </c>
      <c r="AE44" s="58"/>
      <c r="AW44" s="146"/>
    </row>
    <row r="45" spans="1:49" s="54" customFormat="1" ht="38.25" hidden="1" customHeight="1" x14ac:dyDescent="0.2">
      <c r="A45" s="54" t="s">
        <v>67</v>
      </c>
      <c r="D45" s="58"/>
      <c r="G45" s="58"/>
      <c r="J45" s="58"/>
      <c r="M45" s="58"/>
      <c r="P45" s="58"/>
      <c r="S45" s="58"/>
      <c r="V45" s="58"/>
      <c r="Y45" s="58"/>
      <c r="AB45" s="58"/>
      <c r="AE45" s="58"/>
      <c r="AF45" s="57" t="s">
        <v>68</v>
      </c>
      <c r="AG45" s="54" t="s">
        <v>69</v>
      </c>
      <c r="AW45" s="146"/>
    </row>
    <row r="46" spans="1:49" s="54" customFormat="1" ht="12.75" hidden="1" customHeight="1" x14ac:dyDescent="0.2">
      <c r="A46" s="54" t="s">
        <v>70</v>
      </c>
      <c r="B46" s="54">
        <f>IF(B24=1,IF(B37=1,1,0),0)</f>
        <v>0</v>
      </c>
      <c r="D46" s="58">
        <f>IF(D24=1,IF(D37=1,1,0),0)</f>
        <v>0</v>
      </c>
      <c r="E46" s="54">
        <f>IF(E24=1,IF(E37=1,1,0),0)</f>
        <v>0</v>
      </c>
      <c r="G46" s="58">
        <f>IF(G24=1,IF(G37=1,1,0),0)</f>
        <v>0</v>
      </c>
      <c r="H46" s="54">
        <f>IF(H24=1,IF(H37=1,1,0),0)</f>
        <v>0</v>
      </c>
      <c r="J46" s="58">
        <f>IF(J24=1,IF(J37=1,1,0),0)</f>
        <v>0</v>
      </c>
      <c r="K46" s="54">
        <f>IF(K24=1,IF(K37=1,1,0),0)</f>
        <v>0</v>
      </c>
      <c r="M46" s="58">
        <f>IF(M24=1,IF(M37=1,1,0),0)</f>
        <v>0</v>
      </c>
      <c r="N46" s="54">
        <f>IF(N24=1,IF(N37=1,1,0),0)</f>
        <v>0</v>
      </c>
      <c r="P46" s="58">
        <f>IF(P24=1,IF(P37=1,1,0),0)</f>
        <v>0</v>
      </c>
      <c r="Q46" s="54">
        <f>IF(Q24=1,IF(Q37=1,1,0),0)</f>
        <v>0</v>
      </c>
      <c r="S46" s="58">
        <f>IF(S24=1,IF(S37=1,1,0),0)</f>
        <v>0</v>
      </c>
      <c r="T46" s="54">
        <f>IF(T24=1,IF(T37=1,1,0),0)</f>
        <v>0</v>
      </c>
      <c r="V46" s="58">
        <f>IF(V24=1,IF(V37=1,1,0),0)</f>
        <v>0</v>
      </c>
      <c r="W46" s="54">
        <f>IF(W24=1,IF(W37=1,1,0),0)</f>
        <v>1</v>
      </c>
      <c r="Y46" s="58">
        <f>IF(Y24=1,IF(Y37=1,1,0),0)</f>
        <v>0</v>
      </c>
      <c r="Z46" s="54">
        <f>IF(Z24=1,IF(Z37=1,1,0),0)</f>
        <v>0</v>
      </c>
      <c r="AB46" s="58">
        <f>IF(AB24=1,IF(AB37=1,1,0),0)</f>
        <v>0</v>
      </c>
      <c r="AC46" s="54">
        <f>IF(AC24=1,IF(AC37=1,1,0),0)</f>
        <v>1</v>
      </c>
      <c r="AE46" s="58">
        <f>IF(AE24=1,IF(AE37=1,1,0),0)</f>
        <v>0</v>
      </c>
      <c r="AF46" s="54">
        <f>SUM(B46:AE46)</f>
        <v>2</v>
      </c>
      <c r="AG46" s="54">
        <f>AF52-AF46</f>
        <v>0</v>
      </c>
      <c r="AW46" s="146"/>
    </row>
    <row r="47" spans="1:49" s="54" customFormat="1" ht="12.75" hidden="1" customHeight="1" x14ac:dyDescent="0.2">
      <c r="A47" s="54" t="s">
        <v>71</v>
      </c>
      <c r="B47" s="54">
        <f>IF(B24=2,IF(B37=1,1,0),0)</f>
        <v>1</v>
      </c>
      <c r="D47" s="58">
        <f>IF(D24=2,IF(D37=1,1,0),0)</f>
        <v>0</v>
      </c>
      <c r="E47" s="54">
        <f>IF(E24=2,IF(E37=1,1,0),0)</f>
        <v>0</v>
      </c>
      <c r="G47" s="58">
        <f>IF(G24=2,IF(G37=1,1,0),0)</f>
        <v>0</v>
      </c>
      <c r="H47" s="54">
        <f>IF(H24=2,IF(H37=1,1,0),0)</f>
        <v>0</v>
      </c>
      <c r="J47" s="58">
        <f>IF(J24=2,IF(J37=1,1,0),0)</f>
        <v>0</v>
      </c>
      <c r="K47" s="54">
        <f>IF(K24=2,IF(K37=1,1,0),0)</f>
        <v>0</v>
      </c>
      <c r="M47" s="58">
        <f>IF(M24=2,IF(M37=1,1,0),0)</f>
        <v>0</v>
      </c>
      <c r="N47" s="54">
        <f>IF(N24=2,IF(N37=1,1,0),0)</f>
        <v>0</v>
      </c>
      <c r="P47" s="58">
        <f>IF(P24=2,IF(P37=1,1,0),0)</f>
        <v>0</v>
      </c>
      <c r="Q47" s="54">
        <f>IF(Q24=2,IF(Q37=1,1,0),0)</f>
        <v>0</v>
      </c>
      <c r="S47" s="58">
        <f>IF(S24=2,IF(S37=1,1,0),0)</f>
        <v>0</v>
      </c>
      <c r="T47" s="54">
        <f>IF(T24=2,IF(T37=1,1,0),0)</f>
        <v>1</v>
      </c>
      <c r="V47" s="58">
        <f>IF(V24=2,IF(V37=1,1,0),0)</f>
        <v>0</v>
      </c>
      <c r="W47" s="54">
        <f>IF(W24=2,IF(W37=1,1,0),0)</f>
        <v>0</v>
      </c>
      <c r="Y47" s="58">
        <f>IF(Y24=2,IF(Y37=1,1,0),0)</f>
        <v>0</v>
      </c>
      <c r="Z47" s="54">
        <f>IF(Z24=2,IF(Z37=1,1,0),0)</f>
        <v>0</v>
      </c>
      <c r="AB47" s="58">
        <f>IF(AB24=2,IF(AB37=1,1,0),0)</f>
        <v>0</v>
      </c>
      <c r="AC47" s="54">
        <f>IF(AC24=2,IF(AC37=1,1,0),0)</f>
        <v>0</v>
      </c>
      <c r="AE47" s="58">
        <f>IF(AE24=2,IF(AE37=1,1,0),0)</f>
        <v>0</v>
      </c>
      <c r="AF47" s="54">
        <f>SUM(B47:AE47)</f>
        <v>2</v>
      </c>
      <c r="AG47" s="54">
        <f>AF53-AF47</f>
        <v>1</v>
      </c>
      <c r="AW47" s="146"/>
    </row>
    <row r="48" spans="1:49" s="54" customFormat="1" ht="12.75" hidden="1" customHeight="1" x14ac:dyDescent="0.2">
      <c r="A48" s="54" t="s">
        <v>72</v>
      </c>
      <c r="B48" s="54">
        <f>IF(B24=3,IF(B37=1,1,0),0)</f>
        <v>0</v>
      </c>
      <c r="D48" s="58">
        <f>IF(D24=3,IF(D37=1,1,0),0)</f>
        <v>0</v>
      </c>
      <c r="E48" s="54">
        <f>IF(E24=3,IF(E37=1,1,0),0)</f>
        <v>0</v>
      </c>
      <c r="G48" s="58">
        <f>IF(G24=3,IF(G37=1,1,0),0)</f>
        <v>0</v>
      </c>
      <c r="H48" s="54">
        <f>IF(H24=3,IF(H37=1,1,0),0)</f>
        <v>0</v>
      </c>
      <c r="J48" s="58">
        <f>IF(J24=3,IF(J37=1,1,0),0)</f>
        <v>0</v>
      </c>
      <c r="K48" s="54">
        <f>IF(K24=3,IF(K37=1,1,0),0)</f>
        <v>0</v>
      </c>
      <c r="M48" s="58">
        <f>IF(M24=3,IF(M37=1,1,0),0)</f>
        <v>0</v>
      </c>
      <c r="N48" s="54">
        <f>IF(N24=3,IF(N37=1,1,0),0)</f>
        <v>0</v>
      </c>
      <c r="P48" s="58">
        <f>IF(P24=3,IF(P37=1,1,0),0)</f>
        <v>0</v>
      </c>
      <c r="Q48" s="54">
        <f>IF(Q24=3,IF(Q37=1,1,0),0)</f>
        <v>0</v>
      </c>
      <c r="S48" s="58">
        <f>IF(S24=3,IF(S37=1,1,0),0)</f>
        <v>0</v>
      </c>
      <c r="T48" s="54">
        <f>IF(T24=3,IF(T37=1,1,0),0)</f>
        <v>0</v>
      </c>
      <c r="V48" s="58">
        <f>IF(V24=3,IF(V37=1,1,0),0)</f>
        <v>0</v>
      </c>
      <c r="W48" s="54">
        <f>IF(W24=3,IF(W37=1,1,0),0)</f>
        <v>0</v>
      </c>
      <c r="Y48" s="58">
        <f>IF(Y24=3,IF(Y37=1,1,0),0)</f>
        <v>0</v>
      </c>
      <c r="Z48" s="54">
        <f>IF(Z24=3,IF(Z37=1,1,0),0)</f>
        <v>0</v>
      </c>
      <c r="AB48" s="58">
        <f>IF(AB24=3,IF(AB37=1,1,0),0)</f>
        <v>0</v>
      </c>
      <c r="AC48" s="54">
        <f>IF(AC24=3,IF(AC37=1,1,0),0)</f>
        <v>0</v>
      </c>
      <c r="AE48" s="58">
        <f>IF(AE24=3,IF(AE37=1,1,0),0)</f>
        <v>0</v>
      </c>
      <c r="AF48" s="54">
        <f>SUM(B48:AE48)</f>
        <v>0</v>
      </c>
      <c r="AG48" s="54">
        <f>AF54-AF48</f>
        <v>1</v>
      </c>
      <c r="AW48" s="146"/>
    </row>
    <row r="49" spans="1:49" s="54" customFormat="1" ht="12.75" hidden="1" customHeight="1" x14ac:dyDescent="0.2">
      <c r="A49" s="54" t="s">
        <v>73</v>
      </c>
      <c r="B49" s="54">
        <f>IF(B24=4,IF(B37=1,1,0),0)</f>
        <v>0</v>
      </c>
      <c r="D49" s="58">
        <f>IF(D24=4,IF(D37=1,1,0),0)</f>
        <v>0</v>
      </c>
      <c r="E49" s="54">
        <f>IF(E24=4,IF(E37=1,1,0),0)</f>
        <v>0</v>
      </c>
      <c r="G49" s="58">
        <f>IF(G24=4,IF(G37=1,1,0),0)</f>
        <v>0</v>
      </c>
      <c r="H49" s="54">
        <f>IF(H24=4,IF(H37=1,1,0),0)</f>
        <v>0</v>
      </c>
      <c r="J49" s="58">
        <f>IF(J24=4,IF(J37=1,1,0),0)</f>
        <v>0</v>
      </c>
      <c r="K49" s="54">
        <f>IF(K24=4,IF(K37=1,1,0),0)</f>
        <v>0</v>
      </c>
      <c r="M49" s="58">
        <f>IF(M24=4,IF(M37=1,1,0),0)</f>
        <v>0</v>
      </c>
      <c r="N49" s="54">
        <f>IF(N24=4,IF(N37=1,1,0),0)</f>
        <v>0</v>
      </c>
      <c r="P49" s="58">
        <f>IF(P24=4,IF(P37=1,1,0),0)</f>
        <v>0</v>
      </c>
      <c r="Q49" s="54">
        <f>IF(Q24=4,IF(Q37=1,1,0),0)</f>
        <v>0</v>
      </c>
      <c r="S49" s="58">
        <f>IF(S24=4,IF(S37=1,1,0),0)</f>
        <v>0</v>
      </c>
      <c r="T49" s="54">
        <f>IF(T24=4,IF(T37=1,1,0),0)</f>
        <v>0</v>
      </c>
      <c r="V49" s="58">
        <f>IF(V24=4,IF(V37=1,1,0),0)</f>
        <v>0</v>
      </c>
      <c r="W49" s="54">
        <f>IF(W24=4,IF(W37=1,1,0),0)</f>
        <v>0</v>
      </c>
      <c r="Y49" s="58">
        <f>IF(Y24=4,IF(Y37=1,1,0),0)</f>
        <v>0</v>
      </c>
      <c r="Z49" s="54">
        <f>IF(Z24=4,IF(Z37=1,1,0),0)</f>
        <v>0</v>
      </c>
      <c r="AB49" s="58">
        <f>IF(AB24=4,IF(AB37=1,1,0),0)</f>
        <v>0</v>
      </c>
      <c r="AC49" s="54">
        <f>IF(AC24=4,IF(AC37=1,1,0),0)</f>
        <v>0</v>
      </c>
      <c r="AE49" s="58">
        <f>IF(AE24=4,IF(AE37=1,1,0),0)</f>
        <v>0</v>
      </c>
      <c r="AF49" s="54">
        <f>SUM(B49:AE49)</f>
        <v>0</v>
      </c>
      <c r="AG49" s="54">
        <f>AF55-AF49</f>
        <v>0</v>
      </c>
      <c r="AW49" s="146"/>
    </row>
    <row r="50" spans="1:49" s="54" customFormat="1" ht="12.75" hidden="1" customHeight="1" x14ac:dyDescent="0.2">
      <c r="A50" s="54" t="s">
        <v>74</v>
      </c>
      <c r="B50" s="54">
        <f>IF(B24=5,IF(B37=1,1,0),0)</f>
        <v>0</v>
      </c>
      <c r="D50" s="58">
        <f>IF(D24=5,IF(D37=1,1,0),0)</f>
        <v>0</v>
      </c>
      <c r="E50" s="54">
        <f>IF(E24=5,IF(E37=1,1,0),0)</f>
        <v>0</v>
      </c>
      <c r="G50" s="58">
        <f>IF(G24=5,IF(G37=1,1,0),0)</f>
        <v>0</v>
      </c>
      <c r="H50" s="54">
        <f>IF(H24=5,IF(H37=1,1,0),0)</f>
        <v>0</v>
      </c>
      <c r="J50" s="58">
        <f>IF(J24=5,IF(J37=1,1,0),0)</f>
        <v>0</v>
      </c>
      <c r="K50" s="54">
        <f>IF(K24=5,IF(K37=1,1,0),0)</f>
        <v>0</v>
      </c>
      <c r="M50" s="58">
        <f>IF(M24=5,IF(M37=1,1,0),0)</f>
        <v>0</v>
      </c>
      <c r="N50" s="54">
        <f>IF(N24=5,IF(N37=1,1,0),0)</f>
        <v>0</v>
      </c>
      <c r="P50" s="58">
        <f>IF(P24=5,IF(P37=1,1,0),0)</f>
        <v>0</v>
      </c>
      <c r="Q50" s="54">
        <f>IF(Q24=5,IF(Q37=1,1,0),0)</f>
        <v>0</v>
      </c>
      <c r="S50" s="58">
        <f>IF(S24=5,IF(S37=1,1,0),0)</f>
        <v>0</v>
      </c>
      <c r="T50" s="54">
        <f>IF(T24=5,IF(T37=1,1,0),0)</f>
        <v>0</v>
      </c>
      <c r="V50" s="58">
        <f>IF(V24=5,IF(V37=1,1,0),0)</f>
        <v>0</v>
      </c>
      <c r="W50" s="54">
        <f>IF(W24=5,IF(W37=1,1,0),0)</f>
        <v>0</v>
      </c>
      <c r="Y50" s="58">
        <f>IF(Y24=5,IF(Y37=1,1,0),0)</f>
        <v>0</v>
      </c>
      <c r="Z50" s="54">
        <f>IF(Z24=5,IF(Z37=1,1,0),0)</f>
        <v>0</v>
      </c>
      <c r="AB50" s="58">
        <f>IF(AB24=5,IF(AB37=1,1,0),0)</f>
        <v>0</v>
      </c>
      <c r="AC50" s="54">
        <f>IF(AC24=5,IF(AC37=1,1,0),0)</f>
        <v>0</v>
      </c>
      <c r="AE50" s="58">
        <f>IF(AE24=5,IF(AE37=1,1,0),0)</f>
        <v>0</v>
      </c>
      <c r="AF50" s="54">
        <f>SUM(B50:AE50)</f>
        <v>0</v>
      </c>
      <c r="AG50" s="54">
        <f>AF56-AF50</f>
        <v>2</v>
      </c>
      <c r="AW50" s="146"/>
    </row>
    <row r="51" spans="1:49" s="54" customFormat="1" ht="38.25" hidden="1" customHeight="1" x14ac:dyDescent="0.2">
      <c r="A51" s="57"/>
      <c r="D51" s="58"/>
      <c r="G51" s="58"/>
      <c r="J51" s="58"/>
      <c r="M51" s="58"/>
      <c r="P51" s="58"/>
      <c r="S51" s="58"/>
      <c r="V51" s="58"/>
      <c r="Y51" s="58"/>
      <c r="AB51" s="58"/>
      <c r="AE51" s="58"/>
      <c r="AF51" s="57" t="s">
        <v>75</v>
      </c>
      <c r="AW51" s="146"/>
    </row>
    <row r="52" spans="1:49" s="54" customFormat="1" ht="12.75" hidden="1" customHeight="1" x14ac:dyDescent="0.2">
      <c r="A52" s="54" t="s">
        <v>76</v>
      </c>
      <c r="B52" s="54">
        <f>IF(B24=1,IF(C37=1,1,0),0)</f>
        <v>0</v>
      </c>
      <c r="D52" s="58">
        <f>IF(D24=1,IF(C37=1,1,0),0)</f>
        <v>0</v>
      </c>
      <c r="E52" s="54">
        <f>IF(E24=1,IF(F37=1,1,0),0)</f>
        <v>0</v>
      </c>
      <c r="G52" s="58">
        <f>IF(G24=1,IF(F37=1,1,0),0)</f>
        <v>0</v>
      </c>
      <c r="H52" s="54">
        <f>IF(H24=1,IF(I37=1,1,0),0)</f>
        <v>0</v>
      </c>
      <c r="J52" s="58">
        <f>IF(J24=1,IF(I37=1,1,0),0)</f>
        <v>0</v>
      </c>
      <c r="K52" s="54">
        <f>IF(K24=1,IF(L37=1,1,0),0)</f>
        <v>0</v>
      </c>
      <c r="M52" s="58">
        <f>IF(M24=1,IF(L37=1,1,0),0)</f>
        <v>0</v>
      </c>
      <c r="N52" s="54">
        <f>IF(N24=1,IF(O37=1,1,0),0)</f>
        <v>0</v>
      </c>
      <c r="P52" s="58">
        <f>IF(P24=1,IF(O37=1,1,0),0)</f>
        <v>0</v>
      </c>
      <c r="Q52" s="54">
        <f>IF(Q24=1,IF(R37=1,1,0),0)</f>
        <v>0</v>
      </c>
      <c r="S52" s="58">
        <f>IF(S24=1,IF(R37=1,1,0),0)</f>
        <v>0</v>
      </c>
      <c r="T52" s="54">
        <f>IF(T24=1,IF(U37=1,1,0),0)</f>
        <v>0</v>
      </c>
      <c r="V52" s="58">
        <f>IF(V24=1,IF(U37=1,1,0),0)</f>
        <v>0</v>
      </c>
      <c r="W52" s="54">
        <f>IF(W24=1,IF(X37=1,1,0),0)</f>
        <v>1</v>
      </c>
      <c r="Y52" s="58">
        <f>IF(Y24=1,IF(X37=1,1,0),0)</f>
        <v>0</v>
      </c>
      <c r="Z52" s="54">
        <f>IF(Z24=1,IF(AA37=1,1,0),0)</f>
        <v>0</v>
      </c>
      <c r="AB52" s="58">
        <f>IF(AB24=1,IF(AA37=1,1,0),0)</f>
        <v>0</v>
      </c>
      <c r="AC52" s="54">
        <f>IF(AC24=1,IF(AD37=1,1,0),0)</f>
        <v>1</v>
      </c>
      <c r="AE52" s="58">
        <f>IF(AE24=1,IF(AD37=1,1,0),0)</f>
        <v>0</v>
      </c>
      <c r="AF52" s="54">
        <f>SUM(B52:AE52)</f>
        <v>2</v>
      </c>
      <c r="AW52" s="146"/>
    </row>
    <row r="53" spans="1:49" s="54" customFormat="1" ht="12.75" hidden="1" customHeight="1" x14ac:dyDescent="0.2">
      <c r="A53" s="54" t="s">
        <v>77</v>
      </c>
      <c r="B53" s="54">
        <f>IF(B24=2,IF(C37=1,1,0),0)</f>
        <v>1</v>
      </c>
      <c r="D53" s="58">
        <f>IF(D24=2,IF(C37=1,1,0),0)</f>
        <v>0</v>
      </c>
      <c r="E53" s="54">
        <f>IF(E24=2,IF(F37=1,1,0),0)</f>
        <v>0</v>
      </c>
      <c r="G53" s="58">
        <f>IF(G24=2,IF(F37=1,1,0),0)</f>
        <v>0</v>
      </c>
      <c r="H53" s="54">
        <f>IF(H24=2,IF(I37=1,1,0),0)</f>
        <v>0</v>
      </c>
      <c r="J53" s="58">
        <f>IF(J24=2,IF(I37=1,1,0),0)</f>
        <v>0</v>
      </c>
      <c r="K53" s="54">
        <f>IF(K24=2,IF(L37=1,1,0),0)</f>
        <v>0</v>
      </c>
      <c r="M53" s="58">
        <f>IF(M24=2,IF(L37=1,1,0),0)</f>
        <v>0</v>
      </c>
      <c r="N53" s="54">
        <f>IF(N24=2,IF(O37=1,1,0),0)</f>
        <v>0</v>
      </c>
      <c r="P53" s="58">
        <f>IF(P24=2,IF(O37=1,1,0),0)</f>
        <v>0</v>
      </c>
      <c r="Q53" s="54">
        <f>IF(Q24=2,IF(R37=1,1,0),0)</f>
        <v>0</v>
      </c>
      <c r="S53" s="58">
        <f>IF(S24=2,IF(R37=1,1,0),0)</f>
        <v>0</v>
      </c>
      <c r="T53" s="54">
        <f>IF(T24=2,IF(U37=1,1,0),0)</f>
        <v>1</v>
      </c>
      <c r="V53" s="58">
        <f>IF(V24=2,IF(U37=1,1,0),0)</f>
        <v>0</v>
      </c>
      <c r="W53" s="54">
        <f>IF(W24=2,IF(X37=1,1,0),0)</f>
        <v>0</v>
      </c>
      <c r="Y53" s="58">
        <f>IF(Y24=2,IF(X37=1,1,0),0)</f>
        <v>0</v>
      </c>
      <c r="Z53" s="54">
        <f>IF(Z24=2,IF(AA37=1,1,0),0)</f>
        <v>0</v>
      </c>
      <c r="AB53" s="58">
        <f>IF(AB24=2,IF(AA37=1,1,0),0)</f>
        <v>0</v>
      </c>
      <c r="AC53" s="54">
        <f>IF(AC24=2,IF(AD37=1,1,0),0)</f>
        <v>0</v>
      </c>
      <c r="AE53" s="58">
        <f>IF(AE24=2,IF(AD37=1,1,0),0)</f>
        <v>1</v>
      </c>
      <c r="AF53" s="54">
        <f>SUM(B53:AE53)</f>
        <v>3</v>
      </c>
      <c r="AW53" s="146"/>
    </row>
    <row r="54" spans="1:49" s="54" customFormat="1" ht="12.75" hidden="1" customHeight="1" x14ac:dyDescent="0.2">
      <c r="A54" s="54" t="s">
        <v>78</v>
      </c>
      <c r="B54" s="54">
        <f>IF(B24=3,IF(C37=1,1,0),0)</f>
        <v>0</v>
      </c>
      <c r="D54" s="58">
        <f>IF(D24=3,IF(C37=1,1,0),0)</f>
        <v>0</v>
      </c>
      <c r="E54" s="54">
        <f>IF(E24=3,IF(F37=1,1,0),0)</f>
        <v>0</v>
      </c>
      <c r="G54" s="58">
        <f>IF(G24=3,IF(F37=1,1,0),0)</f>
        <v>0</v>
      </c>
      <c r="H54" s="54">
        <f>IF(H24=3,IF(I37=1,1,0),0)</f>
        <v>0</v>
      </c>
      <c r="J54" s="58">
        <f>IF(J24=3,IF(I37=1,1,0),0)</f>
        <v>0</v>
      </c>
      <c r="K54" s="54">
        <f>IF(K24=3,IF(L37=1,1,0),0)</f>
        <v>0</v>
      </c>
      <c r="M54" s="58">
        <f>IF(M24=3,IF(L37=1,1,0),0)</f>
        <v>0</v>
      </c>
      <c r="N54" s="54">
        <f>IF(N24=3,IF(O37=1,1,0),0)</f>
        <v>0</v>
      </c>
      <c r="P54" s="58">
        <f>IF(P24=3,IF(O37=1,1,0),0)</f>
        <v>0</v>
      </c>
      <c r="Q54" s="54">
        <f>IF(Q24=3,IF(R37=1,1,0),0)</f>
        <v>0</v>
      </c>
      <c r="S54" s="58">
        <f>IF(S24=3,IF(R37=1,1,0),0)</f>
        <v>0</v>
      </c>
      <c r="T54" s="54">
        <f>IF(T24=3,IF(U37=1,1,0),0)</f>
        <v>0</v>
      </c>
      <c r="V54" s="58">
        <f>IF(V24=3,IF(U37=1,1,0),0)</f>
        <v>1</v>
      </c>
      <c r="W54" s="54">
        <f>IF(W24=3,IF(X37=1,1,0),0)</f>
        <v>0</v>
      </c>
      <c r="Y54" s="58">
        <f>IF(Y24=3,IF(X37=1,1,0),0)</f>
        <v>0</v>
      </c>
      <c r="Z54" s="54">
        <f>IF(Z24=3,IF(AA37=1,1,0),0)</f>
        <v>0</v>
      </c>
      <c r="AB54" s="58">
        <f>IF(AB24=3,IF(AA37=1,1,0),0)</f>
        <v>0</v>
      </c>
      <c r="AC54" s="54">
        <f>IF(AC24=3,IF(AD37=1,1,0),0)</f>
        <v>0</v>
      </c>
      <c r="AE54" s="58">
        <f>IF(AE24=3,IF(AD37=1,1,0),0)</f>
        <v>0</v>
      </c>
      <c r="AF54" s="54">
        <f>SUM(B54:AE54)</f>
        <v>1</v>
      </c>
      <c r="AW54" s="146"/>
    </row>
    <row r="55" spans="1:49" s="54" customFormat="1" ht="12.75" hidden="1" customHeight="1" x14ac:dyDescent="0.2">
      <c r="A55" s="54" t="s">
        <v>79</v>
      </c>
      <c r="B55" s="54">
        <f>IF(B24=4,IF(C37=1,1,0),0)</f>
        <v>0</v>
      </c>
      <c r="D55" s="58">
        <f>IF(D24=4,IF(C37=1,1,0),0)</f>
        <v>0</v>
      </c>
      <c r="E55" s="54">
        <f>IF(E24=4,IF(F37=1,1,0),0)</f>
        <v>0</v>
      </c>
      <c r="G55" s="58">
        <f>IF(G24=4,IF(F37=1,1,0),0)</f>
        <v>0</v>
      </c>
      <c r="H55" s="54">
        <f>IF(H24=4,IF(I37=1,1,0),0)</f>
        <v>0</v>
      </c>
      <c r="J55" s="58">
        <f>IF(J24=4,IF(I37=1,1,0),0)</f>
        <v>0</v>
      </c>
      <c r="K55" s="54">
        <f>IF(K24=4,IF(L37=1,1,0),0)</f>
        <v>0</v>
      </c>
      <c r="M55" s="58">
        <f>IF(M24=4,IF(L37=1,1,0),0)</f>
        <v>0</v>
      </c>
      <c r="N55" s="54">
        <f>IF(N24=4,IF(O37=1,1,0),0)</f>
        <v>0</v>
      </c>
      <c r="P55" s="58">
        <f>IF(P24=4,IF(O37=1,1,0),0)</f>
        <v>0</v>
      </c>
      <c r="Q55" s="54">
        <f>IF(Q24=4,IF(R37=1,1,0),0)</f>
        <v>0</v>
      </c>
      <c r="S55" s="58">
        <f>IF(S24=4,IF(R37=1,1,0),0)</f>
        <v>0</v>
      </c>
      <c r="T55" s="54">
        <f>IF(T24=4,IF(U37=1,1,0),0)</f>
        <v>0</v>
      </c>
      <c r="V55" s="58">
        <f>IF(V24=4,IF(U37=1,1,0),0)</f>
        <v>0</v>
      </c>
      <c r="W55" s="54">
        <f>IF(W24=4,IF(X37=1,1,0),0)</f>
        <v>0</v>
      </c>
      <c r="Y55" s="58">
        <f>IF(Y24=4,IF(X37=1,1,0),0)</f>
        <v>0</v>
      </c>
      <c r="Z55" s="54">
        <f>IF(Z24=4,IF(AA37=1,1,0),0)</f>
        <v>0</v>
      </c>
      <c r="AB55" s="58">
        <f>IF(AB24=4,IF(AA37=1,1,0),0)</f>
        <v>0</v>
      </c>
      <c r="AC55" s="54">
        <f>IF(AC24=4,IF(AD37=1,1,0),0)</f>
        <v>0</v>
      </c>
      <c r="AE55" s="58">
        <f>IF(AE24=4,IF(AD37=1,1,0),0)</f>
        <v>0</v>
      </c>
      <c r="AF55" s="54">
        <f>SUM(B55:AE55)</f>
        <v>0</v>
      </c>
      <c r="AW55" s="146"/>
    </row>
    <row r="56" spans="1:49" s="54" customFormat="1" ht="12.75" hidden="1" customHeight="1" x14ac:dyDescent="0.2">
      <c r="A56" s="54" t="s">
        <v>80</v>
      </c>
      <c r="B56" s="54">
        <f>IF(B24=5,IF(C37=1,1,0),0)</f>
        <v>0</v>
      </c>
      <c r="D56" s="58">
        <f>IF(D24=5,IF(C37=1,1,0),0)</f>
        <v>1</v>
      </c>
      <c r="E56" s="54">
        <f>IF(E24=5,IF(F37=1,1,0),0)</f>
        <v>0</v>
      </c>
      <c r="G56" s="58">
        <f>IF(G24=5,IF(F37=1,1,0),0)</f>
        <v>0</v>
      </c>
      <c r="H56" s="54">
        <f>IF(H24=5,IF(I37=1,1,0),0)</f>
        <v>0</v>
      </c>
      <c r="J56" s="58">
        <f>IF(J24=5,IF(I37=1,1,0),0)</f>
        <v>0</v>
      </c>
      <c r="K56" s="54">
        <f>IF(K24=5,IF(L37=1,1,0),0)</f>
        <v>0</v>
      </c>
      <c r="M56" s="58">
        <f>IF(M24=5,IF(L37=1,1,0),0)</f>
        <v>0</v>
      </c>
      <c r="N56" s="54">
        <f>IF(N24=5,IF(O37=1,1,0),0)</f>
        <v>0</v>
      </c>
      <c r="P56" s="58">
        <f>IF(P24=5,IF(O37=1,1,0),0)</f>
        <v>0</v>
      </c>
      <c r="Q56" s="54">
        <f>IF(Q24=5,IF(R37=1,1,0),0)</f>
        <v>0</v>
      </c>
      <c r="S56" s="58">
        <f>IF(S24=5,IF(R37=1,1,0),0)</f>
        <v>0</v>
      </c>
      <c r="T56" s="54">
        <f>IF(T24=5,IF(U37=1,1,0),0)</f>
        <v>0</v>
      </c>
      <c r="V56" s="58">
        <f>IF(V24=5,IF(U37=1,1,0),0)</f>
        <v>0</v>
      </c>
      <c r="W56" s="54">
        <f>IF(W24=5,IF(X37=1,1,0),0)</f>
        <v>0</v>
      </c>
      <c r="Y56" s="58">
        <f>IF(Y24=5,IF(X37=1,1,0),0)</f>
        <v>1</v>
      </c>
      <c r="Z56" s="54">
        <f>IF(Z24=5,IF(AA37=1,1,0),0)</f>
        <v>0</v>
      </c>
      <c r="AB56" s="58">
        <f>IF(AB24=5,IF(AA37=1,1,0),0)</f>
        <v>0</v>
      </c>
      <c r="AC56" s="54">
        <f>IF(AC24=5,IF(AD37=1,1,0),0)</f>
        <v>0</v>
      </c>
      <c r="AE56" s="58">
        <f>IF(AE24=5,IF(AD37=1,1,0),0)</f>
        <v>0</v>
      </c>
      <c r="AF56" s="54">
        <f>SUM(B56:AE56)</f>
        <v>2</v>
      </c>
      <c r="AW56" s="146"/>
    </row>
    <row r="57" spans="1:49" s="54" customFormat="1" ht="38.25" hidden="1" customHeight="1" x14ac:dyDescent="0.2">
      <c r="A57" s="57"/>
      <c r="D57" s="58"/>
      <c r="G57" s="58"/>
      <c r="J57" s="58"/>
      <c r="M57" s="58"/>
      <c r="P57" s="58"/>
      <c r="S57" s="58"/>
      <c r="V57" s="58"/>
      <c r="Y57" s="58"/>
      <c r="AB57" s="58"/>
      <c r="AE57" s="58"/>
      <c r="AF57" s="57" t="s">
        <v>81</v>
      </c>
      <c r="AG57" s="789"/>
      <c r="AH57" s="789"/>
      <c r="AI57" s="789"/>
      <c r="AJ57" s="789"/>
      <c r="AK57" s="789"/>
      <c r="AW57" s="146"/>
    </row>
    <row r="58" spans="1:49" s="54" customFormat="1" ht="12.75" hidden="1" customHeight="1" x14ac:dyDescent="0.2">
      <c r="A58" s="54" t="s">
        <v>76</v>
      </c>
      <c r="B58" s="54">
        <f>IF(B24=1,B44,0)</f>
        <v>0</v>
      </c>
      <c r="D58" s="58">
        <f>IF(D24=1,B44,0)</f>
        <v>0</v>
      </c>
      <c r="E58" s="54">
        <f>IF(E24=1,E44,0)</f>
        <v>51</v>
      </c>
      <c r="G58" s="58">
        <f>IF(G24=1,E44,0)</f>
        <v>0</v>
      </c>
      <c r="H58" s="54">
        <f>IF(H24=1,H44,0)</f>
        <v>0</v>
      </c>
      <c r="J58" s="58">
        <f>IF(J24=1,H44,0)</f>
        <v>0</v>
      </c>
      <c r="K58" s="54">
        <f>IF(K24=1,K44,0)</f>
        <v>0</v>
      </c>
      <c r="M58" s="58">
        <f>IF(M24=1,K44,0)</f>
        <v>0</v>
      </c>
      <c r="N58" s="54">
        <f>IF(N24=1,N44,0)</f>
        <v>50</v>
      </c>
      <c r="P58" s="58">
        <f>IF(P24=1,N44,0)</f>
        <v>0</v>
      </c>
      <c r="Q58" s="54">
        <f>IF(Q24=1,Q44,0)</f>
        <v>0</v>
      </c>
      <c r="S58" s="58">
        <f>IF(S24=1,Q44,0)</f>
        <v>0</v>
      </c>
      <c r="T58" s="54">
        <f>IF(T24=1,T44,0)</f>
        <v>0</v>
      </c>
      <c r="V58" s="58">
        <f>IF(V24=1,T44,0)</f>
        <v>0</v>
      </c>
      <c r="W58" s="54">
        <f>IF(W24=1,W44,0)</f>
        <v>50</v>
      </c>
      <c r="Y58" s="58">
        <f>IF(Y24=1,W44,0)</f>
        <v>0</v>
      </c>
      <c r="Z58" s="54">
        <f>IF(Z24=1,Z44,0)</f>
        <v>0</v>
      </c>
      <c r="AB58" s="58">
        <f>IF(AB24=1,Z44,0)</f>
        <v>0</v>
      </c>
      <c r="AC58" s="54">
        <f>IF(AC24=1,AC44,0)</f>
        <v>50</v>
      </c>
      <c r="AE58" s="58">
        <f>IF(AE24=1,AC44,0)</f>
        <v>0</v>
      </c>
      <c r="AF58" s="54">
        <f>SUM(B58:AE58)</f>
        <v>201</v>
      </c>
      <c r="AW58" s="146"/>
    </row>
    <row r="59" spans="1:49" s="54" customFormat="1" ht="12.75" hidden="1" customHeight="1" x14ac:dyDescent="0.2">
      <c r="A59" s="54" t="s">
        <v>77</v>
      </c>
      <c r="B59" s="54">
        <f>IF(B24=2,B44,0)</f>
        <v>50</v>
      </c>
      <c r="D59" s="58">
        <f>IF(D24=2,B44,0)</f>
        <v>0</v>
      </c>
      <c r="E59" s="54">
        <f>IF(E24=2,E44,0)</f>
        <v>0</v>
      </c>
      <c r="G59" s="58">
        <f>IF(G24=2,E44,0)</f>
        <v>0</v>
      </c>
      <c r="H59" s="54">
        <f>IF(H24=2,H44,0)</f>
        <v>0</v>
      </c>
      <c r="J59" s="58">
        <f>IF(J24=2,H44,0)</f>
        <v>0</v>
      </c>
      <c r="K59" s="54">
        <f>IF(K24=2,K44,0)</f>
        <v>52</v>
      </c>
      <c r="M59" s="58">
        <f>IF(M24=2,K44,0)</f>
        <v>0</v>
      </c>
      <c r="N59" s="54">
        <f>IF(N24=2,N44,0)</f>
        <v>0</v>
      </c>
      <c r="P59" s="58">
        <f>IF(P24=2,N44,0)</f>
        <v>0</v>
      </c>
      <c r="Q59" s="54">
        <f>IF(Q24=2,Q44,0)</f>
        <v>0</v>
      </c>
      <c r="S59" s="58">
        <f>IF(S24=2,Q44,0)</f>
        <v>0</v>
      </c>
      <c r="T59" s="54">
        <f>IF(T24=2,T44,0)</f>
        <v>52</v>
      </c>
      <c r="V59" s="58">
        <f>IF(V24=2,T44,0)</f>
        <v>0</v>
      </c>
      <c r="W59" s="54">
        <f>IF(W24=2,W44,0)</f>
        <v>0</v>
      </c>
      <c r="Y59" s="58">
        <f>IF(Y24=2,W44,0)</f>
        <v>0</v>
      </c>
      <c r="Z59" s="54">
        <f>IF(Z24=2,Z44,0)</f>
        <v>0</v>
      </c>
      <c r="AB59" s="58">
        <f>IF(AB24=2,Z44,0)</f>
        <v>0</v>
      </c>
      <c r="AC59" s="54">
        <f>IF(AC24=2,AC44,0)</f>
        <v>0</v>
      </c>
      <c r="AE59" s="58">
        <f>IF(AE24=2,AC44,0)</f>
        <v>50</v>
      </c>
      <c r="AF59" s="54">
        <f>SUM(B59:AE59)</f>
        <v>204</v>
      </c>
      <c r="AW59" s="146"/>
    </row>
    <row r="60" spans="1:49" s="54" customFormat="1" ht="12.75" hidden="1" customHeight="1" x14ac:dyDescent="0.2">
      <c r="A60" s="54" t="s">
        <v>78</v>
      </c>
      <c r="B60" s="54">
        <f>IF(B24=3,B44,0)</f>
        <v>0</v>
      </c>
      <c r="D60" s="58">
        <f>IF(D24=3,B44,0)</f>
        <v>0</v>
      </c>
      <c r="E60" s="54">
        <f>IF(E24=3,E44,0)</f>
        <v>0</v>
      </c>
      <c r="G60" s="58">
        <f>IF(G24=3,E44,0)</f>
        <v>0</v>
      </c>
      <c r="H60" s="54">
        <f>IF(H24=3,H44,0)</f>
        <v>50</v>
      </c>
      <c r="J60" s="58">
        <f>IF(J24=3,H44,0)</f>
        <v>0</v>
      </c>
      <c r="K60" s="54">
        <f>IF(K24=3,K44,0)</f>
        <v>0</v>
      </c>
      <c r="M60" s="58">
        <f>IF(M24=3,K44,0)</f>
        <v>0</v>
      </c>
      <c r="N60" s="54">
        <f>IF(N24=3,N44,0)</f>
        <v>0</v>
      </c>
      <c r="P60" s="58">
        <f>IF(P24=3,N44,0)</f>
        <v>50</v>
      </c>
      <c r="Q60" s="54">
        <f>IF(Q24=3,Q44,0)</f>
        <v>0</v>
      </c>
      <c r="S60" s="58">
        <f>IF(S24=3,Q44,0)</f>
        <v>0</v>
      </c>
      <c r="T60" s="54">
        <f>IF(T24=3,T44,0)</f>
        <v>0</v>
      </c>
      <c r="V60" s="58">
        <f>IF(V24=3,T44,0)</f>
        <v>52</v>
      </c>
      <c r="W60" s="54">
        <f>IF(W24=3,W44,0)</f>
        <v>0</v>
      </c>
      <c r="Y60" s="58">
        <f>IF(Y24=3,W44,0)</f>
        <v>0</v>
      </c>
      <c r="Z60" s="54">
        <f>IF(Z24=3,Z44,0)</f>
        <v>50</v>
      </c>
      <c r="AB60" s="58">
        <f>IF(AB24=3,Z44,0)</f>
        <v>0</v>
      </c>
      <c r="AC60" s="54">
        <f>IF(AC24=3,AC44,0)</f>
        <v>0</v>
      </c>
      <c r="AE60" s="58">
        <f>IF(AE24=3,AC44,0)</f>
        <v>0</v>
      </c>
      <c r="AF60" s="54">
        <f>SUM(B60:AE60)</f>
        <v>202</v>
      </c>
      <c r="AW60" s="146"/>
    </row>
    <row r="61" spans="1:49" s="54" customFormat="1" ht="12.75" hidden="1" customHeight="1" x14ac:dyDescent="0.2">
      <c r="A61" s="54" t="s">
        <v>79</v>
      </c>
      <c r="B61" s="54">
        <f>IF(B24=4,B44,0)</f>
        <v>0</v>
      </c>
      <c r="D61" s="58">
        <f>IF(D24=4,B44,0)</f>
        <v>0</v>
      </c>
      <c r="E61" s="54">
        <f>IF(E24=4,E44,0)</f>
        <v>0</v>
      </c>
      <c r="G61" s="58">
        <f>IF(G24=4,E44,0)</f>
        <v>51</v>
      </c>
      <c r="H61" s="54">
        <f>IF(H24=4,H44,0)</f>
        <v>0</v>
      </c>
      <c r="J61" s="58">
        <f>IF(J24=4,H44,0)</f>
        <v>0</v>
      </c>
      <c r="K61" s="54">
        <f>IF(K24=4,K44,0)</f>
        <v>0</v>
      </c>
      <c r="M61" s="58">
        <f>IF(M24=4,K44,0)</f>
        <v>52</v>
      </c>
      <c r="N61" s="54">
        <f>IF(N24=4,N44,0)</f>
        <v>0</v>
      </c>
      <c r="P61" s="58">
        <f>IF(P24=4,N44,0)</f>
        <v>0</v>
      </c>
      <c r="Q61" s="54">
        <f>IF(Q24=4,Q44,0)</f>
        <v>50</v>
      </c>
      <c r="S61" s="58">
        <f>IF(S24=4,Q44,0)</f>
        <v>0</v>
      </c>
      <c r="T61" s="54">
        <f>IF(T24=4,T44,0)</f>
        <v>0</v>
      </c>
      <c r="V61" s="58">
        <f>IF(V24=4,T44,0)</f>
        <v>0</v>
      </c>
      <c r="W61" s="54">
        <f>IF(W24=4,W44,0)</f>
        <v>0</v>
      </c>
      <c r="Y61" s="58">
        <f>IF(Y24=4,W44,0)</f>
        <v>0</v>
      </c>
      <c r="Z61" s="54">
        <f>IF(Z24=4,Z44,0)</f>
        <v>0</v>
      </c>
      <c r="AB61" s="58">
        <f>IF(AB24=4,Z44,0)</f>
        <v>50</v>
      </c>
      <c r="AC61" s="54">
        <f>IF(AC24=4,AC44,0)</f>
        <v>0</v>
      </c>
      <c r="AE61" s="58">
        <f>IF(AE24=4,AC44,0)</f>
        <v>0</v>
      </c>
      <c r="AF61" s="54">
        <f>SUM(B61:AE61)</f>
        <v>203</v>
      </c>
      <c r="AW61" s="146"/>
    </row>
    <row r="62" spans="1:49" s="54" customFormat="1" ht="12.75" hidden="1" customHeight="1" x14ac:dyDescent="0.2">
      <c r="A62" s="54" t="s">
        <v>80</v>
      </c>
      <c r="B62" s="54">
        <f>IF(B24=5,B44,0)</f>
        <v>0</v>
      </c>
      <c r="D62" s="58">
        <f>IF(D24=5,B44,0)</f>
        <v>50</v>
      </c>
      <c r="E62" s="54">
        <f>IF(E24=5,E44,0)</f>
        <v>0</v>
      </c>
      <c r="G62" s="58">
        <f>IF(G24=5,E44,0)</f>
        <v>0</v>
      </c>
      <c r="H62" s="54">
        <f>IF(H24=5,H44,0)</f>
        <v>0</v>
      </c>
      <c r="J62" s="58">
        <f>IF(J24=5,H44,0)</f>
        <v>50</v>
      </c>
      <c r="K62" s="54">
        <f>IF(K24=5,K44,0)</f>
        <v>0</v>
      </c>
      <c r="M62" s="58">
        <f>IF(M24=5,K44,0)</f>
        <v>0</v>
      </c>
      <c r="N62" s="54">
        <f>IF(N24=5,N44,0)</f>
        <v>0</v>
      </c>
      <c r="P62" s="58">
        <f>IF(P24=5,N44,0)</f>
        <v>0</v>
      </c>
      <c r="Q62" s="54">
        <f>IF(Q24=5,Q44,0)</f>
        <v>0</v>
      </c>
      <c r="S62" s="58">
        <f>IF(S24=5,Q44,0)</f>
        <v>50</v>
      </c>
      <c r="T62" s="54">
        <f>IF(T24=5,T44,0)</f>
        <v>0</v>
      </c>
      <c r="V62" s="58">
        <f>IF(V24=5,T44,0)</f>
        <v>0</v>
      </c>
      <c r="W62" s="54">
        <f>IF(W24=5,W44,0)</f>
        <v>0</v>
      </c>
      <c r="Y62" s="58">
        <f>IF(Y24=5,W44,0)</f>
        <v>50</v>
      </c>
      <c r="Z62" s="54">
        <f>IF(Z24=5,Z44,0)</f>
        <v>0</v>
      </c>
      <c r="AB62" s="58">
        <f>IF(AB24=5,Z44,0)</f>
        <v>0</v>
      </c>
      <c r="AC62" s="54">
        <f>IF(AC24=5,AC44,0)</f>
        <v>0</v>
      </c>
      <c r="AE62" s="58">
        <f>IF(AE24=5,AC44,0)</f>
        <v>0</v>
      </c>
      <c r="AF62" s="54">
        <f>SUM(B62:AE62)</f>
        <v>200</v>
      </c>
      <c r="AW62" s="146"/>
    </row>
    <row r="63" spans="1:49" s="54" customFormat="1" ht="38.25" hidden="1" customHeight="1" x14ac:dyDescent="0.2">
      <c r="A63" s="54" t="s">
        <v>82</v>
      </c>
      <c r="D63" s="58"/>
      <c r="G63" s="58"/>
      <c r="J63" s="58"/>
      <c r="M63" s="58"/>
      <c r="P63" s="58"/>
      <c r="S63" s="58"/>
      <c r="V63" s="58"/>
      <c r="Y63" s="58"/>
      <c r="AB63" s="58"/>
      <c r="AE63" s="58"/>
      <c r="AF63" s="57" t="s">
        <v>83</v>
      </c>
      <c r="AG63" s="54" t="s">
        <v>84</v>
      </c>
      <c r="AW63" s="146"/>
    </row>
    <row r="64" spans="1:49" s="54" customFormat="1" ht="12.75" hidden="1" customHeight="1" x14ac:dyDescent="0.2">
      <c r="A64" s="54" t="s">
        <v>70</v>
      </c>
      <c r="B64" s="54">
        <f>IF(B24=1,SUMIF(B31:B35,"&gt;0"),0)</f>
        <v>0</v>
      </c>
      <c r="D64" s="58">
        <f>IF(D24=1,SUMIF(D31:D35,"&gt;0"),0)</f>
        <v>0</v>
      </c>
      <c r="E64" s="54">
        <f>IF(E24=1,SUMIF(E31:E35,"&gt;0"),0)</f>
        <v>1</v>
      </c>
      <c r="G64" s="58">
        <f>IF(G24=1,SUMIF(G31:G35,"&gt;0"),0)</f>
        <v>0</v>
      </c>
      <c r="H64" s="54">
        <f>IF(H24=1,SUMIF(H31:H35,"&gt;0"),0)</f>
        <v>0</v>
      </c>
      <c r="J64" s="58">
        <f>IF(J24=1,SUMIF(J31:J35,"&gt;0"),0)</f>
        <v>0</v>
      </c>
      <c r="K64" s="54">
        <f>IF(K24=1,SUMIF(K31:K35,"&gt;0"),0)</f>
        <v>0</v>
      </c>
      <c r="M64" s="58">
        <f>IF(M24=1,SUMIF(M31:M35,"&gt;0"),0)</f>
        <v>0</v>
      </c>
      <c r="N64" s="54">
        <f>IF(N24=1,SUMIF(N31:N35,"&gt;0"),0)</f>
        <v>1</v>
      </c>
      <c r="P64" s="58">
        <f>IF(P24=1,SUMIF(P31:P35,"&gt;0"),0)</f>
        <v>0</v>
      </c>
      <c r="Q64" s="54">
        <f>IF(Q24=1,SUMIF(Q31:Q35,"&gt;0"),0)</f>
        <v>0</v>
      </c>
      <c r="S64" s="58">
        <f>IF(S24=1,SUMIF(S31:S35,"&gt;0"),0)</f>
        <v>0</v>
      </c>
      <c r="T64" s="54">
        <f>IF(T24=1,SUMIF(T31:T35,"&gt;0"),0)</f>
        <v>0</v>
      </c>
      <c r="V64" s="58">
        <f>IF(V24=1,SUMIF(V31:V35,"&gt;0"),0)</f>
        <v>0</v>
      </c>
      <c r="W64" s="54">
        <f>IF(W24=1,SUMIF(W31:W35,"&gt;0"),0)</f>
        <v>2</v>
      </c>
      <c r="Y64" s="58">
        <f>IF(Y24=1,SUMIF(Y31:Y35,"&gt;0"),0)</f>
        <v>0</v>
      </c>
      <c r="Z64" s="54">
        <f>IF(Z24=1,SUMIF(Z31:Z35,"&gt;0"),0)</f>
        <v>0</v>
      </c>
      <c r="AB64" s="58">
        <f>IF(AB24=1,SUMIF(AB31:AB35,"&gt;0"),0)</f>
        <v>0</v>
      </c>
      <c r="AC64" s="54">
        <f>IF(AC24=1,SUMIF(AC31:AC35,"&gt;0"),0)</f>
        <v>2</v>
      </c>
      <c r="AE64" s="58">
        <f>IF(AE24=1,SUMIF(AE31:AE35,"&gt;0"),0)</f>
        <v>0</v>
      </c>
      <c r="AF64" s="54">
        <f>SUM(B64:AE64)</f>
        <v>6</v>
      </c>
      <c r="AG64" s="54">
        <f>AF72-AF64</f>
        <v>2</v>
      </c>
      <c r="AW64" s="146"/>
    </row>
    <row r="65" spans="1:54" s="54" customFormat="1" ht="12.75" hidden="1" customHeight="1" x14ac:dyDescent="0.2">
      <c r="A65" s="54" t="s">
        <v>71</v>
      </c>
      <c r="B65" s="54">
        <f>IF(B24=2,SUMIF(B31:B35,"&gt;0"),0)</f>
        <v>2</v>
      </c>
      <c r="D65" s="58">
        <f>IF(D24=2,SUMIF(D31:D35,"&gt;0"),0)</f>
        <v>0</v>
      </c>
      <c r="E65" s="54">
        <f>IF(E24=2,SUMIF(E31:E35,"&gt;0"),0)</f>
        <v>0</v>
      </c>
      <c r="G65" s="58">
        <f>IF(G24=2,SUMIF(G31:G35,"&gt;0"),0)</f>
        <v>0</v>
      </c>
      <c r="H65" s="54">
        <f>IF(H24=2,SUMIF(H31:H35,"&gt;0"),0)</f>
        <v>0</v>
      </c>
      <c r="J65" s="58">
        <f>IF(J24=2,SUMIF(J31:J35,"&gt;0"),0)</f>
        <v>0</v>
      </c>
      <c r="K65" s="54">
        <f>IF(K24=2,SUMIF(K31:K35,"&gt;0"),0)</f>
        <v>1</v>
      </c>
      <c r="M65" s="58">
        <f>IF(M24=2,SUMIF(M31:M35,"&gt;0"),0)</f>
        <v>0</v>
      </c>
      <c r="N65" s="54">
        <f>IF(N24=2,SUMIF(N31:N35,"&gt;0"),0)</f>
        <v>0</v>
      </c>
      <c r="P65" s="58">
        <f>IF(P24=2,SUMIF(P31:P35,"&gt;0"),0)</f>
        <v>0</v>
      </c>
      <c r="Q65" s="54">
        <f>IF(Q24=2,SUMIF(Q31:Q35,"&gt;0"),0)</f>
        <v>0</v>
      </c>
      <c r="S65" s="58">
        <f>IF(S24=2,SUMIF(S31:S35,"&gt;0"),0)</f>
        <v>0</v>
      </c>
      <c r="T65" s="54">
        <f>IF(T24=2,SUMIF(T31:T35,"&gt;0"),0)</f>
        <v>2</v>
      </c>
      <c r="V65" s="58">
        <f>IF(V24=2,SUMIF(V31:V35,"&gt;0"),0)</f>
        <v>0</v>
      </c>
      <c r="W65" s="54">
        <f>IF(W24=2,SUMIF(W31:W35,"&gt;0"),0)</f>
        <v>0</v>
      </c>
      <c r="Y65" s="58">
        <f>IF(Y24=2,SUMIF(Y31:Y35,"&gt;0"),0)</f>
        <v>0</v>
      </c>
      <c r="Z65" s="54">
        <f>IF(Z24=2,SUMIF(Z31:Z35,"&gt;0"),0)</f>
        <v>0</v>
      </c>
      <c r="AB65" s="58">
        <f>IF(AB24=2,SUMIF(AB31:AB35,"&gt;0"),0)</f>
        <v>0</v>
      </c>
      <c r="AC65" s="54">
        <f>IF(AC24=2,SUMIF(AC31:AC35,"&gt;0"),0)</f>
        <v>0</v>
      </c>
      <c r="AE65" s="58">
        <f>IF(AE24=2,SUMIF(AE31:AE35,"&gt;0"),0)</f>
        <v>0</v>
      </c>
      <c r="AF65" s="54">
        <f>SUM(B65:AE65)</f>
        <v>5</v>
      </c>
      <c r="AG65" s="54">
        <f>AF73-AF65</f>
        <v>3</v>
      </c>
      <c r="AW65" s="146"/>
    </row>
    <row r="66" spans="1:54" s="54" customFormat="1" ht="12.75" hidden="1" customHeight="1" x14ac:dyDescent="0.2">
      <c r="A66" s="54" t="s">
        <v>72</v>
      </c>
      <c r="B66" s="54">
        <f>IF(B24=3,SUMIF(B31:B35,"&gt;0"),0)</f>
        <v>0</v>
      </c>
      <c r="D66" s="58">
        <f>IF(D24=3,SUMIF(D31:D35,"&gt;0"),0)</f>
        <v>0</v>
      </c>
      <c r="E66" s="54">
        <f>IF(E24=3,SUMIF(E31:E35,"&gt;0"),0)</f>
        <v>0</v>
      </c>
      <c r="G66" s="58">
        <f>IF(G24=3,SUMIF(G31:G35,"&gt;0"),0)</f>
        <v>0</v>
      </c>
      <c r="H66" s="54">
        <f>IF(H24=3,SUMIF(H31:H35,"&gt;0"),0)</f>
        <v>1</v>
      </c>
      <c r="J66" s="58">
        <f>IF(J24=3,SUMIF(J31:J35,"&gt;0"),0)</f>
        <v>0</v>
      </c>
      <c r="K66" s="54">
        <f>IF(K24=3,SUMIF(K31:K35,"&gt;0"),0)</f>
        <v>0</v>
      </c>
      <c r="M66" s="58">
        <f>IF(M24=3,SUMIF(M31:M35,"&gt;0"),0)</f>
        <v>0</v>
      </c>
      <c r="N66" s="54">
        <f>IF(N24=3,SUMIF(N31:N35,"&gt;0"),0)</f>
        <v>0</v>
      </c>
      <c r="P66" s="58">
        <f>IF(P24=3,SUMIF(P31:P35,"&gt;0"),0)</f>
        <v>1</v>
      </c>
      <c r="Q66" s="54">
        <f>IF(Q24=3,SUMIF(Q31:Q35,"&gt;0"),0)</f>
        <v>0</v>
      </c>
      <c r="S66" s="58">
        <f>IF(S24=3,SUMIF(S31:S35,"&gt;0"),0)</f>
        <v>0</v>
      </c>
      <c r="T66" s="54">
        <f>IF(T24=3,SUMIF(T31:T35,"&gt;0"),0)</f>
        <v>0</v>
      </c>
      <c r="V66" s="58">
        <f>IF(V24=3,SUMIF(V31:V35,"&gt;0"),0)</f>
        <v>0</v>
      </c>
      <c r="W66" s="54">
        <f>IF(W24=3,SUMIF(W31:W35,"&gt;0"),0)</f>
        <v>0</v>
      </c>
      <c r="Y66" s="58">
        <f>IF(Y24=3,SUMIF(Y31:Y35,"&gt;0"),0)</f>
        <v>0</v>
      </c>
      <c r="Z66" s="54">
        <f>IF(Z24=3,SUMIF(Z31:Z35,"&gt;0"),0)</f>
        <v>1</v>
      </c>
      <c r="AB66" s="58">
        <f>IF(AB24=3,SUMIF(AB31:AB35,"&gt;0"),0)</f>
        <v>0</v>
      </c>
      <c r="AC66" s="54">
        <f>IF(AC24=3,SUMIF(AC31:AC35,"&gt;0"),0)</f>
        <v>0</v>
      </c>
      <c r="AE66" s="58">
        <f>IF(AE24=3,SUMIF(AE31:AE35,"&gt;0"),0)</f>
        <v>0</v>
      </c>
      <c r="AF66" s="54">
        <f>SUM(B66:AE66)</f>
        <v>3</v>
      </c>
      <c r="AG66" s="54">
        <f>AF74-AF66</f>
        <v>5</v>
      </c>
      <c r="AW66" s="146"/>
    </row>
    <row r="67" spans="1:54" s="54" customFormat="1" ht="12.75" hidden="1" customHeight="1" x14ac:dyDescent="0.2">
      <c r="A67" s="54" t="s">
        <v>73</v>
      </c>
      <c r="B67" s="54">
        <f>IF(B24=4,SUMIF(B31:B35,"&gt;0"),0)</f>
        <v>0</v>
      </c>
      <c r="D67" s="58">
        <f>IF(D24=4,SUMIF(D31:D35,"&gt;0"),0)</f>
        <v>0</v>
      </c>
      <c r="E67" s="54">
        <f>IF(E24=4,SUMIF(E31:E35,"&gt;0"),0)</f>
        <v>0</v>
      </c>
      <c r="G67" s="58">
        <f>IF(G24=4,SUMIF(G31:G35,"&gt;0"),0)</f>
        <v>1</v>
      </c>
      <c r="H67" s="54">
        <f>IF(H24=4,SUMIF(H31:H35,"&gt;0"),0)</f>
        <v>0</v>
      </c>
      <c r="J67" s="58">
        <f>IF(J24=4,SUMIF(J31:J35,"&gt;0"),0)</f>
        <v>0</v>
      </c>
      <c r="K67" s="54">
        <f>IF(K24=4,SUMIF(K31:K35,"&gt;0"),0)</f>
        <v>0</v>
      </c>
      <c r="M67" s="58">
        <f>IF(M24=4,SUMIF(M31:M35,"&gt;0"),0)</f>
        <v>1</v>
      </c>
      <c r="N67" s="54">
        <f>IF(N24=4,SUMIF(N31:N35,"&gt;0"),0)</f>
        <v>0</v>
      </c>
      <c r="P67" s="58">
        <f>IF(P24=4,SUMIF(P31:P35,"&gt;0"),0)</f>
        <v>0</v>
      </c>
      <c r="Q67" s="54">
        <f>IF(Q24=4,SUMIF(Q31:Q35,"&gt;0"),0)</f>
        <v>1</v>
      </c>
      <c r="S67" s="58">
        <f>IF(S24=4,SUMIF(S31:S35,"&gt;0"),0)</f>
        <v>0</v>
      </c>
      <c r="T67" s="54">
        <f>IF(T24=4,SUMIF(T31:T35,"&gt;0"),0)</f>
        <v>0</v>
      </c>
      <c r="V67" s="58">
        <f>IF(V24=4,SUMIF(V31:V35,"&gt;0"),0)</f>
        <v>0</v>
      </c>
      <c r="W67" s="54">
        <f>IF(W24=4,SUMIF(W31:W35,"&gt;0"),0)</f>
        <v>0</v>
      </c>
      <c r="Y67" s="58">
        <f>IF(Y24=4,SUMIF(Y31:Y35,"&gt;0"),0)</f>
        <v>0</v>
      </c>
      <c r="Z67" s="54">
        <f>IF(Z24=4,SUMIF(Z31:Z35,"&gt;0"),0)</f>
        <v>0</v>
      </c>
      <c r="AB67" s="58">
        <f>IF(AB24=4,SUMIF(AB31:AB35,"&gt;0"),0)</f>
        <v>1</v>
      </c>
      <c r="AC67" s="54">
        <f>IF(AC24=4,SUMIF(AC31:AC35,"&gt;0"),0)</f>
        <v>0</v>
      </c>
      <c r="AE67" s="58">
        <f>IF(AE24=4,SUMIF(AE31:AE35,"&gt;0"),0)</f>
        <v>0</v>
      </c>
      <c r="AF67" s="54">
        <f>SUM(B67:AE67)</f>
        <v>4</v>
      </c>
      <c r="AG67" s="54">
        <f>AF75-AF67</f>
        <v>4</v>
      </c>
      <c r="AW67" s="146"/>
    </row>
    <row r="68" spans="1:54" s="54" customFormat="1" ht="12.75" hidden="1" customHeight="1" x14ac:dyDescent="0.2">
      <c r="A68" s="54" t="s">
        <v>74</v>
      </c>
      <c r="B68" s="54">
        <f>IF(B24=5,SUMIF(B31:B35,"&gt;0"),0)</f>
        <v>0</v>
      </c>
      <c r="D68" s="58">
        <f>IF(D24=5,SUMIF(D31:D35,"&gt;0"),0)</f>
        <v>0</v>
      </c>
      <c r="E68" s="54">
        <f>IF(E24=5,SUMIF(E31:E35,"&gt;0"),0)</f>
        <v>0</v>
      </c>
      <c r="G68" s="58">
        <f>IF(G24=5,SUMIF(G31:G35,"&gt;0"),0)</f>
        <v>0</v>
      </c>
      <c r="H68" s="54">
        <f>IF(H24=5,SUMIF(H31:H35,"&gt;0"),0)</f>
        <v>0</v>
      </c>
      <c r="J68" s="58">
        <f>IF(J24=5,SUMIF(J31:J35,"&gt;0"),0)</f>
        <v>1</v>
      </c>
      <c r="K68" s="54">
        <f>IF(K24=5,SUMIF(K31:K35,"&gt;0"),0)</f>
        <v>0</v>
      </c>
      <c r="M68" s="58">
        <f>IF(M24=5,SUMIF(M31:M35,"&gt;0"),0)</f>
        <v>0</v>
      </c>
      <c r="N68" s="54">
        <f>IF(N24=5,SUMIF(N31:N35,"&gt;0"),0)</f>
        <v>0</v>
      </c>
      <c r="P68" s="58">
        <f>IF(P24=5,SUMIF(P31:P35,"&gt;0"),0)</f>
        <v>0</v>
      </c>
      <c r="Q68" s="54">
        <f>IF(Q24=5,SUMIF(Q31:Q35,"&gt;0"),0)</f>
        <v>0</v>
      </c>
      <c r="S68" s="58">
        <f>IF(S24=5,SUMIF(S31:S35,"&gt;0"),0)</f>
        <v>1</v>
      </c>
      <c r="T68" s="54">
        <f>IF(T24=5,SUMIF(T31:T35,"&gt;0"),0)</f>
        <v>0</v>
      </c>
      <c r="V68" s="58">
        <f>IF(V24=5,SUMIF(V31:V35,"&gt;0"),0)</f>
        <v>0</v>
      </c>
      <c r="W68" s="54">
        <f>IF(W24=5,SUMIF(W31:W35,"&gt;0"),0)</f>
        <v>0</v>
      </c>
      <c r="Y68" s="58">
        <f>IF(Y24=5,SUMIF(Y31:Y35,"&gt;0"),0)</f>
        <v>0</v>
      </c>
      <c r="Z68" s="54">
        <f>IF(Z24=5,SUMIF(Z31:Z35,"&gt;0"),0)</f>
        <v>0</v>
      </c>
      <c r="AB68" s="58">
        <f>IF(AB24=5,SUMIF(AB31:AB35,"&gt;0"),0)</f>
        <v>0</v>
      </c>
      <c r="AC68" s="54">
        <f>IF(AC24=5,SUMIF(AC31:AC35,"&gt;0"),0)</f>
        <v>0</v>
      </c>
      <c r="AE68" s="58">
        <f>IF(AE24=5,SUMIF(AE31:AE35,"&gt;0"),0)</f>
        <v>0</v>
      </c>
      <c r="AF68" s="54">
        <f>SUM(B68:AE68)</f>
        <v>2</v>
      </c>
      <c r="AG68" s="54">
        <f>AF76-AF68</f>
        <v>6</v>
      </c>
      <c r="AW68" s="146"/>
    </row>
    <row r="69" spans="1:54" s="54" customFormat="1" ht="12.75" hidden="1" customHeight="1" x14ac:dyDescent="0.2">
      <c r="D69" s="58"/>
      <c r="G69" s="58"/>
      <c r="J69" s="58"/>
      <c r="M69" s="58"/>
      <c r="P69" s="58"/>
      <c r="S69" s="58"/>
      <c r="V69" s="58"/>
      <c r="Y69" s="58"/>
      <c r="AB69" s="58"/>
      <c r="AE69" s="58"/>
      <c r="AW69" s="146"/>
    </row>
    <row r="70" spans="1:54" s="54" customFormat="1" ht="12.75" hidden="1" customHeight="1" x14ac:dyDescent="0.2">
      <c r="D70" s="58"/>
      <c r="G70" s="58"/>
      <c r="J70" s="58"/>
      <c r="M70" s="58"/>
      <c r="P70" s="58"/>
      <c r="S70" s="58"/>
      <c r="V70" s="58"/>
      <c r="Y70" s="58"/>
      <c r="AB70" s="58"/>
      <c r="AE70" s="58"/>
      <c r="AW70" s="146"/>
    </row>
    <row r="71" spans="1:54" s="54" customFormat="1" ht="51" hidden="1" customHeight="1" x14ac:dyDescent="0.2">
      <c r="A71" s="57" t="s">
        <v>85</v>
      </c>
      <c r="C71" s="54">
        <f>SUMIF(B64:D68,"&gt;0")</f>
        <v>2</v>
      </c>
      <c r="D71" s="58"/>
      <c r="F71" s="54">
        <f>SUMIF(E64:G68,"&gt;0")</f>
        <v>2</v>
      </c>
      <c r="G71" s="58"/>
      <c r="I71" s="54">
        <f>SUMIF(H64:J68,"&gt;0")</f>
        <v>2</v>
      </c>
      <c r="J71" s="58"/>
      <c r="L71" s="54">
        <f>SUMIF(K64:M68,"&gt;0")</f>
        <v>2</v>
      </c>
      <c r="M71" s="58"/>
      <c r="O71" s="54">
        <f>SUMIF(N64:P68,"&gt;0")</f>
        <v>2</v>
      </c>
      <c r="P71" s="58"/>
      <c r="R71" s="54">
        <f>SUMIF(Q64:S68,"&gt;0")</f>
        <v>2</v>
      </c>
      <c r="S71" s="58"/>
      <c r="U71" s="54">
        <f>SUMIF(T64:V68,"&gt;0")</f>
        <v>2</v>
      </c>
      <c r="V71" s="58"/>
      <c r="X71" s="54">
        <f>SUMIF(W64:Y68,"&gt;0")</f>
        <v>2</v>
      </c>
      <c r="Y71" s="58"/>
      <c r="AA71" s="54">
        <f>SUMIF(Z64:AB68,"&gt;0")</f>
        <v>2</v>
      </c>
      <c r="AB71" s="58"/>
      <c r="AD71" s="54">
        <f>SUMIF(AC64:AE68,"&gt;0")</f>
        <v>2</v>
      </c>
      <c r="AE71" s="58"/>
      <c r="AF71" s="57" t="s">
        <v>86</v>
      </c>
      <c r="AW71" s="146"/>
    </row>
    <row r="72" spans="1:54" s="54" customFormat="1" ht="12.75" hidden="1" customHeight="1" x14ac:dyDescent="0.2">
      <c r="A72" s="54" t="s">
        <v>76</v>
      </c>
      <c r="B72" s="54">
        <f>IF(B24=1,C71,0)</f>
        <v>0</v>
      </c>
      <c r="D72" s="58">
        <f>IF(D24=1,C71,0)</f>
        <v>0</v>
      </c>
      <c r="E72" s="54">
        <f>IF(E24=1,F71,0)</f>
        <v>2</v>
      </c>
      <c r="G72" s="58">
        <f>IF(G24=1,F71,0)</f>
        <v>0</v>
      </c>
      <c r="H72" s="54">
        <f>IF(H24=1,I71,0)</f>
        <v>0</v>
      </c>
      <c r="J72" s="58">
        <f>IF(J24=1,I71,0)</f>
        <v>0</v>
      </c>
      <c r="K72" s="54">
        <f>IF(K24=1,L71,0)</f>
        <v>0</v>
      </c>
      <c r="M72" s="58">
        <f>IF(M24=1,L71,0)</f>
        <v>0</v>
      </c>
      <c r="N72" s="54">
        <f>IF(N24=1,O71,0)</f>
        <v>2</v>
      </c>
      <c r="P72" s="58">
        <f>IF(P24=1,O71,0)</f>
        <v>0</v>
      </c>
      <c r="Q72" s="54">
        <f>IF(Q24=1,R71,0)</f>
        <v>0</v>
      </c>
      <c r="S72" s="58">
        <f>IF(S24=1,R71,0)</f>
        <v>0</v>
      </c>
      <c r="T72" s="54">
        <f>IF(T24=1,U71,0)</f>
        <v>0</v>
      </c>
      <c r="V72" s="58">
        <f>IF(V24=1,U71,0)</f>
        <v>0</v>
      </c>
      <c r="W72" s="54">
        <f>IF(W24=1,X71,0)</f>
        <v>2</v>
      </c>
      <c r="Y72" s="58">
        <f>IF(Y24=1,X71,0)</f>
        <v>0</v>
      </c>
      <c r="Z72" s="54">
        <f>IF(Z24=1,AA71,0)</f>
        <v>0</v>
      </c>
      <c r="AB72" s="58">
        <f>IF(AB24=1,AA71,0)</f>
        <v>0</v>
      </c>
      <c r="AC72" s="54">
        <f>IF(AC24=1,AD71,0)</f>
        <v>2</v>
      </c>
      <c r="AE72" s="58">
        <f>IF(AE24=1,AD71,0)</f>
        <v>0</v>
      </c>
      <c r="AF72" s="54">
        <f>SUM(B72:AE72)</f>
        <v>8</v>
      </c>
      <c r="AW72" s="146"/>
    </row>
    <row r="73" spans="1:54" s="54" customFormat="1" ht="12.75" hidden="1" customHeight="1" x14ac:dyDescent="0.2">
      <c r="A73" s="54" t="s">
        <v>77</v>
      </c>
      <c r="B73" s="54">
        <f>IF(B24=2,C71,0)</f>
        <v>2</v>
      </c>
      <c r="D73" s="58">
        <f>IF(D24=2,C71,0)</f>
        <v>0</v>
      </c>
      <c r="E73" s="54">
        <f>IF(E24=2,F71,0)</f>
        <v>0</v>
      </c>
      <c r="G73" s="58">
        <f>IF(G24=2,F71,0)</f>
        <v>0</v>
      </c>
      <c r="H73" s="54">
        <f>IF(H24=2,I71,0)</f>
        <v>0</v>
      </c>
      <c r="J73" s="58">
        <f>IF(J24=2,I71,0)</f>
        <v>0</v>
      </c>
      <c r="K73" s="54">
        <f>IF(K24=2,L71,0)</f>
        <v>2</v>
      </c>
      <c r="M73" s="58">
        <f>IF(M24=2,L71,0)</f>
        <v>0</v>
      </c>
      <c r="N73" s="54">
        <f>IF(N24=2,O71,0)</f>
        <v>0</v>
      </c>
      <c r="P73" s="58">
        <f>IF(P24=2,O71,0)</f>
        <v>0</v>
      </c>
      <c r="Q73" s="54">
        <f>IF(Q24=2,R71,0)</f>
        <v>0</v>
      </c>
      <c r="S73" s="58">
        <f>IF(S24=2,R71,0)</f>
        <v>0</v>
      </c>
      <c r="T73" s="54">
        <f>IF(T24=2,U71,0)</f>
        <v>2</v>
      </c>
      <c r="V73" s="58">
        <f>IF(V24=2,U71,0)</f>
        <v>0</v>
      </c>
      <c r="W73" s="54">
        <f>IF(W24=2,X71,0)</f>
        <v>0</v>
      </c>
      <c r="Y73" s="58">
        <f>IF(Y24=2,X71,0)</f>
        <v>0</v>
      </c>
      <c r="Z73" s="54">
        <f>IF(Z24=2,AA71,0)</f>
        <v>0</v>
      </c>
      <c r="AB73" s="58">
        <f>IF(AB24=2,AA71,0)</f>
        <v>0</v>
      </c>
      <c r="AC73" s="54">
        <f>IF(AC24=2,AD71,0)</f>
        <v>0</v>
      </c>
      <c r="AE73" s="58">
        <f>IF(AE24=2,AD71,0)</f>
        <v>2</v>
      </c>
      <c r="AF73" s="54">
        <f>SUM(B73:AE73)</f>
        <v>8</v>
      </c>
      <c r="AW73" s="146"/>
    </row>
    <row r="74" spans="1:54" s="54" customFormat="1" ht="12.75" hidden="1" customHeight="1" x14ac:dyDescent="0.2">
      <c r="A74" s="54" t="s">
        <v>78</v>
      </c>
      <c r="B74" s="54">
        <f>IF(B24=3,C71,0)</f>
        <v>0</v>
      </c>
      <c r="D74" s="58">
        <f>IF(D24=3,C71,0)</f>
        <v>0</v>
      </c>
      <c r="E74" s="54">
        <f>IF(E24=3,F71,0)</f>
        <v>0</v>
      </c>
      <c r="G74" s="58">
        <f>IF(G24=3,F71,0)</f>
        <v>0</v>
      </c>
      <c r="H74" s="54">
        <f>IF(H24=3,I71,0)</f>
        <v>2</v>
      </c>
      <c r="J74" s="58">
        <f>IF(J24=3,I71,0)</f>
        <v>0</v>
      </c>
      <c r="K74" s="54">
        <f>IF(K24=3,L71,0)</f>
        <v>0</v>
      </c>
      <c r="M74" s="58">
        <f>IF(M24=3,L71,0)</f>
        <v>0</v>
      </c>
      <c r="N74" s="54">
        <f>IF(N24=3,O71,0)</f>
        <v>0</v>
      </c>
      <c r="P74" s="58">
        <f>IF(P24=3,O71,0)</f>
        <v>2</v>
      </c>
      <c r="Q74" s="54">
        <f>IF(Q24=3,R71,0)</f>
        <v>0</v>
      </c>
      <c r="S74" s="58">
        <f>IF(S24=3,R71,0)</f>
        <v>0</v>
      </c>
      <c r="T74" s="54">
        <f>IF(T24=3,U71,0)</f>
        <v>0</v>
      </c>
      <c r="V74" s="58">
        <f>IF(V24=3,U71,0)</f>
        <v>2</v>
      </c>
      <c r="W74" s="54">
        <f>IF(W24=3,X71,0)</f>
        <v>0</v>
      </c>
      <c r="Y74" s="58">
        <f>IF(Y24=3,X71,0)</f>
        <v>0</v>
      </c>
      <c r="Z74" s="54">
        <f>IF(Z24=3,AA71,0)</f>
        <v>2</v>
      </c>
      <c r="AB74" s="58">
        <f>IF(AB24=3,AA71,0)</f>
        <v>0</v>
      </c>
      <c r="AC74" s="54">
        <f>IF(AC24=3,AD71,0)</f>
        <v>0</v>
      </c>
      <c r="AE74" s="58">
        <f>IF(AE24=3,AD71,0)</f>
        <v>0</v>
      </c>
      <c r="AF74" s="54">
        <f>SUM(B74:AE74)</f>
        <v>8</v>
      </c>
      <c r="AW74" s="146"/>
    </row>
    <row r="75" spans="1:54" s="54" customFormat="1" ht="12.75" hidden="1" customHeight="1" x14ac:dyDescent="0.2">
      <c r="A75" s="54" t="s">
        <v>79</v>
      </c>
      <c r="B75" s="54">
        <f>IF(B24=4,C71,0)</f>
        <v>0</v>
      </c>
      <c r="D75" s="58">
        <f>IF(D24=4,C71,0)</f>
        <v>0</v>
      </c>
      <c r="E75" s="54">
        <f>IF(E24=4,F71,0)</f>
        <v>0</v>
      </c>
      <c r="G75" s="58">
        <f>IF(G24=4,F71,0)</f>
        <v>2</v>
      </c>
      <c r="H75" s="54">
        <f>IF(H24=4,I71,0)</f>
        <v>0</v>
      </c>
      <c r="J75" s="58">
        <f>IF(J24=4,I71,0)</f>
        <v>0</v>
      </c>
      <c r="K75" s="54">
        <f>IF(K24=4,L71,0)</f>
        <v>0</v>
      </c>
      <c r="M75" s="58">
        <f>IF(M24=4,L71,0)</f>
        <v>2</v>
      </c>
      <c r="N75" s="54">
        <f>IF(N24=4,O71,0)</f>
        <v>0</v>
      </c>
      <c r="P75" s="58">
        <f>IF(P24=4,O71,0)</f>
        <v>0</v>
      </c>
      <c r="Q75" s="54">
        <f>IF(Q24=4,R71,0)</f>
        <v>2</v>
      </c>
      <c r="S75" s="58">
        <f>IF(S24=4,R71,0)</f>
        <v>0</v>
      </c>
      <c r="T75" s="54">
        <f>IF(T24=4,U71,0)</f>
        <v>0</v>
      </c>
      <c r="V75" s="58">
        <f>IF(V24=4,U71,0)</f>
        <v>0</v>
      </c>
      <c r="W75" s="54">
        <f>IF(W24=4,X71,0)</f>
        <v>0</v>
      </c>
      <c r="Y75" s="58">
        <f>IF(Y24=4,X71,0)</f>
        <v>0</v>
      </c>
      <c r="Z75" s="54">
        <f>IF(Z24=4,AA71,0)</f>
        <v>0</v>
      </c>
      <c r="AB75" s="58">
        <f>IF(AB24=4,AA71,0)</f>
        <v>2</v>
      </c>
      <c r="AC75" s="54">
        <f>IF(AC24=4,AD71,0)</f>
        <v>0</v>
      </c>
      <c r="AE75" s="58">
        <f>IF(AE24=4,AD71,0)</f>
        <v>0</v>
      </c>
      <c r="AF75" s="54">
        <f>SUM(B75:AE75)</f>
        <v>8</v>
      </c>
      <c r="AW75" s="146"/>
    </row>
    <row r="76" spans="1:54" s="54" customFormat="1" ht="12.75" hidden="1" customHeight="1" x14ac:dyDescent="0.2">
      <c r="A76" s="54" t="s">
        <v>80</v>
      </c>
      <c r="B76" s="54">
        <f>IF(B24=5,C71,0)</f>
        <v>0</v>
      </c>
      <c r="D76" s="58">
        <f>IF(D24=5,C71,0)</f>
        <v>2</v>
      </c>
      <c r="E76" s="54">
        <f>IF(E24=5,F71,0)</f>
        <v>0</v>
      </c>
      <c r="G76" s="58">
        <f>IF(G24=5,F71,0)</f>
        <v>0</v>
      </c>
      <c r="H76" s="54">
        <f>IF(H24=5,I71,0)</f>
        <v>0</v>
      </c>
      <c r="J76" s="58">
        <f>IF(J24=5,I71,0)</f>
        <v>2</v>
      </c>
      <c r="K76" s="54">
        <f>IF(K24=5,L71,0)</f>
        <v>0</v>
      </c>
      <c r="M76" s="58">
        <f>IF(M24=5,L71,0)</f>
        <v>0</v>
      </c>
      <c r="N76" s="54">
        <f>IF(N24=5,O71,0)</f>
        <v>0</v>
      </c>
      <c r="P76" s="58">
        <f>IF(P24=5,O71,0)</f>
        <v>0</v>
      </c>
      <c r="Q76" s="54">
        <f>IF(Q24=5,R71,0)</f>
        <v>0</v>
      </c>
      <c r="S76" s="58">
        <f>IF(S24=5,R71,0)</f>
        <v>2</v>
      </c>
      <c r="T76" s="54">
        <f>IF(T24=5,U71,0)</f>
        <v>0</v>
      </c>
      <c r="V76" s="58">
        <f>IF(V24=5,U71,0)</f>
        <v>0</v>
      </c>
      <c r="W76" s="54">
        <f>IF(W24=5,X71,0)</f>
        <v>0</v>
      </c>
      <c r="Y76" s="58">
        <f>IF(Y24=5,X71,0)</f>
        <v>2</v>
      </c>
      <c r="Z76" s="54">
        <f>IF(Z24=5,AA71,0)</f>
        <v>0</v>
      </c>
      <c r="AB76" s="58">
        <f>IF(AB24=5,AA71,0)</f>
        <v>0</v>
      </c>
      <c r="AC76" s="54">
        <f>IF(AC24=5,AD71,0)</f>
        <v>0</v>
      </c>
      <c r="AE76" s="58">
        <f>IF(AE24=5,AD71,0)</f>
        <v>0</v>
      </c>
      <c r="AF76" s="54">
        <f>SUM(B76:AE76)</f>
        <v>8</v>
      </c>
      <c r="AW76" s="146"/>
    </row>
    <row r="77" spans="1:54" hidden="1" x14ac:dyDescent="0.2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60"/>
      <c r="AO77" s="60"/>
      <c r="AP77" s="60"/>
      <c r="AQ77" s="60"/>
      <c r="AR77" s="61"/>
      <c r="AS77" s="61"/>
      <c r="AT77" s="61"/>
      <c r="AU77" s="61"/>
      <c r="AV77" s="61"/>
      <c r="BB77" s="62"/>
    </row>
    <row r="78" spans="1:54" s="61" customFormat="1" hidden="1" x14ac:dyDescent="0.2">
      <c r="A78" s="63"/>
      <c r="B78" s="63"/>
      <c r="C78" s="63" t="s">
        <v>87</v>
      </c>
      <c r="D78" s="63">
        <v>1</v>
      </c>
      <c r="E78" s="63"/>
      <c r="F78" s="63"/>
      <c r="G78" s="63">
        <v>2</v>
      </c>
      <c r="H78" s="63"/>
      <c r="I78" s="63"/>
      <c r="J78" s="63">
        <v>3</v>
      </c>
      <c r="K78" s="63"/>
      <c r="L78" s="63"/>
      <c r="M78" s="63">
        <v>4</v>
      </c>
      <c r="N78" s="63"/>
      <c r="O78" s="63"/>
      <c r="P78" s="63">
        <v>5</v>
      </c>
      <c r="Q78" s="63"/>
      <c r="R78" s="63"/>
      <c r="S78" s="63">
        <v>6</v>
      </c>
      <c r="T78" s="63"/>
      <c r="U78" s="63"/>
      <c r="V78" s="63">
        <v>7</v>
      </c>
      <c r="W78" s="63"/>
      <c r="X78" s="63"/>
      <c r="Y78" s="63">
        <v>8</v>
      </c>
      <c r="Z78" s="63"/>
      <c r="AA78" s="63"/>
      <c r="AB78" s="63">
        <v>9</v>
      </c>
      <c r="AC78" s="63"/>
      <c r="AD78" s="63"/>
      <c r="AE78" s="63">
        <v>10</v>
      </c>
      <c r="AF78" s="4"/>
      <c r="AG78" s="63"/>
      <c r="AI78" s="64"/>
      <c r="AJ78" s="4"/>
      <c r="AK78" s="4"/>
      <c r="AL78" s="4"/>
      <c r="AM78" s="4"/>
      <c r="AN78" s="4"/>
      <c r="AO78" s="4"/>
      <c r="AT78" s="64" t="s">
        <v>88</v>
      </c>
      <c r="AW78" s="65"/>
      <c r="BB78" s="65"/>
    </row>
    <row r="79" spans="1:54" s="61" customFormat="1" hidden="1" x14ac:dyDescent="0.2">
      <c r="A79" s="66">
        <v>1</v>
      </c>
      <c r="B79" s="66" t="str">
        <f>E8</f>
        <v>OLC 12s Purple</v>
      </c>
      <c r="C79" s="66">
        <f>VLOOKUP(B79,AU$3:AY$12,3,FALSE)</f>
        <v>1282.8814689298702</v>
      </c>
      <c r="D79" s="66">
        <f>IF(B72,B87,IF(D72,D87,C79))</f>
        <v>1282.8814689298702</v>
      </c>
      <c r="E79" s="66"/>
      <c r="F79" s="66"/>
      <c r="G79" s="66">
        <f>IF(E72,E87,IF(G72,G87,D79))</f>
        <v>1285.8187664750621</v>
      </c>
      <c r="H79" s="66"/>
      <c r="I79" s="66"/>
      <c r="J79" s="66">
        <f>IF(H72,H87,IF(J72,J87,G79))</f>
        <v>1285.8187664750621</v>
      </c>
      <c r="K79" s="66"/>
      <c r="L79" s="66"/>
      <c r="M79" s="66">
        <f>IF(K72,K87,IF(M72,M87,J79))</f>
        <v>1285.8187664750621</v>
      </c>
      <c r="N79" s="66"/>
      <c r="O79" s="66"/>
      <c r="P79" s="66">
        <f>IF(N72,N87,IF(P72,P87,M79))</f>
        <v>1290.555529519168</v>
      </c>
      <c r="Q79" s="66"/>
      <c r="R79" s="66"/>
      <c r="S79" s="66">
        <f>IF(Q72,Q87,IF(S72,S87,P79))</f>
        <v>1290.555529519168</v>
      </c>
      <c r="T79" s="66"/>
      <c r="U79" s="66"/>
      <c r="V79" s="66">
        <f>IF(T72,T87,IF(V72,V87,S79))</f>
        <v>1290.555529519168</v>
      </c>
      <c r="W79" s="66"/>
      <c r="X79" s="66"/>
      <c r="Y79" s="66">
        <f>IF(W72,W87,IF(Y72,Y87,V79))</f>
        <v>1313.2645770041927</v>
      </c>
      <c r="Z79" s="66"/>
      <c r="AA79" s="66"/>
      <c r="AB79" s="66">
        <f>IF(Z72,Z87,IF(AB72,AB87,Y79))</f>
        <v>1313.2645770041927</v>
      </c>
      <c r="AC79" s="66"/>
      <c r="AD79" s="66"/>
      <c r="AE79" s="66">
        <f>IF(AC72,AC87,IF(AE72,AE87,AB79))</f>
        <v>1354.0267614924403</v>
      </c>
      <c r="AF79" s="4"/>
      <c r="AG79" s="4"/>
      <c r="AJ79" s="4"/>
      <c r="AK79" s="4"/>
      <c r="AL79" s="4"/>
      <c r="AM79" s="4"/>
      <c r="AN79" s="4"/>
      <c r="AO79" s="4"/>
      <c r="AT79" s="61" t="str">
        <f>B79</f>
        <v>OLC 12s Purple</v>
      </c>
      <c r="AU79" s="61">
        <f>AE79</f>
        <v>1354.0267614924403</v>
      </c>
      <c r="AW79" s="65"/>
      <c r="BB79" s="65"/>
    </row>
    <row r="80" spans="1:54" s="61" customFormat="1" hidden="1" x14ac:dyDescent="0.2">
      <c r="A80" s="66">
        <v>2</v>
      </c>
      <c r="B80" s="66" t="str">
        <f>E10</f>
        <v>Palm Strikers 12 Platinum</v>
      </c>
      <c r="C80" s="66">
        <f>VLOOKUP(B80,AU$3:AY$12,3,FALSE)</f>
        <v>1375.4433983168517</v>
      </c>
      <c r="D80" s="66">
        <f>IF(B73,B87,IF(D73,D87,C80))</f>
        <v>1390.6488556772931</v>
      </c>
      <c r="E80" s="66"/>
      <c r="F80" s="66"/>
      <c r="G80" s="66">
        <f>IF(E73,E87,IF(G73,G87,D80))</f>
        <v>1390.6488556772931</v>
      </c>
      <c r="H80" s="66"/>
      <c r="I80" s="66"/>
      <c r="J80" s="66">
        <f>IF(H73,H87,IF(J73,J87,G80))</f>
        <v>1390.6488556772931</v>
      </c>
      <c r="K80" s="66"/>
      <c r="L80" s="66"/>
      <c r="M80" s="66">
        <f>IF(K73,K87,IF(M73,M87,J80))</f>
        <v>1383.5197542713368</v>
      </c>
      <c r="N80" s="66"/>
      <c r="O80" s="66"/>
      <c r="P80" s="66">
        <f>IF(N73,N87,IF(P73,P87,M80))</f>
        <v>1383.5197542713368</v>
      </c>
      <c r="Q80" s="66"/>
      <c r="R80" s="66"/>
      <c r="S80" s="66">
        <f>IF(Q73,Q87,IF(S73,S87,P80))</f>
        <v>1383.5197542713368</v>
      </c>
      <c r="T80" s="66"/>
      <c r="U80" s="66"/>
      <c r="V80" s="66">
        <f>IF(T73,T87,IF(V73,V87,S80))</f>
        <v>1410.8894373225912</v>
      </c>
      <c r="W80" s="66"/>
      <c r="X80" s="66"/>
      <c r="Y80" s="66">
        <f>IF(W73,W87,IF(Y73,Y87,V80))</f>
        <v>1410.8894373225912</v>
      </c>
      <c r="Z80" s="66"/>
      <c r="AA80" s="66"/>
      <c r="AB80" s="66">
        <f>IF(Z73,Z87,IF(AB73,AB87,Y80))</f>
        <v>1410.8894373225912</v>
      </c>
      <c r="AC80" s="66"/>
      <c r="AD80" s="66"/>
      <c r="AE80" s="66">
        <f>IF(AC73,AC87,IF(AE73,AE87,AB80))</f>
        <v>1370.1272528343436</v>
      </c>
      <c r="AF80" s="4"/>
      <c r="AG80" s="4"/>
      <c r="AJ80" s="4"/>
      <c r="AL80" s="4"/>
      <c r="AM80" s="4"/>
      <c r="AN80" s="4"/>
      <c r="AO80" s="4"/>
      <c r="AT80" s="61" t="str">
        <f>B80</f>
        <v>Palm Strikers 12 Platinum</v>
      </c>
      <c r="AU80" s="61">
        <f>AE80</f>
        <v>1370.1272528343436</v>
      </c>
      <c r="AW80" s="65"/>
      <c r="BB80" s="65"/>
    </row>
    <row r="81" spans="1:54" s="61" customFormat="1" hidden="1" x14ac:dyDescent="0.2">
      <c r="A81" s="66">
        <v>3</v>
      </c>
      <c r="B81" s="66" t="str">
        <f>E12</f>
        <v>Kershaw 12 Black</v>
      </c>
      <c r="C81" s="66">
        <f>VLOOKUP(B81,AU$3:AY$12,3,FALSE)</f>
        <v>1354.0026826130036</v>
      </c>
      <c r="D81" s="66">
        <f>IF(B74,B87,IF(D74,D87,C81))</f>
        <v>1354.0026826130036</v>
      </c>
      <c r="E81" s="66"/>
      <c r="F81" s="66"/>
      <c r="G81" s="66">
        <f>IF(E74,E87,IF(G74,G87,D81))</f>
        <v>1354.0026826130036</v>
      </c>
      <c r="H81" s="66"/>
      <c r="I81" s="66"/>
      <c r="J81" s="66">
        <f>IF(H74,H87,IF(J74,J87,G81))</f>
        <v>1337.6281540005978</v>
      </c>
      <c r="K81" s="66"/>
      <c r="L81" s="66"/>
      <c r="M81" s="66">
        <f>IF(K74,K87,IF(M74,M87,J81))</f>
        <v>1337.6281540005978</v>
      </c>
      <c r="N81" s="66"/>
      <c r="O81" s="66"/>
      <c r="P81" s="66">
        <f>IF(N74,N87,IF(P74,P87,M81))</f>
        <v>1332.8913909564917</v>
      </c>
      <c r="Q81" s="66"/>
      <c r="R81" s="66"/>
      <c r="S81" s="66">
        <f>IF(Q74,Q87,IF(S74,S87,P81))</f>
        <v>1332.8913909564917</v>
      </c>
      <c r="T81" s="66"/>
      <c r="U81" s="66"/>
      <c r="V81" s="66">
        <f>IF(T74,T87,IF(V74,V87,S81))</f>
        <v>1305.5217079052372</v>
      </c>
      <c r="W81" s="66"/>
      <c r="X81" s="66"/>
      <c r="Y81" s="66">
        <f>IF(W74,W87,IF(Y74,Y87,V81))</f>
        <v>1305.5217079052372</v>
      </c>
      <c r="Z81" s="66"/>
      <c r="AA81" s="66"/>
      <c r="AB81" s="66">
        <f>IF(Z74,Z87,IF(AB74,AB87,Y81))</f>
        <v>1305.6049247791282</v>
      </c>
      <c r="AC81" s="66"/>
      <c r="AD81" s="66"/>
      <c r="AE81" s="66">
        <f>IF(AC74,AC87,IF(AE74,AE87,AB81))</f>
        <v>1305.6049247791282</v>
      </c>
      <c r="AF81" s="4"/>
      <c r="AG81" s="4"/>
      <c r="AJ81" s="4"/>
      <c r="AL81" s="4"/>
      <c r="AM81" s="4"/>
      <c r="AN81" s="4"/>
      <c r="AO81" s="4"/>
      <c r="AT81" s="61" t="str">
        <f>B81</f>
        <v>Kershaw 12 Black</v>
      </c>
      <c r="AU81" s="61">
        <f>AE81</f>
        <v>1305.6049247791282</v>
      </c>
      <c r="AW81" s="65"/>
      <c r="BB81" s="65"/>
    </row>
    <row r="82" spans="1:54" s="61" customFormat="1" hidden="1" x14ac:dyDescent="0.2">
      <c r="A82" s="66">
        <v>4</v>
      </c>
      <c r="B82" s="66" t="str">
        <f>E14</f>
        <v>C1VB 12 State Greenville</v>
      </c>
      <c r="C82" s="66">
        <f>VLOOKUP(B82,AU$3:AY$12,3,FALSE)</f>
        <v>1314.8627941243271</v>
      </c>
      <c r="D82" s="66">
        <f>IF(B75,B87,IF(D75,D87,C82))</f>
        <v>1314.8627941243271</v>
      </c>
      <c r="E82" s="66"/>
      <c r="F82" s="66"/>
      <c r="G82" s="66">
        <f>IF(E75,E87,IF(G75,G87,D82))</f>
        <v>1311.9254965791351</v>
      </c>
      <c r="H82" s="66"/>
      <c r="I82" s="66"/>
      <c r="J82" s="66">
        <f>IF(H75,H87,IF(J75,J87,G82))</f>
        <v>1311.9254965791351</v>
      </c>
      <c r="K82" s="66"/>
      <c r="L82" s="66"/>
      <c r="M82" s="66">
        <f>IF(K75,K87,IF(M75,M87,J82))</f>
        <v>1319.0545979850915</v>
      </c>
      <c r="N82" s="66"/>
      <c r="O82" s="66"/>
      <c r="P82" s="66">
        <f>IF(N75,N87,IF(P75,P87,M82))</f>
        <v>1319.0545979850915</v>
      </c>
      <c r="Q82" s="66"/>
      <c r="R82" s="66"/>
      <c r="S82" s="66">
        <f>IF(Q75,Q87,IF(S75,S87,P82))</f>
        <v>1306.4252256702964</v>
      </c>
      <c r="T82" s="66"/>
      <c r="U82" s="66"/>
      <c r="V82" s="66">
        <f>IF(T75,T87,IF(V75,V87,S82))</f>
        <v>1306.4252256702964</v>
      </c>
      <c r="W82" s="66"/>
      <c r="X82" s="66"/>
      <c r="Y82" s="66">
        <f>IF(W75,W87,IF(Y75,Y87,V82))</f>
        <v>1306.4252256702964</v>
      </c>
      <c r="Z82" s="66"/>
      <c r="AA82" s="66"/>
      <c r="AB82" s="66">
        <f>IF(Z75,Z87,IF(AB75,AB87,Y82))</f>
        <v>1306.3420087964055</v>
      </c>
      <c r="AC82" s="66"/>
      <c r="AD82" s="66"/>
      <c r="AE82" s="66">
        <f>IF(AC75,AC87,IF(AE75,AE87,AB82))</f>
        <v>1306.3420087964055</v>
      </c>
      <c r="AF82" s="4"/>
      <c r="AG82" s="4"/>
      <c r="AJ82" s="4"/>
      <c r="AL82" s="4"/>
      <c r="AM82" s="4"/>
      <c r="AN82" s="4"/>
      <c r="AO82" s="4"/>
      <c r="AT82" s="61" t="str">
        <f>B82</f>
        <v>C1VB 12 State Greenville</v>
      </c>
      <c r="AU82" s="61">
        <f>AE82</f>
        <v>1306.3420087964055</v>
      </c>
      <c r="AW82" s="65"/>
      <c r="BB82" s="65"/>
    </row>
    <row r="83" spans="1:54" s="61" customFormat="1" hidden="1" x14ac:dyDescent="0.2">
      <c r="A83" s="66">
        <v>5</v>
      </c>
      <c r="B83" s="66" t="str">
        <f>E16</f>
        <v>High Velocity 12's</v>
      </c>
      <c r="C83" s="66">
        <f>VLOOKUP(B83,AU$3:AY$12,3,FALSE)</f>
        <v>1172.8946927404108</v>
      </c>
      <c r="D83" s="66">
        <f>IF(B76,B87,IF(D76,D87,C83))</f>
        <v>1157.6892353799694</v>
      </c>
      <c r="E83" s="66"/>
      <c r="F83" s="66"/>
      <c r="G83" s="66">
        <f>IF(E76,E87,IF(G76,G87,D83))</f>
        <v>1157.6892353799694</v>
      </c>
      <c r="H83" s="66"/>
      <c r="I83" s="66"/>
      <c r="J83" s="66">
        <f>IF(H76,H87,IF(J76,J87,G83))</f>
        <v>1174.0637639923752</v>
      </c>
      <c r="K83" s="66"/>
      <c r="L83" s="66"/>
      <c r="M83" s="66">
        <f>IF(K76,K87,IF(M76,M87,J83))</f>
        <v>1174.0637639923752</v>
      </c>
      <c r="N83" s="66"/>
      <c r="O83" s="66"/>
      <c r="P83" s="66">
        <f>IF(N76,N87,IF(P76,P87,M83))</f>
        <v>1174.0637639923752</v>
      </c>
      <c r="Q83" s="66"/>
      <c r="R83" s="66"/>
      <c r="S83" s="66">
        <f>IF(Q76,Q87,IF(S76,S87,P83))</f>
        <v>1186.6931363071703</v>
      </c>
      <c r="T83" s="66"/>
      <c r="U83" s="66"/>
      <c r="V83" s="66">
        <f>IF(T76,T87,IF(V76,V87,S83))</f>
        <v>1186.6931363071703</v>
      </c>
      <c r="W83" s="66"/>
      <c r="X83" s="66"/>
      <c r="Y83" s="66">
        <f>IF(W76,W87,IF(Y76,Y87,V83))</f>
        <v>1163.9840888221456</v>
      </c>
      <c r="Z83" s="66"/>
      <c r="AA83" s="66"/>
      <c r="AB83" s="66">
        <f>IF(Z76,Z87,IF(AB76,AB87,Y83))</f>
        <v>1163.9840888221456</v>
      </c>
      <c r="AC83" s="66"/>
      <c r="AD83" s="66"/>
      <c r="AE83" s="66">
        <f>IF(AC76,AC87,IF(AE76,AE87,AB83))</f>
        <v>1163.9840888221456</v>
      </c>
      <c r="AF83" s="4"/>
      <c r="AG83" s="4"/>
      <c r="AJ83" s="4"/>
      <c r="AL83" s="4"/>
      <c r="AM83" s="4"/>
      <c r="AN83" s="4"/>
      <c r="AO83" s="4"/>
      <c r="AT83" s="61" t="str">
        <f>B83</f>
        <v>High Velocity 12's</v>
      </c>
      <c r="AU83" s="61">
        <f>AE83</f>
        <v>1163.9840888221456</v>
      </c>
      <c r="AW83" s="65"/>
      <c r="BB83" s="65"/>
    </row>
    <row r="84" spans="1:54" s="61" customFormat="1" hidden="1" x14ac:dyDescent="0.2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4"/>
      <c r="AG84" s="4"/>
      <c r="AJ84" s="4"/>
      <c r="AL84" s="4"/>
      <c r="AM84" s="4"/>
      <c r="AN84" s="4"/>
      <c r="AO84" s="4"/>
      <c r="AW84" s="65"/>
      <c r="BB84" s="65"/>
    </row>
    <row r="85" spans="1:54" s="61" customFormat="1" hidden="1" x14ac:dyDescent="0.2">
      <c r="A85" s="66" t="s">
        <v>89</v>
      </c>
      <c r="B85" s="66">
        <f>VLOOKUP(B24,$A79:$AE83,3,FALSE)</f>
        <v>1375.4433983168517</v>
      </c>
      <c r="C85" s="66">
        <v>1</v>
      </c>
      <c r="D85" s="66">
        <f>VLOOKUP(D24,$A79:$AE83,3,FALSE)</f>
        <v>1172.8946927404108</v>
      </c>
      <c r="E85" s="66">
        <f>VLOOKUP(E24,$A79:$AE83,4,FALSE)</f>
        <v>1282.8814689298702</v>
      </c>
      <c r="F85" s="66">
        <v>2</v>
      </c>
      <c r="G85" s="66">
        <f>VLOOKUP(G24,$A79:$AE83,4,FALSE)</f>
        <v>1314.8627941243271</v>
      </c>
      <c r="H85" s="66">
        <f>VLOOKUP(H24,$A79:$AE83,7,FALSE)</f>
        <v>1354.0026826130036</v>
      </c>
      <c r="I85" s="66">
        <v>3</v>
      </c>
      <c r="J85" s="66">
        <f>VLOOKUP(J24,$A79:$AE83,7,FALSE)</f>
        <v>1157.6892353799694</v>
      </c>
      <c r="K85" s="66">
        <f>VLOOKUP(K24,$A79:$AE83,10,FALSE)</f>
        <v>1390.6488556772931</v>
      </c>
      <c r="L85" s="66">
        <v>4</v>
      </c>
      <c r="M85" s="66">
        <f>VLOOKUP(M24,$A79:$AE83,10,FALSE)</f>
        <v>1311.9254965791351</v>
      </c>
      <c r="N85" s="66">
        <f>VLOOKUP(N24,$A79:$AE83,13,FALSE)</f>
        <v>1285.8187664750621</v>
      </c>
      <c r="O85" s="66">
        <v>5</v>
      </c>
      <c r="P85" s="66">
        <f>VLOOKUP(P24,$A79:$AE83,13,FALSE)</f>
        <v>1337.6281540005978</v>
      </c>
      <c r="Q85" s="66">
        <f>VLOOKUP(Q24,$A79:$AE83,16,FALSE)</f>
        <v>1319.0545979850915</v>
      </c>
      <c r="R85" s="66">
        <v>6</v>
      </c>
      <c r="S85" s="66">
        <f>VLOOKUP(S24,$A79:$AE83,16,FALSE)</f>
        <v>1174.0637639923752</v>
      </c>
      <c r="T85" s="66">
        <f>VLOOKUP(T24,$A79:$AE83,19,FALSE)</f>
        <v>1383.5197542713368</v>
      </c>
      <c r="U85" s="66">
        <v>7</v>
      </c>
      <c r="V85" s="66">
        <f>VLOOKUP(V24,$A79:$AE83,19,FALSE)</f>
        <v>1332.8913909564917</v>
      </c>
      <c r="W85" s="66">
        <f>VLOOKUP(W24,$A79:$AE83,22,FALSE)</f>
        <v>1290.555529519168</v>
      </c>
      <c r="X85" s="66">
        <v>8</v>
      </c>
      <c r="Y85" s="66">
        <f>VLOOKUP(Y24,$A79:$AE83,22,FALSE)</f>
        <v>1186.6931363071703</v>
      </c>
      <c r="Z85" s="66">
        <f>VLOOKUP(Z24,$A79:$AE83,25,FALSE)</f>
        <v>1305.5217079052372</v>
      </c>
      <c r="AA85" s="66">
        <v>9</v>
      </c>
      <c r="AB85" s="66">
        <f>VLOOKUP(AB24,$A79:$AE83,25,FALSE)</f>
        <v>1306.4252256702964</v>
      </c>
      <c r="AC85" s="66">
        <f>VLOOKUP(AC24,$A79:$AE83,28,FALSE)</f>
        <v>1313.2645770041927</v>
      </c>
      <c r="AD85" s="66">
        <v>10</v>
      </c>
      <c r="AE85" s="66">
        <f>VLOOKUP(AE24,$A79:$AE83,28,FALSE)</f>
        <v>1410.8894373225912</v>
      </c>
      <c r="AF85" s="4"/>
      <c r="AG85" s="59"/>
      <c r="AH85" s="59"/>
      <c r="AI85" s="59"/>
      <c r="AJ85" s="59"/>
      <c r="AK85" s="59"/>
      <c r="AL85" s="59"/>
      <c r="AM85" s="59"/>
      <c r="AN85" s="60"/>
      <c r="AO85" s="60"/>
      <c r="AP85" s="60"/>
      <c r="AQ85" s="60"/>
      <c r="AW85" s="65"/>
      <c r="BB85" s="65"/>
    </row>
    <row r="86" spans="1:54" s="71" customFormat="1" hidden="1" x14ac:dyDescent="0.2">
      <c r="A86" s="67" t="s">
        <v>90</v>
      </c>
      <c r="B86" s="67">
        <f>1/(1+(10^-((B85-D85)/400)))*(B36+D36)</f>
        <v>1.5248294574862054</v>
      </c>
      <c r="C86" s="67"/>
      <c r="D86" s="67">
        <f>1/(1+(10^-((D85-B85)/400)))*(B36+D36)</f>
        <v>0.47517054251379454</v>
      </c>
      <c r="E86" s="67">
        <f>1/(1+(10^-((E85-G85)/400)))*(E36+G36)</f>
        <v>0.90820945171275258</v>
      </c>
      <c r="F86" s="67"/>
      <c r="G86" s="67">
        <f>1/(1+(10^-((G85-E85)/400)))*(E36+G36)</f>
        <v>1.0917905482872474</v>
      </c>
      <c r="H86" s="67">
        <f>1/(1+(10^-((H85-J85)/400)))*(H36+J36)</f>
        <v>1.5117040191376785</v>
      </c>
      <c r="I86" s="67"/>
      <c r="J86" s="67">
        <f>1/(1+(10^-((J85-H85)/400)))*(H36+J36)</f>
        <v>0.48829598086232162</v>
      </c>
      <c r="K86" s="67">
        <f>1/(1+(10^-((K85-M85)/400)))*(K36+M36)</f>
        <v>1.2227844189361379</v>
      </c>
      <c r="L86" s="67"/>
      <c r="M86" s="67">
        <f>1/(1+(10^-((M85-K85)/400)))*(K36+M36)</f>
        <v>0.77721558106386213</v>
      </c>
      <c r="N86" s="67">
        <f>1/(1+(10^-((N85-P85)/400)))*(N36+P36)</f>
        <v>0.85197615487168943</v>
      </c>
      <c r="O86" s="67"/>
      <c r="P86" s="67">
        <f>1/(1+(10^-((P85-N85)/400)))*(N36+P36)</f>
        <v>1.1480238451283107</v>
      </c>
      <c r="Q86" s="67">
        <f>1/(1+(10^-((Q85-S85)/400)))*(Q36+S36)</f>
        <v>1.394667884837349</v>
      </c>
      <c r="R86" s="67"/>
      <c r="S86" s="67">
        <f>1/(1+(10^-((S85-Q85)/400)))*(Q36+S36)</f>
        <v>0.60533211516265106</v>
      </c>
      <c r="T86" s="67">
        <f>1/(1+(10^-((T85-V85)/400)))*(T36+V36)</f>
        <v>1.1446974046482989</v>
      </c>
      <c r="U86" s="67"/>
      <c r="V86" s="67">
        <f>1/(1+(10^-((V85-T85)/400)))*(T36+V36)</f>
        <v>0.85530259535170094</v>
      </c>
      <c r="W86" s="67">
        <f>1/(1+(10^-((W85-Y85)/400)))*(W36+Y36)</f>
        <v>1.2903422660929755</v>
      </c>
      <c r="X86" s="67"/>
      <c r="Y86" s="67">
        <f>1/(1+(10^-((Y85-W85)/400)))*(W36+Y36)</f>
        <v>0.70965773390702447</v>
      </c>
      <c r="Z86" s="67">
        <f>1/(1+(10^-((Z85-AB85)/400)))*(Z36+AB36)</f>
        <v>0.99739947269090512</v>
      </c>
      <c r="AA86" s="67"/>
      <c r="AB86" s="67">
        <f>1/(1+(10^-((AB85-Z85)/400)))*(Z36+AB36)</f>
        <v>1.0026005273090948</v>
      </c>
      <c r="AC86" s="67">
        <f>1/(1+(10^-((AC85-AE85)/400)))*(AC36+AE36)</f>
        <v>0.726181734742261</v>
      </c>
      <c r="AD86" s="67"/>
      <c r="AE86" s="67">
        <f>1/(1+(10^-((AE85-AC85)/400)))*(AC36+AE36)</f>
        <v>1.273818265257739</v>
      </c>
      <c r="AF86" s="68"/>
      <c r="AG86" s="69"/>
      <c r="AH86" s="69"/>
      <c r="AI86" s="69"/>
      <c r="AJ86" s="69"/>
      <c r="AK86" s="69"/>
      <c r="AL86" s="69"/>
      <c r="AM86" s="69"/>
      <c r="AN86" s="70"/>
      <c r="AO86" s="70"/>
      <c r="AP86" s="70"/>
      <c r="AQ86" s="70"/>
      <c r="AW86" s="72"/>
      <c r="BB86" s="72"/>
    </row>
    <row r="87" spans="1:54" s="77" customFormat="1" hidden="1" x14ac:dyDescent="0.2">
      <c r="A87" s="73" t="s">
        <v>91</v>
      </c>
      <c r="B87" s="73">
        <f>B85+(B36-B86)*$BA$1</f>
        <v>1390.6488556772931</v>
      </c>
      <c r="C87" s="73"/>
      <c r="D87" s="73">
        <f>D85+(D36-D86)*$BA$1</f>
        <v>1157.6892353799694</v>
      </c>
      <c r="E87" s="73">
        <f>E85+(E36-E86)*$BA$1</f>
        <v>1285.8187664750621</v>
      </c>
      <c r="F87" s="73"/>
      <c r="G87" s="73">
        <f>G85+(G36-G86)*$BA$1</f>
        <v>1311.9254965791351</v>
      </c>
      <c r="H87" s="73">
        <f>H85+(H36-H86)*$BA$1</f>
        <v>1337.6281540005978</v>
      </c>
      <c r="I87" s="73"/>
      <c r="J87" s="73">
        <f>J85+(J36-J86)*$BA$1</f>
        <v>1174.0637639923752</v>
      </c>
      <c r="K87" s="73">
        <f>K85+(K36-K86)*$BA$1</f>
        <v>1383.5197542713368</v>
      </c>
      <c r="L87" s="73"/>
      <c r="M87" s="73">
        <f>M85+(M36-M86)*$BA$1</f>
        <v>1319.0545979850915</v>
      </c>
      <c r="N87" s="73">
        <f>N85+(N36-N86)*$BA$1</f>
        <v>1290.555529519168</v>
      </c>
      <c r="O87" s="73"/>
      <c r="P87" s="73">
        <f>P85+(P36-P86)*$BA$1</f>
        <v>1332.8913909564917</v>
      </c>
      <c r="Q87" s="73">
        <f>Q85+(Q36-Q86)*$BA$1</f>
        <v>1306.4252256702964</v>
      </c>
      <c r="R87" s="73"/>
      <c r="S87" s="73">
        <f>S85+(S36-S86)*$BA$1</f>
        <v>1186.6931363071703</v>
      </c>
      <c r="T87" s="73">
        <f>T85+(T36-T86)*$BA$1</f>
        <v>1410.8894373225912</v>
      </c>
      <c r="U87" s="73"/>
      <c r="V87" s="73">
        <f>V85+(V36-V86)*$BA$1</f>
        <v>1305.5217079052372</v>
      </c>
      <c r="W87" s="73">
        <f>W85+(W36-W86)*$BA$1</f>
        <v>1313.2645770041927</v>
      </c>
      <c r="X87" s="73"/>
      <c r="Y87" s="73">
        <f>Y85+(Y36-Y86)*$BA$1</f>
        <v>1163.9840888221456</v>
      </c>
      <c r="Z87" s="73">
        <f>Z85+(Z36-Z86)*$BA$1</f>
        <v>1305.6049247791282</v>
      </c>
      <c r="AA87" s="73"/>
      <c r="AB87" s="73">
        <f>AB85+(AB36-AB86)*$BA$1</f>
        <v>1306.3420087964055</v>
      </c>
      <c r="AC87" s="73">
        <f>AC85+(AC36-AC86)*$BA$1</f>
        <v>1354.0267614924403</v>
      </c>
      <c r="AD87" s="73"/>
      <c r="AE87" s="73">
        <f>AE85+(AE36-AE86)*$BA$1</f>
        <v>1370.1272528343436</v>
      </c>
      <c r="AF87" s="74"/>
      <c r="AG87" s="75"/>
      <c r="AH87" s="75"/>
      <c r="AI87" s="75"/>
      <c r="AJ87" s="75"/>
      <c r="AK87" s="75"/>
      <c r="AL87" s="75"/>
      <c r="AM87" s="75"/>
      <c r="AN87" s="76"/>
      <c r="AO87" s="76"/>
      <c r="AP87" s="76"/>
      <c r="AQ87" s="76"/>
      <c r="AW87" s="78"/>
      <c r="BB87" s="78"/>
    </row>
    <row r="88" spans="1:54" s="77" customFormat="1" hidden="1" x14ac:dyDescent="0.2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4"/>
      <c r="AG88" s="75"/>
      <c r="AH88" s="75"/>
      <c r="AI88" s="75"/>
      <c r="AJ88" s="75"/>
      <c r="AK88" s="75"/>
      <c r="AL88" s="75"/>
      <c r="AM88" s="75"/>
      <c r="AN88" s="76"/>
      <c r="AO88" s="76"/>
      <c r="AP88" s="76"/>
      <c r="AQ88" s="76"/>
      <c r="AW88" s="78"/>
      <c r="BB88" s="78"/>
    </row>
    <row r="89" spans="1:54" s="61" customFormat="1" x14ac:dyDescent="0.2">
      <c r="A89" s="790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790"/>
      <c r="C89" s="790"/>
      <c r="D89" s="790"/>
      <c r="E89" s="790"/>
      <c r="F89" s="790"/>
      <c r="G89" s="790"/>
      <c r="H89" s="790"/>
      <c r="I89" s="790"/>
      <c r="J89" s="790"/>
      <c r="K89" s="790"/>
      <c r="L89" s="790"/>
      <c r="M89" s="790"/>
      <c r="N89" s="790"/>
      <c r="O89" s="790"/>
      <c r="P89" s="790"/>
      <c r="Q89" s="790"/>
      <c r="R89" s="790"/>
      <c r="S89" s="790"/>
      <c r="T89" s="790"/>
      <c r="U89" s="790"/>
      <c r="V89" s="790"/>
      <c r="W89" s="790"/>
      <c r="X89" s="790"/>
      <c r="Y89" s="790"/>
      <c r="Z89" s="790"/>
      <c r="AA89" s="790"/>
      <c r="AB89" s="790"/>
      <c r="AC89" s="790"/>
      <c r="AD89" s="790"/>
      <c r="AE89" s="790"/>
      <c r="AF89" s="790"/>
      <c r="AG89" s="790"/>
      <c r="AH89" s="790"/>
      <c r="AI89" s="790"/>
      <c r="AJ89" s="790"/>
      <c r="AK89" s="790"/>
      <c r="AL89" s="790"/>
      <c r="AM89" s="790"/>
      <c r="AN89" s="768"/>
      <c r="AO89" s="768"/>
      <c r="AP89" s="768"/>
      <c r="AQ89" s="768"/>
      <c r="AW89" s="65"/>
    </row>
    <row r="90" spans="1:54" s="61" customFormat="1" ht="13.5" thickBot="1" x14ac:dyDescent="0.25">
      <c r="A90" s="791"/>
      <c r="B90" s="791"/>
      <c r="C90" s="791"/>
      <c r="D90" s="791"/>
      <c r="E90" s="791"/>
      <c r="F90" s="791"/>
      <c r="G90" s="791"/>
      <c r="H90" s="791"/>
      <c r="I90" s="791"/>
      <c r="J90" s="791"/>
      <c r="K90" s="791"/>
      <c r="L90" s="791"/>
      <c r="M90" s="791"/>
      <c r="N90" s="791"/>
      <c r="O90" s="791"/>
      <c r="P90" s="791"/>
      <c r="Q90" s="791"/>
      <c r="R90" s="791"/>
      <c r="S90" s="791"/>
      <c r="T90" s="791"/>
      <c r="U90" s="791"/>
      <c r="V90" s="791"/>
      <c r="W90" s="791"/>
      <c r="X90" s="791"/>
      <c r="Y90" s="791"/>
      <c r="Z90" s="791"/>
      <c r="AA90" s="791"/>
      <c r="AB90" s="791"/>
      <c r="AC90" s="791"/>
      <c r="AD90" s="791"/>
      <c r="AE90" s="791"/>
      <c r="AF90" s="791"/>
      <c r="AG90" s="791"/>
      <c r="AH90" s="791"/>
      <c r="AI90" s="791"/>
      <c r="AJ90" s="791"/>
      <c r="AK90" s="791"/>
      <c r="AL90" s="791"/>
      <c r="AM90" s="791"/>
      <c r="AN90" s="791"/>
      <c r="AO90" s="791"/>
      <c r="AP90" s="791"/>
      <c r="AQ90" s="791"/>
      <c r="AW90" s="65"/>
    </row>
    <row r="91" spans="1:54" ht="24" customHeight="1" thickBot="1" x14ac:dyDescent="0.25">
      <c r="A91" s="22" t="s">
        <v>22</v>
      </c>
      <c r="B91" s="23" t="s">
        <v>92</v>
      </c>
      <c r="C91" s="862" t="s">
        <v>24</v>
      </c>
      <c r="D91" s="863"/>
      <c r="E91" s="863"/>
      <c r="F91" s="863"/>
      <c r="G91" s="863"/>
      <c r="H91" s="864"/>
      <c r="I91" s="865">
        <v>2</v>
      </c>
      <c r="J91" s="866"/>
      <c r="K91" s="867" t="str">
        <f>"Pool "&amp;B91&amp;" - Round 1 - Court "&amp;I91</f>
        <v>Pool B - Round 1 - Court 2</v>
      </c>
      <c r="L91" s="868"/>
      <c r="M91" s="868"/>
      <c r="N91" s="868"/>
      <c r="O91" s="868"/>
      <c r="P91" s="868"/>
      <c r="Q91" s="868"/>
      <c r="R91" s="868"/>
      <c r="S91" s="868"/>
      <c r="T91" s="868"/>
      <c r="U91" s="868"/>
      <c r="V91" s="868"/>
      <c r="W91" s="868"/>
      <c r="X91" s="868"/>
      <c r="Y91" s="868"/>
      <c r="Z91" s="868"/>
      <c r="AA91" s="868"/>
      <c r="AB91" s="868"/>
      <c r="AC91" s="868"/>
      <c r="AD91" s="868"/>
      <c r="AE91" s="868"/>
      <c r="AF91" s="868"/>
      <c r="AG91" s="868"/>
      <c r="AH91" s="868"/>
      <c r="AI91" s="869"/>
      <c r="AJ91" s="11"/>
      <c r="AK91" s="11"/>
      <c r="AL91" s="11"/>
      <c r="AM91" s="11"/>
      <c r="AN91" s="11"/>
      <c r="AO91" s="11"/>
      <c r="AP91" s="11"/>
      <c r="AQ91" s="11"/>
    </row>
    <row r="92" spans="1:54" ht="27" customHeight="1" thickBot="1" x14ac:dyDescent="0.25">
      <c r="A92" s="24" t="s">
        <v>25</v>
      </c>
      <c r="B92" s="870" t="s">
        <v>7</v>
      </c>
      <c r="C92" s="871"/>
      <c r="D92" s="871"/>
      <c r="E92" s="871"/>
      <c r="F92" s="871"/>
      <c r="G92" s="871"/>
      <c r="H92" s="871"/>
      <c r="I92" s="871"/>
      <c r="J92" s="871"/>
      <c r="K92" s="871"/>
      <c r="L92" s="870" t="str">
        <f>IF($AK95=0,"Games Won","Matches Won")</f>
        <v>Games Won</v>
      </c>
      <c r="M92" s="871"/>
      <c r="N92" s="871"/>
      <c r="O92" s="871"/>
      <c r="P92" s="871"/>
      <c r="Q92" s="872"/>
      <c r="R92" s="870" t="str">
        <f>IF($AK95=0,"Games Lost","Matches Lost")</f>
        <v>Games Lost</v>
      </c>
      <c r="S92" s="873"/>
      <c r="T92" s="873"/>
      <c r="U92" s="873"/>
      <c r="V92" s="874"/>
      <c r="W92" s="875" t="s">
        <v>26</v>
      </c>
      <c r="X92" s="876"/>
      <c r="Y92" s="877"/>
      <c r="Z92" s="875" t="s">
        <v>27</v>
      </c>
      <c r="AA92" s="876"/>
      <c r="AB92" s="877"/>
      <c r="AC92" s="878" t="s">
        <v>28</v>
      </c>
      <c r="AD92" s="879"/>
      <c r="AE92" s="880"/>
      <c r="AF92" s="25" t="s">
        <v>29</v>
      </c>
      <c r="AG92" s="26" t="s">
        <v>6</v>
      </c>
      <c r="AH92" s="860" t="s">
        <v>30</v>
      </c>
      <c r="AI92" s="861"/>
      <c r="AJ92" s="27"/>
      <c r="AK92" s="28">
        <v>2</v>
      </c>
      <c r="AL92" s="29" t="s">
        <v>31</v>
      </c>
      <c r="AM92" s="29"/>
      <c r="AN92" s="29"/>
      <c r="AO92" s="29"/>
      <c r="AP92" s="29"/>
      <c r="AQ92" s="29"/>
      <c r="AR92" s="30"/>
    </row>
    <row r="93" spans="1:54" ht="18.75" customHeight="1" x14ac:dyDescent="0.2">
      <c r="A93" s="829" t="str">
        <f>IF($AK94&gt;0,"1","")</f>
        <v>1</v>
      </c>
      <c r="B93" s="857" t="s">
        <v>7</v>
      </c>
      <c r="C93" s="858"/>
      <c r="D93" s="859"/>
      <c r="E93" s="833" t="str">
        <f>AU4</f>
        <v>Lake Murray 12 Black</v>
      </c>
      <c r="F93" s="834"/>
      <c r="G93" s="834"/>
      <c r="H93" s="834"/>
      <c r="I93" s="834"/>
      <c r="J93" s="834"/>
      <c r="K93" s="835"/>
      <c r="L93" s="836">
        <f>IF($AK95=0,AF149,AF131)</f>
        <v>7</v>
      </c>
      <c r="M93" s="837"/>
      <c r="N93" s="837"/>
      <c r="O93" s="837"/>
      <c r="P93" s="837"/>
      <c r="Q93" s="872"/>
      <c r="R93" s="836">
        <f>IF($AK95=0,AG149,AG131)</f>
        <v>1</v>
      </c>
      <c r="S93" s="837"/>
      <c r="T93" s="837"/>
      <c r="U93" s="837"/>
      <c r="V93" s="837"/>
      <c r="W93" s="836">
        <f>AQ109</f>
        <v>43</v>
      </c>
      <c r="X93" s="837"/>
      <c r="Y93" s="837"/>
      <c r="Z93" s="809">
        <f>IF(AF143&gt;0,(AQ109/AF143),0)</f>
        <v>0.21393034825870647</v>
      </c>
      <c r="AA93" s="810"/>
      <c r="AB93" s="810"/>
      <c r="AC93" s="813">
        <f>IF(AF157=0,0,(AF149/AF157))</f>
        <v>0.875</v>
      </c>
      <c r="AD93" s="814"/>
      <c r="AE93" s="815"/>
      <c r="AF93" s="819">
        <v>2</v>
      </c>
      <c r="AG93" s="819">
        <v>3</v>
      </c>
      <c r="AH93" s="821">
        <v>1</v>
      </c>
      <c r="AI93" s="822"/>
      <c r="AJ93" s="27"/>
      <c r="AK93" s="28">
        <v>10</v>
      </c>
      <c r="AL93" s="29" t="s">
        <v>32</v>
      </c>
      <c r="AM93" s="29"/>
      <c r="AN93" s="29"/>
      <c r="AO93" s="29"/>
      <c r="AP93" s="29"/>
      <c r="AQ93" s="29"/>
      <c r="AR93" s="30"/>
    </row>
    <row r="94" spans="1:54" ht="18.75" customHeight="1" thickBot="1" x14ac:dyDescent="0.25">
      <c r="A94" s="830"/>
      <c r="B94" s="854" t="s">
        <v>8</v>
      </c>
      <c r="C94" s="855"/>
      <c r="D94" s="856"/>
      <c r="E94" s="850" t="str">
        <f>AV4</f>
        <v>fj2lakem1pm</v>
      </c>
      <c r="F94" s="851"/>
      <c r="G94" s="851"/>
      <c r="H94" s="851"/>
      <c r="I94" s="851"/>
      <c r="J94" s="851"/>
      <c r="K94" s="851"/>
      <c r="L94" s="852"/>
      <c r="M94" s="853"/>
      <c r="N94" s="853"/>
      <c r="O94" s="853"/>
      <c r="P94" s="853"/>
      <c r="Q94" s="872"/>
      <c r="R94" s="852"/>
      <c r="S94" s="853"/>
      <c r="T94" s="853"/>
      <c r="U94" s="853"/>
      <c r="V94" s="853"/>
      <c r="W94" s="852"/>
      <c r="X94" s="853"/>
      <c r="Y94" s="853"/>
      <c r="Z94" s="840"/>
      <c r="AA94" s="841"/>
      <c r="AB94" s="841"/>
      <c r="AC94" s="842"/>
      <c r="AD94" s="843"/>
      <c r="AE94" s="844"/>
      <c r="AF94" s="845"/>
      <c r="AG94" s="845"/>
      <c r="AH94" s="846"/>
      <c r="AI94" s="847"/>
      <c r="AJ94" s="27"/>
      <c r="AK94" s="28">
        <v>5</v>
      </c>
      <c r="AL94" s="29" t="s">
        <v>33</v>
      </c>
      <c r="AM94" s="27"/>
      <c r="AN94" s="27"/>
      <c r="AO94" s="27"/>
      <c r="AP94" s="27"/>
      <c r="AQ94" s="27"/>
      <c r="AR94" s="3"/>
    </row>
    <row r="95" spans="1:54" ht="18.75" customHeight="1" x14ac:dyDescent="0.2">
      <c r="A95" s="829" t="str">
        <f>IF($AK94&gt;1,"2","")</f>
        <v>2</v>
      </c>
      <c r="B95" s="857" t="s">
        <v>7</v>
      </c>
      <c r="C95" s="858"/>
      <c r="D95" s="859"/>
      <c r="E95" s="833" t="str">
        <f>AU5</f>
        <v>Kershaw 12 White</v>
      </c>
      <c r="F95" s="834"/>
      <c r="G95" s="834"/>
      <c r="H95" s="834"/>
      <c r="I95" s="834"/>
      <c r="J95" s="834"/>
      <c r="K95" s="835"/>
      <c r="L95" s="836">
        <f>IF($AK95=0,AF150,AF132)</f>
        <v>0</v>
      </c>
      <c r="M95" s="837"/>
      <c r="N95" s="837"/>
      <c r="O95" s="837"/>
      <c r="P95" s="837"/>
      <c r="Q95" s="872"/>
      <c r="R95" s="836">
        <f>IF($AK95=0,AG150,AG132)</f>
        <v>8</v>
      </c>
      <c r="S95" s="837"/>
      <c r="T95" s="837"/>
      <c r="U95" s="837"/>
      <c r="V95" s="837"/>
      <c r="W95" s="836">
        <f>AQ110</f>
        <v>-72</v>
      </c>
      <c r="X95" s="837"/>
      <c r="Y95" s="837"/>
      <c r="Z95" s="809">
        <f>IF(AF144&gt;0,(AQ110/AF144),0)</f>
        <v>-0.36</v>
      </c>
      <c r="AA95" s="810"/>
      <c r="AB95" s="810"/>
      <c r="AC95" s="813">
        <f>IF(AF158=0,0,(AF150/AF158))</f>
        <v>0</v>
      </c>
      <c r="AD95" s="814"/>
      <c r="AE95" s="815"/>
      <c r="AF95" s="819">
        <v>5</v>
      </c>
      <c r="AG95" s="819">
        <v>1</v>
      </c>
      <c r="AH95" s="821">
        <v>10</v>
      </c>
      <c r="AI95" s="822"/>
      <c r="AJ95" s="27"/>
      <c r="AK95" s="28">
        <v>0</v>
      </c>
      <c r="AL95" s="29" t="s">
        <v>34</v>
      </c>
      <c r="AM95" s="29"/>
      <c r="AN95" s="29"/>
      <c r="AO95" s="29"/>
      <c r="AP95" s="29"/>
      <c r="AQ95" s="29"/>
      <c r="AR95" s="30"/>
    </row>
    <row r="96" spans="1:54" ht="18.75" customHeight="1" thickBot="1" x14ac:dyDescent="0.25">
      <c r="A96" s="830"/>
      <c r="B96" s="848" t="s">
        <v>8</v>
      </c>
      <c r="C96" s="849"/>
      <c r="D96" s="849"/>
      <c r="E96" s="850" t="str">
        <f>AV5</f>
        <v>fj2kersh2pm</v>
      </c>
      <c r="F96" s="851"/>
      <c r="G96" s="851"/>
      <c r="H96" s="851"/>
      <c r="I96" s="851"/>
      <c r="J96" s="851"/>
      <c r="K96" s="851"/>
      <c r="L96" s="852"/>
      <c r="M96" s="853"/>
      <c r="N96" s="853"/>
      <c r="O96" s="853"/>
      <c r="P96" s="853"/>
      <c r="Q96" s="872"/>
      <c r="R96" s="852"/>
      <c r="S96" s="853"/>
      <c r="T96" s="853"/>
      <c r="U96" s="853"/>
      <c r="V96" s="853"/>
      <c r="W96" s="852"/>
      <c r="X96" s="853"/>
      <c r="Y96" s="853"/>
      <c r="Z96" s="840"/>
      <c r="AA96" s="841"/>
      <c r="AB96" s="841"/>
      <c r="AC96" s="842"/>
      <c r="AD96" s="843"/>
      <c r="AE96" s="844"/>
      <c r="AF96" s="845"/>
      <c r="AG96" s="845"/>
      <c r="AH96" s="846"/>
      <c r="AI96" s="847"/>
      <c r="AJ96" s="27"/>
      <c r="AK96" s="28">
        <v>1</v>
      </c>
      <c r="AL96" s="29" t="s">
        <v>35</v>
      </c>
      <c r="AM96" s="27"/>
      <c r="AN96" s="27"/>
      <c r="AO96" s="27"/>
      <c r="AP96" s="27"/>
      <c r="AQ96" s="27"/>
      <c r="AR96" s="3"/>
    </row>
    <row r="97" spans="1:44" ht="18.75" customHeight="1" x14ac:dyDescent="0.2">
      <c r="A97" s="829" t="str">
        <f>IF($AK94&gt;2,"3","")</f>
        <v>3</v>
      </c>
      <c r="B97" s="831" t="s">
        <v>7</v>
      </c>
      <c r="C97" s="832"/>
      <c r="D97" s="832"/>
      <c r="E97" s="833" t="str">
        <f>AU8</f>
        <v>C1VB 12 State Pickens</v>
      </c>
      <c r="F97" s="834"/>
      <c r="G97" s="834"/>
      <c r="H97" s="834"/>
      <c r="I97" s="834"/>
      <c r="J97" s="834"/>
      <c r="K97" s="835"/>
      <c r="L97" s="836">
        <f>IF($AK95=0,AF151,AF133)</f>
        <v>7</v>
      </c>
      <c r="M97" s="837"/>
      <c r="N97" s="837"/>
      <c r="O97" s="837"/>
      <c r="P97" s="837"/>
      <c r="Q97" s="872"/>
      <c r="R97" s="836">
        <f>IF($AK95=0,AG151,AG133)</f>
        <v>1</v>
      </c>
      <c r="S97" s="837"/>
      <c r="T97" s="837"/>
      <c r="U97" s="837"/>
      <c r="V97" s="837"/>
      <c r="W97" s="836">
        <f>AQ111</f>
        <v>69</v>
      </c>
      <c r="X97" s="837"/>
      <c r="Y97" s="837"/>
      <c r="Z97" s="809">
        <f>IF(AF145&gt;0,(AQ111/AF145),0)</f>
        <v>0.34499999999999997</v>
      </c>
      <c r="AA97" s="810"/>
      <c r="AB97" s="810"/>
      <c r="AC97" s="813">
        <f>IF(AF159=0,0,(AF151/AF159))</f>
        <v>0.875</v>
      </c>
      <c r="AD97" s="814"/>
      <c r="AE97" s="815"/>
      <c r="AF97" s="819">
        <v>1</v>
      </c>
      <c r="AG97" s="819">
        <v>3</v>
      </c>
      <c r="AH97" s="821">
        <v>2</v>
      </c>
      <c r="AI97" s="822"/>
      <c r="AJ97" s="36"/>
      <c r="AK97" s="28">
        <v>8</v>
      </c>
      <c r="AL97" s="37" t="s">
        <v>36</v>
      </c>
      <c r="AM97" s="29"/>
      <c r="AN97" s="29"/>
      <c r="AO97" s="29"/>
      <c r="AP97" s="29"/>
      <c r="AQ97" s="29"/>
      <c r="AR97" s="30"/>
    </row>
    <row r="98" spans="1:44" ht="18.75" customHeight="1" thickBot="1" x14ac:dyDescent="0.25">
      <c r="A98" s="830"/>
      <c r="B98" s="848" t="s">
        <v>8</v>
      </c>
      <c r="C98" s="849"/>
      <c r="D98" s="849"/>
      <c r="E98" s="850" t="str">
        <f>AV8</f>
        <v>fj2crone5pm</v>
      </c>
      <c r="F98" s="851"/>
      <c r="G98" s="851"/>
      <c r="H98" s="851"/>
      <c r="I98" s="851"/>
      <c r="J98" s="851"/>
      <c r="K98" s="851"/>
      <c r="L98" s="852"/>
      <c r="M98" s="853"/>
      <c r="N98" s="853"/>
      <c r="O98" s="853"/>
      <c r="P98" s="853"/>
      <c r="Q98" s="872"/>
      <c r="R98" s="852"/>
      <c r="S98" s="853"/>
      <c r="T98" s="853"/>
      <c r="U98" s="853"/>
      <c r="V98" s="853"/>
      <c r="W98" s="852"/>
      <c r="X98" s="853"/>
      <c r="Y98" s="853"/>
      <c r="Z98" s="840"/>
      <c r="AA98" s="841"/>
      <c r="AB98" s="841"/>
      <c r="AC98" s="842"/>
      <c r="AD98" s="843"/>
      <c r="AE98" s="844"/>
      <c r="AF98" s="845"/>
      <c r="AG98" s="845"/>
      <c r="AH98" s="846"/>
      <c r="AI98" s="847"/>
      <c r="AJ98" s="36"/>
      <c r="AK98" s="38"/>
      <c r="AL98" s="39"/>
      <c r="AM98" s="39"/>
      <c r="AN98" s="39"/>
      <c r="AO98" s="39"/>
      <c r="AP98" s="39"/>
      <c r="AQ98" s="27"/>
      <c r="AR98" s="3"/>
    </row>
    <row r="99" spans="1:44" ht="18.75" customHeight="1" x14ac:dyDescent="0.2">
      <c r="A99" s="829" t="str">
        <f>IF($AK94&gt;3,"4","")</f>
        <v>4</v>
      </c>
      <c r="B99" s="831" t="s">
        <v>7</v>
      </c>
      <c r="C99" s="832"/>
      <c r="D99" s="832"/>
      <c r="E99" s="833" t="str">
        <f>AU9</f>
        <v>MOTO 12'1</v>
      </c>
      <c r="F99" s="834"/>
      <c r="G99" s="834"/>
      <c r="H99" s="834"/>
      <c r="I99" s="834"/>
      <c r="J99" s="834"/>
      <c r="K99" s="835"/>
      <c r="L99" s="836">
        <f>IF($AK95=0,AF152,AF134)</f>
        <v>2</v>
      </c>
      <c r="M99" s="837"/>
      <c r="N99" s="837"/>
      <c r="O99" s="837"/>
      <c r="P99" s="837"/>
      <c r="Q99" s="872"/>
      <c r="R99" s="836">
        <f>IF($AK95=0,AG152,AG134)</f>
        <v>6</v>
      </c>
      <c r="S99" s="837"/>
      <c r="T99" s="837"/>
      <c r="U99" s="837"/>
      <c r="V99" s="837"/>
      <c r="W99" s="836">
        <f>AQ112</f>
        <v>-56</v>
      </c>
      <c r="X99" s="837"/>
      <c r="Y99" s="837"/>
      <c r="Z99" s="809">
        <f>IF(AF146&gt;0,(AQ112/AF146),0)</f>
        <v>-0.28000000000000003</v>
      </c>
      <c r="AA99" s="810"/>
      <c r="AB99" s="810"/>
      <c r="AC99" s="813">
        <f>IF(AF160=0,0,(AF152/AF160))</f>
        <v>0.25</v>
      </c>
      <c r="AD99" s="814"/>
      <c r="AE99" s="815"/>
      <c r="AF99" s="819">
        <v>4</v>
      </c>
      <c r="AG99" s="819">
        <v>1</v>
      </c>
      <c r="AH99" s="821">
        <v>7</v>
      </c>
      <c r="AI99" s="822"/>
      <c r="AJ99" s="11"/>
      <c r="AK99" s="39"/>
      <c r="AL99" s="39"/>
      <c r="AM99" s="39"/>
      <c r="AN99" s="39"/>
      <c r="AO99" s="39"/>
      <c r="AP99" s="39"/>
      <c r="AQ99" s="29"/>
      <c r="AR99" s="30"/>
    </row>
    <row r="100" spans="1:44" ht="18.75" customHeight="1" thickBot="1" x14ac:dyDescent="0.25">
      <c r="A100" s="830"/>
      <c r="B100" s="848" t="s">
        <v>8</v>
      </c>
      <c r="C100" s="849"/>
      <c r="D100" s="849"/>
      <c r="E100" s="850" t="str">
        <f>AV9</f>
        <v>fj1motoj1pm</v>
      </c>
      <c r="F100" s="851"/>
      <c r="G100" s="851"/>
      <c r="H100" s="851"/>
      <c r="I100" s="851"/>
      <c r="J100" s="851"/>
      <c r="K100" s="851"/>
      <c r="L100" s="852"/>
      <c r="M100" s="853"/>
      <c r="N100" s="853"/>
      <c r="O100" s="853"/>
      <c r="P100" s="853"/>
      <c r="Q100" s="872"/>
      <c r="R100" s="852"/>
      <c r="S100" s="853"/>
      <c r="T100" s="853"/>
      <c r="U100" s="853"/>
      <c r="V100" s="853"/>
      <c r="W100" s="852"/>
      <c r="X100" s="853"/>
      <c r="Y100" s="853"/>
      <c r="Z100" s="840"/>
      <c r="AA100" s="841"/>
      <c r="AB100" s="841"/>
      <c r="AC100" s="842"/>
      <c r="AD100" s="843"/>
      <c r="AE100" s="844"/>
      <c r="AF100" s="845"/>
      <c r="AG100" s="845"/>
      <c r="AH100" s="846"/>
      <c r="AI100" s="847"/>
      <c r="AJ100" s="11"/>
      <c r="AK100" s="39"/>
      <c r="AL100" s="39"/>
      <c r="AM100" s="39"/>
      <c r="AN100" s="39"/>
      <c r="AO100" s="39"/>
      <c r="AP100" s="39"/>
      <c r="AQ100" s="11"/>
      <c r="AR100" s="3"/>
    </row>
    <row r="101" spans="1:44" ht="18.75" customHeight="1" x14ac:dyDescent="0.2">
      <c r="A101" s="829" t="str">
        <f>IF($AK94&gt;4,"5","")</f>
        <v>5</v>
      </c>
      <c r="B101" s="831" t="s">
        <v>7</v>
      </c>
      <c r="C101" s="832"/>
      <c r="D101" s="832"/>
      <c r="E101" s="833" t="str">
        <f>AU12</f>
        <v>Foothills 12U King</v>
      </c>
      <c r="F101" s="834"/>
      <c r="G101" s="834"/>
      <c r="H101" s="834"/>
      <c r="I101" s="834"/>
      <c r="J101" s="834"/>
      <c r="K101" s="835"/>
      <c r="L101" s="836">
        <f>IF($AK95=0,AF153,AF135)</f>
        <v>4</v>
      </c>
      <c r="M101" s="837"/>
      <c r="N101" s="837"/>
      <c r="O101" s="837"/>
      <c r="P101" s="837"/>
      <c r="Q101" s="872"/>
      <c r="R101" s="836">
        <f>IF($AK95=0,AG153,AG135)</f>
        <v>4</v>
      </c>
      <c r="S101" s="837"/>
      <c r="T101" s="837"/>
      <c r="U101" s="837"/>
      <c r="V101" s="837"/>
      <c r="W101" s="836">
        <f>AQ113</f>
        <v>16</v>
      </c>
      <c r="X101" s="837"/>
      <c r="Y101" s="837"/>
      <c r="Z101" s="809">
        <f>IF(AF147&gt;0,(AQ113/AF147),0)</f>
        <v>7.9601990049751242E-2</v>
      </c>
      <c r="AA101" s="810"/>
      <c r="AB101" s="810"/>
      <c r="AC101" s="813">
        <f>IF(AF161=0,0,(AF153/AF161))</f>
        <v>0.5</v>
      </c>
      <c r="AD101" s="814"/>
      <c r="AE101" s="815"/>
      <c r="AF101" s="819">
        <v>3</v>
      </c>
      <c r="AG101" s="819">
        <v>1</v>
      </c>
      <c r="AH101" s="821">
        <v>6</v>
      </c>
      <c r="AI101" s="822"/>
      <c r="AJ101" s="11"/>
      <c r="AK101" s="39"/>
      <c r="AL101" s="39"/>
      <c r="AM101" s="39"/>
      <c r="AN101" s="39"/>
      <c r="AO101" s="39"/>
      <c r="AP101" s="39"/>
      <c r="AQ101" s="11"/>
      <c r="AR101" s="3"/>
    </row>
    <row r="102" spans="1:44" ht="18.75" customHeight="1" thickBot="1" x14ac:dyDescent="0.25">
      <c r="A102" s="830"/>
      <c r="B102" s="825" t="s">
        <v>8</v>
      </c>
      <c r="C102" s="826"/>
      <c r="D102" s="826"/>
      <c r="E102" s="827" t="str">
        <f>AV12</f>
        <v>fj2footh1pm</v>
      </c>
      <c r="F102" s="828"/>
      <c r="G102" s="828"/>
      <c r="H102" s="828"/>
      <c r="I102" s="828"/>
      <c r="J102" s="828"/>
      <c r="K102" s="828"/>
      <c r="L102" s="838"/>
      <c r="M102" s="839"/>
      <c r="N102" s="839"/>
      <c r="O102" s="839"/>
      <c r="P102" s="839"/>
      <c r="Q102" s="872"/>
      <c r="R102" s="838"/>
      <c r="S102" s="839"/>
      <c r="T102" s="839"/>
      <c r="U102" s="839"/>
      <c r="V102" s="839"/>
      <c r="W102" s="838"/>
      <c r="X102" s="839"/>
      <c r="Y102" s="839"/>
      <c r="Z102" s="811"/>
      <c r="AA102" s="812"/>
      <c r="AB102" s="812"/>
      <c r="AC102" s="816"/>
      <c r="AD102" s="817"/>
      <c r="AE102" s="818"/>
      <c r="AF102" s="820"/>
      <c r="AG102" s="820"/>
      <c r="AH102" s="823"/>
      <c r="AI102" s="824"/>
      <c r="AJ102" s="11"/>
      <c r="AK102" s="39"/>
      <c r="AL102" s="39"/>
      <c r="AM102" s="39"/>
      <c r="AN102" s="39"/>
      <c r="AO102" s="39"/>
      <c r="AP102" s="39"/>
      <c r="AQ102" s="11"/>
      <c r="AR102" s="3"/>
    </row>
    <row r="103" spans="1:44" ht="21" customHeight="1" thickTop="1" thickBot="1" x14ac:dyDescent="0.25">
      <c r="A103" s="40"/>
      <c r="B103" s="806" t="s">
        <v>353</v>
      </c>
      <c r="C103" s="807"/>
      <c r="D103" s="807"/>
      <c r="E103" s="807"/>
      <c r="F103" s="807"/>
      <c r="G103" s="807"/>
      <c r="H103" s="807"/>
      <c r="I103" s="807"/>
      <c r="J103" s="807"/>
      <c r="K103" s="807"/>
      <c r="L103" s="807"/>
      <c r="M103" s="807"/>
      <c r="N103" s="807"/>
      <c r="O103" s="807"/>
      <c r="P103" s="807"/>
      <c r="Q103" s="807"/>
      <c r="R103" s="807"/>
      <c r="S103" s="807"/>
      <c r="T103" s="807"/>
      <c r="U103" s="807"/>
      <c r="V103" s="807"/>
      <c r="W103" s="807"/>
      <c r="X103" s="807"/>
      <c r="Y103" s="807"/>
      <c r="Z103" s="807"/>
      <c r="AA103" s="807"/>
      <c r="AB103" s="807"/>
      <c r="AC103" s="807"/>
      <c r="AD103" s="807"/>
      <c r="AE103" s="807"/>
      <c r="AF103" s="807"/>
      <c r="AG103" s="807"/>
      <c r="AH103" s="807"/>
      <c r="AI103" s="808"/>
      <c r="AJ103" s="11"/>
      <c r="AK103" s="39"/>
      <c r="AL103" s="39"/>
      <c r="AM103" s="39"/>
      <c r="AN103" s="39"/>
      <c r="AO103" s="39"/>
      <c r="AP103" s="39"/>
      <c r="AQ103" s="11"/>
      <c r="AR103" s="3"/>
    </row>
    <row r="104" spans="1:44" ht="13.5" thickTop="1" x14ac:dyDescent="0.2">
      <c r="A104" s="4" t="s">
        <v>39</v>
      </c>
      <c r="B104" s="795">
        <v>0.35416666666666669</v>
      </c>
      <c r="C104" s="796"/>
      <c r="D104" s="797"/>
      <c r="E104" s="795">
        <v>0.38541666666666669</v>
      </c>
      <c r="F104" s="796"/>
      <c r="G104" s="797"/>
      <c r="H104" s="795">
        <v>0.41666666666666669</v>
      </c>
      <c r="I104" s="796"/>
      <c r="J104" s="797"/>
      <c r="K104" s="795">
        <v>0.44791666666666669</v>
      </c>
      <c r="L104" s="796"/>
      <c r="M104" s="797"/>
      <c r="N104" s="795">
        <v>0.47916666666666669</v>
      </c>
      <c r="O104" s="796"/>
      <c r="P104" s="797"/>
      <c r="Q104" s="795">
        <v>0.51041666666666663</v>
      </c>
      <c r="R104" s="796"/>
      <c r="S104" s="797"/>
      <c r="T104" s="795">
        <v>4.1666666666666664E-2</v>
      </c>
      <c r="U104" s="796"/>
      <c r="V104" s="797"/>
      <c r="W104" s="795">
        <v>7.2916666666666671E-2</v>
      </c>
      <c r="X104" s="796"/>
      <c r="Y104" s="797"/>
      <c r="Z104" s="795">
        <v>0.10416666666666667</v>
      </c>
      <c r="AA104" s="796"/>
      <c r="AB104" s="797"/>
      <c r="AC104" s="795">
        <v>0.13541666666666666</v>
      </c>
      <c r="AD104" s="796"/>
      <c r="AE104" s="797"/>
      <c r="AF104" s="798" t="s">
        <v>40</v>
      </c>
      <c r="AG104" s="799"/>
      <c r="AH104" s="799"/>
      <c r="AI104" s="799"/>
      <c r="AJ104" s="800"/>
      <c r="AK104" s="800"/>
      <c r="AL104" s="800"/>
      <c r="AM104" s="800"/>
      <c r="AN104" s="800"/>
      <c r="AO104" s="800"/>
      <c r="AP104" s="800"/>
      <c r="AQ104" s="801"/>
    </row>
    <row r="105" spans="1:44" x14ac:dyDescent="0.2">
      <c r="A105" s="41" t="s">
        <v>41</v>
      </c>
      <c r="B105" s="792">
        <v>0.35694444444444445</v>
      </c>
      <c r="C105" s="793"/>
      <c r="D105" s="794"/>
      <c r="E105" s="792">
        <v>0.39166666666666666</v>
      </c>
      <c r="F105" s="793"/>
      <c r="G105" s="794"/>
      <c r="H105" s="792">
        <v>0.41666666666666669</v>
      </c>
      <c r="I105" s="793"/>
      <c r="J105" s="794"/>
      <c r="K105" s="792">
        <v>0.44791666666666669</v>
      </c>
      <c r="L105" s="793"/>
      <c r="M105" s="794"/>
      <c r="N105" s="792">
        <v>0.48472222222222222</v>
      </c>
      <c r="O105" s="793"/>
      <c r="P105" s="794"/>
      <c r="Q105" s="792">
        <v>0.51736111111111105</v>
      </c>
      <c r="R105" s="793"/>
      <c r="S105" s="794"/>
      <c r="T105" s="792">
        <v>4.8611111111111112E-2</v>
      </c>
      <c r="U105" s="793"/>
      <c r="V105" s="794"/>
      <c r="W105" s="792">
        <v>7.9861111111111105E-2</v>
      </c>
      <c r="X105" s="793"/>
      <c r="Y105" s="794"/>
      <c r="Z105" s="792">
        <v>0.11805555555555557</v>
      </c>
      <c r="AA105" s="793"/>
      <c r="AB105" s="794"/>
      <c r="AC105" s="792">
        <v>0.14930555555555555</v>
      </c>
      <c r="AD105" s="793"/>
      <c r="AE105" s="794"/>
      <c r="AF105" s="798"/>
      <c r="AG105" s="799"/>
      <c r="AH105" s="799"/>
      <c r="AI105" s="799"/>
      <c r="AJ105" s="799"/>
      <c r="AK105" s="799"/>
      <c r="AL105" s="799"/>
      <c r="AM105" s="799"/>
      <c r="AN105" s="799"/>
      <c r="AO105" s="799"/>
      <c r="AP105" s="799"/>
      <c r="AQ105" s="802"/>
    </row>
    <row r="106" spans="1:44" x14ac:dyDescent="0.2">
      <c r="A106" s="41" t="s">
        <v>42</v>
      </c>
      <c r="B106" s="792">
        <v>0.38194444444444442</v>
      </c>
      <c r="C106" s="793"/>
      <c r="D106" s="794"/>
      <c r="E106" s="792">
        <v>0.40625</v>
      </c>
      <c r="F106" s="793"/>
      <c r="G106" s="794"/>
      <c r="H106" s="792">
        <v>0.43888888888888888</v>
      </c>
      <c r="I106" s="793"/>
      <c r="J106" s="794"/>
      <c r="K106" s="792">
        <v>0.4770833333333333</v>
      </c>
      <c r="L106" s="793"/>
      <c r="M106" s="794"/>
      <c r="N106" s="792">
        <v>0.51041666666666663</v>
      </c>
      <c r="O106" s="793"/>
      <c r="P106" s="794"/>
      <c r="Q106" s="792">
        <v>4.1666666666666664E-2</v>
      </c>
      <c r="R106" s="793"/>
      <c r="S106" s="794"/>
      <c r="T106" s="792">
        <v>6.25E-2</v>
      </c>
      <c r="U106" s="793"/>
      <c r="V106" s="794"/>
      <c r="W106" s="792">
        <v>0.1111111111111111</v>
      </c>
      <c r="X106" s="793"/>
      <c r="Y106" s="794"/>
      <c r="Z106" s="792">
        <v>0.1388888888888889</v>
      </c>
      <c r="AA106" s="793"/>
      <c r="AB106" s="794"/>
      <c r="AC106" s="792">
        <v>0.17361111111111113</v>
      </c>
      <c r="AD106" s="793"/>
      <c r="AE106" s="794"/>
      <c r="AF106" s="798"/>
      <c r="AG106" s="799"/>
      <c r="AH106" s="799"/>
      <c r="AI106" s="799"/>
      <c r="AJ106" s="799"/>
      <c r="AK106" s="799"/>
      <c r="AL106" s="799"/>
      <c r="AM106" s="799"/>
      <c r="AN106" s="799"/>
      <c r="AO106" s="799"/>
      <c r="AP106" s="799"/>
      <c r="AQ106" s="802"/>
    </row>
    <row r="107" spans="1:44" ht="13.5" thickBot="1" x14ac:dyDescent="0.25">
      <c r="A107" s="11"/>
      <c r="B107" s="684" t="s">
        <v>43</v>
      </c>
      <c r="C107" s="685"/>
      <c r="D107" s="691"/>
      <c r="E107" s="684" t="str">
        <f>IF(AK93&gt;1,"Match 2","")</f>
        <v>Match 2</v>
      </c>
      <c r="F107" s="685"/>
      <c r="G107" s="691"/>
      <c r="H107" s="684" t="str">
        <f>IF(AK93&gt;2,"Match 3","")</f>
        <v>Match 3</v>
      </c>
      <c r="I107" s="685"/>
      <c r="J107" s="691"/>
      <c r="K107" s="684" t="str">
        <f>IF(AK93&gt;3,"Match 4","")</f>
        <v>Match 4</v>
      </c>
      <c r="L107" s="685"/>
      <c r="M107" s="691"/>
      <c r="N107" s="684" t="str">
        <f>IF(AK93&gt;4,"Match 5","")</f>
        <v>Match 5</v>
      </c>
      <c r="O107" s="685"/>
      <c r="P107" s="691"/>
      <c r="Q107" s="684" t="str">
        <f>IF(AK93&gt;5,"Match 6","")</f>
        <v>Match 6</v>
      </c>
      <c r="R107" s="685"/>
      <c r="S107" s="691"/>
      <c r="T107" s="684" t="str">
        <f>IF(AK93&gt;6,"Match 7","")</f>
        <v>Match 7</v>
      </c>
      <c r="U107" s="685"/>
      <c r="V107" s="691"/>
      <c r="W107" s="684" t="str">
        <f>IF(AK93&gt;7,"Match 8","")</f>
        <v>Match 8</v>
      </c>
      <c r="X107" s="685"/>
      <c r="Y107" s="691"/>
      <c r="Z107" s="684" t="str">
        <f>IF(AK93&gt;8,"Match 9","")</f>
        <v>Match 9</v>
      </c>
      <c r="AA107" s="685"/>
      <c r="AB107" s="691"/>
      <c r="AC107" s="684" t="str">
        <f>IF(AK93&gt;9,"Match 10","")</f>
        <v>Match 10</v>
      </c>
      <c r="AD107" s="685"/>
      <c r="AE107" s="691"/>
      <c r="AF107" s="803"/>
      <c r="AG107" s="804"/>
      <c r="AH107" s="804"/>
      <c r="AI107" s="804"/>
      <c r="AJ107" s="804"/>
      <c r="AK107" s="804"/>
      <c r="AL107" s="804"/>
      <c r="AM107" s="804"/>
      <c r="AN107" s="804"/>
      <c r="AO107" s="804"/>
      <c r="AP107" s="804"/>
      <c r="AQ107" s="805"/>
    </row>
    <row r="108" spans="1:44" ht="15.75" x14ac:dyDescent="0.25">
      <c r="A108" s="11"/>
      <c r="B108" s="786" t="s">
        <v>44</v>
      </c>
      <c r="C108" s="787"/>
      <c r="D108" s="788"/>
      <c r="E108" s="786" t="s">
        <v>45</v>
      </c>
      <c r="F108" s="787"/>
      <c r="G108" s="788"/>
      <c r="H108" s="786" t="s">
        <v>46</v>
      </c>
      <c r="I108" s="787"/>
      <c r="J108" s="788"/>
      <c r="K108" s="786" t="s">
        <v>47</v>
      </c>
      <c r="L108" s="787"/>
      <c r="M108" s="788"/>
      <c r="N108" s="786" t="s">
        <v>48</v>
      </c>
      <c r="O108" s="787"/>
      <c r="P108" s="788"/>
      <c r="Q108" s="786" t="s">
        <v>46</v>
      </c>
      <c r="R108" s="787"/>
      <c r="S108" s="788"/>
      <c r="T108" s="786" t="s">
        <v>44</v>
      </c>
      <c r="U108" s="787"/>
      <c r="V108" s="788"/>
      <c r="W108" s="786" t="s">
        <v>48</v>
      </c>
      <c r="X108" s="787"/>
      <c r="Y108" s="788"/>
      <c r="Z108" s="786" t="s">
        <v>47</v>
      </c>
      <c r="AA108" s="787"/>
      <c r="AB108" s="788"/>
      <c r="AC108" s="786" t="s">
        <v>45</v>
      </c>
      <c r="AD108" s="787"/>
      <c r="AE108" s="788"/>
      <c r="AF108" s="42" t="s">
        <v>49</v>
      </c>
      <c r="AG108" s="43">
        <v>1</v>
      </c>
      <c r="AH108" s="43">
        <v>2</v>
      </c>
      <c r="AI108" s="43">
        <v>3</v>
      </c>
      <c r="AJ108" s="43">
        <v>4</v>
      </c>
      <c r="AK108" s="43">
        <v>5</v>
      </c>
      <c r="AL108" s="43">
        <v>6</v>
      </c>
      <c r="AM108" s="43">
        <v>7</v>
      </c>
      <c r="AN108" s="43">
        <v>8</v>
      </c>
      <c r="AO108" s="43">
        <v>9</v>
      </c>
      <c r="AP108" s="43">
        <v>10</v>
      </c>
      <c r="AQ108" s="44" t="s">
        <v>50</v>
      </c>
    </row>
    <row r="109" spans="1:44" ht="15.75" x14ac:dyDescent="0.25">
      <c r="A109" s="11"/>
      <c r="B109" s="45">
        <v>2</v>
      </c>
      <c r="C109" s="46" t="s">
        <v>51</v>
      </c>
      <c r="D109" s="47">
        <v>5</v>
      </c>
      <c r="E109" s="45">
        <v>1</v>
      </c>
      <c r="F109" s="46" t="str">
        <f>IF(AK93&gt;1,"v","")</f>
        <v>v</v>
      </c>
      <c r="G109" s="47">
        <v>4</v>
      </c>
      <c r="H109" s="45">
        <v>3</v>
      </c>
      <c r="I109" s="46" t="str">
        <f>IF(AK93&gt;2,"v","")</f>
        <v>v</v>
      </c>
      <c r="J109" s="47">
        <v>5</v>
      </c>
      <c r="K109" s="45">
        <v>2</v>
      </c>
      <c r="L109" s="46" t="str">
        <f>IF(AK93&gt;3,"v","")</f>
        <v>v</v>
      </c>
      <c r="M109" s="47">
        <v>4</v>
      </c>
      <c r="N109" s="45">
        <v>1</v>
      </c>
      <c r="O109" s="46" t="str">
        <f>IF(AK93&gt;4,"v","")</f>
        <v>v</v>
      </c>
      <c r="P109" s="47">
        <v>3</v>
      </c>
      <c r="Q109" s="45">
        <v>4</v>
      </c>
      <c r="R109" s="46" t="str">
        <f>IF(AK93&gt;5,"v","")</f>
        <v>v</v>
      </c>
      <c r="S109" s="47">
        <v>5</v>
      </c>
      <c r="T109" s="45">
        <v>2</v>
      </c>
      <c r="U109" s="46" t="str">
        <f>IF(AK93&gt;6,"v","")</f>
        <v>v</v>
      </c>
      <c r="V109" s="47">
        <v>3</v>
      </c>
      <c r="W109" s="45">
        <v>1</v>
      </c>
      <c r="X109" s="46" t="str">
        <f>IF(AK93&gt;7,"v","")</f>
        <v>v</v>
      </c>
      <c r="Y109" s="47">
        <v>5</v>
      </c>
      <c r="Z109" s="45">
        <v>3</v>
      </c>
      <c r="AA109" s="46" t="str">
        <f>IF(AK93&gt;8,"v","")</f>
        <v>v</v>
      </c>
      <c r="AB109" s="47">
        <v>4</v>
      </c>
      <c r="AC109" s="45">
        <v>1</v>
      </c>
      <c r="AD109" s="46" t="str">
        <f>IF(AK93&gt;9,"v","")</f>
        <v>v</v>
      </c>
      <c r="AE109" s="47">
        <v>2</v>
      </c>
      <c r="AF109" s="42" t="str">
        <f>IF(AK94&gt;0,"Team 1","")</f>
        <v>Team 1</v>
      </c>
      <c r="AG109" s="48" t="str">
        <f>IF(AK94&lt;1,"",IF(AK93&lt;1,"",IF(B109=1,B115-D115,IF(D109=1,D115-B115,""))))</f>
        <v/>
      </c>
      <c r="AH109" s="48">
        <f>IF(AK94&lt;1,"",IF(AK93&lt;2,"",IF(E109=1,E115-G115,IF(G109=1,G115-E115,""))))</f>
        <v>23</v>
      </c>
      <c r="AI109" s="48" t="str">
        <f>IF(AK94&lt;1,"",IF(AK93&lt;3,"",IF(H109=1,H115-J115,IF(J109=1,J115-H115,""))))</f>
        <v/>
      </c>
      <c r="AJ109" s="48" t="str">
        <f>IF(AK94&lt;1,"",IF(AK93&lt;4,"",IF(K109=1,K115-M115,IF(M109=1,M115-K115,""))))</f>
        <v/>
      </c>
      <c r="AK109" s="48">
        <f>IF(AK94&lt;1,"",IF(AK93&lt;5,"",IF(N109=1,N115-P115,IF(P109=1,P115-N115,""))))</f>
        <v>-4</v>
      </c>
      <c r="AL109" s="48" t="str">
        <f>IF(AK94&lt;1,"",IF(AK93&lt;6,"",IF(Q109=1,Q115-S115,IF(S109=1,S115-Q115,""))))</f>
        <v/>
      </c>
      <c r="AM109" s="48" t="str">
        <f>IF(AK94&lt;1,"",IF(AK93&lt;7,"",IF(T109=1,T115-V115,IF(V109=1,V115-T115,""))))</f>
        <v/>
      </c>
      <c r="AN109" s="48">
        <f>IF(AK94&lt;1,"",IF(AK93&lt;8,"",IF(W109=1,W115-Y115,IF(Y109=1,Y115-W115,""))))</f>
        <v>5</v>
      </c>
      <c r="AO109" s="48" t="str">
        <f>IF(AK94&lt;1,"",IF(AK93&lt;9,"",IF(Z109=1,Z115-AB115,IF(AB109=1,AB115-Z115,""))))</f>
        <v/>
      </c>
      <c r="AP109" s="48">
        <f>IF(AK94&lt;1,"",IF(AK93&lt;10,"",IF(AC109=1,AC115-AE115,IF(AE109=1,AE115-AC115,""))))</f>
        <v>19</v>
      </c>
      <c r="AQ109" s="44">
        <f>SUM(AG109:AP109)</f>
        <v>43</v>
      </c>
    </row>
    <row r="110" spans="1:44" ht="15" x14ac:dyDescent="0.2">
      <c r="A110" s="4" t="s">
        <v>52</v>
      </c>
      <c r="B110" s="49">
        <v>12</v>
      </c>
      <c r="C110" s="50" t="s">
        <v>53</v>
      </c>
      <c r="D110" s="51">
        <v>25</v>
      </c>
      <c r="E110" s="49">
        <v>25</v>
      </c>
      <c r="F110" s="50" t="str">
        <f>IF(AK93&gt;1,"/","")</f>
        <v>/</v>
      </c>
      <c r="G110" s="51">
        <v>15</v>
      </c>
      <c r="H110" s="49">
        <v>25</v>
      </c>
      <c r="I110" s="50" t="str">
        <f>IF(AK93&gt;2,"/","")</f>
        <v>/</v>
      </c>
      <c r="J110" s="51">
        <v>16</v>
      </c>
      <c r="K110" s="49">
        <v>23</v>
      </c>
      <c r="L110" s="50" t="str">
        <f>IF(AK93&gt;3,"/","")</f>
        <v>/</v>
      </c>
      <c r="M110" s="51">
        <v>25</v>
      </c>
      <c r="N110" s="49">
        <v>19</v>
      </c>
      <c r="O110" s="50" t="str">
        <f>IF(AK93&gt;4,"/","")</f>
        <v>/</v>
      </c>
      <c r="P110" s="51">
        <v>25</v>
      </c>
      <c r="Q110" s="49">
        <v>13</v>
      </c>
      <c r="R110" s="50" t="str">
        <f>IF(AK93&gt;5,"/","")</f>
        <v>/</v>
      </c>
      <c r="S110" s="51">
        <v>25</v>
      </c>
      <c r="T110" s="49">
        <v>9</v>
      </c>
      <c r="U110" s="50" t="str">
        <f>IF(AK93&gt;6,"/","")</f>
        <v>/</v>
      </c>
      <c r="V110" s="51">
        <v>25</v>
      </c>
      <c r="W110" s="49">
        <v>25</v>
      </c>
      <c r="X110" s="50" t="str">
        <f>IF(AK93&gt;7,"/","")</f>
        <v>/</v>
      </c>
      <c r="Y110" s="51">
        <v>22</v>
      </c>
      <c r="Z110" s="49">
        <v>25</v>
      </c>
      <c r="AA110" s="50" t="str">
        <f>IF(AK93&gt;8,"/","")</f>
        <v>/</v>
      </c>
      <c r="AB110" s="51">
        <v>11</v>
      </c>
      <c r="AC110" s="49">
        <v>25</v>
      </c>
      <c r="AD110" s="50" t="str">
        <f>IF(AK93&gt;9,"/","")</f>
        <v>/</v>
      </c>
      <c r="AE110" s="51">
        <v>13</v>
      </c>
      <c r="AF110" s="42" t="str">
        <f>IF(AK94&gt;1,"Team 2","")</f>
        <v>Team 2</v>
      </c>
      <c r="AG110" s="48">
        <f>IF(AK94&lt;2,"",IF(AK93&lt;1,"",IF(B109=2,B115-D115,IF(D109=2,D115-B115,""))))</f>
        <v>-22</v>
      </c>
      <c r="AH110" s="48" t="str">
        <f>IF(AK94&lt;2,"",IF(AK93&lt;2,"",IF(E109=2,E115-G115,IF(G109=2,G115-E115,""))))</f>
        <v/>
      </c>
      <c r="AI110" s="48" t="str">
        <f>IF(AK94&lt;2,"",IF(AK93&lt;3,"",IF(H109=2,H115-J115,IF(J109=2,J115-H115,""))))</f>
        <v/>
      </c>
      <c r="AJ110" s="48">
        <f>IF(AK94&lt;2,"",IF(AK93&lt;4,"",IF(K109=2,K115-M115,IF(M109=2,M115-K115,""))))</f>
        <v>-5</v>
      </c>
      <c r="AK110" s="48" t="str">
        <f>IF(AK94&lt;2,"",IF(AK93&lt;5,"",IF(N109=2,N115-P115,IF(P109=2,P115-N115,""))))</f>
        <v/>
      </c>
      <c r="AL110" s="48" t="str">
        <f>IF(AK94&lt;2,"",IF(AK93&lt;6,"",IF(Q109=2,Q115-S115,IF(S109=2,S115-Q115,""))))</f>
        <v/>
      </c>
      <c r="AM110" s="48">
        <f>IF(AK94&lt;2,"",IF(AK93&lt;7,"",IF(T109=2,T115-V115,IF(V109=2,V115-T115,""))))</f>
        <v>-26</v>
      </c>
      <c r="AN110" s="48" t="str">
        <f>IF(AK94&lt;2,"",IF(AK93&lt;8,"",IF(W109=2,W115-Y115,IF(Y109=2,Y115-W115,""))))</f>
        <v/>
      </c>
      <c r="AO110" s="48" t="str">
        <f>IF(AK94&lt;2,"",IF(AK93&lt;9,"",IF(Z109=2,Z115-AB115,IF(AB109=2,AB115-Z115,""))))</f>
        <v/>
      </c>
      <c r="AP110" s="48">
        <f>IF(AK94&lt;2,"",IF(AK93&lt;10,"",IF(AC109=2,AC115-AE115,IF(AE109=2,AE115-AC115,""))))</f>
        <v>-19</v>
      </c>
      <c r="AQ110" s="44">
        <f>SUM(AG110:AP110)</f>
        <v>-72</v>
      </c>
    </row>
    <row r="111" spans="1:44" ht="15" x14ac:dyDescent="0.2">
      <c r="A111" s="3" t="str">
        <f>IF(AK92&gt;1,"Game 2","")</f>
        <v>Game 2</v>
      </c>
      <c r="B111" s="49">
        <v>16</v>
      </c>
      <c r="C111" s="50" t="s">
        <v>53</v>
      </c>
      <c r="D111" s="51">
        <v>25</v>
      </c>
      <c r="E111" s="49">
        <v>25</v>
      </c>
      <c r="F111" s="50" t="str">
        <f>IF(AK93&gt;1,IF(AK92&gt;1,"/",""),"")</f>
        <v>/</v>
      </c>
      <c r="G111" s="51">
        <v>12</v>
      </c>
      <c r="H111" s="49">
        <v>25</v>
      </c>
      <c r="I111" s="50" t="str">
        <f>IF(AK93&gt;2,IF(AK92&gt;1,"/",""),"")</f>
        <v>/</v>
      </c>
      <c r="J111" s="51">
        <v>16</v>
      </c>
      <c r="K111" s="49">
        <v>22</v>
      </c>
      <c r="L111" s="50" t="str">
        <f>IF(AK93&gt;3,IF(AK92&gt;1,"/",""),"")</f>
        <v>/</v>
      </c>
      <c r="M111" s="51">
        <v>25</v>
      </c>
      <c r="N111" s="49">
        <v>25</v>
      </c>
      <c r="O111" s="50" t="str">
        <f>IF(AK93&gt;4,IF(AK92&gt;1,"/",""),"")</f>
        <v>/</v>
      </c>
      <c r="P111" s="51">
        <v>23</v>
      </c>
      <c r="Q111" s="49">
        <v>20</v>
      </c>
      <c r="R111" s="50" t="str">
        <f>IF(AK93&gt;5,IF(AK92&gt;1,"/",""),"")</f>
        <v>/</v>
      </c>
      <c r="S111" s="51">
        <v>25</v>
      </c>
      <c r="T111" s="49">
        <v>15</v>
      </c>
      <c r="U111" s="50" t="str">
        <f>IF(AK93&gt;6,IF(AK92&gt;1,"/",""),"")</f>
        <v>/</v>
      </c>
      <c r="V111" s="51">
        <v>25</v>
      </c>
      <c r="W111" s="49">
        <v>26</v>
      </c>
      <c r="X111" s="50" t="str">
        <f>IF(AK93&gt;7,IF(AK92&gt;1,"/",""),"")</f>
        <v>/</v>
      </c>
      <c r="Y111" s="51">
        <v>24</v>
      </c>
      <c r="Z111" s="49">
        <v>25</v>
      </c>
      <c r="AA111" s="50" t="str">
        <f>IF(AK93&gt;8,IF(AK92&gt;1,"/",""),"")</f>
        <v>/</v>
      </c>
      <c r="AB111" s="51">
        <v>18</v>
      </c>
      <c r="AC111" s="49">
        <v>25</v>
      </c>
      <c r="AD111" s="50" t="str">
        <f>IF(AK93&gt;9,IF(AK92&gt;1,"/",""),"")</f>
        <v>/</v>
      </c>
      <c r="AE111" s="51">
        <v>18</v>
      </c>
      <c r="AF111" s="42" t="str">
        <f>IF(AK94&gt;2,"Team 3","")</f>
        <v>Team 3</v>
      </c>
      <c r="AG111" s="48" t="str">
        <f>IF(AK94&lt;3,"",IF(AK93&lt;1,"",IF(B109=3,B115-D115,IF(D109=3,D115-B115,""))))</f>
        <v/>
      </c>
      <c r="AH111" s="48" t="str">
        <f>IF(AK94&lt;3,"",IF(AK93&lt;2,"",IF(E109=3,E115-G115,IF(G109=3,G115-E115,""))))</f>
        <v/>
      </c>
      <c r="AI111" s="48">
        <f>IF(AK94&lt;3,"",IF(AK93&lt;3,"",IF(H109=3,H115-J115,IF(J109=3,J115-H115,""))))</f>
        <v>18</v>
      </c>
      <c r="AJ111" s="48" t="str">
        <f>IF(AK94&lt;3,"",IF(AK93&lt;4,"",IF(K109=3,K115-M115,IF(M109=3,M115-K115,""))))</f>
        <v/>
      </c>
      <c r="AK111" s="48">
        <f>IF(AK94&lt;3,"",IF(AK93&lt;5,"",IF(N109=3,N115-P115,IF(P109=3,P115-N115,""))))</f>
        <v>4</v>
      </c>
      <c r="AL111" s="48" t="str">
        <f>IF(AK94&lt;3,"",IF(AK93&lt;6,"",IF(Q109=3,Q115-S115,IF(S109=3,S115-Q115,""))))</f>
        <v/>
      </c>
      <c r="AM111" s="48">
        <f>IF(AK94&lt;3,"",IF(AK93&lt;7,"",IF(T109=3,T115-V115,IF(V109=3,V115-T115,""))))</f>
        <v>26</v>
      </c>
      <c r="AN111" s="48" t="str">
        <f>IF(AK94&lt;3,"",IF(AK93&lt;8,"",IF(W109=3,W115-Y115,IF(Y109=3,Y115-W115,""))))</f>
        <v/>
      </c>
      <c r="AO111" s="48">
        <f>IF(AK94&lt;3,"",IF(AK93&lt;9,"",IF(Z109=3,Z115-AB115,IF(AB109=3,AB115-Z115,""))))</f>
        <v>21</v>
      </c>
      <c r="AP111" s="48" t="str">
        <f>IF(AK94&lt;3,"",IF(AK93&lt;9,"",IF(AC109=3,AC115-AE115,IF(AE109=3,AE115-AC115,""))))</f>
        <v/>
      </c>
      <c r="AQ111" s="44">
        <f>SUM(AG111:AP111)</f>
        <v>69</v>
      </c>
    </row>
    <row r="112" spans="1:44" ht="15" x14ac:dyDescent="0.2">
      <c r="A112" s="3" t="str">
        <f>IF(AK92&gt;2,"Game 3","")</f>
        <v/>
      </c>
      <c r="B112" s="49"/>
      <c r="C112" s="50" t="s">
        <v>53</v>
      </c>
      <c r="D112" s="51"/>
      <c r="E112" s="49"/>
      <c r="F112" s="50" t="str">
        <f>IF(AK93&gt;1,IF(AK92&gt;2,"/",""),"")</f>
        <v/>
      </c>
      <c r="G112" s="51"/>
      <c r="H112" s="49"/>
      <c r="I112" s="50" t="str">
        <f>IF(AK93&gt;2,IF(AK92&gt;2,"/",""),"")</f>
        <v/>
      </c>
      <c r="J112" s="51"/>
      <c r="K112" s="49"/>
      <c r="L112" s="50" t="str">
        <f>IF(AK93&gt;3,IF(AK92&gt;2,"/",""),"")</f>
        <v/>
      </c>
      <c r="M112" s="51"/>
      <c r="N112" s="49"/>
      <c r="O112" s="50" t="str">
        <f>IF(AK93&gt;4,IF(AK92&gt;2,"/",""),"")</f>
        <v/>
      </c>
      <c r="P112" s="51"/>
      <c r="Q112" s="49"/>
      <c r="R112" s="50" t="str">
        <f>IF(AK93&gt;5,IF(AK92&gt;2,"/",""),"")</f>
        <v/>
      </c>
      <c r="S112" s="51"/>
      <c r="T112" s="49"/>
      <c r="U112" s="50" t="str">
        <f>IF(AK93&gt;6,IF(AK92&gt;2,"/",""),"")</f>
        <v/>
      </c>
      <c r="V112" s="51"/>
      <c r="W112" s="49"/>
      <c r="X112" s="50" t="str">
        <f>IF(AK93&gt;7,IF(AK92&gt;2,"/",""),"")</f>
        <v/>
      </c>
      <c r="Y112" s="51"/>
      <c r="Z112" s="49"/>
      <c r="AA112" s="50" t="str">
        <f>IF(AK93&gt;8,IF(AK92&gt;2,"/",""),"")</f>
        <v/>
      </c>
      <c r="AB112" s="51"/>
      <c r="AC112" s="49"/>
      <c r="AD112" s="50" t="str">
        <f>IF(AK93&gt;9,IF(AK92&gt;2,"/",""),"")</f>
        <v/>
      </c>
      <c r="AE112" s="51"/>
      <c r="AF112" s="42" t="str">
        <f>IF(AK94&gt;3,"Team 4","")</f>
        <v>Team 4</v>
      </c>
      <c r="AG112" s="48" t="str">
        <f>IF(AK94&lt;4,"",IF(AK93&lt;1,"",IF(B109=4,B115-D115,IF(D109=4,D115-B115,""))))</f>
        <v/>
      </c>
      <c r="AH112" s="48">
        <f>IF(AK94&lt;4,"",IF(AK93&lt;2,"",IF(E109=4,E115-G115,IF(G109=4,G115-E115,""))))</f>
        <v>-23</v>
      </c>
      <c r="AI112" s="48" t="str">
        <f>IF(AK94&lt;4,"",IF(AK93&lt;3,"",IF(H109=4,H115-J115,IF(J109=4,J115-H115,""))))</f>
        <v/>
      </c>
      <c r="AJ112" s="48">
        <f>IF(AK94&lt;4,"",IF(AK93&lt;4,"",IF(K109=4,K115-M115,IF(M109=4,M115-K115,""))))</f>
        <v>5</v>
      </c>
      <c r="AK112" s="48" t="str">
        <f>IF(AK94&lt;4,"",IF(AK93&lt;5,"",IF(N109=4,N115-P115,IF(P109=4,P115-N115,""))))</f>
        <v/>
      </c>
      <c r="AL112" s="48">
        <f>IF(AK94&lt;4,"",IF(AK93&lt;6,"",IF(Q109=4,Q115-S115,IF(S109=4,S115-Q115,""))))</f>
        <v>-17</v>
      </c>
      <c r="AM112" s="48" t="str">
        <f>IF(AK94&lt;4,"",IF(AK93&lt;7,"",IF(T109=4,T115-V115,IF(V109=4,V115-T115,""))))</f>
        <v/>
      </c>
      <c r="AN112" s="48" t="str">
        <f>IF(AK94&lt;4,"",IF(AK93&lt;8,"",IF(W109=4,W115-Y115,IF(Y109=4,Y115-W115,""))))</f>
        <v/>
      </c>
      <c r="AO112" s="48">
        <f>IF(AK94&lt;4,"",IF(AK93&lt;9,"",IF(Z109=4,Z115-AB115,IF(AB109=4,AB115-Z115,""))))</f>
        <v>-21</v>
      </c>
      <c r="AP112" s="48" t="str">
        <f>IF(AK94&lt;4,"",IF(AK93&lt;10,"",IF(AC109=4,AC115-AE115,IF(AE109=4,AE115-AC115,""))))</f>
        <v/>
      </c>
      <c r="AQ112" s="44">
        <f>SUM(AG112:AP112)</f>
        <v>-56</v>
      </c>
    </row>
    <row r="113" spans="1:49" ht="15" x14ac:dyDescent="0.2">
      <c r="A113" s="3" t="str">
        <f>IF(AK92&gt;3,"Game 4","")</f>
        <v/>
      </c>
      <c r="B113" s="49"/>
      <c r="C113" s="50" t="s">
        <v>53</v>
      </c>
      <c r="D113" s="51"/>
      <c r="E113" s="49"/>
      <c r="F113" s="50" t="str">
        <f>IF(AK93&gt;1,IF(AK92&gt;3,"/",""),"")</f>
        <v/>
      </c>
      <c r="G113" s="51"/>
      <c r="H113" s="49"/>
      <c r="I113" s="50" t="str">
        <f>IF(AK93&gt;2,IF(AK92&gt;3,"/",""),"")</f>
        <v/>
      </c>
      <c r="J113" s="51"/>
      <c r="K113" s="49"/>
      <c r="L113" s="50" t="str">
        <f>IF(AK93&gt;3,IF(AK92&gt;3,"/",""),"")</f>
        <v/>
      </c>
      <c r="M113" s="51"/>
      <c r="N113" s="49"/>
      <c r="O113" s="50" t="str">
        <f>IF(AK93&gt;4,IF(AK92&gt;3,"/",""),"")</f>
        <v/>
      </c>
      <c r="P113" s="51"/>
      <c r="Q113" s="49"/>
      <c r="R113" s="50" t="str">
        <f>IF(AK93&gt;5,IF(AK92&gt;3,"/",""),"")</f>
        <v/>
      </c>
      <c r="S113" s="51"/>
      <c r="T113" s="49"/>
      <c r="U113" s="50" t="str">
        <f>IF(AK93&gt;6,IF(AK92&gt;3,"/",""),"")</f>
        <v/>
      </c>
      <c r="V113" s="51"/>
      <c r="W113" s="49"/>
      <c r="X113" s="50" t="str">
        <f>IF(AK93&gt;7,IF(AK92&gt;3,"/",""),"")</f>
        <v/>
      </c>
      <c r="Y113" s="51"/>
      <c r="Z113" s="49"/>
      <c r="AA113" s="50" t="str">
        <f>IF(AK93&gt;8,IF(AK92&gt;3,"/",""),"")</f>
        <v/>
      </c>
      <c r="AB113" s="51"/>
      <c r="AC113" s="49"/>
      <c r="AD113" s="50" t="str">
        <f>IF(AK93&gt;9,IF(AK92&gt;3,"/",""),"")</f>
        <v/>
      </c>
      <c r="AE113" s="51"/>
      <c r="AF113" s="42" t="str">
        <f>IF(AK94&gt;4,"Team 5","")</f>
        <v>Team 5</v>
      </c>
      <c r="AG113" s="52">
        <f>IF(AK94&lt;5,"",IF(AK93&lt;1,"",IF(B109=5,B115-D115,IF(D109=5,D115-B115,""))))</f>
        <v>22</v>
      </c>
      <c r="AH113" s="48" t="str">
        <f>IF(AK94&lt;5,"",IF(AK93&lt;2,"",IF(E109=5,E115-G115,IF(G109=5,G115-E115,""))))</f>
        <v/>
      </c>
      <c r="AI113" s="48">
        <f>IF(AK94&lt;5,"",IF(AK93&lt;3,"",IF(H109=5,H115-J115,IF(J109=5,J115-H115,""))))</f>
        <v>-18</v>
      </c>
      <c r="AJ113" s="48" t="str">
        <f>IF(AK94&lt;5,"",IF(AK93&lt;4,"",IF(K109=5,K115-M115,IF(M109=5,M115-K115,""))))</f>
        <v/>
      </c>
      <c r="AK113" s="48" t="str">
        <f>IF(AK94&lt;5,"",IF(AK93&lt;5,"",IF(N109=5,N115-P115,IF(P109=5,P115-N115,""))))</f>
        <v/>
      </c>
      <c r="AL113" s="48">
        <f>IF(AK94&lt;5,"",IF(AK93&lt;6,"",IF(Q109=5,Q115-S115,IF(S109=5,S115-Q115,""))))</f>
        <v>17</v>
      </c>
      <c r="AM113" s="48" t="str">
        <f>IF(AK94&lt;5,"",IF(AK93&lt;7,"",IF(T109=5,T115-V115,IF(V109=5,V115-T115,""))))</f>
        <v/>
      </c>
      <c r="AN113" s="48">
        <f>IF(AK94&lt;5,"",IF(AK93&lt;8,"",IF(W109=5,W115-Y115,IF(Y109=5,Y115-W115,""))))</f>
        <v>-5</v>
      </c>
      <c r="AO113" s="48" t="str">
        <f>IF(AK94&lt;5,"",IF(AK93&lt;9,"",IF(Z109=5,Z115-AB115,IF(AB109=5,AB115-Z115,""))))</f>
        <v/>
      </c>
      <c r="AP113" s="48" t="str">
        <f>IF(AK94&lt;5,"",IF(AK93&lt;10,"",IF(AC109=5,AC115-AE115,IF(AE109=5,AE115-AC115,""))))</f>
        <v/>
      </c>
      <c r="AQ113" s="44">
        <f>SUM(AG113:AP113)</f>
        <v>16</v>
      </c>
    </row>
    <row r="114" spans="1:49" ht="15" x14ac:dyDescent="0.2">
      <c r="A114" s="3" t="str">
        <f>IF(AK92&gt;4,"Game 5","")</f>
        <v/>
      </c>
      <c r="B114" s="49"/>
      <c r="C114" s="50" t="s">
        <v>53</v>
      </c>
      <c r="D114" s="51"/>
      <c r="E114" s="49"/>
      <c r="F114" s="50" t="str">
        <f>IF(AK93&gt;1,IF(AK92&gt;4,"/",""),"")</f>
        <v/>
      </c>
      <c r="G114" s="51"/>
      <c r="H114" s="49"/>
      <c r="I114" s="50" t="str">
        <f>IF(AK93&gt;2,IF(AK92&gt;4,"/",""),"")</f>
        <v/>
      </c>
      <c r="J114" s="51"/>
      <c r="K114" s="49"/>
      <c r="L114" s="50" t="str">
        <f>IF(AK93&gt;3,IF(AK92&gt;4,"/",""),"")</f>
        <v/>
      </c>
      <c r="M114" s="51"/>
      <c r="N114" s="49"/>
      <c r="O114" s="50" t="str">
        <f>IF(AK93&gt;4,IF(AK92&gt;4,"/",""),"")</f>
        <v/>
      </c>
      <c r="P114" s="51"/>
      <c r="Q114" s="49"/>
      <c r="R114" s="50" t="str">
        <f>IF(AK93&gt;5,IF(AK92&gt;4,"/",""),"")</f>
        <v/>
      </c>
      <c r="S114" s="51"/>
      <c r="T114" s="49"/>
      <c r="U114" s="50" t="str">
        <f>IF(AK93&gt;6,IF(AK92&gt;4,"/",""),"")</f>
        <v/>
      </c>
      <c r="V114" s="51"/>
      <c r="W114" s="49"/>
      <c r="X114" s="50" t="str">
        <f>IF(AK93&gt;7,IF(AK92&gt;4,"/",""),"")</f>
        <v/>
      </c>
      <c r="Y114" s="51"/>
      <c r="Z114" s="49"/>
      <c r="AA114" s="50" t="str">
        <f>IF(AK93&gt;8,IF(AK92&gt;4,"/",""),"")</f>
        <v/>
      </c>
      <c r="AB114" s="51"/>
      <c r="AC114" s="49"/>
      <c r="AD114" s="50" t="str">
        <f>IF(AK93&gt;9,IF(AK92&gt;4,"/",""),"")</f>
        <v/>
      </c>
      <c r="AE114" s="5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</row>
    <row r="115" spans="1:49" hidden="1" x14ac:dyDescent="0.2">
      <c r="A115" s="53"/>
      <c r="B115" s="53">
        <f>IF($AK92=5,SUM(B110:B114),IF($AK92=4,SUM(B110:B113),IF($AK92=3,SUM(B110:B112),IF($AK92=2,SUM(B110:B111),B110))))</f>
        <v>28</v>
      </c>
      <c r="C115" s="53"/>
      <c r="D115" s="53">
        <f>IF($AK92=5,SUM(D110:D114),IF($AK92=4,SUM(D110:D113),IF($AK92=3,SUM(D110:D112),IF($AK92=2,SUM(D110:D111),D110))))</f>
        <v>50</v>
      </c>
      <c r="E115" s="53">
        <f>IF($AK92=5,SUM(E110:E114),IF($AK92=4,SUM(E110:E113),IF($AK92=3,SUM(E110:E112),IF($AK92=2,SUM(E110:E111),E110))))</f>
        <v>50</v>
      </c>
      <c r="F115" s="53"/>
      <c r="G115" s="53">
        <f>IF($AK92=5,SUM(G110:G114),IF($AK92=4,SUM(G110:G113),IF($AK92=3,SUM(G110:G112),IF($AK92=2,SUM(G110:G111),G110))))</f>
        <v>27</v>
      </c>
      <c r="H115" s="53">
        <f>IF($AK92=5,SUM(H110:H114),IF($AK92=4,SUM(H110:H113),IF($AK92=3,SUM(H110:H112),IF($AK92=2,SUM(H110:H111),H110))))</f>
        <v>50</v>
      </c>
      <c r="I115" s="53"/>
      <c r="J115" s="53">
        <f>IF($AK92=5,SUM(J110:J114),IF($AK92=4,SUM(J110:J113),IF($AK92=3,SUM(J110:J112),IF($AK92=2,SUM(J110:J111),J110))))</f>
        <v>32</v>
      </c>
      <c r="K115" s="53">
        <f>IF($AK92=5,SUM(K110:K114),IF($AK92=4,SUM(K110:K113),IF($AK92=3,SUM(K110:K112),IF($AK92=2,SUM(K110:K111),K110))))</f>
        <v>45</v>
      </c>
      <c r="L115" s="53"/>
      <c r="M115" s="53">
        <f>IF($AK92=5,SUM(M110:M114),IF($AK92=4,SUM(M110:M113),IF($AK92=3,SUM(M110:M112),IF($AK92=2,SUM(M110:M111),M110))))</f>
        <v>50</v>
      </c>
      <c r="N115" s="53">
        <f>IF($AK92=5,SUM(N110:N114),IF($AK92=4,SUM(N110:N113),IF($AK92=3,SUM(N110:N112),IF($AK92=2,SUM(N110:N111),N110))))</f>
        <v>44</v>
      </c>
      <c r="O115" s="53"/>
      <c r="P115" s="53">
        <f>IF($AK92=5,SUM(P110:P114),IF($AK92=4,SUM(P110:P113),IF($AK92=3,SUM(P110:P112),IF($AK92=2,SUM(P110:P111),P110))))</f>
        <v>48</v>
      </c>
      <c r="Q115" s="53">
        <f>IF($AK92=5,SUM(Q110:Q114),IF($AK92=4,SUM(Q110:Q113),IF($AK92=3,SUM(Q110:Q112),IF($AK92=2,SUM(Q110:Q111),Q110))))</f>
        <v>33</v>
      </c>
      <c r="R115" s="53"/>
      <c r="S115" s="53">
        <f>IF($AK92=5,SUM(S110:S114),IF($AK92=4,SUM(S110:S113),IF($AK92=3,SUM(S110:S112),IF($AK92=2,SUM(S110:S111),S110))))</f>
        <v>50</v>
      </c>
      <c r="T115" s="53">
        <f>IF($AK92=5,SUM(T110:T114),IF($AK92=4,SUM(T110:T113),IF($AK92=3,SUM(T110:T112),IF($AK92=2,SUM(T110:T111),T110))))</f>
        <v>24</v>
      </c>
      <c r="U115" s="53"/>
      <c r="V115" s="53">
        <f>IF($AK92=5,SUM(V110:V114),IF($AK92=4,SUM(V110:V113),IF($AK92=3,SUM(V110:V112),IF($AK92=2,SUM(V110:V111),V110))))</f>
        <v>50</v>
      </c>
      <c r="W115" s="53">
        <f>IF($AK92=5,SUM(W110:W114),IF($AK92=4,SUM(W110:W113),IF($AK92=3,SUM(W110:W112),IF($AK92=2,SUM(W110:W111),W110))))</f>
        <v>51</v>
      </c>
      <c r="X115" s="53"/>
      <c r="Y115" s="53">
        <f>IF($AK92=5,SUM(Y110:Y114),IF($AK92=4,SUM(Y110:Y113),IF($AK92=3,SUM(Y110:Y112),IF($AK92=2,SUM(Y110:Y111),Y110))))</f>
        <v>46</v>
      </c>
      <c r="Z115" s="53">
        <f>IF($AK92=5,SUM(Z110:Z114),IF($AK92=4,SUM(Z110:Z113),IF($AK92=3,SUM(Z110:Z112),IF($AK92=2,SUM(Z110:Z111),Z110))))</f>
        <v>50</v>
      </c>
      <c r="AA115" s="53"/>
      <c r="AB115" s="53">
        <f>IF($AK92=5,SUM(AB110:AB114),IF($AK92=4,SUM(AB110:AB113),IF($AK92=3,SUM(AB110:AB112),IF($AK92=2,SUM(AB110:AB111),AB110))))</f>
        <v>29</v>
      </c>
      <c r="AC115" s="53">
        <f>IF($AK92=5,SUM(AC110:AC114),IF($AK92=4,SUM(AC110:AC113),IF($AK92=3,SUM(AC110:AC112),IF($AK92=2,SUM(AC110:AC111),AC110))))</f>
        <v>50</v>
      </c>
      <c r="AD115" s="53"/>
      <c r="AE115" s="53">
        <f>IF($AK92=5,SUM(AE110:AE114),IF($AK92=4,SUM(AE110:AE113),IF($AK92=3,SUM(AE110:AE112),IF($AK92=2,SUM(AE110:AE111),AE110))))</f>
        <v>31</v>
      </c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</row>
    <row r="116" spans="1:49" s="54" customFormat="1" ht="12.75" hidden="1" customHeight="1" x14ac:dyDescent="0.2">
      <c r="A116" s="54" t="s">
        <v>54</v>
      </c>
      <c r="B116" s="55">
        <f>IF(AND(B110&gt;D110,$AK93&gt;0,ISNUMBER(B110),ISNUMBER(D110)),1,0)</f>
        <v>0</v>
      </c>
      <c r="C116" s="55"/>
      <c r="D116" s="56">
        <f>IF(AND(D110&gt;B110,$AK93&gt;0,ISNUMBER(B110),ISNUMBER(D110)),1,0)</f>
        <v>1</v>
      </c>
      <c r="E116" s="55">
        <f>IF(AND(E110&gt;G110,$AK93&gt;1,ISNUMBER(E110),ISNUMBER(G110)),1,0)</f>
        <v>1</v>
      </c>
      <c r="F116" s="55"/>
      <c r="G116" s="56">
        <f>IF(AND(G110&gt;E110,$AK93&gt;1,ISNUMBER(E110),ISNUMBER(G110)),1,0)</f>
        <v>0</v>
      </c>
      <c r="H116" s="55">
        <f>IF(AND(H110&gt;J110,$AK93&gt;2,ISNUMBER(H110),ISNUMBER(J110)),1,0)</f>
        <v>1</v>
      </c>
      <c r="I116" s="55"/>
      <c r="J116" s="56">
        <f>IF(AND(J110&gt;H110,$AK93&gt;2,ISNUMBER(H110),ISNUMBER(J110)),1,0)</f>
        <v>0</v>
      </c>
      <c r="K116" s="55">
        <f>IF(AND(K110&gt;M110,$AK93&gt;3,ISNUMBER(K110),ISNUMBER(M110)),1,0)</f>
        <v>0</v>
      </c>
      <c r="L116" s="55"/>
      <c r="M116" s="56">
        <f>IF(AND(M110&gt;K110,$AK93&gt;3,ISNUMBER(K110),ISNUMBER(M110)),1,0)</f>
        <v>1</v>
      </c>
      <c r="N116" s="55">
        <f>IF(AND(N110&gt;P110,$AK93&gt;4,ISNUMBER(N110),ISNUMBER(P110)),1,0)</f>
        <v>0</v>
      </c>
      <c r="O116" s="55"/>
      <c r="P116" s="56">
        <f>IF(AND(P110&gt;N110,$AK93&gt;4,ISNUMBER(N110),ISNUMBER(P110)),1,0)</f>
        <v>1</v>
      </c>
      <c r="Q116" s="55">
        <f>IF(AND(Q110&gt;S110,$AK93&gt;5,ISNUMBER(Q110),ISNUMBER(S110)),1,0)</f>
        <v>0</v>
      </c>
      <c r="R116" s="55"/>
      <c r="S116" s="56">
        <f>IF(AND(S110&gt;Q110,$AK93&gt;5,ISNUMBER(Q110),ISNUMBER(S110)),1,0)</f>
        <v>1</v>
      </c>
      <c r="T116" s="55">
        <f>IF(AND(T110&gt;V110,$AK93&gt;6,ISNUMBER(T110),ISNUMBER(V110)),1,0)</f>
        <v>0</v>
      </c>
      <c r="U116" s="55"/>
      <c r="V116" s="56">
        <f>IF(AND(V110&gt;T110,$AK93&gt;6,ISNUMBER(T110),ISNUMBER(V110)),1,0)</f>
        <v>1</v>
      </c>
      <c r="W116" s="55">
        <f>IF(AND(W110&gt;Y110,$AK93&gt;7,ISNUMBER(W110),ISNUMBER(Y110)),1,0)</f>
        <v>1</v>
      </c>
      <c r="X116" s="55"/>
      <c r="Y116" s="56">
        <f>IF(AND(Y110&gt;W110,$AK93&gt;7,ISNUMBER(W110),ISNUMBER(Y110)),1,0)</f>
        <v>0</v>
      </c>
      <c r="Z116" s="55">
        <f>IF(AND(Z110&gt;AB110,$AK93&gt;8,ISNUMBER(Z110),ISNUMBER(AB110)),1,0)</f>
        <v>1</v>
      </c>
      <c r="AA116" s="55"/>
      <c r="AB116" s="56">
        <f>IF(AND(AB110&gt;Z110,$AK93&gt;8,ISNUMBER(Z110),ISNUMBER(AB110)),1,0)</f>
        <v>0</v>
      </c>
      <c r="AC116" s="55">
        <f>IF(AND(AC110&gt;AE110,$AK93&gt;9,ISNUMBER(AC110),ISNUMBER(AE110)),1,0)</f>
        <v>1</v>
      </c>
      <c r="AD116" s="55"/>
      <c r="AE116" s="56">
        <f>IF(AND(AE110&gt;AC110,$AK93&gt;9,ISNUMBER(AC110),ISNUMBER(AE110)),1,0)</f>
        <v>0</v>
      </c>
      <c r="AW116" s="146"/>
    </row>
    <row r="117" spans="1:49" s="54" customFormat="1" ht="12.75" hidden="1" customHeight="1" x14ac:dyDescent="0.2">
      <c r="A117" s="54" t="s">
        <v>55</v>
      </c>
      <c r="B117" s="55">
        <f>IF(AND(B111&gt;D111,$AK93&gt;0,$AK92&gt;1,ISNUMBER(B111),ISNUMBER(D111)),1,0)</f>
        <v>0</v>
      </c>
      <c r="C117" s="55"/>
      <c r="D117" s="56">
        <f>IF(AND(D111&gt;B111,$AK93&gt;0,$AK92&gt;1,ISNUMBER(B111),ISNUMBER(D111)),1,0)</f>
        <v>1</v>
      </c>
      <c r="E117" s="55">
        <f>IF(AND(E111&gt;G111,$AK93&gt;1,$AK92&gt;1,ISNUMBER(E111),ISNUMBER(G111)),1,0)</f>
        <v>1</v>
      </c>
      <c r="F117" s="55"/>
      <c r="G117" s="56">
        <f>IF(AND(G111&gt;E111,$AK93&gt;1,$AK92&gt;1,ISNUMBER(E111),ISNUMBER(G111)),1,0)</f>
        <v>0</v>
      </c>
      <c r="H117" s="55">
        <f>IF(AND(H111&gt;J111,$AK93&gt;2,$AK92&gt;1,ISNUMBER(H111),ISNUMBER(J111)),1,0)</f>
        <v>1</v>
      </c>
      <c r="I117" s="55"/>
      <c r="J117" s="56">
        <f>IF(AND(J111&gt;H111,$AK93&gt;2,$AK92&gt;1,ISNUMBER(H111),ISNUMBER(J111)),1,0)</f>
        <v>0</v>
      </c>
      <c r="K117" s="55">
        <f>IF(AND(K111&gt;M111,$AK93&gt;3,$AK92&gt;1,ISNUMBER(K111),ISNUMBER(M111)),1,0)</f>
        <v>0</v>
      </c>
      <c r="L117" s="55"/>
      <c r="M117" s="56">
        <f>IF(AND(M111&gt;K111,$AK93&gt;3,$AK92&gt;1,ISNUMBER(K111),ISNUMBER(M111)),1,0)</f>
        <v>1</v>
      </c>
      <c r="N117" s="55">
        <f>IF(AND(N111&gt;P111,$AK93&gt;4,$AK92&gt;1,ISNUMBER(N111),ISNUMBER(P111)),1,0)</f>
        <v>1</v>
      </c>
      <c r="O117" s="55"/>
      <c r="P117" s="56">
        <f>IF(AND(P111&gt;N111,$AK93&gt;4,$AK92&gt;1,ISNUMBER(N111),ISNUMBER(P111)),1,0)</f>
        <v>0</v>
      </c>
      <c r="Q117" s="55">
        <f>IF(AND(Q111&gt;S111,$AK93&gt;5,$AK92&gt;1,ISNUMBER(Q111),ISNUMBER(S111)),1,0)</f>
        <v>0</v>
      </c>
      <c r="R117" s="55"/>
      <c r="S117" s="56">
        <f>IF(AND(S111&gt;Q111,$AK93&gt;5,$AK92&gt;1,ISNUMBER(Q111),ISNUMBER(S111)),1,0)</f>
        <v>1</v>
      </c>
      <c r="T117" s="55">
        <f>IF(AND(T111&gt;V111,$AK93&gt;6,$AK92&gt;1,ISNUMBER(T111),ISNUMBER(V111)),1,0)</f>
        <v>0</v>
      </c>
      <c r="U117" s="55"/>
      <c r="V117" s="56">
        <f>IF(AND(V111&gt;T111,$AK93&gt;6,$AK92&gt;1,ISNUMBER(T111),ISNUMBER(V111)),1,0)</f>
        <v>1</v>
      </c>
      <c r="W117" s="55">
        <f>IF(AND(W111&gt;Y111,$AK93&gt;7,$AK92&gt;1,ISNUMBER(W111),ISNUMBER(Y111)),1,0)</f>
        <v>1</v>
      </c>
      <c r="X117" s="55"/>
      <c r="Y117" s="56">
        <f>IF(AND(Y111&gt;W111,$AK93&gt;7,$AK92&gt;1,ISNUMBER(W111),ISNUMBER(Y111)),1,0)</f>
        <v>0</v>
      </c>
      <c r="Z117" s="55">
        <f>IF(AND(Z111&gt;AB111,$AK93&gt;8,$AK92&gt;1,ISNUMBER(Z111),ISNUMBER(AB111)),1,0)</f>
        <v>1</v>
      </c>
      <c r="AA117" s="55"/>
      <c r="AB117" s="56">
        <f>IF(AND(AB111&gt;Z111,$AK93&gt;8,$AK92&gt;1,ISNUMBER(Z111),ISNUMBER(AB111)),1,0)</f>
        <v>0</v>
      </c>
      <c r="AC117" s="55">
        <f>IF(AND(AC111&gt;AE111,$AK93&gt;9,$AK92&gt;1,ISNUMBER(AC111),ISNUMBER(AE111)),1,0)</f>
        <v>1</v>
      </c>
      <c r="AD117" s="55"/>
      <c r="AE117" s="56">
        <f>IF(AND(AE111&gt;AC111,$AK93&gt;9,$AK92&gt;1,ISNUMBER(AC111),ISNUMBER(AE111)),1,0)</f>
        <v>0</v>
      </c>
      <c r="AW117" s="146"/>
    </row>
    <row r="118" spans="1:49" s="54" customFormat="1" ht="12.75" hidden="1" customHeight="1" x14ac:dyDescent="0.2">
      <c r="A118" s="54" t="s">
        <v>56</v>
      </c>
      <c r="B118" s="55">
        <f>IF(AND(B112&gt;D112,$AK93&gt;0,$AK92&gt;2,ISNUMBER(B112),ISNUMBER(D112)),1,0)</f>
        <v>0</v>
      </c>
      <c r="C118" s="55"/>
      <c r="D118" s="56">
        <f>IF(AND(D112&gt;B112,$AK93&gt;0,$AK92&gt;2,ISNUMBER(B112),ISNUMBER(D112)),1,0)</f>
        <v>0</v>
      </c>
      <c r="E118" s="55">
        <f>IF(AND(E112&gt;G112,$AK93&gt;1,$AK92&gt;2,ISNUMBER(E112),ISNUMBER(G112)),1,0)</f>
        <v>0</v>
      </c>
      <c r="F118" s="55"/>
      <c r="G118" s="56">
        <f>IF(AND(G112&gt;E112,$AK93&gt;1,$AK92&gt;2,ISNUMBER(E112),ISNUMBER(G112)),1,0)</f>
        <v>0</v>
      </c>
      <c r="H118" s="55">
        <f>IF(AND(H112&gt;J112,$AK93&gt;2,$AK92&gt;2,ISNUMBER(H112),ISNUMBER(J112)),1,0)</f>
        <v>0</v>
      </c>
      <c r="I118" s="55"/>
      <c r="J118" s="56">
        <f>IF(AND(J112&gt;H112,$AK93&gt;2,$AK92&gt;2,ISNUMBER(H112),ISNUMBER(J112)),1,0)</f>
        <v>0</v>
      </c>
      <c r="K118" s="55">
        <f>IF(AND(K112&gt;M112,$AK93&gt;3,$AK92&gt;2,ISNUMBER(K112),ISNUMBER(M112)),1,0)</f>
        <v>0</v>
      </c>
      <c r="L118" s="55"/>
      <c r="M118" s="56">
        <f>IF(AND(M112&gt;K112,$AK93&gt;3,$AK92&gt;2,ISNUMBER(K112),ISNUMBER(M112)),1,0)</f>
        <v>0</v>
      </c>
      <c r="N118" s="55">
        <f>IF(AND(N112&gt;P112,$AK93&gt;4,$AK92&gt;2,ISNUMBER(N112),ISNUMBER(P112)),1,0)</f>
        <v>0</v>
      </c>
      <c r="O118" s="55"/>
      <c r="P118" s="56">
        <f>IF(AND(P112&gt;N112,$AK93&gt;4,$AK92&gt;2,ISNUMBER(N112),ISNUMBER(P112)),1,0)</f>
        <v>0</v>
      </c>
      <c r="Q118" s="55">
        <f>IF(AND(Q112&gt;S112,$AK93&gt;5,$AK92&gt;2,ISNUMBER(Q112),ISNUMBER(S112)),1,0)</f>
        <v>0</v>
      </c>
      <c r="R118" s="55"/>
      <c r="S118" s="56">
        <f>IF(AND(S112&gt;Q112,$AK93&gt;5,$AK92&gt;2,ISNUMBER(Q112),ISNUMBER(S112)),1,0)</f>
        <v>0</v>
      </c>
      <c r="T118" s="55">
        <f>IF(AND(T112&gt;V112,$AK93&gt;6,$AK92&gt;2,ISNUMBER(T112),ISNUMBER(V112)),1,0)</f>
        <v>0</v>
      </c>
      <c r="U118" s="55"/>
      <c r="V118" s="56">
        <f>IF(AND(V112&gt;T112,$AK93&gt;6,$AK92&gt;2,ISNUMBER(T112),ISNUMBER(V112)),1,0)</f>
        <v>0</v>
      </c>
      <c r="W118" s="55">
        <f>IF(AND(W112&gt;Y112,$AK93&gt;7,$AK92&gt;2,ISNUMBER(W112),ISNUMBER(Y112)),1,0)</f>
        <v>0</v>
      </c>
      <c r="X118" s="55"/>
      <c r="Y118" s="56">
        <f>IF(AND(Y112&gt;W112,$AK93&gt;7,$AK92&gt;2,ISNUMBER(W112),ISNUMBER(Y112)),1,0)</f>
        <v>0</v>
      </c>
      <c r="Z118" s="55">
        <f>IF(AND(Z112&gt;AB112,$AK93&gt;8,$AK92&gt;2,ISNUMBER(Z112),ISNUMBER(AB112)),1,0)</f>
        <v>0</v>
      </c>
      <c r="AA118" s="55"/>
      <c r="AB118" s="56">
        <f>IF(AND(AB112&gt;Z112,$AK93&gt;8,$AK92&gt;2,ISNUMBER(Z112),ISNUMBER(AB112)),1,0)</f>
        <v>0</v>
      </c>
      <c r="AC118" s="55">
        <f>IF(AND(AC112&gt;AE112,$AK93&gt;9,$AK92&gt;2,ISNUMBER(AC112),ISNUMBER(AE112)),1,0)</f>
        <v>0</v>
      </c>
      <c r="AD118" s="55"/>
      <c r="AE118" s="56">
        <f>IF(AND(AE112&gt;AC112,$AK93&gt;9,$AK92&gt;2,ISNUMBER(AC112),ISNUMBER(AE112)),1,0)</f>
        <v>0</v>
      </c>
      <c r="AW118" s="146"/>
    </row>
    <row r="119" spans="1:49" s="54" customFormat="1" ht="12.75" hidden="1" customHeight="1" x14ac:dyDescent="0.2">
      <c r="A119" s="54" t="s">
        <v>57</v>
      </c>
      <c r="B119" s="55">
        <f>IF(AND(B113&gt;D113,$AK93&gt;0,$AK92&gt;3,ISNUMBER(B113),ISNUMBER(D113)),1,0)</f>
        <v>0</v>
      </c>
      <c r="C119" s="55"/>
      <c r="D119" s="56">
        <f>IF(AND(D113&gt;B113,$AK93&gt;0,$AK92&gt;3,ISNUMBER(B113),ISNUMBER(D113)),1,0)</f>
        <v>0</v>
      </c>
      <c r="E119" s="55">
        <f>IF(AND(E113&gt;G113,$AK93&gt;1,$AK92&gt;3,ISNUMBER(E113),ISNUMBER(G113)),1,0)</f>
        <v>0</v>
      </c>
      <c r="F119" s="55"/>
      <c r="G119" s="56">
        <f>IF(AND(G113&gt;E113,$AK93&gt;1,$AK92&gt;3,ISNUMBER(E113),ISNUMBER(G113)),1,0)</f>
        <v>0</v>
      </c>
      <c r="H119" s="55">
        <f>IF(AND(H113&gt;J113,$AK93&gt;2,$AK92&gt;3,ISNUMBER(H113),ISNUMBER(J113)),1,0)</f>
        <v>0</v>
      </c>
      <c r="I119" s="55"/>
      <c r="J119" s="56">
        <f>IF(AND(J113&gt;H113,$AK93&gt;2,$AK92&gt;3,ISNUMBER(H113),ISNUMBER(J113)),1,0)</f>
        <v>0</v>
      </c>
      <c r="K119" s="55">
        <f>IF(AND(K113&gt;M113,$AK93&gt;3,$AK92&gt;3,ISNUMBER(K113),ISNUMBER(M113)),1,0)</f>
        <v>0</v>
      </c>
      <c r="L119" s="55"/>
      <c r="M119" s="56">
        <f>IF(AND(M113&gt;K113,$AK93&gt;3,$AK92&gt;3,ISNUMBER(K113),ISNUMBER(M113)),1,0)</f>
        <v>0</v>
      </c>
      <c r="N119" s="55">
        <f>IF(AND(N113&gt;P113,$AK93&gt;4,$AK92&gt;3,ISNUMBER(N113),ISNUMBER(P113)),1,0)</f>
        <v>0</v>
      </c>
      <c r="O119" s="55"/>
      <c r="P119" s="56">
        <f>IF(AND(P113&gt;N113,$AK93&gt;4,$AK92&gt;3,ISNUMBER(N113),ISNUMBER(P113)),1,0)</f>
        <v>0</v>
      </c>
      <c r="Q119" s="55">
        <f>IF(AND(Q113&gt;S113,$AK93&gt;5,$AK92&gt;3,ISNUMBER(Q113),ISNUMBER(S113)),1,0)</f>
        <v>0</v>
      </c>
      <c r="R119" s="55"/>
      <c r="S119" s="56">
        <f>IF(AND(S113&gt;Q113,$AK93&gt;5,$AK92&gt;3,ISNUMBER(Q113),ISNUMBER(S113)),1,0)</f>
        <v>0</v>
      </c>
      <c r="T119" s="55">
        <f>IF(AND(T113&gt;V113,$AK93&gt;6,$AK92&gt;3,ISNUMBER(T113),ISNUMBER(V113)),1,0)</f>
        <v>0</v>
      </c>
      <c r="U119" s="55"/>
      <c r="V119" s="56">
        <f>IF(AND(V113&gt;T113,$AK93&gt;6,$AK92&gt;3,ISNUMBER(T113),ISNUMBER(V113)),1,0)</f>
        <v>0</v>
      </c>
      <c r="W119" s="55">
        <f>IF(AND(W113&gt;Y113,$AK93&gt;7,$AK92&gt;3,ISNUMBER(W113),ISNUMBER(Y113)),1,0)</f>
        <v>0</v>
      </c>
      <c r="X119" s="55"/>
      <c r="Y119" s="56">
        <f>IF(AND(Y113&gt;W113,$AK93&gt;7,$AK92&gt;3,ISNUMBER(W113),ISNUMBER(Y113)),1,0)</f>
        <v>0</v>
      </c>
      <c r="Z119" s="55">
        <f>IF(AND(Z113&gt;AB113,$AK93&gt;8,$AK92&gt;3,ISNUMBER(Z113),ISNUMBER(AB113)),1,0)</f>
        <v>0</v>
      </c>
      <c r="AA119" s="55"/>
      <c r="AB119" s="56">
        <f>IF(AND(AB113&gt;Z113,$AK93&gt;8,$AK92&gt;3,ISNUMBER(Z113),ISNUMBER(AB113)),1,0)</f>
        <v>0</v>
      </c>
      <c r="AC119" s="55">
        <f>IF(AND(AC113&gt;AE113,$AK93&gt;9,$AK92&gt;3,ISNUMBER(AC113),ISNUMBER(AE113)),1,0)</f>
        <v>0</v>
      </c>
      <c r="AD119" s="55"/>
      <c r="AE119" s="56">
        <f>IF(AND(AE113&gt;AC113,$AK93&gt;9,$AK92&gt;3,ISNUMBER(AC113),ISNUMBER(AE113)),1,0)</f>
        <v>0</v>
      </c>
      <c r="AW119" s="146"/>
    </row>
    <row r="120" spans="1:49" s="54" customFormat="1" ht="12.75" hidden="1" customHeight="1" x14ac:dyDescent="0.2">
      <c r="A120" s="54" t="s">
        <v>58</v>
      </c>
      <c r="B120" s="55">
        <f>IF(AND(B114&gt;D114,$AK93&gt;0,$AK92&gt;4,ISNUMBER(B114),ISNUMBER(D114)),1,0)</f>
        <v>0</v>
      </c>
      <c r="C120" s="55"/>
      <c r="D120" s="56">
        <f>IF(AND(D114&gt;B114,$AK93&gt;0,$AK92&gt;4,ISNUMBER(B114),ISNUMBER(D114)),1,0)</f>
        <v>0</v>
      </c>
      <c r="E120" s="55">
        <f>IF(AND(E114&gt;G114,$AK93&gt;1,$AK92&gt;4,ISNUMBER(E114),ISNUMBER(G114)),1,0)</f>
        <v>0</v>
      </c>
      <c r="F120" s="55"/>
      <c r="G120" s="56">
        <f>IF(AND(G114&gt;E114,$AK93&gt;1,$AK92&gt;4,ISNUMBER(E114),ISNUMBER(G114)),1,0)</f>
        <v>0</v>
      </c>
      <c r="H120" s="55">
        <f>IF(AND(H114&gt;J114,$AK93&gt;2,$AK92&gt;4,ISNUMBER(H114),ISNUMBER(J114)),1,0)</f>
        <v>0</v>
      </c>
      <c r="I120" s="55"/>
      <c r="J120" s="56">
        <f>IF(AND(J114&gt;H114,$AK93&gt;2,$AK92&gt;4,ISNUMBER(H114),ISNUMBER(J114)),1,0)</f>
        <v>0</v>
      </c>
      <c r="K120" s="55">
        <f>IF(AND(K114&gt;M114,$AK93&gt;3,$AK92&gt;4,ISNUMBER(K114),ISNUMBER(M114)),1,0)</f>
        <v>0</v>
      </c>
      <c r="L120" s="55"/>
      <c r="M120" s="56">
        <f>IF(AND(M114&gt;K114,$AK93&gt;3,$AK92&gt;4,ISNUMBER(K114),ISNUMBER(M114)),1,0)</f>
        <v>0</v>
      </c>
      <c r="N120" s="55">
        <f>IF(AND(N114&gt;P114,$AK93&gt;4,$AK92&gt;4,ISNUMBER(N114),ISNUMBER(P114)),1,0)</f>
        <v>0</v>
      </c>
      <c r="O120" s="55"/>
      <c r="P120" s="56">
        <f>IF(AND(P114&gt;N114,$AK93&gt;4,$AK92&gt;4,ISNUMBER(N114),ISNUMBER(P114)),1,0)</f>
        <v>0</v>
      </c>
      <c r="Q120" s="55">
        <f>IF(AND(Q114&gt;S114,$AK93&gt;5,$AK92&gt;4,ISNUMBER(Q114),ISNUMBER(S114)),1,0)</f>
        <v>0</v>
      </c>
      <c r="R120" s="55"/>
      <c r="S120" s="56">
        <f>IF(AND(S114&gt;Q114,$AK93&gt;5,$AK92&gt;4,ISNUMBER(Q114),ISNUMBER(S114)),1,0)</f>
        <v>0</v>
      </c>
      <c r="T120" s="55">
        <f>IF(AND(T114&gt;V114,$AK93&gt;6,$AK92&gt;4,ISNUMBER(T114),ISNUMBER(V114)),1,0)</f>
        <v>0</v>
      </c>
      <c r="U120" s="55"/>
      <c r="V120" s="56">
        <f>IF(AND(V114&gt;T114,$AK93&gt;6,$AK92&gt;4,ISNUMBER(T114),ISNUMBER(V114)),1,0)</f>
        <v>0</v>
      </c>
      <c r="W120" s="55">
        <f>IF(AND(W114&gt;Y114,$AK93&gt;7,$AK92&gt;4,ISNUMBER(W114),ISNUMBER(Y114)),1,0)</f>
        <v>0</v>
      </c>
      <c r="X120" s="55"/>
      <c r="Y120" s="56">
        <f>IF(AND(Y114&gt;W114,$AK93&gt;7,$AK92&gt;4,ISNUMBER(W114),ISNUMBER(Y114)),1,0)</f>
        <v>0</v>
      </c>
      <c r="Z120" s="55">
        <f>IF(AND(Z114&gt;AB114,$AK93&gt;8,$AK92&gt;4,ISNUMBER(Z114),ISNUMBER(AB114)),1,0)</f>
        <v>0</v>
      </c>
      <c r="AA120" s="55"/>
      <c r="AB120" s="56">
        <f>IF(AND(AB114&gt;Z114,$AK93&gt;8,$AK92&gt;4,ISNUMBER(Z114),ISNUMBER(AB114)),1,0)</f>
        <v>0</v>
      </c>
      <c r="AC120" s="55">
        <f>IF(AND(AC114&gt;AE114,$AK93&gt;9,$AK92&gt;4,ISNUMBER(AC114),ISNUMBER(AE114)),1,0)</f>
        <v>0</v>
      </c>
      <c r="AD120" s="55"/>
      <c r="AE120" s="56">
        <f>IF(AND(AE114&gt;AC114,$AK93&gt;9,$AK92&gt;4,ISNUMBER(AC114),ISNUMBER(AE114)),1,0)</f>
        <v>0</v>
      </c>
      <c r="AW120" s="146"/>
    </row>
    <row r="121" spans="1:49" s="54" customFormat="1" ht="38.25" hidden="1" customHeight="1" x14ac:dyDescent="0.2">
      <c r="A121" s="57" t="s">
        <v>59</v>
      </c>
      <c r="B121" s="54">
        <f>SUM(B116:B120)</f>
        <v>0</v>
      </c>
      <c r="D121" s="58">
        <f>SUM(D116:D120)</f>
        <v>2</v>
      </c>
      <c r="E121" s="54">
        <f>SUM(E116:E120)</f>
        <v>2</v>
      </c>
      <c r="G121" s="58">
        <f>SUM(G116:G120)</f>
        <v>0</v>
      </c>
      <c r="H121" s="54">
        <f>SUM(H116:H120)</f>
        <v>2</v>
      </c>
      <c r="J121" s="58">
        <f>SUM(J116:J120)</f>
        <v>0</v>
      </c>
      <c r="K121" s="54">
        <f>SUM(K116:K120)</f>
        <v>0</v>
      </c>
      <c r="M121" s="58">
        <f>SUM(M116:M120)</f>
        <v>2</v>
      </c>
      <c r="N121" s="54">
        <f>SUM(N116:N120)</f>
        <v>1</v>
      </c>
      <c r="P121" s="58">
        <f>SUM(P116:P120)</f>
        <v>1</v>
      </c>
      <c r="Q121" s="54">
        <f>SUM(Q116:Q120)</f>
        <v>0</v>
      </c>
      <c r="S121" s="58">
        <f>SUM(S116:S120)</f>
        <v>2</v>
      </c>
      <c r="T121" s="54">
        <f>SUM(T116:T120)</f>
        <v>0</v>
      </c>
      <c r="V121" s="58">
        <f>SUM(V116:V120)</f>
        <v>2</v>
      </c>
      <c r="W121" s="54">
        <f>SUM(W116:W120)</f>
        <v>2</v>
      </c>
      <c r="Y121" s="58">
        <f>SUM(Y116:Y120)</f>
        <v>0</v>
      </c>
      <c r="Z121" s="54">
        <f>SUM(Z116:Z120)</f>
        <v>2</v>
      </c>
      <c r="AB121" s="58">
        <f>SUM(AB116:AB120)</f>
        <v>0</v>
      </c>
      <c r="AC121" s="54">
        <f>SUM(AC116:AC120)</f>
        <v>2</v>
      </c>
      <c r="AE121" s="58">
        <f>SUM(AE116:AE120)</f>
        <v>0</v>
      </c>
      <c r="AW121" s="146"/>
    </row>
    <row r="122" spans="1:49" s="54" customFormat="1" ht="25.5" hidden="1" customHeight="1" x14ac:dyDescent="0.2">
      <c r="A122" s="57" t="s">
        <v>60</v>
      </c>
      <c r="B122" s="54">
        <f>IF(B121&gt;D121,IF(C156=AK92,1,IF(C156=AK92-1,1,0)),0)</f>
        <v>0</v>
      </c>
      <c r="C122" s="54">
        <f>B122+D122</f>
        <v>1</v>
      </c>
      <c r="D122" s="58">
        <f>IF(D121&gt;B121,IF(C156=AK92,1,IF(C156=AK92-1,1,0)),0)</f>
        <v>1</v>
      </c>
      <c r="E122" s="54">
        <f>IF(E121&gt;G121,IF(F156=AK92,1,IF(F156=AK92-1,1,0)),0)</f>
        <v>1</v>
      </c>
      <c r="F122" s="54">
        <f>E122+G122</f>
        <v>1</v>
      </c>
      <c r="G122" s="58">
        <f>IF(G121&gt;E121,IF(F156=AK92,1,IF(F156=AK92-1,1,0)),0)</f>
        <v>0</v>
      </c>
      <c r="H122" s="54">
        <f>IF(H121&gt;J121,IF(I156=AK92,1,IF(I156=AK92-1,1,0)),0)</f>
        <v>1</v>
      </c>
      <c r="I122" s="54">
        <f>H122+J122</f>
        <v>1</v>
      </c>
      <c r="J122" s="58">
        <f>IF(J121&gt;H121,IF(I156=AK92,1,IF(I156=AK92-1,1,0)),0)</f>
        <v>0</v>
      </c>
      <c r="K122" s="54">
        <f>IF(K121&gt;M121,IF(L156=AK92,1,IF(L156=AK92-1,1,0)),0)</f>
        <v>0</v>
      </c>
      <c r="L122" s="54">
        <f>K122+M122</f>
        <v>1</v>
      </c>
      <c r="M122" s="58">
        <f>IF(M121&gt;K121,IF(L156=AK92,1,IF(L156=AK92-1,1,0)),0)</f>
        <v>1</v>
      </c>
      <c r="N122" s="54">
        <f>IF(N121&gt;P121,IF(O156=AK92,1,IF(O156=AK92-1,1,0)),0)</f>
        <v>0</v>
      </c>
      <c r="O122" s="54">
        <f>N122+P122</f>
        <v>0</v>
      </c>
      <c r="P122" s="58">
        <f>IF(P121&gt;N121,IF(O156=AK92,1,IF(O156=AK92-1,1,0)),0)</f>
        <v>0</v>
      </c>
      <c r="Q122" s="54">
        <f>IF(Q121&gt;S121,IF(R156=AK92,1,IF(R156=AK92-1,1,0)),0)</f>
        <v>0</v>
      </c>
      <c r="R122" s="54">
        <f>Q122+S122</f>
        <v>1</v>
      </c>
      <c r="S122" s="58">
        <f>IF(S121&gt;Q121,IF(R156=AK92,1,IF(R156=AK92-1,1,0)),0)</f>
        <v>1</v>
      </c>
      <c r="T122" s="54">
        <f>IF(T121&gt;V121,IF(U156=AK92,1,IF(U156=AK92-1,1,0)),0)</f>
        <v>0</v>
      </c>
      <c r="U122" s="54">
        <f>T122+V122</f>
        <v>1</v>
      </c>
      <c r="V122" s="58">
        <f>IF(V121&gt;T121,IF(U156=AK92,1,IF(U156=AK92-1,1,0)),0)</f>
        <v>1</v>
      </c>
      <c r="W122" s="54">
        <f>IF(W121&gt;Y121,IF(X156=AK92,1,IF(X156=AK92-1,1,0)),0)</f>
        <v>1</v>
      </c>
      <c r="X122" s="54">
        <f>W122+Y122</f>
        <v>1</v>
      </c>
      <c r="Y122" s="58">
        <f>IF(Y121&gt;W121,IF(X156=AK92,1,IF(X156=AK92-1,1,0)),0)</f>
        <v>0</v>
      </c>
      <c r="Z122" s="54">
        <f>IF(Z121&gt;AB121,IF(AA156=AK92,1,IF(AA156=AK92-1,1,0)),0)</f>
        <v>1</v>
      </c>
      <c r="AA122" s="54">
        <f>Z122+AB122</f>
        <v>1</v>
      </c>
      <c r="AB122" s="58">
        <f>IF(AB121&gt;Z121,IF(AA156=AK92,1,IF(AA156=AK92-1,1,0)),0)</f>
        <v>0</v>
      </c>
      <c r="AC122" s="54">
        <f>IF(AC121&gt;AE121,IF(AD156=AK92,1,IF(AD156=AK92-1,1,0)),0)</f>
        <v>1</v>
      </c>
      <c r="AD122" s="54">
        <f>AC122+AE122</f>
        <v>1</v>
      </c>
      <c r="AE122" s="58">
        <f>IF(AE121&gt;AC121,IF(AD156=AK92,1,IF(AD156=AK92-1,1,0)),0)</f>
        <v>0</v>
      </c>
      <c r="AW122" s="146"/>
    </row>
    <row r="123" spans="1:49" s="54" customFormat="1" ht="25.5" hidden="1" customHeight="1" x14ac:dyDescent="0.2">
      <c r="A123" s="57"/>
      <c r="D123" s="58"/>
      <c r="G123" s="58"/>
      <c r="J123" s="58"/>
      <c r="M123" s="58"/>
      <c r="P123" s="58"/>
      <c r="S123" s="58"/>
      <c r="V123" s="58"/>
      <c r="Y123" s="58"/>
      <c r="AB123" s="58"/>
      <c r="AE123" s="58"/>
      <c r="AW123" s="146"/>
    </row>
    <row r="124" spans="1:49" s="54" customFormat="1" ht="12.75" hidden="1" customHeight="1" x14ac:dyDescent="0.2">
      <c r="A124" s="54" t="s">
        <v>61</v>
      </c>
      <c r="B124" s="54">
        <f>IF(B116=1,B110,0)</f>
        <v>0</v>
      </c>
      <c r="D124" s="58">
        <f t="shared" ref="D124:E128" si="11">IF(D116=1,D110,0)</f>
        <v>25</v>
      </c>
      <c r="E124" s="54">
        <f t="shared" si="11"/>
        <v>25</v>
      </c>
      <c r="G124" s="58">
        <f t="shared" ref="G124:H128" si="12">IF(G116=1,G110,0)</f>
        <v>0</v>
      </c>
      <c r="H124" s="54">
        <f t="shared" si="12"/>
        <v>25</v>
      </c>
      <c r="J124" s="58">
        <f t="shared" ref="J124:K128" si="13">IF(J116=1,J110,0)</f>
        <v>0</v>
      </c>
      <c r="K124" s="54">
        <f t="shared" si="13"/>
        <v>0</v>
      </c>
      <c r="M124" s="58">
        <f t="shared" ref="M124:N128" si="14">IF(M116=1,M110,0)</f>
        <v>25</v>
      </c>
      <c r="N124" s="54">
        <f t="shared" si="14"/>
        <v>0</v>
      </c>
      <c r="P124" s="58">
        <f t="shared" ref="P124:Q128" si="15">IF(P116=1,P110,0)</f>
        <v>25</v>
      </c>
      <c r="Q124" s="54">
        <f t="shared" si="15"/>
        <v>0</v>
      </c>
      <c r="S124" s="58">
        <f t="shared" ref="S124:T128" si="16">IF(S116=1,S110,0)</f>
        <v>25</v>
      </c>
      <c r="T124" s="54">
        <f t="shared" si="16"/>
        <v>0</v>
      </c>
      <c r="V124" s="58">
        <f t="shared" ref="V124:W128" si="17">IF(V116=1,V110,0)</f>
        <v>25</v>
      </c>
      <c r="W124" s="54">
        <f t="shared" si="17"/>
        <v>25</v>
      </c>
      <c r="Y124" s="58">
        <f t="shared" ref="Y124:Z128" si="18">IF(Y116=1,Y110,0)</f>
        <v>0</v>
      </c>
      <c r="Z124" s="54">
        <f t="shared" si="18"/>
        <v>25</v>
      </c>
      <c r="AB124" s="58">
        <f t="shared" ref="AB124:AC128" si="19">IF(AB116=1,AB110,0)</f>
        <v>0</v>
      </c>
      <c r="AC124" s="54">
        <f t="shared" si="19"/>
        <v>25</v>
      </c>
      <c r="AE124" s="58">
        <f>IF(AE116=1,AE110,0)</f>
        <v>0</v>
      </c>
      <c r="AW124" s="146"/>
    </row>
    <row r="125" spans="1:49" s="54" customFormat="1" ht="12.75" hidden="1" customHeight="1" x14ac:dyDescent="0.2">
      <c r="A125" s="54" t="s">
        <v>62</v>
      </c>
      <c r="B125" s="54">
        <f>IF(B117=1,B111,0)</f>
        <v>0</v>
      </c>
      <c r="D125" s="58">
        <f t="shared" si="11"/>
        <v>25</v>
      </c>
      <c r="E125" s="54">
        <f t="shared" si="11"/>
        <v>25</v>
      </c>
      <c r="G125" s="58">
        <f t="shared" si="12"/>
        <v>0</v>
      </c>
      <c r="H125" s="54">
        <f t="shared" si="12"/>
        <v>25</v>
      </c>
      <c r="J125" s="58">
        <f t="shared" si="13"/>
        <v>0</v>
      </c>
      <c r="K125" s="54">
        <f t="shared" si="13"/>
        <v>0</v>
      </c>
      <c r="M125" s="58">
        <f t="shared" si="14"/>
        <v>25</v>
      </c>
      <c r="N125" s="54">
        <f t="shared" si="14"/>
        <v>25</v>
      </c>
      <c r="P125" s="58">
        <f t="shared" si="15"/>
        <v>0</v>
      </c>
      <c r="Q125" s="54">
        <f t="shared" si="15"/>
        <v>0</v>
      </c>
      <c r="S125" s="58">
        <f t="shared" si="16"/>
        <v>25</v>
      </c>
      <c r="T125" s="54">
        <f t="shared" si="16"/>
        <v>0</v>
      </c>
      <c r="V125" s="58">
        <f t="shared" si="17"/>
        <v>25</v>
      </c>
      <c r="W125" s="54">
        <f t="shared" si="17"/>
        <v>26</v>
      </c>
      <c r="Y125" s="58">
        <f t="shared" si="18"/>
        <v>0</v>
      </c>
      <c r="Z125" s="54">
        <f t="shared" si="18"/>
        <v>25</v>
      </c>
      <c r="AB125" s="58">
        <f t="shared" si="19"/>
        <v>0</v>
      </c>
      <c r="AC125" s="54">
        <f t="shared" si="19"/>
        <v>25</v>
      </c>
      <c r="AE125" s="58">
        <f>IF(AE117=1,AE111,0)</f>
        <v>0</v>
      </c>
      <c r="AW125" s="146"/>
    </row>
    <row r="126" spans="1:49" s="54" customFormat="1" ht="12.75" hidden="1" customHeight="1" x14ac:dyDescent="0.2">
      <c r="A126" s="54" t="s">
        <v>63</v>
      </c>
      <c r="B126" s="54">
        <f>IF(B118=1,B112,0)</f>
        <v>0</v>
      </c>
      <c r="D126" s="58">
        <f t="shared" si="11"/>
        <v>0</v>
      </c>
      <c r="E126" s="54">
        <f t="shared" si="11"/>
        <v>0</v>
      </c>
      <c r="G126" s="58">
        <f t="shared" si="12"/>
        <v>0</v>
      </c>
      <c r="H126" s="54">
        <f t="shared" si="12"/>
        <v>0</v>
      </c>
      <c r="J126" s="58">
        <f t="shared" si="13"/>
        <v>0</v>
      </c>
      <c r="K126" s="54">
        <f t="shared" si="13"/>
        <v>0</v>
      </c>
      <c r="M126" s="58">
        <f t="shared" si="14"/>
        <v>0</v>
      </c>
      <c r="N126" s="54">
        <f t="shared" si="14"/>
        <v>0</v>
      </c>
      <c r="P126" s="58">
        <f t="shared" si="15"/>
        <v>0</v>
      </c>
      <c r="Q126" s="54">
        <f t="shared" si="15"/>
        <v>0</v>
      </c>
      <c r="S126" s="58">
        <f t="shared" si="16"/>
        <v>0</v>
      </c>
      <c r="T126" s="54">
        <f t="shared" si="16"/>
        <v>0</v>
      </c>
      <c r="V126" s="58">
        <f t="shared" si="17"/>
        <v>0</v>
      </c>
      <c r="W126" s="54">
        <f t="shared" si="17"/>
        <v>0</v>
      </c>
      <c r="Y126" s="58">
        <f t="shared" si="18"/>
        <v>0</v>
      </c>
      <c r="Z126" s="54">
        <f t="shared" si="18"/>
        <v>0</v>
      </c>
      <c r="AB126" s="58">
        <f t="shared" si="19"/>
        <v>0</v>
      </c>
      <c r="AC126" s="54">
        <f t="shared" si="19"/>
        <v>0</v>
      </c>
      <c r="AE126" s="58">
        <f>IF(AE118=1,AE112,0)</f>
        <v>0</v>
      </c>
      <c r="AW126" s="146"/>
    </row>
    <row r="127" spans="1:49" s="54" customFormat="1" ht="12.75" hidden="1" customHeight="1" x14ac:dyDescent="0.2">
      <c r="A127" s="54" t="s">
        <v>64</v>
      </c>
      <c r="B127" s="54">
        <f>IF(B119=1,B113,0)</f>
        <v>0</v>
      </c>
      <c r="D127" s="58">
        <f t="shared" si="11"/>
        <v>0</v>
      </c>
      <c r="E127" s="54">
        <f t="shared" si="11"/>
        <v>0</v>
      </c>
      <c r="G127" s="58">
        <f t="shared" si="12"/>
        <v>0</v>
      </c>
      <c r="H127" s="54">
        <f t="shared" si="12"/>
        <v>0</v>
      </c>
      <c r="J127" s="58">
        <f t="shared" si="13"/>
        <v>0</v>
      </c>
      <c r="K127" s="54">
        <f t="shared" si="13"/>
        <v>0</v>
      </c>
      <c r="M127" s="58">
        <f t="shared" si="14"/>
        <v>0</v>
      </c>
      <c r="N127" s="54">
        <f t="shared" si="14"/>
        <v>0</v>
      </c>
      <c r="P127" s="58">
        <f t="shared" si="15"/>
        <v>0</v>
      </c>
      <c r="Q127" s="54">
        <f t="shared" si="15"/>
        <v>0</v>
      </c>
      <c r="S127" s="58">
        <f t="shared" si="16"/>
        <v>0</v>
      </c>
      <c r="T127" s="54">
        <f t="shared" si="16"/>
        <v>0</v>
      </c>
      <c r="V127" s="58">
        <f t="shared" si="17"/>
        <v>0</v>
      </c>
      <c r="W127" s="54">
        <f t="shared" si="17"/>
        <v>0</v>
      </c>
      <c r="Y127" s="58">
        <f t="shared" si="18"/>
        <v>0</v>
      </c>
      <c r="Z127" s="54">
        <f t="shared" si="18"/>
        <v>0</v>
      </c>
      <c r="AB127" s="58">
        <f t="shared" si="19"/>
        <v>0</v>
      </c>
      <c r="AC127" s="54">
        <f t="shared" si="19"/>
        <v>0</v>
      </c>
      <c r="AE127" s="58">
        <f>IF(AE119=1,AE113,0)</f>
        <v>0</v>
      </c>
      <c r="AW127" s="146"/>
    </row>
    <row r="128" spans="1:49" s="54" customFormat="1" ht="12.75" hidden="1" customHeight="1" x14ac:dyDescent="0.2">
      <c r="A128" s="54" t="s">
        <v>65</v>
      </c>
      <c r="B128" s="54">
        <f>IF(B120=1,B114,0)</f>
        <v>0</v>
      </c>
      <c r="D128" s="58">
        <f t="shared" si="11"/>
        <v>0</v>
      </c>
      <c r="E128" s="54">
        <f t="shared" si="11"/>
        <v>0</v>
      </c>
      <c r="G128" s="58">
        <f t="shared" si="12"/>
        <v>0</v>
      </c>
      <c r="H128" s="54">
        <f t="shared" si="12"/>
        <v>0</v>
      </c>
      <c r="J128" s="58">
        <f t="shared" si="13"/>
        <v>0</v>
      </c>
      <c r="K128" s="54">
        <f t="shared" si="13"/>
        <v>0</v>
      </c>
      <c r="M128" s="58">
        <f t="shared" si="14"/>
        <v>0</v>
      </c>
      <c r="N128" s="54">
        <f t="shared" si="14"/>
        <v>0</v>
      </c>
      <c r="P128" s="58">
        <f t="shared" si="15"/>
        <v>0</v>
      </c>
      <c r="Q128" s="54">
        <f t="shared" si="15"/>
        <v>0</v>
      </c>
      <c r="S128" s="58">
        <f t="shared" si="16"/>
        <v>0</v>
      </c>
      <c r="T128" s="54">
        <f t="shared" si="16"/>
        <v>0</v>
      </c>
      <c r="V128" s="58">
        <f t="shared" si="17"/>
        <v>0</v>
      </c>
      <c r="W128" s="54">
        <f t="shared" si="17"/>
        <v>0</v>
      </c>
      <c r="Y128" s="58">
        <f t="shared" si="18"/>
        <v>0</v>
      </c>
      <c r="Z128" s="54">
        <f t="shared" si="18"/>
        <v>0</v>
      </c>
      <c r="AB128" s="58">
        <f t="shared" si="19"/>
        <v>0</v>
      </c>
      <c r="AC128" s="54">
        <f t="shared" si="19"/>
        <v>0</v>
      </c>
      <c r="AE128" s="58">
        <f>IF(AE120=1,AE114,0)</f>
        <v>0</v>
      </c>
      <c r="AW128" s="146"/>
    </row>
    <row r="129" spans="1:49" s="54" customFormat="1" ht="38.25" hidden="1" customHeight="1" x14ac:dyDescent="0.2">
      <c r="A129" s="57" t="s">
        <v>66</v>
      </c>
      <c r="B129" s="54">
        <f>SUM(B124:D128)</f>
        <v>50</v>
      </c>
      <c r="D129" s="58"/>
      <c r="E129" s="54">
        <f>SUM(E124:G128)</f>
        <v>50</v>
      </c>
      <c r="G129" s="58"/>
      <c r="H129" s="54">
        <f>SUM(H124:J128)</f>
        <v>50</v>
      </c>
      <c r="J129" s="58"/>
      <c r="K129" s="54">
        <f>SUM(K124:M128)</f>
        <v>50</v>
      </c>
      <c r="M129" s="58"/>
      <c r="N129" s="54">
        <f>SUM(N124:P128)</f>
        <v>50</v>
      </c>
      <c r="P129" s="58"/>
      <c r="Q129" s="54">
        <f>SUM(Q124:S128)</f>
        <v>50</v>
      </c>
      <c r="S129" s="58"/>
      <c r="T129" s="54">
        <f>SUM(T124:V128)</f>
        <v>50</v>
      </c>
      <c r="V129" s="58"/>
      <c r="W129" s="54">
        <f>SUM(W124:Y128)</f>
        <v>51</v>
      </c>
      <c r="Y129" s="58"/>
      <c r="Z129" s="54">
        <f>SUM(Z124:AB128)</f>
        <v>50</v>
      </c>
      <c r="AB129" s="58"/>
      <c r="AC129" s="54">
        <f>SUM(AC124:AE128)</f>
        <v>50</v>
      </c>
      <c r="AE129" s="58"/>
      <c r="AW129" s="146"/>
    </row>
    <row r="130" spans="1:49" s="54" customFormat="1" ht="38.25" hidden="1" customHeight="1" x14ac:dyDescent="0.2">
      <c r="A130" s="54" t="s">
        <v>67</v>
      </c>
      <c r="D130" s="58"/>
      <c r="G130" s="58"/>
      <c r="J130" s="58"/>
      <c r="M130" s="58"/>
      <c r="P130" s="58"/>
      <c r="S130" s="58"/>
      <c r="V130" s="58"/>
      <c r="Y130" s="58"/>
      <c r="AB130" s="58"/>
      <c r="AE130" s="58"/>
      <c r="AF130" s="57" t="s">
        <v>68</v>
      </c>
      <c r="AG130" s="54" t="s">
        <v>69</v>
      </c>
      <c r="AW130" s="146"/>
    </row>
    <row r="131" spans="1:49" s="54" customFormat="1" ht="12.75" hidden="1" customHeight="1" x14ac:dyDescent="0.2">
      <c r="A131" s="54" t="s">
        <v>70</v>
      </c>
      <c r="B131" s="54">
        <f>IF(B109=1,IF(B122=1,1,0),0)</f>
        <v>0</v>
      </c>
      <c r="D131" s="58">
        <f>IF(D109=1,IF(D122=1,1,0),0)</f>
        <v>0</v>
      </c>
      <c r="E131" s="54">
        <f>IF(E109=1,IF(E122=1,1,0),0)</f>
        <v>1</v>
      </c>
      <c r="G131" s="58">
        <f>IF(G109=1,IF(G122=1,1,0),0)</f>
        <v>0</v>
      </c>
      <c r="H131" s="54">
        <f>IF(H109=1,IF(H122=1,1,0),0)</f>
        <v>0</v>
      </c>
      <c r="J131" s="58">
        <f>IF(J109=1,IF(J122=1,1,0),0)</f>
        <v>0</v>
      </c>
      <c r="K131" s="54">
        <f>IF(K109=1,IF(K122=1,1,0),0)</f>
        <v>0</v>
      </c>
      <c r="M131" s="58">
        <f>IF(M109=1,IF(M122=1,1,0),0)</f>
        <v>0</v>
      </c>
      <c r="N131" s="54">
        <f>IF(N109=1,IF(N122=1,1,0),0)</f>
        <v>0</v>
      </c>
      <c r="P131" s="58">
        <f>IF(P109=1,IF(P122=1,1,0),0)</f>
        <v>0</v>
      </c>
      <c r="Q131" s="54">
        <f>IF(Q109=1,IF(Q122=1,1,0),0)</f>
        <v>0</v>
      </c>
      <c r="S131" s="58">
        <f>IF(S109=1,IF(S122=1,1,0),0)</f>
        <v>0</v>
      </c>
      <c r="T131" s="54">
        <f>IF(T109=1,IF(T122=1,1,0),0)</f>
        <v>0</v>
      </c>
      <c r="V131" s="58">
        <f>IF(V109=1,IF(V122=1,1,0),0)</f>
        <v>0</v>
      </c>
      <c r="W131" s="54">
        <f>IF(W109=1,IF(W122=1,1,0),0)</f>
        <v>1</v>
      </c>
      <c r="Y131" s="58">
        <f>IF(Y109=1,IF(Y122=1,1,0),0)</f>
        <v>0</v>
      </c>
      <c r="Z131" s="54">
        <f>IF(Z109=1,IF(Z122=1,1,0),0)</f>
        <v>0</v>
      </c>
      <c r="AB131" s="58">
        <f>IF(AB109=1,IF(AB122=1,1,0),0)</f>
        <v>0</v>
      </c>
      <c r="AC131" s="54">
        <f>IF(AC109=1,IF(AC122=1,1,0),0)</f>
        <v>1</v>
      </c>
      <c r="AE131" s="58">
        <f>IF(AE109=1,IF(AE122=1,1,0),0)</f>
        <v>0</v>
      </c>
      <c r="AF131" s="54">
        <f>SUM(B131:AE131)</f>
        <v>3</v>
      </c>
      <c r="AG131" s="54">
        <f>AF137-AF131</f>
        <v>0</v>
      </c>
      <c r="AW131" s="146"/>
    </row>
    <row r="132" spans="1:49" s="54" customFormat="1" ht="12.75" hidden="1" customHeight="1" x14ac:dyDescent="0.2">
      <c r="A132" s="54" t="s">
        <v>71</v>
      </c>
      <c r="B132" s="54">
        <f>IF(B109=2,IF(B122=1,1,0),0)</f>
        <v>0</v>
      </c>
      <c r="D132" s="58">
        <f>IF(D109=2,IF(D122=1,1,0),0)</f>
        <v>0</v>
      </c>
      <c r="E132" s="54">
        <f>IF(E109=2,IF(E122=1,1,0),0)</f>
        <v>0</v>
      </c>
      <c r="G132" s="58">
        <f>IF(G109=2,IF(G122=1,1,0),0)</f>
        <v>0</v>
      </c>
      <c r="H132" s="54">
        <f>IF(H109=2,IF(H122=1,1,0),0)</f>
        <v>0</v>
      </c>
      <c r="J132" s="58">
        <f>IF(J109=2,IF(J122=1,1,0),0)</f>
        <v>0</v>
      </c>
      <c r="K132" s="54">
        <f>IF(K109=2,IF(K122=1,1,0),0)</f>
        <v>0</v>
      </c>
      <c r="M132" s="58">
        <f>IF(M109=2,IF(M122=1,1,0),0)</f>
        <v>0</v>
      </c>
      <c r="N132" s="54">
        <f>IF(N109=2,IF(N122=1,1,0),0)</f>
        <v>0</v>
      </c>
      <c r="P132" s="58">
        <f>IF(P109=2,IF(P122=1,1,0),0)</f>
        <v>0</v>
      </c>
      <c r="Q132" s="54">
        <f>IF(Q109=2,IF(Q122=1,1,0),0)</f>
        <v>0</v>
      </c>
      <c r="S132" s="58">
        <f>IF(S109=2,IF(S122=1,1,0),0)</f>
        <v>0</v>
      </c>
      <c r="T132" s="54">
        <f>IF(T109=2,IF(T122=1,1,0),0)</f>
        <v>0</v>
      </c>
      <c r="V132" s="58">
        <f>IF(V109=2,IF(V122=1,1,0),0)</f>
        <v>0</v>
      </c>
      <c r="W132" s="54">
        <f>IF(W109=2,IF(W122=1,1,0),0)</f>
        <v>0</v>
      </c>
      <c r="Y132" s="58">
        <f>IF(Y109=2,IF(Y122=1,1,0),0)</f>
        <v>0</v>
      </c>
      <c r="Z132" s="54">
        <f>IF(Z109=2,IF(Z122=1,1,0),0)</f>
        <v>0</v>
      </c>
      <c r="AB132" s="58">
        <f>IF(AB109=2,IF(AB122=1,1,0),0)</f>
        <v>0</v>
      </c>
      <c r="AC132" s="54">
        <f>IF(AC109=2,IF(AC122=1,1,0),0)</f>
        <v>0</v>
      </c>
      <c r="AE132" s="58">
        <f>IF(AE109=2,IF(AE122=1,1,0),0)</f>
        <v>0</v>
      </c>
      <c r="AF132" s="54">
        <f>SUM(B132:AE132)</f>
        <v>0</v>
      </c>
      <c r="AG132" s="54">
        <f>AF138-AF132</f>
        <v>4</v>
      </c>
      <c r="AW132" s="146"/>
    </row>
    <row r="133" spans="1:49" s="54" customFormat="1" ht="12.75" hidden="1" customHeight="1" x14ac:dyDescent="0.2">
      <c r="A133" s="54" t="s">
        <v>72</v>
      </c>
      <c r="B133" s="54">
        <f>IF(B109=3,IF(B122=1,1,0),0)</f>
        <v>0</v>
      </c>
      <c r="D133" s="58">
        <f>IF(D109=3,IF(D122=1,1,0),0)</f>
        <v>0</v>
      </c>
      <c r="E133" s="54">
        <f>IF(E109=3,IF(E122=1,1,0),0)</f>
        <v>0</v>
      </c>
      <c r="G133" s="58">
        <f>IF(G109=3,IF(G122=1,1,0),0)</f>
        <v>0</v>
      </c>
      <c r="H133" s="54">
        <f>IF(H109=3,IF(H122=1,1,0),0)</f>
        <v>1</v>
      </c>
      <c r="J133" s="58">
        <f>IF(J109=3,IF(J122=1,1,0),0)</f>
        <v>0</v>
      </c>
      <c r="K133" s="54">
        <f>IF(K109=3,IF(K122=1,1,0),0)</f>
        <v>0</v>
      </c>
      <c r="M133" s="58">
        <f>IF(M109=3,IF(M122=1,1,0),0)</f>
        <v>0</v>
      </c>
      <c r="N133" s="54">
        <f>IF(N109=3,IF(N122=1,1,0),0)</f>
        <v>0</v>
      </c>
      <c r="P133" s="58">
        <f>IF(P109=3,IF(P122=1,1,0),0)</f>
        <v>0</v>
      </c>
      <c r="Q133" s="54">
        <f>IF(Q109=3,IF(Q122=1,1,0),0)</f>
        <v>0</v>
      </c>
      <c r="S133" s="58">
        <f>IF(S109=3,IF(S122=1,1,0),0)</f>
        <v>0</v>
      </c>
      <c r="T133" s="54">
        <f>IF(T109=3,IF(T122=1,1,0),0)</f>
        <v>0</v>
      </c>
      <c r="V133" s="58">
        <f>IF(V109=3,IF(V122=1,1,0),0)</f>
        <v>1</v>
      </c>
      <c r="W133" s="54">
        <f>IF(W109=3,IF(W122=1,1,0),0)</f>
        <v>0</v>
      </c>
      <c r="Y133" s="58">
        <f>IF(Y109=3,IF(Y122=1,1,0),0)</f>
        <v>0</v>
      </c>
      <c r="Z133" s="54">
        <f>IF(Z109=3,IF(Z122=1,1,0),0)</f>
        <v>1</v>
      </c>
      <c r="AB133" s="58">
        <f>IF(AB109=3,IF(AB122=1,1,0),0)</f>
        <v>0</v>
      </c>
      <c r="AC133" s="54">
        <f>IF(AC109=3,IF(AC122=1,1,0),0)</f>
        <v>0</v>
      </c>
      <c r="AE133" s="58">
        <f>IF(AE109=3,IF(AE122=1,1,0),0)</f>
        <v>0</v>
      </c>
      <c r="AF133" s="54">
        <f>SUM(B133:AE133)</f>
        <v>3</v>
      </c>
      <c r="AG133" s="54">
        <f>AF139-AF133</f>
        <v>0</v>
      </c>
      <c r="AW133" s="146"/>
    </row>
    <row r="134" spans="1:49" s="54" customFormat="1" ht="12.75" hidden="1" customHeight="1" x14ac:dyDescent="0.2">
      <c r="A134" s="54" t="s">
        <v>73</v>
      </c>
      <c r="B134" s="54">
        <f>IF(B109=4,IF(B122=1,1,0),0)</f>
        <v>0</v>
      </c>
      <c r="D134" s="58">
        <f>IF(D109=4,IF(D122=1,1,0),0)</f>
        <v>0</v>
      </c>
      <c r="E134" s="54">
        <f>IF(E109=4,IF(E122=1,1,0),0)</f>
        <v>0</v>
      </c>
      <c r="G134" s="58">
        <f>IF(G109=4,IF(G122=1,1,0),0)</f>
        <v>0</v>
      </c>
      <c r="H134" s="54">
        <f>IF(H109=4,IF(H122=1,1,0),0)</f>
        <v>0</v>
      </c>
      <c r="J134" s="58">
        <f>IF(J109=4,IF(J122=1,1,0),0)</f>
        <v>0</v>
      </c>
      <c r="K134" s="54">
        <f>IF(K109=4,IF(K122=1,1,0),0)</f>
        <v>0</v>
      </c>
      <c r="M134" s="58">
        <f>IF(M109=4,IF(M122=1,1,0),0)</f>
        <v>1</v>
      </c>
      <c r="N134" s="54">
        <f>IF(N109=4,IF(N122=1,1,0),0)</f>
        <v>0</v>
      </c>
      <c r="P134" s="58">
        <f>IF(P109=4,IF(P122=1,1,0),0)</f>
        <v>0</v>
      </c>
      <c r="Q134" s="54">
        <f>IF(Q109=4,IF(Q122=1,1,0),0)</f>
        <v>0</v>
      </c>
      <c r="S134" s="58">
        <f>IF(S109=4,IF(S122=1,1,0),0)</f>
        <v>0</v>
      </c>
      <c r="T134" s="54">
        <f>IF(T109=4,IF(T122=1,1,0),0)</f>
        <v>0</v>
      </c>
      <c r="V134" s="58">
        <f>IF(V109=4,IF(V122=1,1,0),0)</f>
        <v>0</v>
      </c>
      <c r="W134" s="54">
        <f>IF(W109=4,IF(W122=1,1,0),0)</f>
        <v>0</v>
      </c>
      <c r="Y134" s="58">
        <f>IF(Y109=4,IF(Y122=1,1,0),0)</f>
        <v>0</v>
      </c>
      <c r="Z134" s="54">
        <f>IF(Z109=4,IF(Z122=1,1,0),0)</f>
        <v>0</v>
      </c>
      <c r="AB134" s="58">
        <f>IF(AB109=4,IF(AB122=1,1,0),0)</f>
        <v>0</v>
      </c>
      <c r="AC134" s="54">
        <f>IF(AC109=4,IF(AC122=1,1,0),0)</f>
        <v>0</v>
      </c>
      <c r="AE134" s="58">
        <f>IF(AE109=4,IF(AE122=1,1,0),0)</f>
        <v>0</v>
      </c>
      <c r="AF134" s="54">
        <f>SUM(B134:AE134)</f>
        <v>1</v>
      </c>
      <c r="AG134" s="54">
        <f>AF140-AF134</f>
        <v>3</v>
      </c>
      <c r="AW134" s="146"/>
    </row>
    <row r="135" spans="1:49" s="54" customFormat="1" ht="12.75" hidden="1" customHeight="1" x14ac:dyDescent="0.2">
      <c r="A135" s="54" t="s">
        <v>74</v>
      </c>
      <c r="B135" s="54">
        <f>IF(B109=5,IF(B122=1,1,0),0)</f>
        <v>0</v>
      </c>
      <c r="D135" s="58">
        <f>IF(D109=5,IF(D122=1,1,0),0)</f>
        <v>1</v>
      </c>
      <c r="E135" s="54">
        <f>IF(E109=5,IF(E122=1,1,0),0)</f>
        <v>0</v>
      </c>
      <c r="G135" s="58">
        <f>IF(G109=5,IF(G122=1,1,0),0)</f>
        <v>0</v>
      </c>
      <c r="H135" s="54">
        <f>IF(H109=5,IF(H122=1,1,0),0)</f>
        <v>0</v>
      </c>
      <c r="J135" s="58">
        <f>IF(J109=5,IF(J122=1,1,0),0)</f>
        <v>0</v>
      </c>
      <c r="K135" s="54">
        <f>IF(K109=5,IF(K122=1,1,0),0)</f>
        <v>0</v>
      </c>
      <c r="M135" s="58">
        <f>IF(M109=5,IF(M122=1,1,0),0)</f>
        <v>0</v>
      </c>
      <c r="N135" s="54">
        <f>IF(N109=5,IF(N122=1,1,0),0)</f>
        <v>0</v>
      </c>
      <c r="P135" s="58">
        <f>IF(P109=5,IF(P122=1,1,0),0)</f>
        <v>0</v>
      </c>
      <c r="Q135" s="54">
        <f>IF(Q109=5,IF(Q122=1,1,0),0)</f>
        <v>0</v>
      </c>
      <c r="S135" s="58">
        <f>IF(S109=5,IF(S122=1,1,0),0)</f>
        <v>1</v>
      </c>
      <c r="T135" s="54">
        <f>IF(T109=5,IF(T122=1,1,0),0)</f>
        <v>0</v>
      </c>
      <c r="V135" s="58">
        <f>IF(V109=5,IF(V122=1,1,0),0)</f>
        <v>0</v>
      </c>
      <c r="W135" s="54">
        <f>IF(W109=5,IF(W122=1,1,0),0)</f>
        <v>0</v>
      </c>
      <c r="Y135" s="58">
        <f>IF(Y109=5,IF(Y122=1,1,0),0)</f>
        <v>0</v>
      </c>
      <c r="Z135" s="54">
        <f>IF(Z109=5,IF(Z122=1,1,0),0)</f>
        <v>0</v>
      </c>
      <c r="AB135" s="58">
        <f>IF(AB109=5,IF(AB122=1,1,0),0)</f>
        <v>0</v>
      </c>
      <c r="AC135" s="54">
        <f>IF(AC109=5,IF(AC122=1,1,0),0)</f>
        <v>0</v>
      </c>
      <c r="AE135" s="58">
        <f>IF(AE109=5,IF(AE122=1,1,0),0)</f>
        <v>0</v>
      </c>
      <c r="AF135" s="54">
        <f>SUM(B135:AE135)</f>
        <v>2</v>
      </c>
      <c r="AG135" s="54">
        <f>AF141-AF135</f>
        <v>2</v>
      </c>
      <c r="AW135" s="146"/>
    </row>
    <row r="136" spans="1:49" s="54" customFormat="1" ht="38.25" hidden="1" customHeight="1" x14ac:dyDescent="0.2">
      <c r="A136" s="57"/>
      <c r="D136" s="58"/>
      <c r="G136" s="58"/>
      <c r="J136" s="58"/>
      <c r="M136" s="58"/>
      <c r="P136" s="58"/>
      <c r="S136" s="58"/>
      <c r="V136" s="58"/>
      <c r="Y136" s="58"/>
      <c r="AB136" s="58"/>
      <c r="AE136" s="58"/>
      <c r="AF136" s="57" t="s">
        <v>75</v>
      </c>
      <c r="AW136" s="146"/>
    </row>
    <row r="137" spans="1:49" s="54" customFormat="1" ht="12.75" hidden="1" customHeight="1" x14ac:dyDescent="0.2">
      <c r="A137" s="54" t="s">
        <v>76</v>
      </c>
      <c r="B137" s="54">
        <f>IF(B109=1,IF(C122=1,1,0),0)</f>
        <v>0</v>
      </c>
      <c r="D137" s="58">
        <f>IF(D109=1,IF(C122=1,1,0),0)</f>
        <v>0</v>
      </c>
      <c r="E137" s="54">
        <f>IF(E109=1,IF(F122=1,1,0),0)</f>
        <v>1</v>
      </c>
      <c r="G137" s="58">
        <f>IF(G109=1,IF(F122=1,1,0),0)</f>
        <v>0</v>
      </c>
      <c r="H137" s="54">
        <f>IF(H109=1,IF(I122=1,1,0),0)</f>
        <v>0</v>
      </c>
      <c r="J137" s="58">
        <f>IF(J109=1,IF(I122=1,1,0),0)</f>
        <v>0</v>
      </c>
      <c r="K137" s="54">
        <f>IF(K109=1,IF(L122=1,1,0),0)</f>
        <v>0</v>
      </c>
      <c r="M137" s="58">
        <f>IF(M109=1,IF(L122=1,1,0),0)</f>
        <v>0</v>
      </c>
      <c r="N137" s="54">
        <f>IF(N109=1,IF(O122=1,1,0),0)</f>
        <v>0</v>
      </c>
      <c r="P137" s="58">
        <f>IF(P109=1,IF(O122=1,1,0),0)</f>
        <v>0</v>
      </c>
      <c r="Q137" s="54">
        <f>IF(Q109=1,IF(R122=1,1,0),0)</f>
        <v>0</v>
      </c>
      <c r="S137" s="58">
        <f>IF(S109=1,IF(R122=1,1,0),0)</f>
        <v>0</v>
      </c>
      <c r="T137" s="54">
        <f>IF(T109=1,IF(U122=1,1,0),0)</f>
        <v>0</v>
      </c>
      <c r="V137" s="58">
        <f>IF(V109=1,IF(U122=1,1,0),0)</f>
        <v>0</v>
      </c>
      <c r="W137" s="54">
        <f>IF(W109=1,IF(X122=1,1,0),0)</f>
        <v>1</v>
      </c>
      <c r="Y137" s="58">
        <f>IF(Y109=1,IF(X122=1,1,0),0)</f>
        <v>0</v>
      </c>
      <c r="Z137" s="54">
        <f>IF(Z109=1,IF(AA122=1,1,0),0)</f>
        <v>0</v>
      </c>
      <c r="AB137" s="58">
        <f>IF(AB109=1,IF(AA122=1,1,0),0)</f>
        <v>0</v>
      </c>
      <c r="AC137" s="54">
        <f>IF(AC109=1,IF(AD122=1,1,0),0)</f>
        <v>1</v>
      </c>
      <c r="AE137" s="58">
        <f>IF(AE109=1,IF(AD122=1,1,0),0)</f>
        <v>0</v>
      </c>
      <c r="AF137" s="54">
        <f>SUM(B137:AE137)</f>
        <v>3</v>
      </c>
      <c r="AW137" s="146"/>
    </row>
    <row r="138" spans="1:49" s="54" customFormat="1" ht="12.75" hidden="1" customHeight="1" x14ac:dyDescent="0.2">
      <c r="A138" s="54" t="s">
        <v>77</v>
      </c>
      <c r="B138" s="54">
        <f>IF(B109=2,IF(C122=1,1,0),0)</f>
        <v>1</v>
      </c>
      <c r="D138" s="58">
        <f>IF(D109=2,IF(C122=1,1,0),0)</f>
        <v>0</v>
      </c>
      <c r="E138" s="54">
        <f>IF(E109=2,IF(F122=1,1,0),0)</f>
        <v>0</v>
      </c>
      <c r="G138" s="58">
        <f>IF(G109=2,IF(F122=1,1,0),0)</f>
        <v>0</v>
      </c>
      <c r="H138" s="54">
        <f>IF(H109=2,IF(I122=1,1,0),0)</f>
        <v>0</v>
      </c>
      <c r="J138" s="58">
        <f>IF(J109=2,IF(I122=1,1,0),0)</f>
        <v>0</v>
      </c>
      <c r="K138" s="54">
        <f>IF(K109=2,IF(L122=1,1,0),0)</f>
        <v>1</v>
      </c>
      <c r="M138" s="58">
        <f>IF(M109=2,IF(L122=1,1,0),0)</f>
        <v>0</v>
      </c>
      <c r="N138" s="54">
        <f>IF(N109=2,IF(O122=1,1,0),0)</f>
        <v>0</v>
      </c>
      <c r="P138" s="58">
        <f>IF(P109=2,IF(O122=1,1,0),0)</f>
        <v>0</v>
      </c>
      <c r="Q138" s="54">
        <f>IF(Q109=2,IF(R122=1,1,0),0)</f>
        <v>0</v>
      </c>
      <c r="S138" s="58">
        <f>IF(S109=2,IF(R122=1,1,0),0)</f>
        <v>0</v>
      </c>
      <c r="T138" s="54">
        <f>IF(T109=2,IF(U122=1,1,0),0)</f>
        <v>1</v>
      </c>
      <c r="V138" s="58">
        <f>IF(V109=2,IF(U122=1,1,0),0)</f>
        <v>0</v>
      </c>
      <c r="W138" s="54">
        <f>IF(W109=2,IF(X122=1,1,0),0)</f>
        <v>0</v>
      </c>
      <c r="Y138" s="58">
        <f>IF(Y109=2,IF(X122=1,1,0),0)</f>
        <v>0</v>
      </c>
      <c r="Z138" s="54">
        <f>IF(Z109=2,IF(AA122=1,1,0),0)</f>
        <v>0</v>
      </c>
      <c r="AB138" s="58">
        <f>IF(AB109=2,IF(AA122=1,1,0),0)</f>
        <v>0</v>
      </c>
      <c r="AC138" s="54">
        <f>IF(AC109=2,IF(AD122=1,1,0),0)</f>
        <v>0</v>
      </c>
      <c r="AE138" s="58">
        <f>IF(AE109=2,IF(AD122=1,1,0),0)</f>
        <v>1</v>
      </c>
      <c r="AF138" s="54">
        <f>SUM(B138:AE138)</f>
        <v>4</v>
      </c>
      <c r="AW138" s="146"/>
    </row>
    <row r="139" spans="1:49" s="54" customFormat="1" ht="12.75" hidden="1" customHeight="1" x14ac:dyDescent="0.2">
      <c r="A139" s="54" t="s">
        <v>78</v>
      </c>
      <c r="B139" s="54">
        <f>IF(B109=3,IF(C122=1,1,0),0)</f>
        <v>0</v>
      </c>
      <c r="D139" s="58">
        <f>IF(D109=3,IF(C122=1,1,0),0)</f>
        <v>0</v>
      </c>
      <c r="E139" s="54">
        <f>IF(E109=3,IF(F122=1,1,0),0)</f>
        <v>0</v>
      </c>
      <c r="G139" s="58">
        <f>IF(G109=3,IF(F122=1,1,0),0)</f>
        <v>0</v>
      </c>
      <c r="H139" s="54">
        <f>IF(H109=3,IF(I122=1,1,0),0)</f>
        <v>1</v>
      </c>
      <c r="J139" s="58">
        <f>IF(J109=3,IF(I122=1,1,0),0)</f>
        <v>0</v>
      </c>
      <c r="K139" s="54">
        <f>IF(K109=3,IF(L122=1,1,0),0)</f>
        <v>0</v>
      </c>
      <c r="M139" s="58">
        <f>IF(M109=3,IF(L122=1,1,0),0)</f>
        <v>0</v>
      </c>
      <c r="N139" s="54">
        <f>IF(N109=3,IF(O122=1,1,0),0)</f>
        <v>0</v>
      </c>
      <c r="P139" s="58">
        <f>IF(P109=3,IF(O122=1,1,0),0)</f>
        <v>0</v>
      </c>
      <c r="Q139" s="54">
        <f>IF(Q109=3,IF(R122=1,1,0),0)</f>
        <v>0</v>
      </c>
      <c r="S139" s="58">
        <f>IF(S109=3,IF(R122=1,1,0),0)</f>
        <v>0</v>
      </c>
      <c r="T139" s="54">
        <f>IF(T109=3,IF(U122=1,1,0),0)</f>
        <v>0</v>
      </c>
      <c r="V139" s="58">
        <f>IF(V109=3,IF(U122=1,1,0),0)</f>
        <v>1</v>
      </c>
      <c r="W139" s="54">
        <f>IF(W109=3,IF(X122=1,1,0),0)</f>
        <v>0</v>
      </c>
      <c r="Y139" s="58">
        <f>IF(Y109=3,IF(X122=1,1,0),0)</f>
        <v>0</v>
      </c>
      <c r="Z139" s="54">
        <f>IF(Z109=3,IF(AA122=1,1,0),0)</f>
        <v>1</v>
      </c>
      <c r="AB139" s="58">
        <f>IF(AB109=3,IF(AA122=1,1,0),0)</f>
        <v>0</v>
      </c>
      <c r="AC139" s="54">
        <f>IF(AC109=3,IF(AD122=1,1,0),0)</f>
        <v>0</v>
      </c>
      <c r="AE139" s="58">
        <f>IF(AE109=3,IF(AD122=1,1,0),0)</f>
        <v>0</v>
      </c>
      <c r="AF139" s="54">
        <f>SUM(B139:AE139)</f>
        <v>3</v>
      </c>
      <c r="AW139" s="146"/>
    </row>
    <row r="140" spans="1:49" s="54" customFormat="1" ht="12.75" hidden="1" customHeight="1" x14ac:dyDescent="0.2">
      <c r="A140" s="54" t="s">
        <v>79</v>
      </c>
      <c r="B140" s="54">
        <f>IF(B109=4,IF(C122=1,1,0),0)</f>
        <v>0</v>
      </c>
      <c r="D140" s="58">
        <f>IF(D109=4,IF(C122=1,1,0),0)</f>
        <v>0</v>
      </c>
      <c r="E140" s="54">
        <f>IF(E109=4,IF(F122=1,1,0),0)</f>
        <v>0</v>
      </c>
      <c r="G140" s="58">
        <f>IF(G109=4,IF(F122=1,1,0),0)</f>
        <v>1</v>
      </c>
      <c r="H140" s="54">
        <f>IF(H109=4,IF(I122=1,1,0),0)</f>
        <v>0</v>
      </c>
      <c r="J140" s="58">
        <f>IF(J109=4,IF(I122=1,1,0),0)</f>
        <v>0</v>
      </c>
      <c r="K140" s="54">
        <f>IF(K109=4,IF(L122=1,1,0),0)</f>
        <v>0</v>
      </c>
      <c r="M140" s="58">
        <f>IF(M109=4,IF(L122=1,1,0),0)</f>
        <v>1</v>
      </c>
      <c r="N140" s="54">
        <f>IF(N109=4,IF(O122=1,1,0),0)</f>
        <v>0</v>
      </c>
      <c r="P140" s="58">
        <f>IF(P109=4,IF(O122=1,1,0),0)</f>
        <v>0</v>
      </c>
      <c r="Q140" s="54">
        <f>IF(Q109=4,IF(R122=1,1,0),0)</f>
        <v>1</v>
      </c>
      <c r="S140" s="58">
        <f>IF(S109=4,IF(R122=1,1,0),0)</f>
        <v>0</v>
      </c>
      <c r="T140" s="54">
        <f>IF(T109=4,IF(U122=1,1,0),0)</f>
        <v>0</v>
      </c>
      <c r="V140" s="58">
        <f>IF(V109=4,IF(U122=1,1,0),0)</f>
        <v>0</v>
      </c>
      <c r="W140" s="54">
        <f>IF(W109=4,IF(X122=1,1,0),0)</f>
        <v>0</v>
      </c>
      <c r="Y140" s="58">
        <f>IF(Y109=4,IF(X122=1,1,0),0)</f>
        <v>0</v>
      </c>
      <c r="Z140" s="54">
        <f>IF(Z109=4,IF(AA122=1,1,0),0)</f>
        <v>0</v>
      </c>
      <c r="AB140" s="58">
        <f>IF(AB109=4,IF(AA122=1,1,0),0)</f>
        <v>1</v>
      </c>
      <c r="AC140" s="54">
        <f>IF(AC109=4,IF(AD122=1,1,0),0)</f>
        <v>0</v>
      </c>
      <c r="AE140" s="58">
        <f>IF(AE109=4,IF(AD122=1,1,0),0)</f>
        <v>0</v>
      </c>
      <c r="AF140" s="54">
        <f>SUM(B140:AE140)</f>
        <v>4</v>
      </c>
      <c r="AW140" s="146"/>
    </row>
    <row r="141" spans="1:49" s="54" customFormat="1" ht="12.75" hidden="1" customHeight="1" x14ac:dyDescent="0.2">
      <c r="A141" s="54" t="s">
        <v>80</v>
      </c>
      <c r="B141" s="54">
        <f>IF(B109=5,IF(C122=1,1,0),0)</f>
        <v>0</v>
      </c>
      <c r="D141" s="58">
        <f>IF(D109=5,IF(C122=1,1,0),0)</f>
        <v>1</v>
      </c>
      <c r="E141" s="54">
        <f>IF(E109=5,IF(F122=1,1,0),0)</f>
        <v>0</v>
      </c>
      <c r="G141" s="58">
        <f>IF(G109=5,IF(F122=1,1,0),0)</f>
        <v>0</v>
      </c>
      <c r="H141" s="54">
        <f>IF(H109=5,IF(I122=1,1,0),0)</f>
        <v>0</v>
      </c>
      <c r="J141" s="58">
        <f>IF(J109=5,IF(I122=1,1,0),0)</f>
        <v>1</v>
      </c>
      <c r="K141" s="54">
        <f>IF(K109=5,IF(L122=1,1,0),0)</f>
        <v>0</v>
      </c>
      <c r="M141" s="58">
        <f>IF(M109=5,IF(L122=1,1,0),0)</f>
        <v>0</v>
      </c>
      <c r="N141" s="54">
        <f>IF(N109=5,IF(O122=1,1,0),0)</f>
        <v>0</v>
      </c>
      <c r="P141" s="58">
        <f>IF(P109=5,IF(O122=1,1,0),0)</f>
        <v>0</v>
      </c>
      <c r="Q141" s="54">
        <f>IF(Q109=5,IF(R122=1,1,0),0)</f>
        <v>0</v>
      </c>
      <c r="S141" s="58">
        <f>IF(S109=5,IF(R122=1,1,0),0)</f>
        <v>1</v>
      </c>
      <c r="T141" s="54">
        <f>IF(T109=5,IF(U122=1,1,0),0)</f>
        <v>0</v>
      </c>
      <c r="V141" s="58">
        <f>IF(V109=5,IF(U122=1,1,0),0)</f>
        <v>0</v>
      </c>
      <c r="W141" s="54">
        <f>IF(W109=5,IF(X122=1,1,0),0)</f>
        <v>0</v>
      </c>
      <c r="Y141" s="58">
        <f>IF(Y109=5,IF(X122=1,1,0),0)</f>
        <v>1</v>
      </c>
      <c r="Z141" s="54">
        <f>IF(Z109=5,IF(AA122=1,1,0),0)</f>
        <v>0</v>
      </c>
      <c r="AB141" s="58">
        <f>IF(AB109=5,IF(AA122=1,1,0),0)</f>
        <v>0</v>
      </c>
      <c r="AC141" s="54">
        <f>IF(AC109=5,IF(AD122=1,1,0),0)</f>
        <v>0</v>
      </c>
      <c r="AE141" s="58">
        <f>IF(AE109=5,IF(AD122=1,1,0),0)</f>
        <v>0</v>
      </c>
      <c r="AF141" s="54">
        <f>SUM(B141:AE141)</f>
        <v>4</v>
      </c>
      <c r="AW141" s="146"/>
    </row>
    <row r="142" spans="1:49" s="54" customFormat="1" ht="38.25" hidden="1" customHeight="1" x14ac:dyDescent="0.2">
      <c r="A142" s="57"/>
      <c r="D142" s="58"/>
      <c r="G142" s="58"/>
      <c r="J142" s="58"/>
      <c r="M142" s="58"/>
      <c r="P142" s="58"/>
      <c r="S142" s="58"/>
      <c r="V142" s="58"/>
      <c r="Y142" s="58"/>
      <c r="AB142" s="58"/>
      <c r="AE142" s="58"/>
      <c r="AF142" s="57" t="s">
        <v>81</v>
      </c>
      <c r="AG142" s="789"/>
      <c r="AH142" s="789"/>
      <c r="AI142" s="789"/>
      <c r="AJ142" s="789"/>
      <c r="AK142" s="789"/>
      <c r="AW142" s="146"/>
    </row>
    <row r="143" spans="1:49" s="54" customFormat="1" ht="12.75" hidden="1" customHeight="1" x14ac:dyDescent="0.2">
      <c r="A143" s="54" t="s">
        <v>76</v>
      </c>
      <c r="B143" s="54">
        <f>IF(B109=1,B129,0)</f>
        <v>0</v>
      </c>
      <c r="D143" s="58">
        <f>IF(D109=1,B129,0)</f>
        <v>0</v>
      </c>
      <c r="E143" s="54">
        <f>IF(E109=1,E129,0)</f>
        <v>50</v>
      </c>
      <c r="G143" s="58">
        <f>IF(G109=1,E129,0)</f>
        <v>0</v>
      </c>
      <c r="H143" s="54">
        <f>IF(H109=1,H129,0)</f>
        <v>0</v>
      </c>
      <c r="J143" s="58">
        <f>IF(J109=1,H129,0)</f>
        <v>0</v>
      </c>
      <c r="K143" s="54">
        <f>IF(K109=1,K129,0)</f>
        <v>0</v>
      </c>
      <c r="M143" s="58">
        <f>IF(M109=1,K129,0)</f>
        <v>0</v>
      </c>
      <c r="N143" s="54">
        <f>IF(N109=1,N129,0)</f>
        <v>50</v>
      </c>
      <c r="P143" s="58">
        <f>IF(P109=1,N129,0)</f>
        <v>0</v>
      </c>
      <c r="Q143" s="54">
        <f>IF(Q109=1,Q129,0)</f>
        <v>0</v>
      </c>
      <c r="S143" s="58">
        <f>IF(S109=1,Q129,0)</f>
        <v>0</v>
      </c>
      <c r="T143" s="54">
        <f>IF(T109=1,T129,0)</f>
        <v>0</v>
      </c>
      <c r="V143" s="58">
        <f>IF(V109=1,T129,0)</f>
        <v>0</v>
      </c>
      <c r="W143" s="54">
        <f>IF(W109=1,W129,0)</f>
        <v>51</v>
      </c>
      <c r="Y143" s="58">
        <f>IF(Y109=1,W129,0)</f>
        <v>0</v>
      </c>
      <c r="Z143" s="54">
        <f>IF(Z109=1,Z129,0)</f>
        <v>0</v>
      </c>
      <c r="AB143" s="58">
        <f>IF(AB109=1,Z129,0)</f>
        <v>0</v>
      </c>
      <c r="AC143" s="54">
        <f>IF(AC109=1,AC129,0)</f>
        <v>50</v>
      </c>
      <c r="AE143" s="58">
        <f>IF(AE109=1,AC129,0)</f>
        <v>0</v>
      </c>
      <c r="AF143" s="54">
        <f>SUM(B143:AE143)</f>
        <v>201</v>
      </c>
      <c r="AW143" s="146"/>
    </row>
    <row r="144" spans="1:49" s="54" customFormat="1" ht="12.75" hidden="1" customHeight="1" x14ac:dyDescent="0.2">
      <c r="A144" s="54" t="s">
        <v>77</v>
      </c>
      <c r="B144" s="54">
        <f>IF(B109=2,B129,0)</f>
        <v>50</v>
      </c>
      <c r="D144" s="58">
        <f>IF(D109=2,B129,0)</f>
        <v>0</v>
      </c>
      <c r="E144" s="54">
        <f>IF(E109=2,E129,0)</f>
        <v>0</v>
      </c>
      <c r="G144" s="58">
        <f>IF(G109=2,E129,0)</f>
        <v>0</v>
      </c>
      <c r="H144" s="54">
        <f>IF(H109=2,H129,0)</f>
        <v>0</v>
      </c>
      <c r="J144" s="58">
        <f>IF(J109=2,H129,0)</f>
        <v>0</v>
      </c>
      <c r="K144" s="54">
        <f>IF(K109=2,K129,0)</f>
        <v>50</v>
      </c>
      <c r="M144" s="58">
        <f>IF(M109=2,K129,0)</f>
        <v>0</v>
      </c>
      <c r="N144" s="54">
        <f>IF(N109=2,N129,0)</f>
        <v>0</v>
      </c>
      <c r="P144" s="58">
        <f>IF(P109=2,N129,0)</f>
        <v>0</v>
      </c>
      <c r="Q144" s="54">
        <f>IF(Q109=2,Q129,0)</f>
        <v>0</v>
      </c>
      <c r="S144" s="58">
        <f>IF(S109=2,Q129,0)</f>
        <v>0</v>
      </c>
      <c r="T144" s="54">
        <f>IF(T109=2,T129,0)</f>
        <v>50</v>
      </c>
      <c r="V144" s="58">
        <f>IF(V109=2,T129,0)</f>
        <v>0</v>
      </c>
      <c r="W144" s="54">
        <f>IF(W109=2,W129,0)</f>
        <v>0</v>
      </c>
      <c r="Y144" s="58">
        <f>IF(Y109=2,W129,0)</f>
        <v>0</v>
      </c>
      <c r="Z144" s="54">
        <f>IF(Z109=2,Z129,0)</f>
        <v>0</v>
      </c>
      <c r="AB144" s="58">
        <f>IF(AB109=2,Z129,0)</f>
        <v>0</v>
      </c>
      <c r="AC144" s="54">
        <f>IF(AC109=2,AC129,0)</f>
        <v>0</v>
      </c>
      <c r="AE144" s="58">
        <f>IF(AE109=2,AC129,0)</f>
        <v>50</v>
      </c>
      <c r="AF144" s="54">
        <f>SUM(B144:AE144)</f>
        <v>200</v>
      </c>
      <c r="AW144" s="146"/>
    </row>
    <row r="145" spans="1:49" s="54" customFormat="1" ht="12.75" hidden="1" customHeight="1" x14ac:dyDescent="0.2">
      <c r="A145" s="54" t="s">
        <v>78</v>
      </c>
      <c r="B145" s="54">
        <f>IF(B109=3,B129,0)</f>
        <v>0</v>
      </c>
      <c r="D145" s="58">
        <f>IF(D109=3,B129,0)</f>
        <v>0</v>
      </c>
      <c r="E145" s="54">
        <f>IF(E109=3,E129,0)</f>
        <v>0</v>
      </c>
      <c r="G145" s="58">
        <f>IF(G109=3,E129,0)</f>
        <v>0</v>
      </c>
      <c r="H145" s="54">
        <f>IF(H109=3,H129,0)</f>
        <v>50</v>
      </c>
      <c r="J145" s="58">
        <f>IF(J109=3,H129,0)</f>
        <v>0</v>
      </c>
      <c r="K145" s="54">
        <f>IF(K109=3,K129,0)</f>
        <v>0</v>
      </c>
      <c r="M145" s="58">
        <f>IF(M109=3,K129,0)</f>
        <v>0</v>
      </c>
      <c r="N145" s="54">
        <f>IF(N109=3,N129,0)</f>
        <v>0</v>
      </c>
      <c r="P145" s="58">
        <f>IF(P109=3,N129,0)</f>
        <v>50</v>
      </c>
      <c r="Q145" s="54">
        <f>IF(Q109=3,Q129,0)</f>
        <v>0</v>
      </c>
      <c r="S145" s="58">
        <f>IF(S109=3,Q129,0)</f>
        <v>0</v>
      </c>
      <c r="T145" s="54">
        <f>IF(T109=3,T129,0)</f>
        <v>0</v>
      </c>
      <c r="V145" s="58">
        <f>IF(V109=3,T129,0)</f>
        <v>50</v>
      </c>
      <c r="W145" s="54">
        <f>IF(W109=3,W129,0)</f>
        <v>0</v>
      </c>
      <c r="Y145" s="58">
        <f>IF(Y109=3,W129,0)</f>
        <v>0</v>
      </c>
      <c r="Z145" s="54">
        <f>IF(Z109=3,Z129,0)</f>
        <v>50</v>
      </c>
      <c r="AB145" s="58">
        <f>IF(AB109=3,Z129,0)</f>
        <v>0</v>
      </c>
      <c r="AC145" s="54">
        <f>IF(AC109=3,AC129,0)</f>
        <v>0</v>
      </c>
      <c r="AE145" s="58">
        <f>IF(AE109=3,AC129,0)</f>
        <v>0</v>
      </c>
      <c r="AF145" s="54">
        <f>SUM(B145:AE145)</f>
        <v>200</v>
      </c>
      <c r="AW145" s="146"/>
    </row>
    <row r="146" spans="1:49" s="54" customFormat="1" ht="12.75" hidden="1" customHeight="1" x14ac:dyDescent="0.2">
      <c r="A146" s="54" t="s">
        <v>79</v>
      </c>
      <c r="B146" s="54">
        <f>IF(B109=4,B129,0)</f>
        <v>0</v>
      </c>
      <c r="D146" s="58">
        <f>IF(D109=4,B129,0)</f>
        <v>0</v>
      </c>
      <c r="E146" s="54">
        <f>IF(E109=4,E129,0)</f>
        <v>0</v>
      </c>
      <c r="G146" s="58">
        <f>IF(G109=4,E129,0)</f>
        <v>50</v>
      </c>
      <c r="H146" s="54">
        <f>IF(H109=4,H129,0)</f>
        <v>0</v>
      </c>
      <c r="J146" s="58">
        <f>IF(J109=4,H129,0)</f>
        <v>0</v>
      </c>
      <c r="K146" s="54">
        <f>IF(K109=4,K129,0)</f>
        <v>0</v>
      </c>
      <c r="M146" s="58">
        <f>IF(M109=4,K129,0)</f>
        <v>50</v>
      </c>
      <c r="N146" s="54">
        <f>IF(N109=4,N129,0)</f>
        <v>0</v>
      </c>
      <c r="P146" s="58">
        <f>IF(P109=4,N129,0)</f>
        <v>0</v>
      </c>
      <c r="Q146" s="54">
        <f>IF(Q109=4,Q129,0)</f>
        <v>50</v>
      </c>
      <c r="S146" s="58">
        <f>IF(S109=4,Q129,0)</f>
        <v>0</v>
      </c>
      <c r="T146" s="54">
        <f>IF(T109=4,T129,0)</f>
        <v>0</v>
      </c>
      <c r="V146" s="58">
        <f>IF(V109=4,T129,0)</f>
        <v>0</v>
      </c>
      <c r="W146" s="54">
        <f>IF(W109=4,W129,0)</f>
        <v>0</v>
      </c>
      <c r="Y146" s="58">
        <f>IF(Y109=4,W129,0)</f>
        <v>0</v>
      </c>
      <c r="Z146" s="54">
        <f>IF(Z109=4,Z129,0)</f>
        <v>0</v>
      </c>
      <c r="AB146" s="58">
        <f>IF(AB109=4,Z129,0)</f>
        <v>50</v>
      </c>
      <c r="AC146" s="54">
        <f>IF(AC109=4,AC129,0)</f>
        <v>0</v>
      </c>
      <c r="AE146" s="58">
        <f>IF(AE109=4,AC129,0)</f>
        <v>0</v>
      </c>
      <c r="AF146" s="54">
        <f>SUM(B146:AE146)</f>
        <v>200</v>
      </c>
      <c r="AW146" s="146"/>
    </row>
    <row r="147" spans="1:49" s="54" customFormat="1" ht="12.75" hidden="1" customHeight="1" x14ac:dyDescent="0.2">
      <c r="A147" s="54" t="s">
        <v>80</v>
      </c>
      <c r="B147" s="54">
        <f>IF(B109=5,B129,0)</f>
        <v>0</v>
      </c>
      <c r="D147" s="58">
        <f>IF(D109=5,B129,0)</f>
        <v>50</v>
      </c>
      <c r="E147" s="54">
        <f>IF(E109=5,E129,0)</f>
        <v>0</v>
      </c>
      <c r="G147" s="58">
        <f>IF(G109=5,E129,0)</f>
        <v>0</v>
      </c>
      <c r="H147" s="54">
        <f>IF(H109=5,H129,0)</f>
        <v>0</v>
      </c>
      <c r="J147" s="58">
        <f>IF(J109=5,H129,0)</f>
        <v>50</v>
      </c>
      <c r="K147" s="54">
        <f>IF(K109=5,K129,0)</f>
        <v>0</v>
      </c>
      <c r="M147" s="58">
        <f>IF(M109=5,K129,0)</f>
        <v>0</v>
      </c>
      <c r="N147" s="54">
        <f>IF(N109=5,N129,0)</f>
        <v>0</v>
      </c>
      <c r="P147" s="58">
        <f>IF(P109=5,N129,0)</f>
        <v>0</v>
      </c>
      <c r="Q147" s="54">
        <f>IF(Q109=5,Q129,0)</f>
        <v>0</v>
      </c>
      <c r="S147" s="58">
        <f>IF(S109=5,Q129,0)</f>
        <v>50</v>
      </c>
      <c r="T147" s="54">
        <f>IF(T109=5,T129,0)</f>
        <v>0</v>
      </c>
      <c r="V147" s="58">
        <f>IF(V109=5,T129,0)</f>
        <v>0</v>
      </c>
      <c r="W147" s="54">
        <f>IF(W109=5,W129,0)</f>
        <v>0</v>
      </c>
      <c r="Y147" s="58">
        <f>IF(Y109=5,W129,0)</f>
        <v>51</v>
      </c>
      <c r="Z147" s="54">
        <f>IF(Z109=5,Z129,0)</f>
        <v>0</v>
      </c>
      <c r="AB147" s="58">
        <f>IF(AB109=5,Z129,0)</f>
        <v>0</v>
      </c>
      <c r="AC147" s="54">
        <f>IF(AC109=5,AC129,0)</f>
        <v>0</v>
      </c>
      <c r="AE147" s="58">
        <f>IF(AE109=5,AC129,0)</f>
        <v>0</v>
      </c>
      <c r="AF147" s="54">
        <f>SUM(B147:AE147)</f>
        <v>201</v>
      </c>
      <c r="AW147" s="146"/>
    </row>
    <row r="148" spans="1:49" s="54" customFormat="1" ht="38.25" hidden="1" customHeight="1" x14ac:dyDescent="0.2">
      <c r="A148" s="54" t="s">
        <v>82</v>
      </c>
      <c r="D148" s="58"/>
      <c r="G148" s="58"/>
      <c r="J148" s="58"/>
      <c r="M148" s="58"/>
      <c r="P148" s="58"/>
      <c r="S148" s="58"/>
      <c r="V148" s="58"/>
      <c r="Y148" s="58"/>
      <c r="AB148" s="58"/>
      <c r="AE148" s="58"/>
      <c r="AF148" s="57" t="s">
        <v>83</v>
      </c>
      <c r="AG148" s="54" t="s">
        <v>84</v>
      </c>
      <c r="AW148" s="146"/>
    </row>
    <row r="149" spans="1:49" s="54" customFormat="1" ht="12.75" hidden="1" customHeight="1" x14ac:dyDescent="0.2">
      <c r="A149" s="54" t="s">
        <v>70</v>
      </c>
      <c r="B149" s="54">
        <f>IF(B109=1,SUMIF(B116:B120,"&gt;0"),0)</f>
        <v>0</v>
      </c>
      <c r="D149" s="58">
        <f>IF(D109=1,SUMIF(D116:D120,"&gt;0"),0)</f>
        <v>0</v>
      </c>
      <c r="E149" s="54">
        <f>IF(E109=1,SUMIF(E116:E120,"&gt;0"),0)</f>
        <v>2</v>
      </c>
      <c r="G149" s="58">
        <f>IF(G109=1,SUMIF(G116:G120,"&gt;0"),0)</f>
        <v>0</v>
      </c>
      <c r="H149" s="54">
        <f>IF(H109=1,SUMIF(H116:H120,"&gt;0"),0)</f>
        <v>0</v>
      </c>
      <c r="J149" s="58">
        <f>IF(J109=1,SUMIF(J116:J120,"&gt;0"),0)</f>
        <v>0</v>
      </c>
      <c r="K149" s="54">
        <f>IF(K109=1,SUMIF(K116:K120,"&gt;0"),0)</f>
        <v>0</v>
      </c>
      <c r="M149" s="58">
        <f>IF(M109=1,SUMIF(M116:M120,"&gt;0"),0)</f>
        <v>0</v>
      </c>
      <c r="N149" s="54">
        <f>IF(N109=1,SUMIF(N116:N120,"&gt;0"),0)</f>
        <v>1</v>
      </c>
      <c r="P149" s="58">
        <f>IF(P109=1,SUMIF(P116:P120,"&gt;0"),0)</f>
        <v>0</v>
      </c>
      <c r="Q149" s="54">
        <f>IF(Q109=1,SUMIF(Q116:Q120,"&gt;0"),0)</f>
        <v>0</v>
      </c>
      <c r="S149" s="58">
        <f>IF(S109=1,SUMIF(S116:S120,"&gt;0"),0)</f>
        <v>0</v>
      </c>
      <c r="T149" s="54">
        <f>IF(T109=1,SUMIF(T116:T120,"&gt;0"),0)</f>
        <v>0</v>
      </c>
      <c r="V149" s="58">
        <f>IF(V109=1,SUMIF(V116:V120,"&gt;0"),0)</f>
        <v>0</v>
      </c>
      <c r="W149" s="54">
        <f>IF(W109=1,SUMIF(W116:W120,"&gt;0"),0)</f>
        <v>2</v>
      </c>
      <c r="Y149" s="58">
        <f>IF(Y109=1,SUMIF(Y116:Y120,"&gt;0"),0)</f>
        <v>0</v>
      </c>
      <c r="Z149" s="54">
        <f>IF(Z109=1,SUMIF(Z116:Z120,"&gt;0"),0)</f>
        <v>0</v>
      </c>
      <c r="AB149" s="58">
        <f>IF(AB109=1,SUMIF(AB116:AB120,"&gt;0"),0)</f>
        <v>0</v>
      </c>
      <c r="AC149" s="54">
        <f>IF(AC109=1,SUMIF(AC116:AC120,"&gt;0"),0)</f>
        <v>2</v>
      </c>
      <c r="AE149" s="58">
        <f>IF(AE109=1,SUMIF(AE116:AE120,"&gt;0"),0)</f>
        <v>0</v>
      </c>
      <c r="AF149" s="54">
        <f>SUM(B149:AE149)</f>
        <v>7</v>
      </c>
      <c r="AG149" s="54">
        <f>AF157-AF149</f>
        <v>1</v>
      </c>
      <c r="AW149" s="146"/>
    </row>
    <row r="150" spans="1:49" s="54" customFormat="1" ht="12.75" hidden="1" customHeight="1" x14ac:dyDescent="0.2">
      <c r="A150" s="54" t="s">
        <v>71</v>
      </c>
      <c r="B150" s="54">
        <f>IF(B109=2,SUMIF(B116:B120,"&gt;0"),0)</f>
        <v>0</v>
      </c>
      <c r="D150" s="58">
        <f>IF(D109=2,SUMIF(D116:D120,"&gt;0"),0)</f>
        <v>0</v>
      </c>
      <c r="E150" s="54">
        <f>IF(E109=2,SUMIF(E116:E120,"&gt;0"),0)</f>
        <v>0</v>
      </c>
      <c r="G150" s="58">
        <f>IF(G109=2,SUMIF(G116:G120,"&gt;0"),0)</f>
        <v>0</v>
      </c>
      <c r="H150" s="54">
        <f>IF(H109=2,SUMIF(H116:H120,"&gt;0"),0)</f>
        <v>0</v>
      </c>
      <c r="J150" s="58">
        <f>IF(J109=2,SUMIF(J116:J120,"&gt;0"),0)</f>
        <v>0</v>
      </c>
      <c r="K150" s="54">
        <f>IF(K109=2,SUMIF(K116:K120,"&gt;0"),0)</f>
        <v>0</v>
      </c>
      <c r="M150" s="58">
        <f>IF(M109=2,SUMIF(M116:M120,"&gt;0"),0)</f>
        <v>0</v>
      </c>
      <c r="N150" s="54">
        <f>IF(N109=2,SUMIF(N116:N120,"&gt;0"),0)</f>
        <v>0</v>
      </c>
      <c r="P150" s="58">
        <f>IF(P109=2,SUMIF(P116:P120,"&gt;0"),0)</f>
        <v>0</v>
      </c>
      <c r="Q150" s="54">
        <f>IF(Q109=2,SUMIF(Q116:Q120,"&gt;0"),0)</f>
        <v>0</v>
      </c>
      <c r="S150" s="58">
        <f>IF(S109=2,SUMIF(S116:S120,"&gt;0"),0)</f>
        <v>0</v>
      </c>
      <c r="T150" s="54">
        <f>IF(T109=2,SUMIF(T116:T120,"&gt;0"),0)</f>
        <v>0</v>
      </c>
      <c r="V150" s="58">
        <f>IF(V109=2,SUMIF(V116:V120,"&gt;0"),0)</f>
        <v>0</v>
      </c>
      <c r="W150" s="54">
        <f>IF(W109=2,SUMIF(W116:W120,"&gt;0"),0)</f>
        <v>0</v>
      </c>
      <c r="Y150" s="58">
        <f>IF(Y109=2,SUMIF(Y116:Y120,"&gt;0"),0)</f>
        <v>0</v>
      </c>
      <c r="Z150" s="54">
        <f>IF(Z109=2,SUMIF(Z116:Z120,"&gt;0"),0)</f>
        <v>0</v>
      </c>
      <c r="AB150" s="58">
        <f>IF(AB109=2,SUMIF(AB116:AB120,"&gt;0"),0)</f>
        <v>0</v>
      </c>
      <c r="AC150" s="54">
        <f>IF(AC109=2,SUMIF(AC116:AC120,"&gt;0"),0)</f>
        <v>0</v>
      </c>
      <c r="AE150" s="58">
        <f>IF(AE109=2,SUMIF(AE116:AE120,"&gt;0"),0)</f>
        <v>0</v>
      </c>
      <c r="AF150" s="54">
        <f>SUM(B150:AE150)</f>
        <v>0</v>
      </c>
      <c r="AG150" s="54">
        <f>AF158-AF150</f>
        <v>8</v>
      </c>
      <c r="AW150" s="146"/>
    </row>
    <row r="151" spans="1:49" s="54" customFormat="1" ht="12.75" hidden="1" customHeight="1" x14ac:dyDescent="0.2">
      <c r="A151" s="54" t="s">
        <v>72</v>
      </c>
      <c r="B151" s="54">
        <f>IF(B109=3,SUMIF(B116:B120,"&gt;0"),0)</f>
        <v>0</v>
      </c>
      <c r="D151" s="58">
        <f>IF(D109=3,SUMIF(D116:D120,"&gt;0"),0)</f>
        <v>0</v>
      </c>
      <c r="E151" s="54">
        <f>IF(E109=3,SUMIF(E116:E120,"&gt;0"),0)</f>
        <v>0</v>
      </c>
      <c r="G151" s="58">
        <f>IF(G109=3,SUMIF(G116:G120,"&gt;0"),0)</f>
        <v>0</v>
      </c>
      <c r="H151" s="54">
        <f>IF(H109=3,SUMIF(H116:H120,"&gt;0"),0)</f>
        <v>2</v>
      </c>
      <c r="J151" s="58">
        <f>IF(J109=3,SUMIF(J116:J120,"&gt;0"),0)</f>
        <v>0</v>
      </c>
      <c r="K151" s="54">
        <f>IF(K109=3,SUMIF(K116:K120,"&gt;0"),0)</f>
        <v>0</v>
      </c>
      <c r="M151" s="58">
        <f>IF(M109=3,SUMIF(M116:M120,"&gt;0"),0)</f>
        <v>0</v>
      </c>
      <c r="N151" s="54">
        <f>IF(N109=3,SUMIF(N116:N120,"&gt;0"),0)</f>
        <v>0</v>
      </c>
      <c r="P151" s="58">
        <f>IF(P109=3,SUMIF(P116:P120,"&gt;0"),0)</f>
        <v>1</v>
      </c>
      <c r="Q151" s="54">
        <f>IF(Q109=3,SUMIF(Q116:Q120,"&gt;0"),0)</f>
        <v>0</v>
      </c>
      <c r="S151" s="58">
        <f>IF(S109=3,SUMIF(S116:S120,"&gt;0"),0)</f>
        <v>0</v>
      </c>
      <c r="T151" s="54">
        <f>IF(T109=3,SUMIF(T116:T120,"&gt;0"),0)</f>
        <v>0</v>
      </c>
      <c r="V151" s="58">
        <f>IF(V109=3,SUMIF(V116:V120,"&gt;0"),0)</f>
        <v>2</v>
      </c>
      <c r="W151" s="54">
        <f>IF(W109=3,SUMIF(W116:W120,"&gt;0"),0)</f>
        <v>0</v>
      </c>
      <c r="Y151" s="58">
        <f>IF(Y109=3,SUMIF(Y116:Y120,"&gt;0"),0)</f>
        <v>0</v>
      </c>
      <c r="Z151" s="54">
        <f>IF(Z109=3,SUMIF(Z116:Z120,"&gt;0"),0)</f>
        <v>2</v>
      </c>
      <c r="AB151" s="58">
        <f>IF(AB109=3,SUMIF(AB116:AB120,"&gt;0"),0)</f>
        <v>0</v>
      </c>
      <c r="AC151" s="54">
        <f>IF(AC109=3,SUMIF(AC116:AC120,"&gt;0"),0)</f>
        <v>0</v>
      </c>
      <c r="AE151" s="58">
        <f>IF(AE109=3,SUMIF(AE116:AE120,"&gt;0"),0)</f>
        <v>0</v>
      </c>
      <c r="AF151" s="54">
        <f>SUM(B151:AE151)</f>
        <v>7</v>
      </c>
      <c r="AG151" s="54">
        <f>AF159-AF151</f>
        <v>1</v>
      </c>
      <c r="AW151" s="146"/>
    </row>
    <row r="152" spans="1:49" s="54" customFormat="1" ht="12.75" hidden="1" customHeight="1" x14ac:dyDescent="0.2">
      <c r="A152" s="54" t="s">
        <v>73</v>
      </c>
      <c r="B152" s="54">
        <f>IF(B109=4,SUMIF(B116:B120,"&gt;0"),0)</f>
        <v>0</v>
      </c>
      <c r="D152" s="58">
        <f>IF(D109=4,SUMIF(D116:D120,"&gt;0"),0)</f>
        <v>0</v>
      </c>
      <c r="E152" s="54">
        <f>IF(E109=4,SUMIF(E116:E120,"&gt;0"),0)</f>
        <v>0</v>
      </c>
      <c r="G152" s="58">
        <f>IF(G109=4,SUMIF(G116:G120,"&gt;0"),0)</f>
        <v>0</v>
      </c>
      <c r="H152" s="54">
        <f>IF(H109=4,SUMIF(H116:H120,"&gt;0"),0)</f>
        <v>0</v>
      </c>
      <c r="J152" s="58">
        <f>IF(J109=4,SUMIF(J116:J120,"&gt;0"),0)</f>
        <v>0</v>
      </c>
      <c r="K152" s="54">
        <f>IF(K109=4,SUMIF(K116:K120,"&gt;0"),0)</f>
        <v>0</v>
      </c>
      <c r="M152" s="58">
        <f>IF(M109=4,SUMIF(M116:M120,"&gt;0"),0)</f>
        <v>2</v>
      </c>
      <c r="N152" s="54">
        <f>IF(N109=4,SUMIF(N116:N120,"&gt;0"),0)</f>
        <v>0</v>
      </c>
      <c r="P152" s="58">
        <f>IF(P109=4,SUMIF(P116:P120,"&gt;0"),0)</f>
        <v>0</v>
      </c>
      <c r="Q152" s="54">
        <f>IF(Q109=4,SUMIF(Q116:Q120,"&gt;0"),0)</f>
        <v>0</v>
      </c>
      <c r="S152" s="58">
        <f>IF(S109=4,SUMIF(S116:S120,"&gt;0"),0)</f>
        <v>0</v>
      </c>
      <c r="T152" s="54">
        <f>IF(T109=4,SUMIF(T116:T120,"&gt;0"),0)</f>
        <v>0</v>
      </c>
      <c r="V152" s="58">
        <f>IF(V109=4,SUMIF(V116:V120,"&gt;0"),0)</f>
        <v>0</v>
      </c>
      <c r="W152" s="54">
        <f>IF(W109=4,SUMIF(W116:W120,"&gt;0"),0)</f>
        <v>0</v>
      </c>
      <c r="Y152" s="58">
        <f>IF(Y109=4,SUMIF(Y116:Y120,"&gt;0"),0)</f>
        <v>0</v>
      </c>
      <c r="Z152" s="54">
        <f>IF(Z109=4,SUMIF(Z116:Z120,"&gt;0"),0)</f>
        <v>0</v>
      </c>
      <c r="AB152" s="58">
        <f>IF(AB109=4,SUMIF(AB116:AB120,"&gt;0"),0)</f>
        <v>0</v>
      </c>
      <c r="AC152" s="54">
        <f>IF(AC109=4,SUMIF(AC116:AC120,"&gt;0"),0)</f>
        <v>0</v>
      </c>
      <c r="AE152" s="58">
        <f>IF(AE109=4,SUMIF(AE116:AE120,"&gt;0"),0)</f>
        <v>0</v>
      </c>
      <c r="AF152" s="54">
        <f>SUM(B152:AE152)</f>
        <v>2</v>
      </c>
      <c r="AG152" s="54">
        <f>AF160-AF152</f>
        <v>6</v>
      </c>
      <c r="AW152" s="146"/>
    </row>
    <row r="153" spans="1:49" s="54" customFormat="1" ht="12.75" hidden="1" customHeight="1" x14ac:dyDescent="0.2">
      <c r="A153" s="54" t="s">
        <v>74</v>
      </c>
      <c r="B153" s="54">
        <f>IF(B109=5,SUMIF(B116:B120,"&gt;0"),0)</f>
        <v>0</v>
      </c>
      <c r="D153" s="58">
        <f>IF(D109=5,SUMIF(D116:D120,"&gt;0"),0)</f>
        <v>2</v>
      </c>
      <c r="E153" s="54">
        <f>IF(E109=5,SUMIF(E116:E120,"&gt;0"),0)</f>
        <v>0</v>
      </c>
      <c r="G153" s="58">
        <f>IF(G109=5,SUMIF(G116:G120,"&gt;0"),0)</f>
        <v>0</v>
      </c>
      <c r="H153" s="54">
        <f>IF(H109=5,SUMIF(H116:H120,"&gt;0"),0)</f>
        <v>0</v>
      </c>
      <c r="J153" s="58">
        <f>IF(J109=5,SUMIF(J116:J120,"&gt;0"),0)</f>
        <v>0</v>
      </c>
      <c r="K153" s="54">
        <f>IF(K109=5,SUMIF(K116:K120,"&gt;0"),0)</f>
        <v>0</v>
      </c>
      <c r="M153" s="58">
        <f>IF(M109=5,SUMIF(M116:M120,"&gt;0"),0)</f>
        <v>0</v>
      </c>
      <c r="N153" s="54">
        <f>IF(N109=5,SUMIF(N116:N120,"&gt;0"),0)</f>
        <v>0</v>
      </c>
      <c r="P153" s="58">
        <f>IF(P109=5,SUMIF(P116:P120,"&gt;0"),0)</f>
        <v>0</v>
      </c>
      <c r="Q153" s="54">
        <f>IF(Q109=5,SUMIF(Q116:Q120,"&gt;0"),0)</f>
        <v>0</v>
      </c>
      <c r="S153" s="58">
        <f>IF(S109=5,SUMIF(S116:S120,"&gt;0"),0)</f>
        <v>2</v>
      </c>
      <c r="T153" s="54">
        <f>IF(T109=5,SUMIF(T116:T120,"&gt;0"),0)</f>
        <v>0</v>
      </c>
      <c r="V153" s="58">
        <f>IF(V109=5,SUMIF(V116:V120,"&gt;0"),0)</f>
        <v>0</v>
      </c>
      <c r="W153" s="54">
        <f>IF(W109=5,SUMIF(W116:W120,"&gt;0"),0)</f>
        <v>0</v>
      </c>
      <c r="Y153" s="58">
        <f>IF(Y109=5,SUMIF(Y116:Y120,"&gt;0"),0)</f>
        <v>0</v>
      </c>
      <c r="Z153" s="54">
        <f>IF(Z109=5,SUMIF(Z116:Z120,"&gt;0"),0)</f>
        <v>0</v>
      </c>
      <c r="AB153" s="58">
        <f>IF(AB109=5,SUMIF(AB116:AB120,"&gt;0"),0)</f>
        <v>0</v>
      </c>
      <c r="AC153" s="54">
        <f>IF(AC109=5,SUMIF(AC116:AC120,"&gt;0"),0)</f>
        <v>0</v>
      </c>
      <c r="AE153" s="58">
        <f>IF(AE109=5,SUMIF(AE116:AE120,"&gt;0"),0)</f>
        <v>0</v>
      </c>
      <c r="AF153" s="54">
        <f>SUM(B153:AE153)</f>
        <v>4</v>
      </c>
      <c r="AG153" s="54">
        <f>AF161-AF153</f>
        <v>4</v>
      </c>
      <c r="AW153" s="146"/>
    </row>
    <row r="154" spans="1:49" s="54" customFormat="1" ht="12.75" hidden="1" customHeight="1" x14ac:dyDescent="0.2">
      <c r="D154" s="58"/>
      <c r="G154" s="58"/>
      <c r="J154" s="58"/>
      <c r="M154" s="58"/>
      <c r="P154" s="58"/>
      <c r="S154" s="58"/>
      <c r="V154" s="58"/>
      <c r="Y154" s="58"/>
      <c r="AB154" s="58"/>
      <c r="AE154" s="58"/>
      <c r="AW154" s="146"/>
    </row>
    <row r="155" spans="1:49" s="54" customFormat="1" ht="12.75" hidden="1" customHeight="1" x14ac:dyDescent="0.2">
      <c r="D155" s="58"/>
      <c r="G155" s="58"/>
      <c r="J155" s="58"/>
      <c r="M155" s="58"/>
      <c r="P155" s="58"/>
      <c r="S155" s="58"/>
      <c r="V155" s="58"/>
      <c r="Y155" s="58"/>
      <c r="AB155" s="58"/>
      <c r="AE155" s="58"/>
      <c r="AW155" s="146"/>
    </row>
    <row r="156" spans="1:49" s="54" customFormat="1" ht="51" hidden="1" customHeight="1" x14ac:dyDescent="0.2">
      <c r="A156" s="57" t="s">
        <v>85</v>
      </c>
      <c r="C156" s="54">
        <f>SUMIF(B149:D153,"&gt;0")</f>
        <v>2</v>
      </c>
      <c r="D156" s="58"/>
      <c r="F156" s="54">
        <f>SUMIF(E149:G153,"&gt;0")</f>
        <v>2</v>
      </c>
      <c r="G156" s="58"/>
      <c r="I156" s="54">
        <f>SUMIF(H149:J153,"&gt;0")</f>
        <v>2</v>
      </c>
      <c r="J156" s="58"/>
      <c r="L156" s="54">
        <f>SUMIF(K149:M153,"&gt;0")</f>
        <v>2</v>
      </c>
      <c r="M156" s="58"/>
      <c r="O156" s="54">
        <f>SUMIF(N149:P153,"&gt;0")</f>
        <v>2</v>
      </c>
      <c r="P156" s="58"/>
      <c r="R156" s="54">
        <f>SUMIF(Q149:S153,"&gt;0")</f>
        <v>2</v>
      </c>
      <c r="S156" s="58"/>
      <c r="U156" s="54">
        <f>SUMIF(T149:V153,"&gt;0")</f>
        <v>2</v>
      </c>
      <c r="V156" s="58"/>
      <c r="X156" s="54">
        <f>SUMIF(W149:Y153,"&gt;0")</f>
        <v>2</v>
      </c>
      <c r="Y156" s="58"/>
      <c r="AA156" s="54">
        <f>SUMIF(Z149:AB153,"&gt;0")</f>
        <v>2</v>
      </c>
      <c r="AB156" s="58"/>
      <c r="AD156" s="54">
        <f>SUMIF(AC149:AE153,"&gt;0")</f>
        <v>2</v>
      </c>
      <c r="AE156" s="58"/>
      <c r="AF156" s="57" t="s">
        <v>86</v>
      </c>
      <c r="AW156" s="146"/>
    </row>
    <row r="157" spans="1:49" s="54" customFormat="1" ht="12.75" hidden="1" customHeight="1" x14ac:dyDescent="0.2">
      <c r="A157" s="54" t="s">
        <v>76</v>
      </c>
      <c r="B157" s="54">
        <f>IF(B109=1,C156,0)</f>
        <v>0</v>
      </c>
      <c r="D157" s="58">
        <f>IF(D109=1,C156,0)</f>
        <v>0</v>
      </c>
      <c r="E157" s="54">
        <f>IF(E109=1,F156,0)</f>
        <v>2</v>
      </c>
      <c r="G157" s="58">
        <f>IF(G109=1,F156,0)</f>
        <v>0</v>
      </c>
      <c r="H157" s="54">
        <f>IF(H109=1,I156,0)</f>
        <v>0</v>
      </c>
      <c r="J157" s="58">
        <f>IF(J109=1,I156,0)</f>
        <v>0</v>
      </c>
      <c r="K157" s="54">
        <f>IF(K109=1,L156,0)</f>
        <v>0</v>
      </c>
      <c r="M157" s="58">
        <f>IF(M109=1,L156,0)</f>
        <v>0</v>
      </c>
      <c r="N157" s="54">
        <f>IF(N109=1,O156,0)</f>
        <v>2</v>
      </c>
      <c r="P157" s="58">
        <f>IF(P109=1,O156,0)</f>
        <v>0</v>
      </c>
      <c r="Q157" s="54">
        <f>IF(Q109=1,R156,0)</f>
        <v>0</v>
      </c>
      <c r="S157" s="58">
        <f>IF(S109=1,R156,0)</f>
        <v>0</v>
      </c>
      <c r="T157" s="54">
        <f>IF(T109=1,U156,0)</f>
        <v>0</v>
      </c>
      <c r="V157" s="58">
        <f>IF(V109=1,U156,0)</f>
        <v>0</v>
      </c>
      <c r="W157" s="54">
        <f>IF(W109=1,X156,0)</f>
        <v>2</v>
      </c>
      <c r="Y157" s="58">
        <f>IF(Y109=1,X156,0)</f>
        <v>0</v>
      </c>
      <c r="Z157" s="54">
        <f>IF(Z109=1,AA156,0)</f>
        <v>0</v>
      </c>
      <c r="AB157" s="58">
        <f>IF(AB109=1,AA156,0)</f>
        <v>0</v>
      </c>
      <c r="AC157" s="54">
        <f>IF(AC109=1,AD156,0)</f>
        <v>2</v>
      </c>
      <c r="AE157" s="58">
        <f>IF(AE109=1,AD156,0)</f>
        <v>0</v>
      </c>
      <c r="AF157" s="54">
        <f>SUM(B157:AE157)</f>
        <v>8</v>
      </c>
      <c r="AW157" s="146"/>
    </row>
    <row r="158" spans="1:49" s="54" customFormat="1" ht="12.75" hidden="1" customHeight="1" x14ac:dyDescent="0.2">
      <c r="A158" s="54" t="s">
        <v>77</v>
      </c>
      <c r="B158" s="54">
        <f>IF(B109=2,C156,0)</f>
        <v>2</v>
      </c>
      <c r="D158" s="58">
        <f>IF(D109=2,C156,0)</f>
        <v>0</v>
      </c>
      <c r="E158" s="54">
        <f>IF(E109=2,F156,0)</f>
        <v>0</v>
      </c>
      <c r="G158" s="58">
        <f>IF(G109=2,F156,0)</f>
        <v>0</v>
      </c>
      <c r="H158" s="54">
        <f>IF(H109=2,I156,0)</f>
        <v>0</v>
      </c>
      <c r="J158" s="58">
        <f>IF(J109=2,I156,0)</f>
        <v>0</v>
      </c>
      <c r="K158" s="54">
        <f>IF(K109=2,L156,0)</f>
        <v>2</v>
      </c>
      <c r="M158" s="58">
        <f>IF(M109=2,L156,0)</f>
        <v>0</v>
      </c>
      <c r="N158" s="54">
        <f>IF(N109=2,O156,0)</f>
        <v>0</v>
      </c>
      <c r="P158" s="58">
        <f>IF(P109=2,O156,0)</f>
        <v>0</v>
      </c>
      <c r="Q158" s="54">
        <f>IF(Q109=2,R156,0)</f>
        <v>0</v>
      </c>
      <c r="S158" s="58">
        <f>IF(S109=2,R156,0)</f>
        <v>0</v>
      </c>
      <c r="T158" s="54">
        <f>IF(T109=2,U156,0)</f>
        <v>2</v>
      </c>
      <c r="V158" s="58">
        <f>IF(V109=2,U156,0)</f>
        <v>0</v>
      </c>
      <c r="W158" s="54">
        <f>IF(W109=2,X156,0)</f>
        <v>0</v>
      </c>
      <c r="Y158" s="58">
        <f>IF(Y109=2,X156,0)</f>
        <v>0</v>
      </c>
      <c r="Z158" s="54">
        <f>IF(Z109=2,AA156,0)</f>
        <v>0</v>
      </c>
      <c r="AB158" s="58">
        <f>IF(AB109=2,AA156,0)</f>
        <v>0</v>
      </c>
      <c r="AC158" s="54">
        <f>IF(AC109=2,AD156,0)</f>
        <v>0</v>
      </c>
      <c r="AE158" s="58">
        <f>IF(AE109=2,AD156,0)</f>
        <v>2</v>
      </c>
      <c r="AF158" s="54">
        <f>SUM(B158:AE158)</f>
        <v>8</v>
      </c>
      <c r="AW158" s="146"/>
    </row>
    <row r="159" spans="1:49" s="54" customFormat="1" ht="12.75" hidden="1" customHeight="1" x14ac:dyDescent="0.2">
      <c r="A159" s="54" t="s">
        <v>78</v>
      </c>
      <c r="B159" s="54">
        <f>IF(B109=3,C156,0)</f>
        <v>0</v>
      </c>
      <c r="D159" s="58">
        <f>IF(D109=3,C156,0)</f>
        <v>0</v>
      </c>
      <c r="E159" s="54">
        <f>IF(E109=3,F156,0)</f>
        <v>0</v>
      </c>
      <c r="G159" s="58">
        <f>IF(G109=3,F156,0)</f>
        <v>0</v>
      </c>
      <c r="H159" s="54">
        <f>IF(H109=3,I156,0)</f>
        <v>2</v>
      </c>
      <c r="J159" s="58">
        <f>IF(J109=3,I156,0)</f>
        <v>0</v>
      </c>
      <c r="K159" s="54">
        <f>IF(K109=3,L156,0)</f>
        <v>0</v>
      </c>
      <c r="M159" s="58">
        <f>IF(M109=3,L156,0)</f>
        <v>0</v>
      </c>
      <c r="N159" s="54">
        <f>IF(N109=3,O156,0)</f>
        <v>0</v>
      </c>
      <c r="P159" s="58">
        <f>IF(P109=3,O156,0)</f>
        <v>2</v>
      </c>
      <c r="Q159" s="54">
        <f>IF(Q109=3,R156,0)</f>
        <v>0</v>
      </c>
      <c r="S159" s="58">
        <f>IF(S109=3,R156,0)</f>
        <v>0</v>
      </c>
      <c r="T159" s="54">
        <f>IF(T109=3,U156,0)</f>
        <v>0</v>
      </c>
      <c r="V159" s="58">
        <f>IF(V109=3,U156,0)</f>
        <v>2</v>
      </c>
      <c r="W159" s="54">
        <f>IF(W109=3,X156,0)</f>
        <v>0</v>
      </c>
      <c r="Y159" s="58">
        <f>IF(Y109=3,X156,0)</f>
        <v>0</v>
      </c>
      <c r="Z159" s="54">
        <f>IF(Z109=3,AA156,0)</f>
        <v>2</v>
      </c>
      <c r="AB159" s="58">
        <f>IF(AB109=3,AA156,0)</f>
        <v>0</v>
      </c>
      <c r="AC159" s="54">
        <f>IF(AC109=3,AD156,0)</f>
        <v>0</v>
      </c>
      <c r="AE159" s="58">
        <f>IF(AE109=3,AD156,0)</f>
        <v>0</v>
      </c>
      <c r="AF159" s="54">
        <f>SUM(B159:AE159)</f>
        <v>8</v>
      </c>
      <c r="AW159" s="146"/>
    </row>
    <row r="160" spans="1:49" s="54" customFormat="1" ht="12.75" hidden="1" customHeight="1" x14ac:dyDescent="0.2">
      <c r="A160" s="54" t="s">
        <v>79</v>
      </c>
      <c r="B160" s="54">
        <f>IF(B109=4,C156,0)</f>
        <v>0</v>
      </c>
      <c r="D160" s="58">
        <f>IF(D109=4,C156,0)</f>
        <v>0</v>
      </c>
      <c r="E160" s="54">
        <f>IF(E109=4,F156,0)</f>
        <v>0</v>
      </c>
      <c r="G160" s="58">
        <f>IF(G109=4,F156,0)</f>
        <v>2</v>
      </c>
      <c r="H160" s="54">
        <f>IF(H109=4,I156,0)</f>
        <v>0</v>
      </c>
      <c r="J160" s="58">
        <f>IF(J109=4,I156,0)</f>
        <v>0</v>
      </c>
      <c r="K160" s="54">
        <f>IF(K109=4,L156,0)</f>
        <v>0</v>
      </c>
      <c r="M160" s="58">
        <f>IF(M109=4,L156,0)</f>
        <v>2</v>
      </c>
      <c r="N160" s="54">
        <f>IF(N109=4,O156,0)</f>
        <v>0</v>
      </c>
      <c r="P160" s="58">
        <f>IF(P109=4,O156,0)</f>
        <v>0</v>
      </c>
      <c r="Q160" s="54">
        <f>IF(Q109=4,R156,0)</f>
        <v>2</v>
      </c>
      <c r="S160" s="58">
        <f>IF(S109=4,R156,0)</f>
        <v>0</v>
      </c>
      <c r="T160" s="54">
        <f>IF(T109=4,U156,0)</f>
        <v>0</v>
      </c>
      <c r="V160" s="58">
        <f>IF(V109=4,U156,0)</f>
        <v>0</v>
      </c>
      <c r="W160" s="54">
        <f>IF(W109=4,X156,0)</f>
        <v>0</v>
      </c>
      <c r="Y160" s="58">
        <f>IF(Y109=4,X156,0)</f>
        <v>0</v>
      </c>
      <c r="Z160" s="54">
        <f>IF(Z109=4,AA156,0)</f>
        <v>0</v>
      </c>
      <c r="AB160" s="58">
        <f>IF(AB109=4,AA156,0)</f>
        <v>2</v>
      </c>
      <c r="AC160" s="54">
        <f>IF(AC109=4,AD156,0)</f>
        <v>0</v>
      </c>
      <c r="AE160" s="58">
        <f>IF(AE109=4,AD156,0)</f>
        <v>0</v>
      </c>
      <c r="AF160" s="54">
        <f>SUM(B160:AE160)</f>
        <v>8</v>
      </c>
      <c r="AW160" s="146"/>
    </row>
    <row r="161" spans="1:54" s="54" customFormat="1" ht="12.75" hidden="1" customHeight="1" x14ac:dyDescent="0.2">
      <c r="A161" s="54" t="s">
        <v>80</v>
      </c>
      <c r="B161" s="54">
        <f>IF(B109=5,C156,0)</f>
        <v>0</v>
      </c>
      <c r="D161" s="58">
        <f>IF(D109=5,C156,0)</f>
        <v>2</v>
      </c>
      <c r="E161" s="54">
        <f>IF(E109=5,F156,0)</f>
        <v>0</v>
      </c>
      <c r="G161" s="58">
        <f>IF(G109=5,F156,0)</f>
        <v>0</v>
      </c>
      <c r="H161" s="54">
        <f>IF(H109=5,I156,0)</f>
        <v>0</v>
      </c>
      <c r="J161" s="58">
        <f>IF(J109=5,I156,0)</f>
        <v>2</v>
      </c>
      <c r="K161" s="54">
        <f>IF(K109=5,L156,0)</f>
        <v>0</v>
      </c>
      <c r="M161" s="58">
        <f>IF(M109=5,L156,0)</f>
        <v>0</v>
      </c>
      <c r="N161" s="54">
        <f>IF(N109=5,O156,0)</f>
        <v>0</v>
      </c>
      <c r="P161" s="58">
        <f>IF(P109=5,O156,0)</f>
        <v>0</v>
      </c>
      <c r="Q161" s="54">
        <f>IF(Q109=5,R156,0)</f>
        <v>0</v>
      </c>
      <c r="S161" s="58">
        <f>IF(S109=5,R156,0)</f>
        <v>2</v>
      </c>
      <c r="T161" s="54">
        <f>IF(T109=5,U156,0)</f>
        <v>0</v>
      </c>
      <c r="V161" s="58">
        <f>IF(V109=5,U156,0)</f>
        <v>0</v>
      </c>
      <c r="W161" s="54">
        <f>IF(W109=5,X156,0)</f>
        <v>0</v>
      </c>
      <c r="Y161" s="58">
        <f>IF(Y109=5,X156,0)</f>
        <v>2</v>
      </c>
      <c r="Z161" s="54">
        <f>IF(Z109=5,AA156,0)</f>
        <v>0</v>
      </c>
      <c r="AB161" s="58">
        <f>IF(AB109=5,AA156,0)</f>
        <v>0</v>
      </c>
      <c r="AC161" s="54">
        <f>IF(AC109=5,AD156,0)</f>
        <v>0</v>
      </c>
      <c r="AE161" s="58">
        <f>IF(AE109=5,AD156,0)</f>
        <v>0</v>
      </c>
      <c r="AF161" s="54">
        <f>SUM(B161:AE161)</f>
        <v>8</v>
      </c>
      <c r="AW161" s="146"/>
    </row>
    <row r="162" spans="1:54" hidden="1" x14ac:dyDescent="0.2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60"/>
      <c r="AO162" s="60"/>
      <c r="AP162" s="60"/>
      <c r="AQ162" s="60"/>
      <c r="AR162" s="61"/>
      <c r="AS162" s="61"/>
      <c r="AT162" s="61"/>
      <c r="AU162" s="61"/>
      <c r="AV162" s="61"/>
      <c r="BB162" s="62"/>
    </row>
    <row r="163" spans="1:54" s="61" customFormat="1" hidden="1" x14ac:dyDescent="0.2">
      <c r="A163" s="63"/>
      <c r="B163" s="63"/>
      <c r="C163" s="63" t="s">
        <v>87</v>
      </c>
      <c r="D163" s="63">
        <v>1</v>
      </c>
      <c r="E163" s="63"/>
      <c r="F163" s="63"/>
      <c r="G163" s="63">
        <v>2</v>
      </c>
      <c r="H163" s="63"/>
      <c r="I163" s="63"/>
      <c r="J163" s="63">
        <v>3</v>
      </c>
      <c r="K163" s="63"/>
      <c r="L163" s="63"/>
      <c r="M163" s="63">
        <v>4</v>
      </c>
      <c r="N163" s="63"/>
      <c r="O163" s="63"/>
      <c r="P163" s="63">
        <v>5</v>
      </c>
      <c r="Q163" s="63"/>
      <c r="R163" s="63"/>
      <c r="S163" s="63">
        <v>6</v>
      </c>
      <c r="T163" s="63"/>
      <c r="U163" s="63"/>
      <c r="V163" s="63">
        <v>7</v>
      </c>
      <c r="W163" s="63"/>
      <c r="X163" s="63"/>
      <c r="Y163" s="63">
        <v>8</v>
      </c>
      <c r="Z163" s="63"/>
      <c r="AA163" s="63"/>
      <c r="AB163" s="63">
        <v>9</v>
      </c>
      <c r="AC163" s="63"/>
      <c r="AD163" s="63"/>
      <c r="AE163" s="63">
        <v>10</v>
      </c>
      <c r="AF163" s="4"/>
      <c r="AG163" s="63"/>
      <c r="AI163" s="64"/>
      <c r="AJ163" s="4"/>
      <c r="AK163" s="4"/>
      <c r="AL163" s="4"/>
      <c r="AM163" s="4"/>
      <c r="AN163" s="4"/>
      <c r="AO163" s="4"/>
      <c r="AT163" s="64" t="s">
        <v>88</v>
      </c>
      <c r="AW163" s="65"/>
      <c r="BB163" s="65"/>
    </row>
    <row r="164" spans="1:54" s="61" customFormat="1" hidden="1" x14ac:dyDescent="0.2">
      <c r="A164" s="66">
        <v>1</v>
      </c>
      <c r="B164" s="66" t="str">
        <f>E93</f>
        <v>Lake Murray 12 Black</v>
      </c>
      <c r="C164" s="66">
        <f>VLOOKUP(B164,AU$3:AY$12,3,FALSE)</f>
        <v>1405.1025780622188</v>
      </c>
      <c r="D164" s="66">
        <f>IF(B157,B172,IF(D157,D172,C164))</f>
        <v>1405.1025780622188</v>
      </c>
      <c r="E164" s="66"/>
      <c r="F164" s="66"/>
      <c r="G164" s="66">
        <f>IF(E157,E172,IF(G157,G172,D164))</f>
        <v>1421.2830259836794</v>
      </c>
      <c r="H164" s="66"/>
      <c r="I164" s="66"/>
      <c r="J164" s="66">
        <f>IF(H157,H172,IF(J157,J172,G164))</f>
        <v>1421.2830259836794</v>
      </c>
      <c r="K164" s="66"/>
      <c r="L164" s="66"/>
      <c r="M164" s="66">
        <f>IF(K157,K172,IF(M157,M172,J164))</f>
        <v>1421.2830259836794</v>
      </c>
      <c r="N164" s="66"/>
      <c r="O164" s="66"/>
      <c r="P164" s="66">
        <f>IF(N157,N172,IF(P157,P172,M164))</f>
        <v>1416.1664672993588</v>
      </c>
      <c r="Q164" s="66"/>
      <c r="R164" s="66"/>
      <c r="S164" s="66">
        <f>IF(Q157,Q172,IF(S157,S172,P164))</f>
        <v>1416.1664672993588</v>
      </c>
      <c r="T164" s="66"/>
      <c r="U164" s="66"/>
      <c r="V164" s="66">
        <f>IF(T157,T172,IF(V157,V172,S164))</f>
        <v>1416.1664672993588</v>
      </c>
      <c r="W164" s="66"/>
      <c r="X164" s="66"/>
      <c r="Y164" s="66">
        <f>IF(W157,W172,IF(Y157,Y172,V164))</f>
        <v>1432.8838476247536</v>
      </c>
      <c r="Z164" s="66"/>
      <c r="AA164" s="66"/>
      <c r="AB164" s="66">
        <f>IF(Z157,Z172,IF(AB157,AB172,Y164))</f>
        <v>1432.8838476247536</v>
      </c>
      <c r="AC164" s="66"/>
      <c r="AD164" s="66"/>
      <c r="AE164" s="66">
        <f>IF(AC157,AC172,IF(AE157,AE172,AB164))</f>
        <v>1444.5594875899783</v>
      </c>
      <c r="AF164" s="4"/>
      <c r="AG164" s="4"/>
      <c r="AJ164" s="4"/>
      <c r="AK164" s="4"/>
      <c r="AL164" s="4"/>
      <c r="AM164" s="4"/>
      <c r="AN164" s="4"/>
      <c r="AO164" s="4"/>
      <c r="AT164" s="61" t="str">
        <f>B164</f>
        <v>Lake Murray 12 Black</v>
      </c>
      <c r="AU164" s="61">
        <f>AE164</f>
        <v>1444.5594875899783</v>
      </c>
      <c r="AW164" s="65"/>
      <c r="BB164" s="65"/>
    </row>
    <row r="165" spans="1:54" s="61" customFormat="1" hidden="1" x14ac:dyDescent="0.2">
      <c r="A165" s="66">
        <v>2</v>
      </c>
      <c r="B165" s="66" t="str">
        <f>E95</f>
        <v>Kershaw 12 White</v>
      </c>
      <c r="C165" s="66">
        <f>VLOOKUP(B165,AU$3:AY$12,3,FALSE)</f>
        <v>1262.2688698980021</v>
      </c>
      <c r="D165" s="66">
        <f>IF(B158,B172,IF(D158,D172,C165))</f>
        <v>1223.0331167589673</v>
      </c>
      <c r="E165" s="66"/>
      <c r="F165" s="66"/>
      <c r="G165" s="66">
        <f>IF(E158,E172,IF(G158,G172,D165))</f>
        <v>1223.0331167589673</v>
      </c>
      <c r="H165" s="66"/>
      <c r="I165" s="66"/>
      <c r="J165" s="66">
        <f>IF(H158,H172,IF(J158,J172,G165))</f>
        <v>1223.0331167589673</v>
      </c>
      <c r="K165" s="66"/>
      <c r="L165" s="66"/>
      <c r="M165" s="66">
        <f>IF(K158,K172,IF(M158,M172,J165))</f>
        <v>1188.9768009628947</v>
      </c>
      <c r="N165" s="66"/>
      <c r="O165" s="66"/>
      <c r="P165" s="66">
        <f>IF(N158,N172,IF(P158,P172,M165))</f>
        <v>1188.9768009628947</v>
      </c>
      <c r="Q165" s="66"/>
      <c r="R165" s="66"/>
      <c r="S165" s="66">
        <f>IF(Q158,Q172,IF(S158,S172,P165))</f>
        <v>1188.9768009628947</v>
      </c>
      <c r="T165" s="66"/>
      <c r="U165" s="66"/>
      <c r="V165" s="66">
        <f>IF(T158,T172,IF(V158,V172,S165))</f>
        <v>1172.3145552798173</v>
      </c>
      <c r="W165" s="66"/>
      <c r="X165" s="66"/>
      <c r="Y165" s="66">
        <f>IF(W158,W172,IF(Y158,Y172,V165))</f>
        <v>1172.3145552798173</v>
      </c>
      <c r="Z165" s="66"/>
      <c r="AA165" s="66"/>
      <c r="AB165" s="66">
        <f>IF(Z158,Z172,IF(AB158,AB172,Y165))</f>
        <v>1172.3145552798173</v>
      </c>
      <c r="AC165" s="66"/>
      <c r="AD165" s="66"/>
      <c r="AE165" s="66">
        <f>IF(AC158,AC172,IF(AE158,AE172,AB165))</f>
        <v>1160.6389153145926</v>
      </c>
      <c r="AF165" s="4"/>
      <c r="AG165" s="4"/>
      <c r="AJ165" s="4"/>
      <c r="AL165" s="4"/>
      <c r="AM165" s="4"/>
      <c r="AN165" s="4"/>
      <c r="AO165" s="4"/>
      <c r="AT165" s="61" t="str">
        <f>B165</f>
        <v>Kershaw 12 White</v>
      </c>
      <c r="AU165" s="61">
        <f>AE165</f>
        <v>1160.6389153145926</v>
      </c>
      <c r="AW165" s="65"/>
      <c r="BB165" s="65"/>
    </row>
    <row r="166" spans="1:54" s="61" customFormat="1" hidden="1" x14ac:dyDescent="0.2">
      <c r="A166" s="66">
        <v>3</v>
      </c>
      <c r="B166" s="66" t="str">
        <f>E97</f>
        <v>C1VB 12 State Pickens</v>
      </c>
      <c r="C166" s="66">
        <f>VLOOKUP(B166,AU$3:AY$12,3,FALSE)</f>
        <v>1344.0894005280031</v>
      </c>
      <c r="D166" s="66">
        <f>IF(B159,B172,IF(D159,D172,C166))</f>
        <v>1344.0894005280031</v>
      </c>
      <c r="E166" s="66"/>
      <c r="F166" s="66"/>
      <c r="G166" s="66">
        <f>IF(E159,E172,IF(G159,G172,D166))</f>
        <v>1344.0894005280031</v>
      </c>
      <c r="H166" s="66"/>
      <c r="I166" s="66"/>
      <c r="J166" s="66">
        <f>IF(H159,H172,IF(J159,J172,G166))</f>
        <v>1365.2498892893223</v>
      </c>
      <c r="K166" s="66"/>
      <c r="L166" s="66"/>
      <c r="M166" s="66">
        <f>IF(K159,K172,IF(M159,M172,J166))</f>
        <v>1365.2498892893223</v>
      </c>
      <c r="N166" s="66"/>
      <c r="O166" s="66"/>
      <c r="P166" s="66">
        <f>IF(N159,N172,IF(P159,P172,M166))</f>
        <v>1370.3664479736428</v>
      </c>
      <c r="Q166" s="66"/>
      <c r="R166" s="66"/>
      <c r="S166" s="66">
        <f>IF(Q159,Q172,IF(S159,S172,P166))</f>
        <v>1370.3664479736428</v>
      </c>
      <c r="T166" s="66"/>
      <c r="U166" s="66"/>
      <c r="V166" s="66">
        <f>IF(T159,T172,IF(V159,V172,S166))</f>
        <v>1387.0286936567202</v>
      </c>
      <c r="W166" s="66"/>
      <c r="X166" s="66"/>
      <c r="Y166" s="66">
        <f>IF(W159,W172,IF(Y159,Y172,V166))</f>
        <v>1387.0286936567202</v>
      </c>
      <c r="Z166" s="66"/>
      <c r="AA166" s="66"/>
      <c r="AB166" s="66">
        <f>IF(Z159,Z172,IF(AB159,AB172,Y166))</f>
        <v>1403.2647402531561</v>
      </c>
      <c r="AC166" s="66"/>
      <c r="AD166" s="66"/>
      <c r="AE166" s="66">
        <f>IF(AC159,AC172,IF(AE159,AE172,AB166))</f>
        <v>1403.2647402531561</v>
      </c>
      <c r="AF166" s="4"/>
      <c r="AG166" s="4"/>
      <c r="AJ166" s="4"/>
      <c r="AL166" s="4"/>
      <c r="AM166" s="4"/>
      <c r="AN166" s="4"/>
      <c r="AO166" s="4"/>
      <c r="AT166" s="61" t="str">
        <f>B166</f>
        <v>C1VB 12 State Pickens</v>
      </c>
      <c r="AU166" s="61">
        <f>AE166</f>
        <v>1403.2647402531561</v>
      </c>
      <c r="AW166" s="65"/>
      <c r="BB166" s="65"/>
    </row>
    <row r="167" spans="1:54" s="61" customFormat="1" hidden="1" x14ac:dyDescent="0.2">
      <c r="A167" s="66">
        <v>4</v>
      </c>
      <c r="B167" s="66" t="str">
        <f>E99</f>
        <v>MOTO 12'1</v>
      </c>
      <c r="C167" s="66">
        <f>VLOOKUP(B167,AU$3:AY$12,3,FALSE)</f>
        <v>1216.8565925282476</v>
      </c>
      <c r="D167" s="66">
        <f>IF(B160,B172,IF(D160,D172,C167))</f>
        <v>1216.8565925282476</v>
      </c>
      <c r="E167" s="66"/>
      <c r="F167" s="66"/>
      <c r="G167" s="66">
        <f>IF(E160,E172,IF(G160,G172,D167))</f>
        <v>1200.6761446067869</v>
      </c>
      <c r="H167" s="66"/>
      <c r="I167" s="66"/>
      <c r="J167" s="66">
        <f>IF(H160,H172,IF(J160,J172,G167))</f>
        <v>1200.6761446067869</v>
      </c>
      <c r="K167" s="66"/>
      <c r="L167" s="66"/>
      <c r="M167" s="66">
        <f>IF(K160,K172,IF(M160,M172,J167))</f>
        <v>1234.7324604028595</v>
      </c>
      <c r="N167" s="66"/>
      <c r="O167" s="66"/>
      <c r="P167" s="66">
        <f>IF(N160,N172,IF(P160,P172,M167))</f>
        <v>1234.7324604028595</v>
      </c>
      <c r="Q167" s="66"/>
      <c r="R167" s="66"/>
      <c r="S167" s="66">
        <f>IF(Q160,Q172,IF(S160,S172,P167))</f>
        <v>1199.5807028779825</v>
      </c>
      <c r="T167" s="66"/>
      <c r="U167" s="66"/>
      <c r="V167" s="66">
        <f>IF(T160,T172,IF(V160,V172,S167))</f>
        <v>1199.5807028779825</v>
      </c>
      <c r="W167" s="66"/>
      <c r="X167" s="66"/>
      <c r="Y167" s="66">
        <f>IF(W160,W172,IF(Y160,Y172,V167))</f>
        <v>1199.5807028779825</v>
      </c>
      <c r="Z167" s="66"/>
      <c r="AA167" s="66"/>
      <c r="AB167" s="66">
        <f>IF(Z160,Z172,IF(AB160,AB172,Y167))</f>
        <v>1183.3446562815466</v>
      </c>
      <c r="AC167" s="66"/>
      <c r="AD167" s="66"/>
      <c r="AE167" s="66">
        <f>IF(AC160,AC172,IF(AE160,AE172,AB167))</f>
        <v>1183.3446562815466</v>
      </c>
      <c r="AF167" s="4"/>
      <c r="AG167" s="4"/>
      <c r="AJ167" s="4"/>
      <c r="AL167" s="4"/>
      <c r="AM167" s="4"/>
      <c r="AN167" s="4"/>
      <c r="AO167" s="4"/>
      <c r="AT167" s="61" t="str">
        <f>B167</f>
        <v>MOTO 12'1</v>
      </c>
      <c r="AU167" s="61">
        <f>AE167</f>
        <v>1183.3446562815466</v>
      </c>
      <c r="AW167" s="65"/>
      <c r="BB167" s="65"/>
    </row>
    <row r="168" spans="1:54" s="61" customFormat="1" hidden="1" x14ac:dyDescent="0.2">
      <c r="A168" s="66">
        <v>5</v>
      </c>
      <c r="B168" s="66" t="str">
        <f>E101</f>
        <v>Foothills 12U King</v>
      </c>
      <c r="C168" s="66">
        <f>VLOOKUP(B168,AU$3:AY$12,3,FALSE)</f>
        <v>1182.3261223768773</v>
      </c>
      <c r="D168" s="66">
        <f>IF(B161,B172,IF(D161,D172,C168))</f>
        <v>1221.5618755159121</v>
      </c>
      <c r="E168" s="66"/>
      <c r="F168" s="66"/>
      <c r="G168" s="66">
        <f>IF(E161,E172,IF(G161,G172,D168))</f>
        <v>1221.5618755159121</v>
      </c>
      <c r="H168" s="66"/>
      <c r="I168" s="66"/>
      <c r="J168" s="66">
        <f>IF(H161,H172,IF(J161,J172,G168))</f>
        <v>1200.401386754593</v>
      </c>
      <c r="K168" s="66"/>
      <c r="L168" s="66"/>
      <c r="M168" s="66">
        <f>IF(K161,K172,IF(M161,M172,J168))</f>
        <v>1200.401386754593</v>
      </c>
      <c r="N168" s="66"/>
      <c r="O168" s="66"/>
      <c r="P168" s="66">
        <f>IF(N161,N172,IF(P161,P172,M168))</f>
        <v>1200.401386754593</v>
      </c>
      <c r="Q168" s="66"/>
      <c r="R168" s="66"/>
      <c r="S168" s="66">
        <f>IF(Q161,Q172,IF(S161,S172,P168))</f>
        <v>1235.55314427947</v>
      </c>
      <c r="T168" s="66"/>
      <c r="U168" s="66"/>
      <c r="V168" s="66">
        <f>IF(T161,T172,IF(V161,V172,S168))</f>
        <v>1235.55314427947</v>
      </c>
      <c r="W168" s="66"/>
      <c r="X168" s="66"/>
      <c r="Y168" s="66">
        <f>IF(W161,W172,IF(Y161,Y172,V168))</f>
        <v>1218.8357639540752</v>
      </c>
      <c r="Z168" s="66"/>
      <c r="AA168" s="66"/>
      <c r="AB168" s="66">
        <f>IF(Z161,Z172,IF(AB161,AB172,Y168))</f>
        <v>1218.8357639540752</v>
      </c>
      <c r="AC168" s="66"/>
      <c r="AD168" s="66"/>
      <c r="AE168" s="66">
        <f>IF(AC161,AC172,IF(AE161,AE172,AB168))</f>
        <v>1218.8357639540752</v>
      </c>
      <c r="AF168" s="4"/>
      <c r="AG168" s="4"/>
      <c r="AJ168" s="4"/>
      <c r="AL168" s="4"/>
      <c r="AM168" s="4"/>
      <c r="AN168" s="4"/>
      <c r="AO168" s="4"/>
      <c r="AT168" s="61" t="str">
        <f>B168</f>
        <v>Foothills 12U King</v>
      </c>
      <c r="AU168" s="61">
        <f>AE168</f>
        <v>1218.8357639540752</v>
      </c>
      <c r="AW168" s="65"/>
      <c r="BB168" s="65"/>
    </row>
    <row r="169" spans="1:54" s="61" customFormat="1" hidden="1" x14ac:dyDescent="0.2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4"/>
      <c r="AG169" s="4"/>
      <c r="AJ169" s="4"/>
      <c r="AL169" s="4"/>
      <c r="AM169" s="4"/>
      <c r="AN169" s="4"/>
      <c r="AO169" s="4"/>
      <c r="AW169" s="65"/>
      <c r="BB169" s="65"/>
    </row>
    <row r="170" spans="1:54" s="61" customFormat="1" hidden="1" x14ac:dyDescent="0.2">
      <c r="A170" s="66" t="s">
        <v>89</v>
      </c>
      <c r="B170" s="66">
        <f>VLOOKUP(B109,$A164:$AE168,3,FALSE)</f>
        <v>1262.2688698980021</v>
      </c>
      <c r="C170" s="66">
        <v>1</v>
      </c>
      <c r="D170" s="66">
        <f>VLOOKUP(D109,$A164:$AE168,3,FALSE)</f>
        <v>1182.3261223768773</v>
      </c>
      <c r="E170" s="66">
        <f>VLOOKUP(E109,$A164:$AE168,4,FALSE)</f>
        <v>1405.1025780622188</v>
      </c>
      <c r="F170" s="66">
        <v>2</v>
      </c>
      <c r="G170" s="66">
        <f>VLOOKUP(G109,$A164:$AE168,4,FALSE)</f>
        <v>1216.8565925282476</v>
      </c>
      <c r="H170" s="66">
        <f>VLOOKUP(H109,$A164:$AE168,7,FALSE)</f>
        <v>1344.0894005280031</v>
      </c>
      <c r="I170" s="66">
        <v>3</v>
      </c>
      <c r="J170" s="66">
        <f>VLOOKUP(J109,$A164:$AE168,7,FALSE)</f>
        <v>1221.5618755159121</v>
      </c>
      <c r="K170" s="66">
        <f>VLOOKUP(K109,$A164:$AE168,10,FALSE)</f>
        <v>1223.0331167589673</v>
      </c>
      <c r="L170" s="66">
        <v>4</v>
      </c>
      <c r="M170" s="66">
        <f>VLOOKUP(M109,$A164:$AE168,10,FALSE)</f>
        <v>1200.6761446067869</v>
      </c>
      <c r="N170" s="66">
        <f>VLOOKUP(N109,$A164:$AE168,13,FALSE)</f>
        <v>1421.2830259836794</v>
      </c>
      <c r="O170" s="66">
        <v>5</v>
      </c>
      <c r="P170" s="66">
        <f>VLOOKUP(P109,$A164:$AE168,13,FALSE)</f>
        <v>1365.2498892893223</v>
      </c>
      <c r="Q170" s="66">
        <f>VLOOKUP(Q109,$A164:$AE168,16,FALSE)</f>
        <v>1234.7324604028595</v>
      </c>
      <c r="R170" s="66">
        <v>6</v>
      </c>
      <c r="S170" s="66">
        <f>VLOOKUP(S109,$A164:$AE168,16,FALSE)</f>
        <v>1200.401386754593</v>
      </c>
      <c r="T170" s="66">
        <f>VLOOKUP(T109,$A164:$AE168,19,FALSE)</f>
        <v>1188.9768009628947</v>
      </c>
      <c r="U170" s="66">
        <v>7</v>
      </c>
      <c r="V170" s="66">
        <f>VLOOKUP(V109,$A164:$AE168,19,FALSE)</f>
        <v>1370.3664479736428</v>
      </c>
      <c r="W170" s="66">
        <f>VLOOKUP(W109,$A164:$AE168,22,FALSE)</f>
        <v>1416.1664672993588</v>
      </c>
      <c r="X170" s="66">
        <v>8</v>
      </c>
      <c r="Y170" s="66">
        <f>VLOOKUP(Y109,$A164:$AE168,22,FALSE)</f>
        <v>1235.55314427947</v>
      </c>
      <c r="Z170" s="66">
        <f>VLOOKUP(Z109,$A164:$AE168,25,FALSE)</f>
        <v>1387.0286936567202</v>
      </c>
      <c r="AA170" s="66">
        <v>9</v>
      </c>
      <c r="AB170" s="66">
        <f>VLOOKUP(AB109,$A164:$AE168,25,FALSE)</f>
        <v>1199.5807028779825</v>
      </c>
      <c r="AC170" s="66">
        <f>VLOOKUP(AC109,$A164:$AE168,28,FALSE)</f>
        <v>1432.8838476247536</v>
      </c>
      <c r="AD170" s="66">
        <v>10</v>
      </c>
      <c r="AE170" s="66">
        <f>VLOOKUP(AE109,$A164:$AE168,28,FALSE)</f>
        <v>1172.3145552798173</v>
      </c>
      <c r="AF170" s="4"/>
      <c r="AG170" s="59"/>
      <c r="AH170" s="59"/>
      <c r="AI170" s="59"/>
      <c r="AJ170" s="59"/>
      <c r="AK170" s="59"/>
      <c r="AL170" s="59"/>
      <c r="AM170" s="59"/>
      <c r="AN170" s="60"/>
      <c r="AO170" s="60"/>
      <c r="AP170" s="60"/>
      <c r="AQ170" s="60"/>
      <c r="AW170" s="65"/>
      <c r="BB170" s="65"/>
    </row>
    <row r="171" spans="1:54" s="71" customFormat="1" hidden="1" x14ac:dyDescent="0.2">
      <c r="A171" s="67" t="s">
        <v>90</v>
      </c>
      <c r="B171" s="67">
        <f>1/(1+(10^-((B170-D170)/400)))*(B121+D121)</f>
        <v>1.2261172855948379</v>
      </c>
      <c r="C171" s="67"/>
      <c r="D171" s="67">
        <f>1/(1+(10^-((D170-B170)/400)))*(B121+D121)</f>
        <v>0.7738827144051621</v>
      </c>
      <c r="E171" s="67">
        <f>1/(1+(10^-((E170-G170)/400)))*(E121+G121)</f>
        <v>1.494361002454353</v>
      </c>
      <c r="F171" s="67"/>
      <c r="G171" s="67">
        <f>1/(1+(10^-((G170-E170)/400)))*(E121+G121)</f>
        <v>0.50563899754564712</v>
      </c>
      <c r="H171" s="67">
        <f>1/(1+(10^-((H170-J170)/400)))*(H121+J121)</f>
        <v>1.3387347262087794</v>
      </c>
      <c r="I171" s="67"/>
      <c r="J171" s="67">
        <f>1/(1+(10^-((J170-H170)/400)))*(H121+J121)</f>
        <v>0.66126527379122058</v>
      </c>
      <c r="K171" s="67">
        <f>1/(1+(10^-((K170-M170)/400)))*(K121+M121)</f>
        <v>1.064259868627268</v>
      </c>
      <c r="L171" s="67"/>
      <c r="M171" s="67">
        <f>1/(1+(10^-((M170-K170)/400)))*(K121+M121)</f>
        <v>0.93574013137273215</v>
      </c>
      <c r="N171" s="67">
        <f>1/(1+(10^-((N170-P170)/400)))*(N121+P121)</f>
        <v>1.1598924588850215</v>
      </c>
      <c r="O171" s="67"/>
      <c r="P171" s="67">
        <f>1/(1+(10^-((P170-N170)/400)))*(N121+P121)</f>
        <v>0.84010754111497865</v>
      </c>
      <c r="Q171" s="67">
        <f>1/(1+(10^-((Q170-S170)/400)))*(Q121+S121)</f>
        <v>1.0984924226524031</v>
      </c>
      <c r="R171" s="67"/>
      <c r="S171" s="67">
        <f>1/(1+(10^-((S170-Q170)/400)))*(Q121+S121)</f>
        <v>0.90150757734759679</v>
      </c>
      <c r="T171" s="67">
        <f>1/(1+(10^-((T170-V170)/400)))*(T121+V121)</f>
        <v>0.52069517759616946</v>
      </c>
      <c r="U171" s="67"/>
      <c r="V171" s="67">
        <f>1/(1+(10^-((V170-T170)/400)))*(T121+V121)</f>
        <v>1.4793048224038305</v>
      </c>
      <c r="W171" s="67">
        <f>1/(1+(10^-((W170-Y170)/400)))*(W121+Y121)</f>
        <v>1.4775818648314116</v>
      </c>
      <c r="X171" s="67"/>
      <c r="Y171" s="67">
        <f>1/(1+(10^-((Y170-W170)/400)))*(W121+Y121)</f>
        <v>0.52241813516858837</v>
      </c>
      <c r="Z171" s="67">
        <f>1/(1+(10^-((Z170-AB170)/400)))*(Z121+AB121)</f>
        <v>1.4926235438613769</v>
      </c>
      <c r="AA171" s="67"/>
      <c r="AB171" s="67">
        <f>1/(1+(10^-((AB170-Z170)/400)))*(Z121+AB121)</f>
        <v>0.50737645613862292</v>
      </c>
      <c r="AC171" s="67">
        <f>1/(1+(10^-((AC170-AE170)/400)))*(AC121+AE121)</f>
        <v>1.635136251086728</v>
      </c>
      <c r="AD171" s="67"/>
      <c r="AE171" s="67">
        <f>1/(1+(10^-((AE170-AC170)/400)))*(AC121+AE121)</f>
        <v>0.36486374891327189</v>
      </c>
      <c r="AF171" s="68"/>
      <c r="AG171" s="69"/>
      <c r="AH171" s="69"/>
      <c r="AI171" s="69"/>
      <c r="AJ171" s="69"/>
      <c r="AK171" s="69"/>
      <c r="AL171" s="69"/>
      <c r="AM171" s="69"/>
      <c r="AN171" s="70"/>
      <c r="AO171" s="70"/>
      <c r="AP171" s="70"/>
      <c r="AQ171" s="70"/>
      <c r="AW171" s="72"/>
      <c r="BB171" s="72"/>
    </row>
    <row r="172" spans="1:54" s="77" customFormat="1" hidden="1" x14ac:dyDescent="0.2">
      <c r="A172" s="73" t="s">
        <v>91</v>
      </c>
      <c r="B172" s="73">
        <f>B170+(B121-B171)*$BA$1</f>
        <v>1223.0331167589673</v>
      </c>
      <c r="C172" s="73"/>
      <c r="D172" s="73">
        <f>D170+(D121-D171)*$BA$1</f>
        <v>1221.5618755159121</v>
      </c>
      <c r="E172" s="73">
        <f>E170+(E121-E171)*$BA$1</f>
        <v>1421.2830259836794</v>
      </c>
      <c r="F172" s="73"/>
      <c r="G172" s="73">
        <f>G170+(G121-G171)*$BA$1</f>
        <v>1200.6761446067869</v>
      </c>
      <c r="H172" s="73">
        <f>H170+(H121-H171)*$BA$1</f>
        <v>1365.2498892893223</v>
      </c>
      <c r="I172" s="73"/>
      <c r="J172" s="73">
        <f>J170+(J121-J171)*$BA$1</f>
        <v>1200.401386754593</v>
      </c>
      <c r="K172" s="73">
        <f>K170+(K121-K171)*$BA$1</f>
        <v>1188.9768009628947</v>
      </c>
      <c r="L172" s="73"/>
      <c r="M172" s="73">
        <f>M170+(M121-M171)*$BA$1</f>
        <v>1234.7324604028595</v>
      </c>
      <c r="N172" s="73">
        <f>N170+(N121-N171)*$BA$1</f>
        <v>1416.1664672993588</v>
      </c>
      <c r="O172" s="73"/>
      <c r="P172" s="73">
        <f>P170+(P121-P171)*$BA$1</f>
        <v>1370.3664479736428</v>
      </c>
      <c r="Q172" s="73">
        <f>Q170+(Q121-Q171)*$BA$1</f>
        <v>1199.5807028779825</v>
      </c>
      <c r="R172" s="73"/>
      <c r="S172" s="73">
        <f>S170+(S121-S171)*$BA$1</f>
        <v>1235.55314427947</v>
      </c>
      <c r="T172" s="73">
        <f>T170+(T121-T171)*$BA$1</f>
        <v>1172.3145552798173</v>
      </c>
      <c r="U172" s="73"/>
      <c r="V172" s="73">
        <f>V170+(V121-V171)*$BA$1</f>
        <v>1387.0286936567202</v>
      </c>
      <c r="W172" s="73">
        <f>W170+(W121-W171)*$BA$1</f>
        <v>1432.8838476247536</v>
      </c>
      <c r="X172" s="73"/>
      <c r="Y172" s="73">
        <f>Y170+(Y121-Y171)*$BA$1</f>
        <v>1218.8357639540752</v>
      </c>
      <c r="Z172" s="73">
        <f>Z170+(Z121-Z171)*$BA$1</f>
        <v>1403.2647402531561</v>
      </c>
      <c r="AA172" s="73"/>
      <c r="AB172" s="73">
        <f>AB170+(AB121-AB171)*$BA$1</f>
        <v>1183.3446562815466</v>
      </c>
      <c r="AC172" s="73">
        <f>AC170+(AC121-AC171)*$BA$1</f>
        <v>1444.5594875899783</v>
      </c>
      <c r="AD172" s="73"/>
      <c r="AE172" s="73">
        <f>AE170+(AE121-AE171)*$BA$1</f>
        <v>1160.6389153145926</v>
      </c>
      <c r="AF172" s="74"/>
      <c r="AG172" s="75"/>
      <c r="AH172" s="75"/>
      <c r="AI172" s="75"/>
      <c r="AJ172" s="75"/>
      <c r="AK172" s="75"/>
      <c r="AL172" s="75"/>
      <c r="AM172" s="75"/>
      <c r="AN172" s="76"/>
      <c r="AO172" s="76"/>
      <c r="AP172" s="76"/>
      <c r="AQ172" s="76"/>
      <c r="AW172" s="78"/>
      <c r="BB172" s="78"/>
    </row>
    <row r="173" spans="1:54" s="77" customFormat="1" hidden="1" x14ac:dyDescent="0.2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  <c r="AD173" s="73"/>
      <c r="AE173" s="73"/>
      <c r="AF173" s="74"/>
      <c r="AG173" s="75"/>
      <c r="AH173" s="75"/>
      <c r="AI173" s="75"/>
      <c r="AJ173" s="75"/>
      <c r="AK173" s="75"/>
      <c r="AL173" s="75"/>
      <c r="AM173" s="75"/>
      <c r="AN173" s="76"/>
      <c r="AO173" s="76"/>
      <c r="AP173" s="76"/>
      <c r="AQ173" s="76"/>
      <c r="AW173" s="78"/>
      <c r="BB173" s="78"/>
    </row>
    <row r="174" spans="1:54" s="61" customFormat="1" x14ac:dyDescent="0.2">
      <c r="A174" s="790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790"/>
      <c r="C174" s="790"/>
      <c r="D174" s="790"/>
      <c r="E174" s="790"/>
      <c r="F174" s="790"/>
      <c r="G174" s="790"/>
      <c r="H174" s="790"/>
      <c r="I174" s="790"/>
      <c r="J174" s="790"/>
      <c r="K174" s="790"/>
      <c r="L174" s="790"/>
      <c r="M174" s="790"/>
      <c r="N174" s="790"/>
      <c r="O174" s="790"/>
      <c r="P174" s="790"/>
      <c r="Q174" s="790"/>
      <c r="R174" s="790"/>
      <c r="S174" s="790"/>
      <c r="T174" s="790"/>
      <c r="U174" s="790"/>
      <c r="V174" s="790"/>
      <c r="W174" s="790"/>
      <c r="X174" s="790"/>
      <c r="Y174" s="790"/>
      <c r="Z174" s="790"/>
      <c r="AA174" s="790"/>
      <c r="AB174" s="790"/>
      <c r="AC174" s="790"/>
      <c r="AD174" s="790"/>
      <c r="AE174" s="790"/>
      <c r="AF174" s="790"/>
      <c r="AG174" s="790"/>
      <c r="AH174" s="790"/>
      <c r="AI174" s="790"/>
      <c r="AJ174" s="790"/>
      <c r="AK174" s="790"/>
      <c r="AL174" s="790"/>
      <c r="AM174" s="790"/>
      <c r="AN174" s="768"/>
      <c r="AO174" s="768"/>
      <c r="AP174" s="768"/>
      <c r="AQ174" s="768"/>
      <c r="AW174" s="65"/>
    </row>
    <row r="175" spans="1:54" s="61" customFormat="1" x14ac:dyDescent="0.2">
      <c r="A175" s="791"/>
      <c r="B175" s="791"/>
      <c r="C175" s="791"/>
      <c r="D175" s="791"/>
      <c r="E175" s="791"/>
      <c r="F175" s="791"/>
      <c r="G175" s="791"/>
      <c r="H175" s="791"/>
      <c r="I175" s="791"/>
      <c r="J175" s="791"/>
      <c r="K175" s="791"/>
      <c r="L175" s="791"/>
      <c r="M175" s="791"/>
      <c r="N175" s="791"/>
      <c r="O175" s="791"/>
      <c r="P175" s="791"/>
      <c r="Q175" s="791"/>
      <c r="R175" s="791"/>
      <c r="S175" s="791"/>
      <c r="T175" s="791"/>
      <c r="U175" s="791"/>
      <c r="V175" s="791"/>
      <c r="W175" s="791"/>
      <c r="X175" s="791"/>
      <c r="Y175" s="791"/>
      <c r="Z175" s="791"/>
      <c r="AA175" s="791"/>
      <c r="AB175" s="791"/>
      <c r="AC175" s="791"/>
      <c r="AD175" s="791"/>
      <c r="AE175" s="791"/>
      <c r="AF175" s="791"/>
      <c r="AG175" s="791"/>
      <c r="AH175" s="791"/>
      <c r="AI175" s="791"/>
      <c r="AJ175" s="791"/>
      <c r="AK175" s="791"/>
      <c r="AL175" s="791"/>
      <c r="AM175" s="791"/>
      <c r="AN175" s="791"/>
      <c r="AO175" s="791"/>
      <c r="AP175" s="791"/>
      <c r="AQ175" s="791"/>
      <c r="AW175" s="65"/>
    </row>
    <row r="176" spans="1:54" ht="21" thickBot="1" x14ac:dyDescent="0.35">
      <c r="A176" s="780" t="s">
        <v>93</v>
      </c>
      <c r="B176" s="780"/>
      <c r="C176" s="780"/>
      <c r="D176" s="780"/>
      <c r="E176" s="780"/>
      <c r="F176" s="780"/>
      <c r="G176" s="780"/>
      <c r="H176" s="780"/>
      <c r="I176" s="780"/>
      <c r="J176" s="780"/>
      <c r="K176" s="780"/>
      <c r="L176" s="780"/>
      <c r="M176" s="780"/>
      <c r="N176" s="780"/>
      <c r="O176" s="780"/>
      <c r="P176" s="780"/>
      <c r="Q176" s="780"/>
      <c r="R176" s="780"/>
      <c r="S176" s="780"/>
      <c r="T176" s="780"/>
      <c r="U176" s="780"/>
      <c r="V176" s="780"/>
      <c r="W176" s="780"/>
      <c r="X176" s="780"/>
      <c r="Y176" s="780"/>
      <c r="Z176" s="780"/>
      <c r="AA176" s="780"/>
      <c r="AB176" s="780"/>
      <c r="AC176" s="780"/>
      <c r="AD176" s="780"/>
      <c r="AE176" s="780"/>
      <c r="AF176" s="780"/>
      <c r="AG176" s="780"/>
      <c r="AH176" s="780"/>
      <c r="AI176" s="780"/>
      <c r="AJ176" s="780"/>
      <c r="AK176" s="780"/>
      <c r="AL176" s="780"/>
      <c r="AM176" s="780"/>
      <c r="AN176" s="780"/>
      <c r="AO176" s="780"/>
      <c r="AP176" s="780"/>
      <c r="AQ176" s="780"/>
    </row>
    <row r="177" spans="1:53" ht="13.5" thickBot="1" x14ac:dyDescent="0.25">
      <c r="A177" s="781" t="s">
        <v>94</v>
      </c>
      <c r="B177" s="783" t="s">
        <v>95</v>
      </c>
      <c r="C177" s="784"/>
      <c r="D177" s="784"/>
      <c r="E177" s="784"/>
      <c r="F177" s="784"/>
      <c r="G177" s="784"/>
      <c r="H177" s="784"/>
      <c r="I177" s="784"/>
      <c r="J177" s="784"/>
      <c r="K177" s="785"/>
      <c r="L177" s="783" t="s">
        <v>96</v>
      </c>
      <c r="M177" s="784"/>
      <c r="N177" s="784"/>
      <c r="O177" s="784"/>
      <c r="P177" s="784"/>
      <c r="Q177" s="784"/>
      <c r="R177" s="784"/>
      <c r="S177" s="784"/>
      <c r="T177" s="784"/>
      <c r="U177" s="785"/>
      <c r="V177" s="783" t="s">
        <v>97</v>
      </c>
      <c r="W177" s="784"/>
      <c r="X177" s="784"/>
      <c r="Y177" s="784"/>
      <c r="Z177" s="784"/>
      <c r="AA177" s="784"/>
      <c r="AB177" s="784"/>
      <c r="AC177" s="784"/>
      <c r="AD177" s="784"/>
      <c r="AE177" s="785"/>
      <c r="AF177" s="783" t="s">
        <v>98</v>
      </c>
      <c r="AG177" s="784"/>
      <c r="AH177" s="784"/>
      <c r="AI177" s="784"/>
      <c r="AJ177" s="784"/>
      <c r="AK177" s="784"/>
      <c r="AL177" s="784"/>
      <c r="AM177" s="784"/>
      <c r="AN177" s="784"/>
      <c r="AO177" s="785"/>
    </row>
    <row r="178" spans="1:53" ht="13.5" thickBot="1" x14ac:dyDescent="0.25">
      <c r="A178" s="782"/>
      <c r="B178" s="777" t="s">
        <v>7</v>
      </c>
      <c r="C178" s="778"/>
      <c r="D178" s="778"/>
      <c r="E178" s="778"/>
      <c r="F178" s="778"/>
      <c r="G178" s="779"/>
      <c r="H178" s="777" t="s">
        <v>99</v>
      </c>
      <c r="I178" s="778"/>
      <c r="J178" s="778"/>
      <c r="K178" s="779"/>
      <c r="L178" s="777" t="s">
        <v>7</v>
      </c>
      <c r="M178" s="778"/>
      <c r="N178" s="778"/>
      <c r="O178" s="778"/>
      <c r="P178" s="778"/>
      <c r="Q178" s="779"/>
      <c r="R178" s="777" t="s">
        <v>99</v>
      </c>
      <c r="S178" s="778"/>
      <c r="T178" s="778"/>
      <c r="U178" s="779"/>
      <c r="V178" s="777" t="s">
        <v>7</v>
      </c>
      <c r="W178" s="778"/>
      <c r="X178" s="778"/>
      <c r="Y178" s="778"/>
      <c r="Z178" s="778"/>
      <c r="AA178" s="779"/>
      <c r="AB178" s="777" t="s">
        <v>99</v>
      </c>
      <c r="AC178" s="778"/>
      <c r="AD178" s="778"/>
      <c r="AE178" s="779"/>
      <c r="AF178" s="777" t="s">
        <v>7</v>
      </c>
      <c r="AG178" s="778"/>
      <c r="AH178" s="778"/>
      <c r="AI178" s="778"/>
      <c r="AJ178" s="778"/>
      <c r="AK178" s="779"/>
      <c r="AL178" s="777" t="s">
        <v>99</v>
      </c>
      <c r="AM178" s="778"/>
      <c r="AN178" s="778"/>
      <c r="AO178" s="779"/>
    </row>
    <row r="179" spans="1:53" x14ac:dyDescent="0.2">
      <c r="A179" s="157" t="s">
        <v>100</v>
      </c>
      <c r="B179" s="769" t="str">
        <f>IF($AF$8=1,$E$8,IF($AF$10=1,$E$10,IF($AF$12=1,$E$12,IF($AF$14=1,$E$14,IF($AF$16=1,$E$16,"1st Place "&amp;$A179)))))</f>
        <v>OLC 12s Purple</v>
      </c>
      <c r="C179" s="770"/>
      <c r="D179" s="770"/>
      <c r="E179" s="770"/>
      <c r="F179" s="770"/>
      <c r="G179" s="770"/>
      <c r="H179" s="771" t="str">
        <f>IF($AF$8=1,$E$9,IF($AF$10=1,$E$11,IF($AF$12=1,$E$13,IF($AF$14=1,$E$15,IF($AF$16=1,$E$17,"1st Place "&amp;$A179)))))</f>
        <v>fj2ladyc1pm</v>
      </c>
      <c r="I179" s="771"/>
      <c r="J179" s="771"/>
      <c r="K179" s="772"/>
      <c r="L179" s="769" t="str">
        <f>IF($AF$8=2,$E$8,IF($AF$10=2,$E$10,IF($AF$12=2,$E$12,IF($AF$14=2,$E$14,IF($AF$16=2,$E$16,"2nd Place "&amp;$A179)))))</f>
        <v>Palm Strikers 12 Platinum</v>
      </c>
      <c r="M179" s="770"/>
      <c r="N179" s="770"/>
      <c r="O179" s="770"/>
      <c r="P179" s="770"/>
      <c r="Q179" s="770"/>
      <c r="R179" s="771" t="str">
        <f>IF($AF$8=2,$E$9,IF($AF$10=2,$E$11,IF($AF$12=2,$E$13,IF($AF$14=2,$E$15,IF($AF$16=2,$E$17,"2nd Place "&amp;$A179)))))</f>
        <v>fj2pstri1pm</v>
      </c>
      <c r="S179" s="771"/>
      <c r="T179" s="771"/>
      <c r="U179" s="772"/>
      <c r="V179" s="769" t="str">
        <f>IF($AF$8=3,$E$8,IF($AF$10=3,$E$10,IF($AF$12=3,$E$12,IF($AF$14=3,$E$14,IF($AF$16=3,$E$16,"3rd Place "&amp;$A179)))))</f>
        <v>C1VB 12 State Greenville</v>
      </c>
      <c r="W179" s="770"/>
      <c r="X179" s="770"/>
      <c r="Y179" s="770"/>
      <c r="Z179" s="770"/>
      <c r="AA179" s="770"/>
      <c r="AB179" s="771" t="str">
        <f>IF($AF$8=3,$E$9,IF($AF$10=3,$E$11,IF($AF$12=3,$E$13,IF($AF$14=3,$E$15,IF($AF$16=3,$E$17,"3rd Place "&amp;$A179)))))</f>
        <v>fj2crone4pm</v>
      </c>
      <c r="AC179" s="771"/>
      <c r="AD179" s="771"/>
      <c r="AE179" s="772"/>
      <c r="AF179" s="769" t="str">
        <f>IF($AF$8=4,$E$8,IF($AF$10=4,$E$10,IF($AF$12=4,$E$12,IF($AF$14=4,$E$14,IF($AF$16=4,$E$16,"4th Place "&amp;$A179)))))</f>
        <v>Kershaw 12 Black</v>
      </c>
      <c r="AG179" s="770"/>
      <c r="AH179" s="770"/>
      <c r="AI179" s="770"/>
      <c r="AJ179" s="770"/>
      <c r="AK179" s="770"/>
      <c r="AL179" s="771" t="str">
        <f>IF($AF$8=4,$E$9,IF($AF$10=4,$E$11,IF($AF$12=4,$E$13,IF($AF$14=4,$E$15,IF($AF$16=4,$E$17,"4th Place "&amp;$A179)))))</f>
        <v>fj2kersh1pm</v>
      </c>
      <c r="AM179" s="771"/>
      <c r="AN179" s="771"/>
      <c r="AO179" s="772"/>
    </row>
    <row r="180" spans="1:53" ht="13.5" thickBot="1" x14ac:dyDescent="0.25">
      <c r="A180" s="79" t="s">
        <v>101</v>
      </c>
      <c r="B180" s="773" t="str">
        <f>IF($AF$93=1,$E$93,IF($AF$95=1,$E$95,IF($AF$97=1,$E$97,IF($AF$99=1,$E$99,IF($AF$101=1,$E$101,"1st Place "&amp;$A180)))))</f>
        <v>C1VB 12 State Pickens</v>
      </c>
      <c r="C180" s="774"/>
      <c r="D180" s="774"/>
      <c r="E180" s="774"/>
      <c r="F180" s="774"/>
      <c r="G180" s="774"/>
      <c r="H180" s="775" t="str">
        <f>IF($AF$93=1,$E$94,IF($AF$95=1,$E$96,IF($AF$97=1,$E$98,IF($AF$99=1,$E$100,IF($AF$101=1,$E$102,"1st Place "&amp;$A180)))))</f>
        <v>fj2crone5pm</v>
      </c>
      <c r="I180" s="775"/>
      <c r="J180" s="775"/>
      <c r="K180" s="776"/>
      <c r="L180" s="773" t="str">
        <f>IF($AF$93=2,$E$93,IF($AF$95=2,$E$95,IF($AF$97=2,$E$97,IF($AF$99=2,$E$99,IF($AF$101=2,$E$101,"2nd Place "&amp;$A180)))))</f>
        <v>Lake Murray 12 Black</v>
      </c>
      <c r="M180" s="774"/>
      <c r="N180" s="774"/>
      <c r="O180" s="774"/>
      <c r="P180" s="774"/>
      <c r="Q180" s="774"/>
      <c r="R180" s="775" t="str">
        <f>IF($AF$93=2,$E$94,IF($AF$95=2,$E$96,IF($AF$97=2,$E$98,IF($AF$99=2,$E$100,IF($AF$101=2,$E$102,"2nd Place "&amp;$A180)))))</f>
        <v>fj2lakem1pm</v>
      </c>
      <c r="S180" s="775"/>
      <c r="T180" s="775"/>
      <c r="U180" s="776"/>
      <c r="V180" s="773" t="str">
        <f>IF($AF$93=3,$E$93,IF($AF$95=3,$E$95,IF($AF$97=3,$E$97,IF($AF$99=3,$E$99,IF($AF$101=3,$E$101,"3rd Place "&amp;$A180)))))</f>
        <v>Foothills 12U King</v>
      </c>
      <c r="W180" s="774"/>
      <c r="X180" s="774"/>
      <c r="Y180" s="774"/>
      <c r="Z180" s="774"/>
      <c r="AA180" s="774"/>
      <c r="AB180" s="775" t="str">
        <f>IF($AF$93=3,$E$94,IF($AF$95=3,$E$96,IF($AF$97=3,$E$98,IF($AF$99=3,$E$100,IF($AF$101=3,$E$102,"3rd Place "&amp;$A180)))))</f>
        <v>fj2footh1pm</v>
      </c>
      <c r="AC180" s="775"/>
      <c r="AD180" s="775"/>
      <c r="AE180" s="776"/>
      <c r="AF180" s="773" t="str">
        <f>IF($AF$93=4,$E$93,IF($AF$95=4,$E$95,IF($AF$97=4,$E$97,IF($AF$99=4,$E$99,IF($AF$101=4,$E$101,"4th Place "&amp;$A180)))))</f>
        <v>MOTO 12'1</v>
      </c>
      <c r="AG180" s="774"/>
      <c r="AH180" s="774"/>
      <c r="AI180" s="774"/>
      <c r="AJ180" s="774"/>
      <c r="AK180" s="774"/>
      <c r="AL180" s="775" t="str">
        <f>IF($AF$93=4,$E$94,IF($AF$95=4,$E$96,IF($AF$97=4,$E$98,IF($AF$99=4,$E$100,IF($AF$101=4,$E$102,"4th Place "&amp;$A180)))))</f>
        <v>fj1motoj1pm</v>
      </c>
      <c r="AM180" s="775"/>
      <c r="AN180" s="775"/>
      <c r="AO180" s="776"/>
    </row>
    <row r="181" spans="1:53" s="3" customFormat="1" x14ac:dyDescent="0.2">
      <c r="A181" s="80"/>
      <c r="B181" s="81"/>
      <c r="C181" s="81"/>
      <c r="D181" s="81"/>
      <c r="E181" s="81"/>
      <c r="F181" s="81"/>
      <c r="G181" s="81"/>
      <c r="H181" s="81"/>
      <c r="I181" s="81"/>
      <c r="J181" s="81"/>
      <c r="K181" s="81"/>
      <c r="L181" s="81"/>
      <c r="M181" s="81"/>
      <c r="N181" s="81"/>
      <c r="O181" s="81"/>
      <c r="P181" s="81"/>
      <c r="Q181" s="81"/>
      <c r="R181" s="81"/>
      <c r="S181" s="81"/>
      <c r="T181" s="81"/>
      <c r="U181" s="81"/>
      <c r="V181" s="81"/>
      <c r="W181" s="81"/>
      <c r="X181" s="81"/>
      <c r="Y181" s="81"/>
      <c r="Z181" s="81"/>
      <c r="AA181" s="81"/>
      <c r="AB181" s="81"/>
      <c r="AC181" s="81"/>
      <c r="AD181" s="81"/>
      <c r="AE181" s="81"/>
      <c r="AF181" s="81"/>
      <c r="AG181" s="81"/>
      <c r="AH181" s="81"/>
      <c r="AI181" s="81"/>
      <c r="AJ181" s="81"/>
      <c r="AK181" s="81"/>
      <c r="AL181" s="81"/>
      <c r="AM181" s="81"/>
      <c r="AN181" s="81"/>
      <c r="AO181" s="81"/>
      <c r="AW181" s="62"/>
      <c r="AX181" s="4"/>
      <c r="AY181" s="4"/>
      <c r="AZ181" s="4"/>
      <c r="BA181" s="4"/>
    </row>
    <row r="182" spans="1:53" ht="15.75" x14ac:dyDescent="0.25">
      <c r="A182" s="763" t="s">
        <v>102</v>
      </c>
      <c r="B182" s="763"/>
      <c r="C182" s="763"/>
      <c r="D182" s="763"/>
      <c r="E182" s="763"/>
      <c r="F182" s="763"/>
      <c r="G182" s="763"/>
      <c r="H182" s="763"/>
      <c r="I182" s="763"/>
      <c r="J182" s="763"/>
      <c r="K182" s="763"/>
      <c r="L182" s="763"/>
      <c r="M182" s="763"/>
      <c r="N182" s="763"/>
      <c r="O182" s="763"/>
      <c r="P182" s="763"/>
      <c r="Q182" s="763"/>
      <c r="R182" s="763"/>
      <c r="S182" s="763"/>
      <c r="T182" s="763"/>
      <c r="U182" s="763"/>
      <c r="V182" s="763"/>
      <c r="W182" s="763"/>
      <c r="X182" s="763"/>
      <c r="Y182" s="763"/>
      <c r="Z182" s="763"/>
      <c r="AA182" s="763"/>
      <c r="AB182" s="763"/>
      <c r="AC182" s="763"/>
      <c r="AD182" s="763"/>
      <c r="AE182" s="763"/>
      <c r="AF182" s="763"/>
      <c r="AG182" s="763"/>
      <c r="AH182" s="763"/>
      <c r="AI182" s="763"/>
      <c r="AJ182" s="763"/>
      <c r="AK182" s="763"/>
      <c r="AL182" s="763"/>
      <c r="AM182" s="763"/>
      <c r="AN182" s="763"/>
      <c r="AO182" s="763"/>
      <c r="AP182" s="763"/>
      <c r="AQ182" s="763"/>
      <c r="AT182" s="83"/>
      <c r="AU182" s="83"/>
      <c r="AV182" s="83"/>
    </row>
    <row r="183" spans="1:53" ht="36" customHeight="1" x14ac:dyDescent="0.25">
      <c r="A183" s="764" t="s">
        <v>350</v>
      </c>
      <c r="B183" s="765"/>
      <c r="C183" s="765"/>
      <c r="D183" s="765"/>
      <c r="E183" s="765"/>
      <c r="F183" s="765"/>
      <c r="G183" s="765"/>
      <c r="H183" s="765"/>
      <c r="I183" s="765"/>
      <c r="J183" s="765"/>
      <c r="K183" s="765"/>
      <c r="L183" s="765"/>
      <c r="M183" s="765"/>
      <c r="N183" s="765"/>
      <c r="O183" s="765"/>
      <c r="P183" s="765"/>
      <c r="Q183" s="765"/>
      <c r="R183" s="765"/>
      <c r="S183" s="765"/>
      <c r="T183" s="765"/>
      <c r="U183" s="765"/>
      <c r="V183" s="765"/>
      <c r="W183" s="765"/>
      <c r="X183" s="765"/>
      <c r="Y183" s="765"/>
      <c r="Z183" s="765"/>
      <c r="AA183" s="765"/>
      <c r="AB183" s="765"/>
      <c r="AC183" s="765"/>
      <c r="AD183" s="765"/>
      <c r="AE183" s="765"/>
      <c r="AF183" s="765"/>
      <c r="AG183" s="765"/>
      <c r="AH183" s="765"/>
      <c r="AI183" s="765"/>
      <c r="AJ183" s="765"/>
      <c r="AK183" s="765"/>
      <c r="AL183" s="765"/>
      <c r="AM183" s="765"/>
      <c r="AN183" s="765"/>
      <c r="AO183" s="765"/>
      <c r="AP183" s="765"/>
      <c r="AQ183" s="765"/>
    </row>
    <row r="184" spans="1:53" x14ac:dyDescent="0.2">
      <c r="A184" s="766" t="s">
        <v>103</v>
      </c>
      <c r="B184" s="766"/>
      <c r="C184" s="766"/>
      <c r="D184" s="766"/>
      <c r="E184" s="766"/>
      <c r="F184" s="766"/>
      <c r="G184" s="766"/>
      <c r="H184" s="766"/>
      <c r="I184" s="766"/>
      <c r="J184" s="766"/>
      <c r="K184" s="766"/>
      <c r="L184" s="766"/>
      <c r="M184" s="766"/>
      <c r="N184" s="766"/>
      <c r="O184" s="766"/>
      <c r="P184" s="766"/>
      <c r="Q184" s="766"/>
      <c r="R184" s="766"/>
      <c r="S184" s="766"/>
      <c r="T184" s="766"/>
      <c r="U184" s="766"/>
      <c r="V184" s="766"/>
      <c r="W184" s="766"/>
      <c r="X184" s="766"/>
      <c r="Y184" s="766"/>
      <c r="Z184" s="766"/>
      <c r="AA184" s="766"/>
      <c r="AB184" s="766"/>
      <c r="AC184" s="766"/>
      <c r="AD184" s="766"/>
      <c r="AE184" s="766"/>
      <c r="AF184" s="766"/>
      <c r="AG184" s="766"/>
      <c r="AH184" s="766"/>
      <c r="AI184" s="766"/>
      <c r="AJ184" s="766"/>
      <c r="AK184" s="766"/>
      <c r="AL184" s="766"/>
      <c r="AM184" s="766"/>
      <c r="AN184" s="766"/>
      <c r="AO184" s="766"/>
      <c r="AP184" s="766"/>
      <c r="AQ184" s="766"/>
    </row>
    <row r="185" spans="1:53" x14ac:dyDescent="0.2">
      <c r="A185" s="766"/>
      <c r="B185" s="766"/>
      <c r="C185" s="766"/>
      <c r="D185" s="766"/>
      <c r="E185" s="766"/>
      <c r="F185" s="766"/>
      <c r="G185" s="766"/>
      <c r="H185" s="766"/>
      <c r="I185" s="766"/>
      <c r="J185" s="766"/>
      <c r="K185" s="766"/>
      <c r="L185" s="766"/>
      <c r="M185" s="766"/>
      <c r="N185" s="766"/>
      <c r="O185" s="766"/>
      <c r="P185" s="766"/>
      <c r="Q185" s="766"/>
      <c r="R185" s="766"/>
      <c r="S185" s="766"/>
      <c r="T185" s="766"/>
      <c r="U185" s="766"/>
      <c r="V185" s="766"/>
      <c r="W185" s="766"/>
      <c r="X185" s="766"/>
      <c r="Y185" s="766"/>
      <c r="Z185" s="766"/>
      <c r="AA185" s="766"/>
      <c r="AB185" s="766"/>
      <c r="AC185" s="766"/>
      <c r="AD185" s="766"/>
      <c r="AE185" s="766"/>
      <c r="AF185" s="766"/>
      <c r="AG185" s="766"/>
      <c r="AH185" s="766"/>
      <c r="AI185" s="766"/>
      <c r="AJ185" s="766"/>
      <c r="AK185" s="766"/>
      <c r="AL185" s="766"/>
      <c r="AM185" s="766"/>
      <c r="AN185" s="766"/>
      <c r="AO185" s="766"/>
      <c r="AP185" s="766"/>
      <c r="AQ185" s="766"/>
    </row>
    <row r="186" spans="1:53" x14ac:dyDescent="0.2">
      <c r="A186" s="767" t="s">
        <v>104</v>
      </c>
      <c r="B186" s="767"/>
      <c r="C186" s="767"/>
      <c r="D186" s="767"/>
      <c r="E186" s="767"/>
      <c r="F186" s="767"/>
      <c r="G186" s="767"/>
      <c r="H186" s="767"/>
      <c r="I186" s="767"/>
      <c r="J186" s="767"/>
      <c r="K186" s="767"/>
      <c r="L186" s="84"/>
    </row>
    <row r="187" spans="1:53" x14ac:dyDescent="0.2">
      <c r="C187" s="3"/>
      <c r="D187" s="3"/>
      <c r="E187" s="3"/>
      <c r="L187" s="84"/>
    </row>
    <row r="188" spans="1:53" x14ac:dyDescent="0.2">
      <c r="A188" s="768" t="s">
        <v>105</v>
      </c>
      <c r="B188" s="768"/>
      <c r="C188" s="768"/>
      <c r="D188" s="768"/>
      <c r="E188" s="768"/>
      <c r="F188" s="768"/>
      <c r="G188" s="768"/>
      <c r="H188" s="768"/>
      <c r="I188" s="768"/>
      <c r="J188" s="768"/>
      <c r="K188" s="768"/>
      <c r="L188" s="768"/>
      <c r="M188" s="768"/>
      <c r="N188" s="768"/>
      <c r="O188" s="768"/>
      <c r="P188" s="62"/>
      <c r="R188" s="768" t="s">
        <v>106</v>
      </c>
      <c r="S188" s="768"/>
      <c r="T188" s="768"/>
      <c r="U188" s="768"/>
      <c r="V188" s="768"/>
      <c r="W188" s="768"/>
      <c r="X188" s="768"/>
      <c r="Y188" s="768"/>
      <c r="Z188" s="768"/>
      <c r="AA188" s="768"/>
      <c r="AB188" s="768"/>
      <c r="AC188" s="768"/>
      <c r="AD188" s="768"/>
      <c r="AE188" s="768"/>
      <c r="AF188" s="768"/>
    </row>
    <row r="190" spans="1:53" ht="13.5" thickBot="1" x14ac:dyDescent="0.25">
      <c r="A190" s="736" t="str">
        <f>IF(B218=1,B210,IF(B218=2,B211,IF(B218=3,B212,IF(B218=4,B213,IF(OR(B218="B",B218="b"),"BYE","invalid")))))</f>
        <v>OLC 12s Purple</v>
      </c>
      <c r="B190" s="736"/>
      <c r="C190" s="736"/>
      <c r="D190" s="736"/>
      <c r="E190" s="736"/>
      <c r="F190" s="88"/>
      <c r="G190" s="88"/>
      <c r="H190" s="88"/>
      <c r="I190" s="88"/>
      <c r="J190" s="88"/>
      <c r="K190" s="88"/>
      <c r="L190" s="88"/>
      <c r="M190" s="88"/>
      <c r="N190" s="88"/>
      <c r="S190" s="89"/>
      <c r="T190" s="89"/>
      <c r="U190" s="736" t="str">
        <f>IF(W218=1,X210,IF(W218=2,X211,IF(W218=3,X212,IF(W218=4,X213,IF(OR(W218="B",W218="b"),"BYE","invalid")))))</f>
        <v>C1VB 12 State Greenville</v>
      </c>
      <c r="V190" s="736"/>
      <c r="W190" s="736"/>
      <c r="X190" s="736"/>
      <c r="Y190" s="736"/>
      <c r="Z190" s="736"/>
      <c r="AA190" s="736"/>
      <c r="AB190" s="88"/>
      <c r="AC190" s="88"/>
      <c r="AD190" s="88"/>
      <c r="AE190" s="88"/>
    </row>
    <row r="191" spans="1:53" x14ac:dyDescent="0.2">
      <c r="A191" s="738" t="s">
        <v>107</v>
      </c>
      <c r="B191" s="738"/>
      <c r="C191" s="738"/>
      <c r="D191" s="738"/>
      <c r="E191" s="738"/>
      <c r="F191" s="91"/>
      <c r="G191" s="88"/>
      <c r="H191" s="88"/>
      <c r="I191" s="88"/>
      <c r="J191" s="88"/>
      <c r="K191" s="88"/>
      <c r="L191" s="88"/>
      <c r="M191" s="88"/>
      <c r="N191" s="88"/>
      <c r="S191" s="92"/>
      <c r="T191" s="92"/>
      <c r="U191" s="739" t="s">
        <v>108</v>
      </c>
      <c r="V191" s="739"/>
      <c r="W191" s="739"/>
      <c r="X191" s="739"/>
      <c r="Y191" s="739"/>
      <c r="Z191" s="739"/>
      <c r="AA191" s="752"/>
      <c r="AB191" s="88"/>
      <c r="AC191" s="88"/>
      <c r="AD191" s="88"/>
      <c r="AE191" s="88"/>
    </row>
    <row r="192" spans="1:53" x14ac:dyDescent="0.2">
      <c r="A192" s="88"/>
      <c r="B192" s="88"/>
      <c r="C192" s="88"/>
      <c r="D192" s="88"/>
      <c r="E192" s="88"/>
      <c r="F192" s="91"/>
      <c r="G192" s="88"/>
      <c r="H192" s="88"/>
      <c r="I192" s="88"/>
      <c r="J192" s="88"/>
      <c r="K192" s="88"/>
      <c r="L192" s="88"/>
      <c r="M192" s="88"/>
      <c r="N192" s="88"/>
      <c r="R192" s="88"/>
      <c r="S192" s="88"/>
      <c r="T192" s="88"/>
      <c r="U192" s="88"/>
      <c r="V192" s="88"/>
      <c r="W192" s="88"/>
      <c r="X192" s="88"/>
      <c r="Y192" s="88"/>
      <c r="Z192" s="88"/>
      <c r="AA192" s="165"/>
      <c r="AB192" s="88"/>
      <c r="AC192" s="88"/>
      <c r="AD192" s="88"/>
      <c r="AE192" s="88"/>
    </row>
    <row r="193" spans="1:53" ht="13.5" thickBot="1" x14ac:dyDescent="0.25">
      <c r="A193" s="739" t="str">
        <f>B212&amp;" ref"</f>
        <v>Palm Strikers 12 Platinum ref</v>
      </c>
      <c r="B193" s="739"/>
      <c r="C193" s="739"/>
      <c r="D193" s="739"/>
      <c r="E193" s="752"/>
      <c r="F193" s="748" t="str">
        <f>IF(H218=1,B210,IF(H218=2,B211,IF(H218=3,B212,IF(H218=4,B213,"Winner Match 1"))))</f>
        <v>Lake Murray 12 Black</v>
      </c>
      <c r="G193" s="749"/>
      <c r="H193" s="749"/>
      <c r="I193" s="749"/>
      <c r="J193" s="749"/>
      <c r="K193" s="749"/>
      <c r="L193" s="749"/>
      <c r="M193" s="749"/>
      <c r="N193" s="88"/>
      <c r="P193" s="96"/>
      <c r="Q193" s="96"/>
      <c r="R193" s="96"/>
      <c r="S193" s="96"/>
      <c r="T193" s="739" t="str">
        <f>X212&amp;" ref"</f>
        <v>Kershaw 12 Black ref</v>
      </c>
      <c r="U193" s="739"/>
      <c r="V193" s="739"/>
      <c r="W193" s="739"/>
      <c r="X193" s="739"/>
      <c r="Y193" s="739"/>
      <c r="Z193" s="739"/>
      <c r="AA193" s="752"/>
      <c r="AB193" s="748" t="str">
        <f>IF(AC218=1,X210,IF(AC218=2,X211,IF(AC218=3,X212,IF(AC218=4,X213,"Winner Match 1"))))</f>
        <v>C1VB 12 State Greenville</v>
      </c>
      <c r="AC193" s="749"/>
      <c r="AD193" s="749"/>
      <c r="AE193" s="749"/>
      <c r="AF193" s="749"/>
      <c r="AG193" s="749"/>
      <c r="AH193" s="749"/>
    </row>
    <row r="194" spans="1:53" x14ac:dyDescent="0.2">
      <c r="A194" s="746" t="s">
        <v>109</v>
      </c>
      <c r="B194" s="746"/>
      <c r="C194" s="746"/>
      <c r="D194" s="746"/>
      <c r="E194" s="746"/>
      <c r="F194" s="759"/>
      <c r="G194" s="760"/>
      <c r="H194" s="760"/>
      <c r="I194" s="761"/>
      <c r="J194" s="744"/>
      <c r="K194" s="745"/>
      <c r="L194" s="745"/>
      <c r="M194" s="745"/>
      <c r="N194" s="88"/>
      <c r="O194" s="88"/>
      <c r="P194" s="95"/>
      <c r="Q194" s="10"/>
      <c r="R194" s="102"/>
      <c r="S194" s="102"/>
      <c r="T194" s="762" t="s">
        <v>110</v>
      </c>
      <c r="U194" s="762"/>
      <c r="V194" s="762"/>
      <c r="W194" s="762"/>
      <c r="X194" s="762"/>
      <c r="Y194" s="762"/>
      <c r="Z194" s="762"/>
      <c r="AA194" s="165"/>
      <c r="AB194" s="759"/>
      <c r="AC194" s="760"/>
      <c r="AD194" s="760"/>
      <c r="AE194" s="761"/>
      <c r="AF194" s="744"/>
      <c r="AG194" s="745"/>
      <c r="AH194" s="745"/>
    </row>
    <row r="195" spans="1:53" ht="13.5" thickBot="1" x14ac:dyDescent="0.25">
      <c r="A195" s="736" t="str">
        <f>IF(D218=1,B210,IF(D218=2,B211,IF(D218=3,B212,IF(D218=4,B213,IF(OR(D218="B",D218="b"),"BYE","invalid")))))</f>
        <v>Lake Murray 12 Black</v>
      </c>
      <c r="B195" s="736"/>
      <c r="C195" s="736"/>
      <c r="D195" s="736"/>
      <c r="E195" s="737"/>
      <c r="F195" s="91"/>
      <c r="G195" s="88"/>
      <c r="H195" s="88"/>
      <c r="I195" s="88"/>
      <c r="J195" s="91"/>
      <c r="K195" s="88"/>
      <c r="L195" s="88"/>
      <c r="M195" s="88"/>
      <c r="N195" s="88"/>
      <c r="O195" s="88"/>
      <c r="P195" s="88"/>
      <c r="T195" s="88"/>
      <c r="U195" s="736" t="str">
        <f>IF(Y218=1,X210,IF(Y218=2,X211,IF(Y218=3,X212,IF(Y218=4,X213,IF(OR(Y218="B",Y218="b"),"BYE","invalid")))))</f>
        <v>MOTO 12'1</v>
      </c>
      <c r="V195" s="736"/>
      <c r="W195" s="736"/>
      <c r="X195" s="736"/>
      <c r="Y195" s="736"/>
      <c r="Z195" s="736"/>
      <c r="AA195" s="737"/>
      <c r="AB195" s="88"/>
      <c r="AC195" s="88"/>
      <c r="AD195" s="88"/>
      <c r="AE195" s="165"/>
      <c r="AF195" s="88"/>
      <c r="AG195" s="88"/>
    </row>
    <row r="196" spans="1:53" x14ac:dyDescent="0.2">
      <c r="A196" s="738" t="s">
        <v>111</v>
      </c>
      <c r="B196" s="738"/>
      <c r="C196" s="738"/>
      <c r="D196" s="738"/>
      <c r="E196" s="738"/>
      <c r="F196" s="88"/>
      <c r="G196" s="88"/>
      <c r="H196" s="88"/>
      <c r="I196" s="88"/>
      <c r="J196" s="91"/>
      <c r="K196" s="88"/>
      <c r="L196" s="88"/>
      <c r="M196" s="88"/>
      <c r="N196" s="88"/>
      <c r="O196" s="88"/>
      <c r="P196" s="88"/>
      <c r="U196" s="757" t="s">
        <v>112</v>
      </c>
      <c r="V196" s="757"/>
      <c r="W196" s="757"/>
      <c r="X196" s="757"/>
      <c r="Y196" s="757"/>
      <c r="Z196" s="757"/>
      <c r="AA196" s="757"/>
      <c r="AB196" s="88"/>
      <c r="AC196" s="88"/>
      <c r="AD196" s="88"/>
      <c r="AE196" s="165"/>
      <c r="AF196" s="88"/>
      <c r="AG196" s="88"/>
      <c r="AQ196" s="104"/>
      <c r="AR196" s="104"/>
      <c r="AS196" s="104"/>
    </row>
    <row r="197" spans="1:53" x14ac:dyDescent="0.2">
      <c r="A197" s="88"/>
      <c r="B197" s="88"/>
      <c r="C197" s="88"/>
      <c r="D197" s="88"/>
      <c r="E197" s="88"/>
      <c r="F197" s="751" t="s">
        <v>113</v>
      </c>
      <c r="G197" s="751"/>
      <c r="H197" s="751"/>
      <c r="I197" s="758"/>
      <c r="J197" s="91"/>
      <c r="K197" s="88"/>
      <c r="L197" s="88"/>
      <c r="M197" s="88"/>
      <c r="N197" s="88"/>
      <c r="O197" s="88"/>
      <c r="P197" s="88"/>
      <c r="R197" s="88"/>
      <c r="S197" s="88"/>
      <c r="T197" s="88"/>
      <c r="U197" s="88"/>
      <c r="V197" s="88"/>
      <c r="W197" s="96"/>
      <c r="X197" s="96"/>
      <c r="Y197" s="96"/>
      <c r="AA197" s="96"/>
      <c r="AB197" s="751" t="s">
        <v>113</v>
      </c>
      <c r="AC197" s="751"/>
      <c r="AD197" s="751"/>
      <c r="AE197" s="758"/>
      <c r="AF197" s="88"/>
      <c r="AG197" s="88"/>
    </row>
    <row r="198" spans="1:53" ht="13.5" thickBot="1" x14ac:dyDescent="0.25">
      <c r="A198" s="88"/>
      <c r="B198" s="88"/>
      <c r="C198" s="88"/>
      <c r="D198" s="88"/>
      <c r="E198" s="88"/>
      <c r="F198" s="88"/>
      <c r="G198" s="88"/>
      <c r="H198" s="88"/>
      <c r="I198" s="88"/>
      <c r="J198" s="753" t="str">
        <f>IF(K223=1,B210,IF(K223=2,B211,IF(K223=3,B212,IF(K223=4,B213,"Division Winner"))))</f>
        <v>Lake Murray 12 Black</v>
      </c>
      <c r="K198" s="754"/>
      <c r="L198" s="754"/>
      <c r="M198" s="754"/>
      <c r="N198" s="754"/>
      <c r="O198" s="754"/>
      <c r="P198" s="754"/>
      <c r="Q198" s="89"/>
      <c r="R198" s="88"/>
      <c r="S198" s="88"/>
      <c r="T198" s="88"/>
      <c r="U198" s="88"/>
      <c r="V198" s="88"/>
      <c r="W198" s="88"/>
      <c r="X198" s="88"/>
      <c r="Y198" s="88"/>
      <c r="Z198" s="88"/>
      <c r="AA198" s="107"/>
      <c r="AB198" s="107"/>
      <c r="AC198" s="107"/>
      <c r="AD198" s="107"/>
      <c r="AE198" s="166"/>
      <c r="AF198" s="754" t="str">
        <f>IF(AF223=1,X210,IF(AF223=2,X211,IF(AF223=3,X212,IF(AF223=4,X213,"Division Winner"))))</f>
        <v>C1VB 12 State Greenville</v>
      </c>
      <c r="AG198" s="754"/>
      <c r="AH198" s="754"/>
      <c r="AI198" s="754"/>
      <c r="AJ198" s="754"/>
      <c r="AK198" s="107"/>
    </row>
    <row r="199" spans="1:53" ht="13.5" thickBot="1" x14ac:dyDescent="0.25">
      <c r="A199" s="736" t="str">
        <f>IF(E218=1,B210,IF(E218=2,B211,IF(E218=3,B212,IF(E218=4,B213,IF(OR(E218="B",E218="b"),"BYE","invalid")))))</f>
        <v>C1VB 12 State Pickens</v>
      </c>
      <c r="B199" s="736"/>
      <c r="C199" s="736"/>
      <c r="D199" s="736"/>
      <c r="E199" s="736"/>
      <c r="F199" s="746" t="s">
        <v>114</v>
      </c>
      <c r="G199" s="746"/>
      <c r="H199" s="746"/>
      <c r="I199" s="746"/>
      <c r="J199" s="750" t="s">
        <v>115</v>
      </c>
      <c r="K199" s="751"/>
      <c r="L199" s="751"/>
      <c r="M199" s="751"/>
      <c r="N199" s="751"/>
      <c r="O199" s="751"/>
      <c r="P199" s="751"/>
      <c r="R199" s="107"/>
      <c r="S199" s="107"/>
      <c r="T199" s="107"/>
      <c r="U199" s="736" t="str">
        <f>IF(Z218=1,X210,IF(Z218=2,X211,IF(Z218=3,X212,IF(Z218=4,X213,IF(OR(Z218="B",Z218="b"),"BYE","invalid")))))</f>
        <v>Foothills 12U King</v>
      </c>
      <c r="V199" s="736"/>
      <c r="W199" s="736"/>
      <c r="X199" s="736"/>
      <c r="Y199" s="736"/>
      <c r="Z199" s="736"/>
      <c r="AA199" s="736"/>
      <c r="AB199" s="746" t="s">
        <v>116</v>
      </c>
      <c r="AC199" s="746"/>
      <c r="AD199" s="746"/>
      <c r="AE199" s="747"/>
      <c r="AF199" s="755" t="s">
        <v>117</v>
      </c>
      <c r="AG199" s="756"/>
      <c r="AH199" s="756"/>
      <c r="AI199" s="756"/>
      <c r="AJ199" s="756"/>
    </row>
    <row r="200" spans="1:53" x14ac:dyDescent="0.2">
      <c r="A200" s="738" t="s">
        <v>118</v>
      </c>
      <c r="B200" s="738"/>
      <c r="C200" s="738"/>
      <c r="D200" s="738"/>
      <c r="E200" s="738"/>
      <c r="F200" s="91"/>
      <c r="G200" s="88"/>
      <c r="H200" s="88"/>
      <c r="I200" s="88"/>
      <c r="J200" s="750"/>
      <c r="K200" s="751"/>
      <c r="L200" s="751"/>
      <c r="M200" s="751"/>
      <c r="N200" s="751"/>
      <c r="O200" s="751"/>
      <c r="P200" s="751"/>
      <c r="Q200" s="88"/>
      <c r="R200" s="104"/>
      <c r="S200" s="104"/>
      <c r="T200" s="104"/>
      <c r="U200" s="739" t="s">
        <v>119</v>
      </c>
      <c r="V200" s="739"/>
      <c r="W200" s="739"/>
      <c r="X200" s="739"/>
      <c r="Y200" s="739"/>
      <c r="Z200" s="739"/>
      <c r="AA200" s="752"/>
      <c r="AB200" s="88"/>
      <c r="AC200" s="88"/>
      <c r="AD200" s="88"/>
      <c r="AE200" s="165"/>
      <c r="AF200" s="88"/>
      <c r="AG200" s="88"/>
    </row>
    <row r="201" spans="1:53" x14ac:dyDescent="0.2">
      <c r="A201" s="88"/>
      <c r="B201" s="88"/>
      <c r="C201" s="88"/>
      <c r="D201" s="88"/>
      <c r="E201" s="88"/>
      <c r="F201" s="91"/>
      <c r="G201" s="88"/>
      <c r="H201" s="88"/>
      <c r="I201" s="88"/>
      <c r="J201" s="91"/>
      <c r="K201" s="88"/>
      <c r="L201" s="88"/>
      <c r="M201" s="88"/>
      <c r="N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165"/>
      <c r="AB201" s="91"/>
      <c r="AC201" s="88"/>
      <c r="AD201" s="88"/>
      <c r="AE201" s="165"/>
      <c r="AF201" s="88"/>
      <c r="AG201" s="88"/>
      <c r="AW201" s="146"/>
      <c r="AX201" s="54"/>
      <c r="AY201" s="54"/>
      <c r="AZ201" s="54"/>
      <c r="BA201" s="54"/>
    </row>
    <row r="202" spans="1:53" ht="13.5" thickBot="1" x14ac:dyDescent="0.25">
      <c r="A202" s="751" t="s">
        <v>120</v>
      </c>
      <c r="B202" s="751"/>
      <c r="C202" s="751"/>
      <c r="D202" s="751"/>
      <c r="E202" s="95"/>
      <c r="F202" s="741"/>
      <c r="G202" s="742"/>
      <c r="H202" s="742"/>
      <c r="I202" s="743"/>
      <c r="J202" s="744"/>
      <c r="K202" s="745"/>
      <c r="L202" s="745"/>
      <c r="M202" s="745"/>
      <c r="N202" s="88"/>
      <c r="Q202" s="96"/>
      <c r="R202" s="96"/>
      <c r="S202" s="96"/>
      <c r="T202" s="751" t="s">
        <v>120</v>
      </c>
      <c r="U202" s="751"/>
      <c r="V202" s="751"/>
      <c r="W202" s="751"/>
      <c r="X202" s="751"/>
      <c r="Y202" s="751"/>
      <c r="Z202" s="751"/>
      <c r="AA202" s="88"/>
      <c r="AB202" s="741"/>
      <c r="AC202" s="742"/>
      <c r="AD202" s="742"/>
      <c r="AE202" s="743"/>
      <c r="AF202" s="744"/>
      <c r="AG202" s="745"/>
      <c r="AH202" s="745"/>
      <c r="AW202" s="146"/>
      <c r="AX202" s="54"/>
      <c r="AY202" s="54"/>
      <c r="AZ202" s="54"/>
      <c r="BA202" s="54"/>
    </row>
    <row r="203" spans="1:53" x14ac:dyDescent="0.2">
      <c r="A203" s="746" t="s">
        <v>109</v>
      </c>
      <c r="B203" s="746"/>
      <c r="C203" s="746"/>
      <c r="D203" s="746"/>
      <c r="E203" s="747"/>
      <c r="F203" s="748" t="str">
        <f>IF(J218=1,B210,IF(J218=2,B211,IF(J218=3,B212,IF(J218=4,B213,"Winner Match 2"))))</f>
        <v>C1VB 12 State Pickens</v>
      </c>
      <c r="G203" s="749"/>
      <c r="H203" s="749"/>
      <c r="I203" s="749"/>
      <c r="J203" s="749"/>
      <c r="K203" s="749"/>
      <c r="L203" s="749"/>
      <c r="M203" s="749"/>
      <c r="N203" s="88"/>
      <c r="P203" s="95"/>
      <c r="Q203" s="95"/>
      <c r="S203" s="102"/>
      <c r="T203" s="746" t="s">
        <v>110</v>
      </c>
      <c r="U203" s="746"/>
      <c r="V203" s="746"/>
      <c r="W203" s="746"/>
      <c r="X203" s="746"/>
      <c r="Y203" s="746"/>
      <c r="Z203" s="746"/>
      <c r="AA203" s="165"/>
      <c r="AB203" s="748" t="str">
        <f>IF(AE218=1,X210,IF(AE218=2,X211,IF(AE218=3,X212,IF(AE218=4,X213,"Winner Match 2"))))</f>
        <v>Foothills 12U King</v>
      </c>
      <c r="AC203" s="749"/>
      <c r="AD203" s="749"/>
      <c r="AE203" s="749"/>
      <c r="AF203" s="749"/>
      <c r="AG203" s="749"/>
      <c r="AH203" s="749"/>
      <c r="AW203" s="146"/>
      <c r="AX203" s="54"/>
      <c r="AY203" s="54"/>
      <c r="AZ203" s="54"/>
      <c r="BA203" s="54"/>
    </row>
    <row r="204" spans="1:53" ht="13.5" thickBot="1" x14ac:dyDescent="0.25">
      <c r="A204" s="736" t="str">
        <f>IF(G218=1,B210,IF(G218=2,B211,IF(G218=3,B212,IF(G218=4,B213,IF(OR(G218="B",G218="b"),"BYE","invalid")))))</f>
        <v>Palm Strikers 12 Platinum</v>
      </c>
      <c r="B204" s="736"/>
      <c r="C204" s="736"/>
      <c r="D204" s="736"/>
      <c r="E204" s="737"/>
      <c r="F204" s="91"/>
      <c r="G204" s="88"/>
      <c r="H204" s="88"/>
      <c r="I204" s="88"/>
      <c r="J204" s="88"/>
      <c r="K204" s="88"/>
      <c r="L204" s="88"/>
      <c r="M204" s="88"/>
      <c r="N204" s="88"/>
      <c r="P204" s="88"/>
      <c r="Q204" s="88"/>
      <c r="R204" s="88"/>
      <c r="S204" s="107"/>
      <c r="T204" s="107"/>
      <c r="U204" s="736" t="str">
        <f>IF(AB218=1,X210,IF(AB218=2,X211,IF(AB218=3,X212,IF(AB218=4,X213,IF(OR(AB218="B",AB218="b"),"BYE","invalid")))))</f>
        <v>Kershaw 12 Black</v>
      </c>
      <c r="V204" s="736"/>
      <c r="W204" s="736"/>
      <c r="X204" s="736"/>
      <c r="Y204" s="736"/>
      <c r="Z204" s="736"/>
      <c r="AA204" s="737"/>
      <c r="AB204" s="88"/>
      <c r="AC204" s="88"/>
      <c r="AD204" s="88"/>
      <c r="AE204" s="88"/>
      <c r="AW204" s="146"/>
      <c r="AX204" s="54"/>
      <c r="AY204" s="54"/>
      <c r="AZ204" s="54"/>
      <c r="BA204" s="54"/>
    </row>
    <row r="205" spans="1:53" x14ac:dyDescent="0.2">
      <c r="A205" s="738" t="s">
        <v>121</v>
      </c>
      <c r="B205" s="738"/>
      <c r="C205" s="738"/>
      <c r="D205" s="738"/>
      <c r="E205" s="738"/>
      <c r="S205" s="104"/>
      <c r="T205" s="104"/>
      <c r="U205" s="739" t="s">
        <v>122</v>
      </c>
      <c r="V205" s="739"/>
      <c r="W205" s="739"/>
      <c r="X205" s="739"/>
      <c r="Y205" s="739"/>
      <c r="Z205" s="739"/>
      <c r="AA205" s="739"/>
      <c r="AW205" s="146"/>
      <c r="AX205" s="54"/>
      <c r="AY205" s="54"/>
      <c r="AZ205" s="54"/>
      <c r="BA205" s="54"/>
    </row>
    <row r="206" spans="1:53" x14ac:dyDescent="0.2">
      <c r="AT206" s="54"/>
      <c r="AU206" s="54"/>
      <c r="AV206" s="54"/>
      <c r="AW206" s="146"/>
      <c r="AX206" s="54"/>
      <c r="AY206" s="54"/>
      <c r="AZ206" s="54"/>
      <c r="BA206" s="54"/>
    </row>
    <row r="207" spans="1:53" x14ac:dyDescent="0.2">
      <c r="AT207" s="54"/>
      <c r="AU207" s="54"/>
      <c r="AV207" s="54"/>
      <c r="AW207" s="146"/>
      <c r="AX207" s="54"/>
      <c r="AY207" s="54"/>
      <c r="AZ207" s="54"/>
      <c r="BA207" s="54"/>
    </row>
    <row r="208" spans="1:53" ht="16.5" thickBot="1" x14ac:dyDescent="0.3">
      <c r="A208" s="740" t="s">
        <v>123</v>
      </c>
      <c r="B208" s="740"/>
      <c r="C208" s="740"/>
      <c r="D208" s="740"/>
      <c r="E208" s="740"/>
      <c r="F208" s="740"/>
      <c r="G208" s="740"/>
      <c r="H208" s="740"/>
      <c r="I208" s="740"/>
      <c r="J208" s="740"/>
      <c r="Q208" s="82"/>
      <c r="R208" s="82"/>
      <c r="S208" s="82"/>
      <c r="U208" s="740" t="s">
        <v>124</v>
      </c>
      <c r="V208" s="740"/>
      <c r="W208" s="740"/>
      <c r="X208" s="740"/>
      <c r="Y208" s="740"/>
      <c r="Z208" s="740"/>
      <c r="AA208" s="740"/>
      <c r="AB208" s="740"/>
      <c r="AC208" s="740"/>
      <c r="AD208" s="740"/>
      <c r="AE208" s="740"/>
      <c r="AF208" s="740"/>
      <c r="AT208" s="54"/>
      <c r="AU208" s="54"/>
      <c r="AV208" s="54"/>
      <c r="AW208" s="146"/>
      <c r="AX208" s="54"/>
      <c r="AY208" s="54"/>
      <c r="AZ208" s="54"/>
      <c r="BA208" s="54"/>
    </row>
    <row r="209" spans="1:53" ht="13.5" thickBot="1" x14ac:dyDescent="0.25">
      <c r="A209" s="113" t="s">
        <v>125</v>
      </c>
      <c r="B209" s="730" t="s">
        <v>126</v>
      </c>
      <c r="C209" s="731"/>
      <c r="D209" s="731"/>
      <c r="E209" s="731"/>
      <c r="F209" s="731"/>
      <c r="G209" s="731"/>
      <c r="H209" s="731"/>
      <c r="I209" s="731"/>
      <c r="J209" s="732"/>
      <c r="K209" s="733" t="s">
        <v>127</v>
      </c>
      <c r="L209" s="734"/>
      <c r="M209" s="734"/>
      <c r="N209" s="734"/>
      <c r="O209" s="734"/>
      <c r="P209" s="734"/>
      <c r="Q209" s="735"/>
      <c r="U209" s="718" t="s">
        <v>125</v>
      </c>
      <c r="V209" s="719"/>
      <c r="W209" s="720"/>
      <c r="X209" s="730" t="s">
        <v>126</v>
      </c>
      <c r="Y209" s="731"/>
      <c r="Z209" s="731"/>
      <c r="AA209" s="731"/>
      <c r="AB209" s="731"/>
      <c r="AC209" s="731"/>
      <c r="AD209" s="731"/>
      <c r="AE209" s="731"/>
      <c r="AF209" s="732"/>
      <c r="AG209" s="733" t="s">
        <v>127</v>
      </c>
      <c r="AH209" s="734"/>
      <c r="AI209" s="734"/>
      <c r="AJ209" s="734"/>
      <c r="AK209" s="734"/>
      <c r="AL209" s="734"/>
      <c r="AM209" s="735"/>
      <c r="AT209" s="54"/>
      <c r="AU209" s="54"/>
      <c r="AV209" s="54"/>
      <c r="AW209" s="146"/>
      <c r="AX209" s="54"/>
      <c r="AY209" s="54"/>
      <c r="AZ209" s="54"/>
      <c r="BA209" s="54"/>
    </row>
    <row r="210" spans="1:53" ht="13.5" thickBot="1" x14ac:dyDescent="0.25">
      <c r="A210" s="113">
        <v>1</v>
      </c>
      <c r="B210" s="712" t="str">
        <f>B179</f>
        <v>OLC 12s Purple</v>
      </c>
      <c r="C210" s="713"/>
      <c r="D210" s="713"/>
      <c r="E210" s="713"/>
      <c r="F210" s="713"/>
      <c r="G210" s="713"/>
      <c r="H210" s="713"/>
      <c r="I210" s="713"/>
      <c r="J210" s="714"/>
      <c r="K210" s="715" t="str">
        <f>H179</f>
        <v>fj2ladyc1pm</v>
      </c>
      <c r="L210" s="716"/>
      <c r="M210" s="716"/>
      <c r="N210" s="716"/>
      <c r="O210" s="716"/>
      <c r="P210" s="716"/>
      <c r="Q210" s="717"/>
      <c r="U210" s="718">
        <v>1</v>
      </c>
      <c r="V210" s="719"/>
      <c r="W210" s="720"/>
      <c r="X210" s="712" t="str">
        <f>V179</f>
        <v>C1VB 12 State Greenville</v>
      </c>
      <c r="Y210" s="713"/>
      <c r="Z210" s="713"/>
      <c r="AA210" s="713"/>
      <c r="AB210" s="713"/>
      <c r="AC210" s="713"/>
      <c r="AD210" s="713"/>
      <c r="AE210" s="713"/>
      <c r="AF210" s="714"/>
      <c r="AG210" s="715" t="str">
        <f>AB179</f>
        <v>fj2crone4pm</v>
      </c>
      <c r="AH210" s="716"/>
      <c r="AI210" s="716"/>
      <c r="AJ210" s="716"/>
      <c r="AK210" s="716"/>
      <c r="AL210" s="716"/>
      <c r="AM210" s="717"/>
      <c r="AT210" s="54"/>
      <c r="AU210" s="54"/>
      <c r="AV210" s="54"/>
      <c r="AW210" s="146"/>
      <c r="AX210" s="54"/>
      <c r="AY210" s="54"/>
      <c r="AZ210" s="54"/>
      <c r="BA210" s="54"/>
    </row>
    <row r="211" spans="1:53" ht="13.5" thickBot="1" x14ac:dyDescent="0.25">
      <c r="A211" s="113">
        <v>2</v>
      </c>
      <c r="B211" s="712" t="str">
        <f>B180</f>
        <v>C1VB 12 State Pickens</v>
      </c>
      <c r="C211" s="713"/>
      <c r="D211" s="713"/>
      <c r="E211" s="713"/>
      <c r="F211" s="713"/>
      <c r="G211" s="713"/>
      <c r="H211" s="713"/>
      <c r="I211" s="713"/>
      <c r="J211" s="714"/>
      <c r="K211" s="715" t="str">
        <f>H180</f>
        <v>fj2crone5pm</v>
      </c>
      <c r="L211" s="716"/>
      <c r="M211" s="716"/>
      <c r="N211" s="716"/>
      <c r="O211" s="716"/>
      <c r="P211" s="716"/>
      <c r="Q211" s="717"/>
      <c r="U211" s="718">
        <v>2</v>
      </c>
      <c r="V211" s="719"/>
      <c r="W211" s="720"/>
      <c r="X211" s="712" t="str">
        <f>V180</f>
        <v>Foothills 12U King</v>
      </c>
      <c r="Y211" s="713"/>
      <c r="Z211" s="713"/>
      <c r="AA211" s="713"/>
      <c r="AB211" s="713"/>
      <c r="AC211" s="713"/>
      <c r="AD211" s="713"/>
      <c r="AE211" s="713"/>
      <c r="AF211" s="714"/>
      <c r="AG211" s="715" t="str">
        <f>AB180</f>
        <v>fj2footh1pm</v>
      </c>
      <c r="AH211" s="716"/>
      <c r="AI211" s="716"/>
      <c r="AJ211" s="716"/>
      <c r="AK211" s="716"/>
      <c r="AL211" s="716"/>
      <c r="AM211" s="717"/>
      <c r="AT211" s="54"/>
      <c r="AU211" s="54"/>
      <c r="AV211" s="54"/>
      <c r="AW211" s="146"/>
      <c r="AX211" s="54"/>
      <c r="AY211" s="54"/>
      <c r="AZ211" s="54"/>
      <c r="BA211" s="54"/>
    </row>
    <row r="212" spans="1:53" ht="13.5" thickBot="1" x14ac:dyDescent="0.25">
      <c r="A212" s="113">
        <v>3</v>
      </c>
      <c r="B212" s="712" t="str">
        <f>L179</f>
        <v>Palm Strikers 12 Platinum</v>
      </c>
      <c r="C212" s="713"/>
      <c r="D212" s="713"/>
      <c r="E212" s="713"/>
      <c r="F212" s="713"/>
      <c r="G212" s="713"/>
      <c r="H212" s="713"/>
      <c r="I212" s="713"/>
      <c r="J212" s="714"/>
      <c r="K212" s="715" t="str">
        <f>R179</f>
        <v>fj2pstri1pm</v>
      </c>
      <c r="L212" s="716"/>
      <c r="M212" s="716"/>
      <c r="N212" s="716"/>
      <c r="O212" s="716"/>
      <c r="P212" s="716"/>
      <c r="Q212" s="717"/>
      <c r="U212" s="718">
        <v>3</v>
      </c>
      <c r="V212" s="719"/>
      <c r="W212" s="720"/>
      <c r="X212" s="712" t="str">
        <f>AF179</f>
        <v>Kershaw 12 Black</v>
      </c>
      <c r="Y212" s="713"/>
      <c r="Z212" s="713"/>
      <c r="AA212" s="713"/>
      <c r="AB212" s="713"/>
      <c r="AC212" s="713"/>
      <c r="AD212" s="713"/>
      <c r="AE212" s="713"/>
      <c r="AF212" s="714"/>
      <c r="AG212" s="715" t="str">
        <f>AL179</f>
        <v>fj2kersh1pm</v>
      </c>
      <c r="AH212" s="716"/>
      <c r="AI212" s="716"/>
      <c r="AJ212" s="716"/>
      <c r="AK212" s="716"/>
      <c r="AL212" s="716"/>
      <c r="AM212" s="717"/>
      <c r="AT212" s="54"/>
      <c r="AU212" s="54"/>
      <c r="AV212" s="54"/>
      <c r="AW212" s="146"/>
      <c r="AX212" s="54"/>
      <c r="AY212" s="54"/>
      <c r="AZ212" s="54"/>
      <c r="BA212" s="54"/>
    </row>
    <row r="213" spans="1:53" ht="13.5" thickBot="1" x14ac:dyDescent="0.25">
      <c r="A213" s="113">
        <v>4</v>
      </c>
      <c r="B213" s="712" t="str">
        <f>L180</f>
        <v>Lake Murray 12 Black</v>
      </c>
      <c r="C213" s="713"/>
      <c r="D213" s="713"/>
      <c r="E213" s="713"/>
      <c r="F213" s="713"/>
      <c r="G213" s="713"/>
      <c r="H213" s="713"/>
      <c r="I213" s="713"/>
      <c r="J213" s="714"/>
      <c r="K213" s="715" t="str">
        <f>R180</f>
        <v>fj2lakem1pm</v>
      </c>
      <c r="L213" s="716"/>
      <c r="M213" s="716"/>
      <c r="N213" s="716"/>
      <c r="O213" s="716"/>
      <c r="P213" s="716"/>
      <c r="Q213" s="717"/>
      <c r="U213" s="718">
        <v>4</v>
      </c>
      <c r="V213" s="719"/>
      <c r="W213" s="720"/>
      <c r="X213" s="712" t="str">
        <f>AF180</f>
        <v>MOTO 12'1</v>
      </c>
      <c r="Y213" s="713"/>
      <c r="Z213" s="713"/>
      <c r="AA213" s="713"/>
      <c r="AB213" s="713"/>
      <c r="AC213" s="713"/>
      <c r="AD213" s="713"/>
      <c r="AE213" s="713"/>
      <c r="AF213" s="714"/>
      <c r="AG213" s="715" t="str">
        <f>AL180</f>
        <v>fj1motoj1pm</v>
      </c>
      <c r="AH213" s="716"/>
      <c r="AI213" s="716"/>
      <c r="AJ213" s="716"/>
      <c r="AK213" s="716"/>
      <c r="AL213" s="716"/>
      <c r="AM213" s="717"/>
      <c r="AT213" s="54"/>
      <c r="AU213" s="54"/>
      <c r="AV213" s="54"/>
      <c r="AW213" s="146"/>
      <c r="AX213" s="54"/>
      <c r="AY213" s="54"/>
      <c r="AZ213" s="54"/>
      <c r="BA213" s="54"/>
    </row>
    <row r="214" spans="1:53" ht="13.5" thickBot="1" x14ac:dyDescent="0.25">
      <c r="AT214" s="54"/>
      <c r="AU214" s="54"/>
      <c r="AV214" s="54"/>
      <c r="AW214" s="146"/>
      <c r="AX214" s="54"/>
      <c r="AY214" s="54"/>
      <c r="AZ214" s="54"/>
      <c r="BA214" s="54"/>
    </row>
    <row r="215" spans="1:53" x14ac:dyDescent="0.2">
      <c r="B215" s="721" t="s">
        <v>128</v>
      </c>
      <c r="C215" s="693"/>
      <c r="D215" s="694"/>
      <c r="E215" s="692" t="s">
        <v>128</v>
      </c>
      <c r="F215" s="693"/>
      <c r="G215" s="694"/>
      <c r="H215" s="692" t="s">
        <v>11</v>
      </c>
      <c r="I215" s="693"/>
      <c r="J215" s="695"/>
      <c r="K215" s="696" t="s">
        <v>129</v>
      </c>
      <c r="L215" s="722"/>
      <c r="M215" s="722"/>
      <c r="N215" s="722"/>
      <c r="O215" s="722"/>
      <c r="P215" s="722"/>
      <c r="Q215" s="723"/>
      <c r="R215" s="85"/>
      <c r="S215" s="85"/>
      <c r="T215" s="85"/>
      <c r="U215" s="85"/>
      <c r="W215" s="721" t="s">
        <v>128</v>
      </c>
      <c r="X215" s="693"/>
      <c r="Y215" s="694"/>
      <c r="Z215" s="692" t="s">
        <v>128</v>
      </c>
      <c r="AA215" s="693"/>
      <c r="AB215" s="694"/>
      <c r="AC215" s="692" t="s">
        <v>11</v>
      </c>
      <c r="AD215" s="693"/>
      <c r="AE215" s="695"/>
      <c r="AF215" s="696" t="s">
        <v>129</v>
      </c>
      <c r="AG215" s="697"/>
      <c r="AH215" s="697"/>
      <c r="AI215" s="697"/>
      <c r="AJ215" s="698"/>
      <c r="AW215" s="146"/>
      <c r="AX215" s="54"/>
      <c r="AY215" s="54"/>
      <c r="AZ215" s="54"/>
      <c r="BA215" s="54"/>
    </row>
    <row r="216" spans="1:53" x14ac:dyDescent="0.2">
      <c r="A216" s="41" t="s">
        <v>130</v>
      </c>
      <c r="B216" s="705">
        <v>3</v>
      </c>
      <c r="C216" s="706"/>
      <c r="D216" s="707"/>
      <c r="E216" s="708" t="s">
        <v>131</v>
      </c>
      <c r="F216" s="706"/>
      <c r="G216" s="707"/>
      <c r="H216" s="708" t="s">
        <v>132</v>
      </c>
      <c r="I216" s="706"/>
      <c r="J216" s="709"/>
      <c r="K216" s="724"/>
      <c r="L216" s="725"/>
      <c r="M216" s="725"/>
      <c r="N216" s="725"/>
      <c r="O216" s="725"/>
      <c r="P216" s="725"/>
      <c r="Q216" s="726"/>
      <c r="R216" s="85"/>
      <c r="S216" s="85"/>
      <c r="T216" s="710" t="s">
        <v>130</v>
      </c>
      <c r="U216" s="710"/>
      <c r="V216" s="711"/>
      <c r="W216" s="705">
        <v>3</v>
      </c>
      <c r="X216" s="706"/>
      <c r="Y216" s="707"/>
      <c r="Z216" s="708" t="s">
        <v>131</v>
      </c>
      <c r="AA216" s="706"/>
      <c r="AB216" s="707"/>
      <c r="AC216" s="708" t="s">
        <v>132</v>
      </c>
      <c r="AD216" s="706"/>
      <c r="AE216" s="709"/>
      <c r="AF216" s="699"/>
      <c r="AG216" s="700"/>
      <c r="AH216" s="700"/>
      <c r="AI216" s="700"/>
      <c r="AJ216" s="701"/>
      <c r="AW216" s="146"/>
      <c r="AX216" s="54"/>
      <c r="AY216" s="54"/>
      <c r="AZ216" s="54"/>
      <c r="BA216" s="54"/>
    </row>
    <row r="217" spans="1:53" ht="13.5" thickBot="1" x14ac:dyDescent="0.25">
      <c r="A217" s="11"/>
      <c r="B217" s="690" t="s">
        <v>43</v>
      </c>
      <c r="C217" s="685"/>
      <c r="D217" s="691"/>
      <c r="E217" s="684" t="s">
        <v>133</v>
      </c>
      <c r="F217" s="685"/>
      <c r="G217" s="691"/>
      <c r="H217" s="684" t="s">
        <v>134</v>
      </c>
      <c r="I217" s="685"/>
      <c r="J217" s="686"/>
      <c r="K217" s="727"/>
      <c r="L217" s="728"/>
      <c r="M217" s="728"/>
      <c r="N217" s="728"/>
      <c r="O217" s="728"/>
      <c r="P217" s="728"/>
      <c r="Q217" s="729"/>
      <c r="R217" s="85"/>
      <c r="S217" s="85"/>
      <c r="T217" s="671"/>
      <c r="U217" s="671"/>
      <c r="V217" s="672"/>
      <c r="W217" s="690" t="s">
        <v>43</v>
      </c>
      <c r="X217" s="685"/>
      <c r="Y217" s="691"/>
      <c r="Z217" s="684" t="s">
        <v>133</v>
      </c>
      <c r="AA217" s="685"/>
      <c r="AB217" s="691"/>
      <c r="AC217" s="684" t="s">
        <v>134</v>
      </c>
      <c r="AD217" s="685"/>
      <c r="AE217" s="686"/>
      <c r="AF217" s="702"/>
      <c r="AG217" s="703"/>
      <c r="AH217" s="703"/>
      <c r="AI217" s="703"/>
      <c r="AJ217" s="704"/>
      <c r="AW217" s="146"/>
      <c r="AX217" s="54"/>
      <c r="AY217" s="54"/>
      <c r="AZ217" s="54"/>
      <c r="BA217" s="54"/>
    </row>
    <row r="218" spans="1:53" ht="13.5" thickBot="1" x14ac:dyDescent="0.25">
      <c r="A218" s="11"/>
      <c r="B218" s="117">
        <v>1</v>
      </c>
      <c r="C218" s="118" t="s">
        <v>51</v>
      </c>
      <c r="D218" s="119">
        <v>4</v>
      </c>
      <c r="E218" s="120">
        <v>2</v>
      </c>
      <c r="F218" s="118" t="s">
        <v>51</v>
      </c>
      <c r="G218" s="119">
        <v>3</v>
      </c>
      <c r="H218" s="121">
        <f>IF(OR(AND(OR(B222&gt;0,D222&gt;0),B222&gt;D222),OR(D218="b",D218="B")),B218,IF(OR(AND(OR(B222&gt;0,D222&gt;0),D222&gt;B222),OR(B218="b",B218="B")),D218,"W1"))</f>
        <v>4</v>
      </c>
      <c r="I218" s="122" t="s">
        <v>51</v>
      </c>
      <c r="J218" s="123">
        <f>IF(OR(AND(OR(E222&gt;0,G222&gt;0),E222&gt;G222),OR(G218="b",G218="B")),E218,IF(OR(AND(OR(E222&gt;0,G222&gt;0),G222&gt;E222),OR(E218="b",E218="B")),G218,"W2"))</f>
        <v>2</v>
      </c>
      <c r="K218" s="687" t="s">
        <v>135</v>
      </c>
      <c r="L218" s="688"/>
      <c r="M218" s="688"/>
      <c r="N218" s="689"/>
      <c r="R218" s="85"/>
      <c r="S218" s="85"/>
      <c r="T218" s="671"/>
      <c r="U218" s="671"/>
      <c r="V218" s="672"/>
      <c r="W218" s="117">
        <v>1</v>
      </c>
      <c r="X218" s="118" t="s">
        <v>51</v>
      </c>
      <c r="Y218" s="119">
        <v>4</v>
      </c>
      <c r="Z218" s="120">
        <v>2</v>
      </c>
      <c r="AA218" s="118" t="s">
        <v>51</v>
      </c>
      <c r="AB218" s="119">
        <v>3</v>
      </c>
      <c r="AC218" s="121">
        <f>IF(OR(AND(OR(W222&gt;0,Y222&gt;0),W222&gt;Y222),OR(Y218="b",Y218="B")),W218,IF(OR(AND(OR(W222&gt;0,Y222&gt;0),Y222&gt;W222),OR(W218="b",W218="B")),Y218,"W1"))</f>
        <v>1</v>
      </c>
      <c r="AD218" s="122" t="s">
        <v>51</v>
      </c>
      <c r="AE218" s="123">
        <f>IF(OR(AND(OR(Z222&gt;0,AB222&gt;0),Z222&gt;AB222),OR(AB222="b",AB222="B")),Z218,IF(OR(AND(OR(Z222&gt;0,AB222&gt;0),AB222&gt;Z222),OR(Z222="b",Z222="B")),AB218,"W2"))</f>
        <v>2</v>
      </c>
      <c r="AF218" s="687" t="s">
        <v>135</v>
      </c>
      <c r="AG218" s="689"/>
      <c r="AH218" s="85"/>
      <c r="AI218" s="85"/>
      <c r="AJ218" s="85"/>
      <c r="AW218" s="146"/>
      <c r="AX218" s="54"/>
      <c r="AY218" s="54"/>
      <c r="AZ218" s="54"/>
      <c r="BA218" s="54"/>
    </row>
    <row r="219" spans="1:53" ht="13.5" hidden="1" customHeight="1" x14ac:dyDescent="0.2">
      <c r="A219" s="11"/>
      <c r="B219" s="129">
        <f>IF(B223&gt;D223,1,0)</f>
        <v>0</v>
      </c>
      <c r="C219" s="130"/>
      <c r="D219" s="131">
        <f>IF(D223&gt;B223,1,0)</f>
        <v>1</v>
      </c>
      <c r="E219" s="129">
        <f>IF(E223&gt;G223,1,0)</f>
        <v>1</v>
      </c>
      <c r="F219" s="130"/>
      <c r="G219" s="131">
        <f>IF(G223&gt;E223,1,0)</f>
        <v>0</v>
      </c>
      <c r="H219" s="129">
        <f>IF(H223&gt;J223,1,0)</f>
        <v>1</v>
      </c>
      <c r="I219" s="130"/>
      <c r="J219" s="131">
        <f>IF(J223&gt;H223,1,0)</f>
        <v>0</v>
      </c>
      <c r="K219" s="132"/>
      <c r="L219" s="133"/>
      <c r="M219" s="133"/>
      <c r="N219" s="134"/>
      <c r="R219" s="85"/>
      <c r="S219" s="85"/>
      <c r="T219" s="671"/>
      <c r="U219" s="671"/>
      <c r="V219" s="672"/>
      <c r="W219" s="129">
        <f>IF(W223&gt;Y223,1,0)</f>
        <v>1</v>
      </c>
      <c r="X219" s="130"/>
      <c r="Y219" s="131">
        <f>IF(Y223&gt;W223,1,0)</f>
        <v>0</v>
      </c>
      <c r="Z219" s="129">
        <f>IF(Z223&gt;AB223,1,0)</f>
        <v>1</v>
      </c>
      <c r="AA219" s="130"/>
      <c r="AB219" s="131">
        <f>IF(AB223&gt;Z223,1,0)</f>
        <v>0</v>
      </c>
      <c r="AC219" s="129">
        <f>IF(AC223&gt;AE223,1,0)</f>
        <v>1</v>
      </c>
      <c r="AD219" s="130"/>
      <c r="AE219" s="131">
        <f>IF(AE223&gt;AC223,1,0)</f>
        <v>0</v>
      </c>
      <c r="AF219" s="124"/>
      <c r="AG219" s="125"/>
      <c r="AH219" s="85"/>
      <c r="AI219" s="85"/>
      <c r="AJ219" s="85"/>
      <c r="AW219" s="146"/>
      <c r="AX219" s="54"/>
      <c r="AY219" s="54"/>
      <c r="AZ219" s="54"/>
      <c r="BA219" s="54"/>
    </row>
    <row r="220" spans="1:53" ht="13.5" hidden="1" customHeight="1" x14ac:dyDescent="0.2">
      <c r="A220" s="11"/>
      <c r="B220" s="129">
        <f>IF(B224&gt;D224,1,0)</f>
        <v>0</v>
      </c>
      <c r="C220" s="130"/>
      <c r="D220" s="131">
        <f>IF(D224&gt;B224,1,0)</f>
        <v>0</v>
      </c>
      <c r="E220" s="129">
        <f>IF(E224&gt;G224,1,0)</f>
        <v>0</v>
      </c>
      <c r="F220" s="130"/>
      <c r="G220" s="131">
        <f>IF(G224&gt;E224,1,0)</f>
        <v>0</v>
      </c>
      <c r="H220" s="129">
        <f>IF(H224&gt;J224,1,0)</f>
        <v>1</v>
      </c>
      <c r="I220" s="130"/>
      <c r="J220" s="131">
        <f>IF(J224&gt;H224,1,0)</f>
        <v>0</v>
      </c>
      <c r="K220" s="132"/>
      <c r="L220" s="133"/>
      <c r="M220" s="133"/>
      <c r="N220" s="134"/>
      <c r="R220" s="85"/>
      <c r="S220" s="85"/>
      <c r="T220" s="671"/>
      <c r="U220" s="671"/>
      <c r="V220" s="672"/>
      <c r="W220" s="129">
        <f>IF(W224&gt;Y224,1,0)</f>
        <v>0</v>
      </c>
      <c r="X220" s="130"/>
      <c r="Y220" s="131">
        <f>IF(Y224&gt;W224,1,0)</f>
        <v>0</v>
      </c>
      <c r="Z220" s="129">
        <f>IF(Z224&gt;AB224,1,0)</f>
        <v>0</v>
      </c>
      <c r="AA220" s="130"/>
      <c r="AB220" s="131">
        <f>IF(AB224&gt;Z224,1,0)</f>
        <v>0</v>
      </c>
      <c r="AC220" s="129">
        <f>IF(AC224&gt;AE224,1,0)</f>
        <v>1</v>
      </c>
      <c r="AD220" s="130"/>
      <c r="AE220" s="131">
        <f>IF(AE224&gt;AC224,1,0)</f>
        <v>0</v>
      </c>
      <c r="AF220" s="124"/>
      <c r="AG220" s="125"/>
      <c r="AH220" s="85"/>
      <c r="AI220" s="85"/>
      <c r="AJ220" s="85"/>
      <c r="AW220" s="146"/>
      <c r="AX220" s="54"/>
      <c r="AY220" s="54"/>
      <c r="AZ220" s="54"/>
      <c r="BA220" s="54"/>
    </row>
    <row r="221" spans="1:53" ht="13.5" hidden="1" customHeight="1" thickBot="1" x14ac:dyDescent="0.25">
      <c r="A221" s="11"/>
      <c r="B221" s="129">
        <f>IF(B225&gt;D225,1,0)</f>
        <v>0</v>
      </c>
      <c r="C221" s="130"/>
      <c r="D221" s="131">
        <f>IF(D225&gt;B225,1,0)</f>
        <v>0</v>
      </c>
      <c r="E221" s="129">
        <f>IF(E225&gt;G225,1,0)</f>
        <v>0</v>
      </c>
      <c r="F221" s="130"/>
      <c r="G221" s="131">
        <f>IF(G225&gt;E225,1,0)</f>
        <v>0</v>
      </c>
      <c r="H221" s="129">
        <f>IF(H225&gt;J225,1,0)</f>
        <v>0</v>
      </c>
      <c r="I221" s="130"/>
      <c r="J221" s="131">
        <f>IF(J225&gt;H225,1,0)</f>
        <v>0</v>
      </c>
      <c r="K221" s="132"/>
      <c r="L221" s="133"/>
      <c r="M221" s="133"/>
      <c r="N221" s="134"/>
      <c r="R221" s="85"/>
      <c r="S221" s="85"/>
      <c r="T221" s="671"/>
      <c r="U221" s="671"/>
      <c r="V221" s="672"/>
      <c r="W221" s="129">
        <f>IF(W225&gt;Y225,1,0)</f>
        <v>0</v>
      </c>
      <c r="X221" s="130"/>
      <c r="Y221" s="131">
        <f>IF(Y225&gt;W225,1,0)</f>
        <v>0</v>
      </c>
      <c r="Z221" s="129">
        <f>IF(Z225&gt;AB225,1,0)</f>
        <v>0</v>
      </c>
      <c r="AA221" s="130"/>
      <c r="AB221" s="131">
        <f>IF(AB225&gt;Z225,1,0)</f>
        <v>0</v>
      </c>
      <c r="AC221" s="129">
        <f>IF(AC225&gt;AE225,1,0)</f>
        <v>0</v>
      </c>
      <c r="AD221" s="130"/>
      <c r="AE221" s="131">
        <f>IF(AE225&gt;AC225,1,0)</f>
        <v>0</v>
      </c>
      <c r="AF221" s="124"/>
      <c r="AG221" s="125"/>
      <c r="AH221" s="85"/>
      <c r="AI221" s="85"/>
      <c r="AJ221" s="85"/>
      <c r="AW221" s="146"/>
      <c r="AX221" s="54"/>
      <c r="AY221" s="54"/>
      <c r="AZ221" s="54"/>
      <c r="BA221" s="54"/>
    </row>
    <row r="222" spans="1:53" ht="13.5" hidden="1" customHeight="1" x14ac:dyDescent="0.2">
      <c r="A222" s="11"/>
      <c r="B222" s="129">
        <f>SUM(B219:B221)</f>
        <v>0</v>
      </c>
      <c r="C222" s="130"/>
      <c r="D222" s="129">
        <f>SUM(D219:D221)</f>
        <v>1</v>
      </c>
      <c r="E222" s="129">
        <f>SUM(E219:E221)</f>
        <v>1</v>
      </c>
      <c r="F222" s="130"/>
      <c r="G222" s="129">
        <f>SUM(G219:G221)</f>
        <v>0</v>
      </c>
      <c r="H222" s="129">
        <f>SUM(H219:H221)</f>
        <v>2</v>
      </c>
      <c r="I222" s="130"/>
      <c r="J222" s="129">
        <f>SUM(J219:J221)</f>
        <v>0</v>
      </c>
      <c r="K222" s="132"/>
      <c r="L222" s="133"/>
      <c r="M222" s="133"/>
      <c r="N222" s="134"/>
      <c r="R222" s="85"/>
      <c r="S222" s="85"/>
      <c r="T222" s="671"/>
      <c r="U222" s="671"/>
      <c r="V222" s="672"/>
      <c r="W222" s="129">
        <f>SUM(W219:W221)</f>
        <v>1</v>
      </c>
      <c r="X222" s="130"/>
      <c r="Y222" s="129">
        <f>SUM(Y219:Y221)</f>
        <v>0</v>
      </c>
      <c r="Z222" s="129">
        <f>SUM(Z219:Z221)</f>
        <v>1</v>
      </c>
      <c r="AA222" s="130"/>
      <c r="AB222" s="129">
        <f>SUM(AB219:AB221)</f>
        <v>0</v>
      </c>
      <c r="AC222" s="129">
        <f>SUM(AC219:AC221)</f>
        <v>2</v>
      </c>
      <c r="AD222" s="130"/>
      <c r="AE222" s="129">
        <f>SUM(AE219:AE221)</f>
        <v>0</v>
      </c>
      <c r="AF222" s="124"/>
      <c r="AG222" s="125"/>
      <c r="AH222" s="85"/>
      <c r="AI222" s="85"/>
      <c r="AJ222" s="85"/>
      <c r="AW222" s="146"/>
      <c r="AX222" s="54"/>
      <c r="AY222" s="54"/>
      <c r="AZ222" s="54"/>
      <c r="BA222" s="54"/>
    </row>
    <row r="223" spans="1:53" ht="12.75" customHeight="1" x14ac:dyDescent="0.2">
      <c r="A223" s="9" t="s">
        <v>52</v>
      </c>
      <c r="B223" s="135">
        <v>22</v>
      </c>
      <c r="C223" s="50" t="s">
        <v>53</v>
      </c>
      <c r="D223" s="136">
        <v>25</v>
      </c>
      <c r="E223" s="137">
        <v>25</v>
      </c>
      <c r="F223" s="50" t="s">
        <v>53</v>
      </c>
      <c r="G223" s="136">
        <v>19</v>
      </c>
      <c r="H223" s="137">
        <v>25</v>
      </c>
      <c r="I223" s="50" t="s">
        <v>53</v>
      </c>
      <c r="J223" s="138">
        <v>17</v>
      </c>
      <c r="K223" s="673">
        <f>IF(AND(OR(H222&gt;0,J222&gt;0),AND(1&lt;=H218,H218&lt;=4),AND(1&lt;=J218,J218&lt;=4)),IF(H222&gt;J222,H218,IF(J222&gt;H222,J218,"")),"")</f>
        <v>4</v>
      </c>
      <c r="L223" s="674"/>
      <c r="M223" s="674"/>
      <c r="N223" s="675"/>
      <c r="R223" s="85"/>
      <c r="S223" s="85"/>
      <c r="T223" s="86"/>
      <c r="U223" s="86"/>
      <c r="V223" s="9" t="s">
        <v>52</v>
      </c>
      <c r="W223" s="135">
        <v>25</v>
      </c>
      <c r="X223" s="50" t="s">
        <v>53</v>
      </c>
      <c r="Y223" s="136">
        <v>8</v>
      </c>
      <c r="Z223" s="137">
        <v>25</v>
      </c>
      <c r="AA223" s="50" t="s">
        <v>53</v>
      </c>
      <c r="AB223" s="136">
        <v>14</v>
      </c>
      <c r="AC223" s="137">
        <v>25</v>
      </c>
      <c r="AD223" s="50" t="s">
        <v>53</v>
      </c>
      <c r="AE223" s="138">
        <v>21</v>
      </c>
      <c r="AF223" s="673">
        <f>IF(AND(OR(AC222&gt;0,AE222&gt;0),AND(1&lt;=AC218,AC218&lt;=4),AND(1&lt;=AE218,AE218&lt;=4)),IF(AC222&gt;AE222,AC218,IF(AE222&gt;AC222,AE218,"")),"")</f>
        <v>1</v>
      </c>
      <c r="AG223" s="675"/>
      <c r="AH223" s="85"/>
      <c r="AI223" s="85"/>
      <c r="AJ223" s="85"/>
      <c r="AW223" s="146"/>
      <c r="AX223" s="54"/>
      <c r="AY223" s="54"/>
      <c r="AZ223" s="54"/>
      <c r="BA223" s="54"/>
    </row>
    <row r="224" spans="1:53" ht="12.75" customHeight="1" x14ac:dyDescent="0.2">
      <c r="A224" s="9" t="s">
        <v>136</v>
      </c>
      <c r="B224" s="135"/>
      <c r="C224" s="50" t="s">
        <v>53</v>
      </c>
      <c r="D224" s="136"/>
      <c r="E224" s="137"/>
      <c r="F224" s="50" t="s">
        <v>53</v>
      </c>
      <c r="G224" s="136"/>
      <c r="H224" s="137">
        <v>25</v>
      </c>
      <c r="I224" s="50" t="s">
        <v>53</v>
      </c>
      <c r="J224" s="138">
        <v>11</v>
      </c>
      <c r="K224" s="676"/>
      <c r="L224" s="677"/>
      <c r="M224" s="677"/>
      <c r="N224" s="678"/>
      <c r="R224" s="85"/>
      <c r="S224" s="85"/>
      <c r="T224" s="86"/>
      <c r="U224" s="86"/>
      <c r="V224" s="9" t="s">
        <v>136</v>
      </c>
      <c r="W224" s="135"/>
      <c r="X224" s="50" t="s">
        <v>53</v>
      </c>
      <c r="Y224" s="136"/>
      <c r="Z224" s="137"/>
      <c r="AA224" s="50" t="s">
        <v>53</v>
      </c>
      <c r="AB224" s="136"/>
      <c r="AC224" s="137">
        <v>25</v>
      </c>
      <c r="AD224" s="50" t="s">
        <v>53</v>
      </c>
      <c r="AE224" s="138">
        <v>17</v>
      </c>
      <c r="AF224" s="676"/>
      <c r="AG224" s="678"/>
      <c r="AH224" s="85"/>
      <c r="AI224" s="85"/>
      <c r="AJ224" s="85"/>
      <c r="AW224" s="146"/>
      <c r="AX224" s="54"/>
      <c r="AY224" s="54"/>
      <c r="AZ224" s="54"/>
      <c r="BA224" s="54"/>
    </row>
    <row r="225" spans="1:77" ht="13.5" customHeight="1" thickBot="1" x14ac:dyDescent="0.25">
      <c r="A225" s="9" t="s">
        <v>137</v>
      </c>
      <c r="B225" s="141"/>
      <c r="C225" s="142" t="s">
        <v>53</v>
      </c>
      <c r="D225" s="143"/>
      <c r="E225" s="144"/>
      <c r="F225" s="142" t="s">
        <v>53</v>
      </c>
      <c r="G225" s="143"/>
      <c r="H225" s="144"/>
      <c r="I225" s="142" t="s">
        <v>53</v>
      </c>
      <c r="J225" s="145"/>
      <c r="K225" s="679"/>
      <c r="L225" s="680"/>
      <c r="M225" s="680"/>
      <c r="N225" s="681"/>
      <c r="R225" s="85"/>
      <c r="S225" s="85"/>
      <c r="T225" s="86"/>
      <c r="U225" s="86"/>
      <c r="V225" s="9" t="s">
        <v>137</v>
      </c>
      <c r="W225" s="141"/>
      <c r="X225" s="142" t="s">
        <v>53</v>
      </c>
      <c r="Y225" s="143"/>
      <c r="Z225" s="144"/>
      <c r="AA225" s="142" t="s">
        <v>53</v>
      </c>
      <c r="AB225" s="143"/>
      <c r="AC225" s="144"/>
      <c r="AD225" s="142" t="s">
        <v>53</v>
      </c>
      <c r="AE225" s="145"/>
      <c r="AF225" s="679"/>
      <c r="AG225" s="681"/>
      <c r="AH225" s="85"/>
      <c r="AI225" s="85"/>
      <c r="AJ225" s="85"/>
      <c r="AW225" s="146"/>
      <c r="AX225" s="54"/>
      <c r="AY225" s="54"/>
      <c r="AZ225" s="54"/>
      <c r="BA225" s="54"/>
    </row>
    <row r="226" spans="1:77" hidden="1" x14ac:dyDescent="0.2">
      <c r="B226" s="3"/>
      <c r="C226" s="90" t="s">
        <v>87</v>
      </c>
      <c r="D226" s="3" t="s">
        <v>138</v>
      </c>
      <c r="E226" s="3"/>
      <c r="F226" s="90"/>
      <c r="G226" s="4" t="s">
        <v>139</v>
      </c>
      <c r="J226" s="4" t="s">
        <v>140</v>
      </c>
      <c r="W226" s="3"/>
      <c r="X226" s="90" t="s">
        <v>87</v>
      </c>
      <c r="Y226" s="3" t="s">
        <v>138</v>
      </c>
      <c r="Z226" s="3"/>
      <c r="AA226" s="90"/>
      <c r="AB226" s="4" t="s">
        <v>139</v>
      </c>
      <c r="AE226" s="4" t="s">
        <v>140</v>
      </c>
      <c r="AT226" s="4" t="str">
        <f>B227</f>
        <v>OLC 12s Purple</v>
      </c>
      <c r="AU226" s="4">
        <f>J227</f>
        <v>1348.0654211657343</v>
      </c>
      <c r="AW226" s="146"/>
      <c r="AX226" s="54"/>
      <c r="AY226" s="54"/>
      <c r="AZ226" s="54"/>
      <c r="BA226" s="54"/>
      <c r="BB226" s="146"/>
      <c r="BC226" s="54"/>
      <c r="BD226" s="54"/>
      <c r="BE226" s="146"/>
      <c r="BF226" s="54"/>
      <c r="BG226" s="54"/>
      <c r="BH226" s="146"/>
      <c r="BI226" s="54"/>
      <c r="BJ226" s="54"/>
      <c r="BK226" s="146"/>
      <c r="BL226" s="54"/>
      <c r="BM226" s="54"/>
      <c r="BN226" s="146"/>
      <c r="BO226" s="54"/>
      <c r="BP226" s="54"/>
      <c r="BQ226" s="146"/>
      <c r="BR226" s="54"/>
      <c r="BS226" s="54"/>
      <c r="BT226" s="146"/>
      <c r="BU226" s="54"/>
      <c r="BV226" s="54"/>
      <c r="BW226" s="146"/>
      <c r="BX226" s="54"/>
      <c r="BY226" s="54"/>
    </row>
    <row r="227" spans="1:77" hidden="1" x14ac:dyDescent="0.2">
      <c r="A227" s="4">
        <v>1</v>
      </c>
      <c r="B227" s="4" t="str">
        <f>B210</f>
        <v>OLC 12s Purple</v>
      </c>
      <c r="C227" s="4">
        <f>VLOOKUP(B227,AU$2:AY$22,4,FALSE)</f>
        <v>1354.0267614924403</v>
      </c>
      <c r="D227" s="4">
        <f>IF(A227=B218,B233,IF(A227=D218,D233,C227))</f>
        <v>1348.0654211657343</v>
      </c>
      <c r="G227" s="4">
        <f>IF(A227=E218,E233,IF(A227=G218,G233,D227))</f>
        <v>1348.0654211657343</v>
      </c>
      <c r="J227" s="4">
        <f>IF(A227=H218,H233,IF(A227=J218,J233,G227))</f>
        <v>1348.0654211657343</v>
      </c>
      <c r="U227" s="164"/>
      <c r="V227" s="164">
        <v>1</v>
      </c>
      <c r="W227" s="4" t="str">
        <f>X210</f>
        <v>C1VB 12 State Greenville</v>
      </c>
      <c r="X227" s="4">
        <f>VLOOKUP(W227,AU$2:AY$22,4,FALSE)</f>
        <v>1306.3420087964055</v>
      </c>
      <c r="Y227" s="4">
        <f>IF(V227=W218,W233,IF(V227=Y218,Y233,X227))</f>
        <v>1311.6225584902111</v>
      </c>
      <c r="AB227" s="4">
        <f>IF(V227=Z218,Z233,IF(V227=AB218,AB233,Y227))</f>
        <v>1311.6225584902111</v>
      </c>
      <c r="AE227" s="4">
        <f>IF(V227=AC218,AC233,IF(V227=AE218,AE233,AB227))</f>
        <v>1323.8787834707246</v>
      </c>
      <c r="AT227" s="4" t="str">
        <f>B228</f>
        <v>C1VB 12 State Pickens</v>
      </c>
      <c r="AU227" s="4">
        <f>J228</f>
        <v>1396.3387625413409</v>
      </c>
      <c r="AW227" s="146"/>
      <c r="AX227" s="54"/>
      <c r="AY227" s="54"/>
      <c r="AZ227" s="54"/>
      <c r="BA227" s="54"/>
      <c r="BB227" s="146"/>
      <c r="BC227" s="54"/>
      <c r="BD227" s="54"/>
      <c r="BE227" s="146"/>
      <c r="BF227" s="54"/>
      <c r="BG227" s="54"/>
      <c r="BH227" s="146"/>
      <c r="BI227" s="54"/>
      <c r="BJ227" s="54"/>
      <c r="BK227" s="146"/>
      <c r="BL227" s="54"/>
      <c r="BM227" s="54"/>
      <c r="BN227" s="146"/>
      <c r="BO227" s="54"/>
      <c r="BP227" s="54"/>
      <c r="BQ227" s="146"/>
      <c r="BR227" s="54"/>
      <c r="BS227" s="54"/>
      <c r="BT227" s="146"/>
      <c r="BU227" s="54"/>
      <c r="BV227" s="54"/>
      <c r="BW227" s="146"/>
      <c r="BX227" s="54"/>
      <c r="BY227" s="54"/>
    </row>
    <row r="228" spans="1:77" hidden="1" x14ac:dyDescent="0.2">
      <c r="A228" s="4">
        <v>2</v>
      </c>
      <c r="B228" s="4" t="str">
        <f>B211</f>
        <v>C1VB 12 State Pickens</v>
      </c>
      <c r="C228" s="4">
        <f>VLOOKUP(B228,AU$2:AY$22,4,FALSE)</f>
        <v>1403.2647402531561</v>
      </c>
      <c r="D228" s="4">
        <f>IF(A228=B218,B233,IF(A228=D218,D233,C228))</f>
        <v>1403.2647402531561</v>
      </c>
      <c r="G228" s="4">
        <f>IF(A228=E218,E233,IF(A228=G218,G233,D228))</f>
        <v>1410.5040267064267</v>
      </c>
      <c r="J228" s="4">
        <f>IF(A228=H218,H233,IF(A228=J218,J233,G228))</f>
        <v>1396.3387625413409</v>
      </c>
      <c r="U228" s="164"/>
      <c r="V228" s="164">
        <v>2</v>
      </c>
      <c r="W228" s="4" t="str">
        <f>X211</f>
        <v>Foothills 12U King</v>
      </c>
      <c r="X228" s="4">
        <f>VLOOKUP(W228,AU$2:AY$22,4,FALSE)</f>
        <v>1218.8357639540752</v>
      </c>
      <c r="Y228" s="4">
        <f>IF(V228=W218,W233,IF(V228=Y218,Y233,X228))</f>
        <v>1218.8357639540752</v>
      </c>
      <c r="AB228" s="4">
        <f>IF(V228=Z218,Z233,IF(V228=AB218,AB233,Y228))</f>
        <v>1228.7931708365197</v>
      </c>
      <c r="AE228" s="4">
        <f>IF(V228=AC218,AC233,IF(V228=AE218,AE233,AB228))</f>
        <v>1216.5369458560062</v>
      </c>
      <c r="AT228" s="4" t="str">
        <f>B229</f>
        <v>Palm Strikers 12 Platinum</v>
      </c>
      <c r="AU228" s="4">
        <f>J229</f>
        <v>1362.8879663810731</v>
      </c>
      <c r="AW228" s="146"/>
      <c r="AX228" s="54"/>
      <c r="AY228" s="54"/>
      <c r="AZ228" s="54"/>
      <c r="BA228" s="54"/>
      <c r="BB228" s="146"/>
      <c r="BC228" s="54"/>
      <c r="BD228" s="54"/>
      <c r="BE228" s="146"/>
      <c r="BF228" s="54"/>
      <c r="BG228" s="54"/>
      <c r="BH228" s="146"/>
      <c r="BI228" s="54"/>
      <c r="BJ228" s="54"/>
      <c r="BK228" s="146"/>
      <c r="BL228" s="54"/>
      <c r="BM228" s="54"/>
      <c r="BN228" s="146"/>
      <c r="BO228" s="54"/>
      <c r="BP228" s="54"/>
      <c r="BQ228" s="146"/>
      <c r="BR228" s="54"/>
      <c r="BS228" s="54"/>
      <c r="BT228" s="146"/>
      <c r="BU228" s="54"/>
      <c r="BV228" s="54"/>
      <c r="BW228" s="146"/>
      <c r="BX228" s="54"/>
      <c r="BY228" s="54"/>
    </row>
    <row r="229" spans="1:77" hidden="1" x14ac:dyDescent="0.2">
      <c r="A229" s="4">
        <v>3</v>
      </c>
      <c r="B229" s="4" t="str">
        <f>B212</f>
        <v>Palm Strikers 12 Platinum</v>
      </c>
      <c r="C229" s="4">
        <f>VLOOKUP(B229,AU$2:AY$22,4,FALSE)</f>
        <v>1370.1272528343436</v>
      </c>
      <c r="D229" s="4">
        <f>IF(A229=B218,B233,IF(A229=D218,D233,C229))</f>
        <v>1370.1272528343436</v>
      </c>
      <c r="G229" s="4">
        <f>IF(A229=E218,E233,IF(A229=G218,G233,D229))</f>
        <v>1362.8879663810731</v>
      </c>
      <c r="J229" s="4">
        <f>IF(A229=H218,H233,IF(A229=J218,J233,G229))</f>
        <v>1362.8879663810731</v>
      </c>
      <c r="U229" s="164"/>
      <c r="V229" s="164">
        <v>3</v>
      </c>
      <c r="W229" s="4" t="str">
        <f>X212</f>
        <v>Kershaw 12 Black</v>
      </c>
      <c r="X229" s="4">
        <f>VLOOKUP(W229,AU$2:AY$22,4,FALSE)</f>
        <v>1305.6049247791282</v>
      </c>
      <c r="Y229" s="4">
        <f>IF(V229=W218,W233,IF(V229=Y218,Y233,X229))</f>
        <v>1305.6049247791282</v>
      </c>
      <c r="AB229" s="4">
        <f>IF(V229=Z218,Z233,IF(V229=AB218,AB233,Y229))</f>
        <v>1295.6475178966837</v>
      </c>
      <c r="AE229" s="4">
        <f>IF(V229=AC218,AC233,IF(V229=AE218,AE233,AB229))</f>
        <v>1295.6475178966837</v>
      </c>
      <c r="AT229" s="4" t="str">
        <f>B230</f>
        <v>Lake Murray 12 Black</v>
      </c>
      <c r="AU229" s="4">
        <f>J230</f>
        <v>1464.6860920817701</v>
      </c>
      <c r="AW229" s="146"/>
      <c r="AX229" s="54"/>
      <c r="AY229" s="54"/>
      <c r="AZ229" s="54"/>
      <c r="BA229" s="54"/>
      <c r="BB229" s="146"/>
      <c r="BC229" s="54"/>
      <c r="BD229" s="54"/>
      <c r="BE229" s="146"/>
      <c r="BF229" s="54"/>
      <c r="BG229" s="54"/>
      <c r="BH229" s="146"/>
      <c r="BI229" s="54"/>
      <c r="BJ229" s="54"/>
      <c r="BK229" s="146"/>
      <c r="BL229" s="54"/>
      <c r="BM229" s="54"/>
      <c r="BN229" s="146"/>
      <c r="BO229" s="54"/>
      <c r="BP229" s="54"/>
      <c r="BQ229" s="146"/>
      <c r="BR229" s="54"/>
      <c r="BS229" s="54"/>
      <c r="BT229" s="146"/>
      <c r="BU229" s="54"/>
      <c r="BV229" s="54"/>
      <c r="BW229" s="146"/>
      <c r="BX229" s="54"/>
      <c r="BY229" s="54"/>
    </row>
    <row r="230" spans="1:77" hidden="1" x14ac:dyDescent="0.2">
      <c r="A230" s="4">
        <v>4</v>
      </c>
      <c r="B230" s="4" t="str">
        <f>B213</f>
        <v>Lake Murray 12 Black</v>
      </c>
      <c r="C230" s="4">
        <f>VLOOKUP(B230,AU$2:AY$22,4,FALSE)</f>
        <v>1444.5594875899783</v>
      </c>
      <c r="D230" s="4">
        <f>IF(A230=B218,B233,IF(A230=D218,D233,C230))</f>
        <v>1450.5208279166843</v>
      </c>
      <c r="G230" s="4">
        <f>IF(A230=E218,E233,IF(A230=G218,G233,D230))</f>
        <v>1450.5208279166843</v>
      </c>
      <c r="J230" s="4">
        <f>IF(A230=H218,H233,IF(A230=J218,J233,G230))</f>
        <v>1464.6860920817701</v>
      </c>
      <c r="U230" s="164"/>
      <c r="V230" s="164">
        <v>4</v>
      </c>
      <c r="W230" s="4" t="str">
        <f>X213</f>
        <v>MOTO 12'1</v>
      </c>
      <c r="X230" s="4">
        <f>VLOOKUP(W230,AU$2:AY$22,4,FALSE)</f>
        <v>1183.3446562815466</v>
      </c>
      <c r="Y230" s="4">
        <f>IF(V230=W218,W233,IF(V230=Y218,Y233,X230))</f>
        <v>1178.064106587741</v>
      </c>
      <c r="AB230" s="4">
        <f>IF(V230=Z218,Z233,IF(V230=AB218,AB233,Y230))</f>
        <v>1178.064106587741</v>
      </c>
      <c r="AE230" s="4">
        <f>IF(V230=AC218,AC233,IF(V230=AE218,AE233,AB230))</f>
        <v>1178.064106587741</v>
      </c>
      <c r="AT230" s="4" t="str">
        <f>W227</f>
        <v>C1VB 12 State Greenville</v>
      </c>
      <c r="AU230" s="4">
        <f>AE227</f>
        <v>1323.8787834707246</v>
      </c>
      <c r="AW230" s="146"/>
      <c r="AX230" s="54"/>
      <c r="AY230" s="54"/>
      <c r="AZ230" s="54"/>
      <c r="BA230" s="54"/>
      <c r="BB230" s="146"/>
      <c r="BC230" s="54"/>
      <c r="BD230" s="54"/>
      <c r="BE230" s="146"/>
      <c r="BF230" s="54"/>
      <c r="BG230" s="54"/>
      <c r="BH230" s="146"/>
      <c r="BI230" s="54"/>
      <c r="BJ230" s="54"/>
      <c r="BK230" s="146"/>
      <c r="BL230" s="54"/>
      <c r="BM230" s="54"/>
      <c r="BN230" s="146"/>
      <c r="BO230" s="54"/>
      <c r="BP230" s="54"/>
      <c r="BQ230" s="146"/>
      <c r="BR230" s="54"/>
      <c r="BS230" s="54"/>
      <c r="BT230" s="146"/>
      <c r="BU230" s="54"/>
      <c r="BV230" s="54"/>
      <c r="BW230" s="146"/>
      <c r="BX230" s="54"/>
      <c r="BY230" s="54"/>
    </row>
    <row r="231" spans="1:77" hidden="1" x14ac:dyDescent="0.2">
      <c r="A231" s="4" t="s">
        <v>89</v>
      </c>
      <c r="B231" s="4">
        <f>VLOOKUP(B218,$A227:$J230,3,FALSE)</f>
        <v>1354.0267614924403</v>
      </c>
      <c r="D231" s="4">
        <f>VLOOKUP(D218,$A227:$J230,3,FALSE)</f>
        <v>1444.5594875899783</v>
      </c>
      <c r="E231" s="4">
        <f>VLOOKUP(E218,$A227:$J230,4,FALSE)</f>
        <v>1403.2647402531561</v>
      </c>
      <c r="G231" s="4">
        <f>VLOOKUP(G218,$A227:$J230,4,FALSE)</f>
        <v>1370.1272528343436</v>
      </c>
      <c r="H231" s="4">
        <f>VLOOKUP(H218,$A227:$J230,7,FALSE)</f>
        <v>1450.5208279166843</v>
      </c>
      <c r="J231" s="4">
        <f>VLOOKUP(J218,$A227:$J230,7,FALSE)</f>
        <v>1410.5040267064267</v>
      </c>
      <c r="T231" s="682" t="s">
        <v>89</v>
      </c>
      <c r="U231" s="682"/>
      <c r="V231" s="682"/>
      <c r="W231" s="4">
        <f>VLOOKUP(W218,$V227:$AE230,3,FALSE)</f>
        <v>1306.3420087964055</v>
      </c>
      <c r="Y231" s="4">
        <f>VLOOKUP(Y218,$V227:$AE230,3,FALSE)</f>
        <v>1183.3446562815466</v>
      </c>
      <c r="Z231" s="4">
        <f>VLOOKUP(Z218,$V227:$AE230,4,FALSE)</f>
        <v>1218.8357639540752</v>
      </c>
      <c r="AB231" s="4">
        <f>VLOOKUP(AB218,$V227:$AE230,4,FALSE)</f>
        <v>1305.6049247791282</v>
      </c>
      <c r="AC231" s="4">
        <f>VLOOKUP(AC218,$V227:$AE230,7,FALSE)</f>
        <v>1311.6225584902111</v>
      </c>
      <c r="AE231" s="4">
        <f>VLOOKUP(AE218,$V227:$AE230,7,FALSE)</f>
        <v>1228.7931708365197</v>
      </c>
      <c r="AT231" s="4" t="str">
        <f>W228</f>
        <v>Foothills 12U King</v>
      </c>
      <c r="AU231" s="4">
        <f>AE228</f>
        <v>1216.5369458560062</v>
      </c>
      <c r="AW231" s="146"/>
      <c r="AX231" s="54"/>
      <c r="AY231" s="54"/>
      <c r="AZ231" s="54"/>
      <c r="BA231" s="54"/>
      <c r="BB231" s="146"/>
      <c r="BC231" s="54"/>
      <c r="BD231" s="54"/>
      <c r="BE231" s="146"/>
      <c r="BF231" s="54"/>
      <c r="BG231" s="54"/>
      <c r="BH231" s="146"/>
      <c r="BI231" s="54"/>
      <c r="BJ231" s="54"/>
      <c r="BK231" s="146"/>
      <c r="BL231" s="54"/>
      <c r="BM231" s="54"/>
      <c r="BN231" s="146"/>
      <c r="BO231" s="54"/>
      <c r="BP231" s="54"/>
      <c r="BQ231" s="146"/>
      <c r="BR231" s="54"/>
      <c r="BS231" s="54"/>
      <c r="BT231" s="146"/>
      <c r="BU231" s="54"/>
      <c r="BV231" s="54"/>
      <c r="BW231" s="146"/>
      <c r="BX231" s="54"/>
      <c r="BY231" s="54"/>
    </row>
    <row r="232" spans="1:77" hidden="1" x14ac:dyDescent="0.2">
      <c r="A232" s="68" t="s">
        <v>90</v>
      </c>
      <c r="B232" s="68">
        <f>1/(1+(10^-((B231-D231)/400)))*(B222+D222)</f>
        <v>0.37258377041912888</v>
      </c>
      <c r="C232" s="68"/>
      <c r="D232" s="68">
        <f>1/(1+(10^-((D231-B231)/400)))*(B222+D222)</f>
        <v>0.62741622958087107</v>
      </c>
      <c r="E232" s="68">
        <f>1/(1+(10^-((E231-G231)/400)))*(E222+G222)</f>
        <v>0.5475445966705953</v>
      </c>
      <c r="G232" s="68">
        <f>1/(1+(10^-((G231-E231)/400)))*(E222+G222)</f>
        <v>0.45245540332940465</v>
      </c>
      <c r="H232" s="68">
        <f>1/(1+(10^-((H231-J231)/400)))*(H222+J222)</f>
        <v>1.114670989682133</v>
      </c>
      <c r="J232" s="68">
        <f>1/(1+(10^-((J231-H231)/400)))*(H222+J222)</f>
        <v>0.88532901031786715</v>
      </c>
      <c r="T232" s="683" t="s">
        <v>90</v>
      </c>
      <c r="U232" s="683"/>
      <c r="V232" s="683"/>
      <c r="W232" s="68">
        <f>1/(1+(10^-((W231-Y231)/400)))*(W222+Y222)</f>
        <v>0.66996564413714432</v>
      </c>
      <c r="X232" s="68"/>
      <c r="Y232" s="68">
        <f>1/(1+(10^-((Y231-W231)/400)))*(W222+Y222)</f>
        <v>0.33003435586285562</v>
      </c>
      <c r="Z232" s="68">
        <f>1/(1+(10^-((Z231-AB231)/400)))*(Z222+AB222)</f>
        <v>0.37766206984721756</v>
      </c>
      <c r="AB232" s="68">
        <f>1/(1+(10^-((AB231-Z231)/400)))*(Z222+AB222)</f>
        <v>0.62233793015278238</v>
      </c>
      <c r="AC232" s="68">
        <f>1/(1+(10^-((AC231-AE231)/400)))*(AC222+AE222)</f>
        <v>1.2339859387179111</v>
      </c>
      <c r="AE232" s="68">
        <f>1/(1+(10^-((AE231-AC231)/400)))*(AC222+AE222)</f>
        <v>0.76601406128208893</v>
      </c>
      <c r="AT232" s="4" t="str">
        <f>W229</f>
        <v>Kershaw 12 Black</v>
      </c>
      <c r="AU232" s="4">
        <f>AE229</f>
        <v>1295.6475178966837</v>
      </c>
      <c r="AW232" s="146"/>
      <c r="AX232" s="54"/>
      <c r="AY232" s="54"/>
      <c r="AZ232" s="54"/>
      <c r="BA232" s="54"/>
      <c r="BB232" s="146"/>
      <c r="BC232" s="54"/>
      <c r="BD232" s="54"/>
      <c r="BE232" s="146"/>
      <c r="BF232" s="54"/>
      <c r="BG232" s="54"/>
      <c r="BH232" s="146"/>
      <c r="BI232" s="54"/>
      <c r="BJ232" s="54"/>
      <c r="BK232" s="146"/>
      <c r="BL232" s="54"/>
      <c r="BM232" s="54"/>
      <c r="BN232" s="146"/>
      <c r="BO232" s="54"/>
      <c r="BP232" s="54"/>
      <c r="BQ232" s="146"/>
      <c r="BR232" s="54"/>
      <c r="BS232" s="54"/>
      <c r="BT232" s="146"/>
      <c r="BU232" s="54"/>
      <c r="BV232" s="54"/>
      <c r="BW232" s="146"/>
      <c r="BX232" s="54"/>
      <c r="BY232" s="54"/>
    </row>
    <row r="233" spans="1:77" hidden="1" x14ac:dyDescent="0.2">
      <c r="A233" s="74" t="s">
        <v>91</v>
      </c>
      <c r="B233" s="74">
        <f>B231+(B222-B232)*$BA$2</f>
        <v>1348.0654211657343</v>
      </c>
      <c r="C233" s="74"/>
      <c r="D233" s="74">
        <f>D231+(D222-D232)*$BA$2</f>
        <v>1450.5208279166843</v>
      </c>
      <c r="E233" s="74">
        <f>E231+(E222-E232)*$BA$2</f>
        <v>1410.5040267064267</v>
      </c>
      <c r="G233" s="74">
        <f>G231+(G222-G232)*$BA$2</f>
        <v>1362.8879663810731</v>
      </c>
      <c r="H233" s="74">
        <f>H231+(H222-H232)*$BA$2</f>
        <v>1464.6860920817701</v>
      </c>
      <c r="J233" s="74">
        <f>J231+(J222-J232)*$BA$2</f>
        <v>1396.3387625413409</v>
      </c>
      <c r="T233" s="669" t="s">
        <v>91</v>
      </c>
      <c r="U233" s="669"/>
      <c r="V233" s="669"/>
      <c r="W233" s="74">
        <f>W231+(W222-W232)*$BA$2</f>
        <v>1311.6225584902111</v>
      </c>
      <c r="X233" s="74"/>
      <c r="Y233" s="74">
        <f>Y231+(Y222-Y232)*$BA$2</f>
        <v>1178.064106587741</v>
      </c>
      <c r="Z233" s="74">
        <f>Z231+(Z222-Z232)*$BA$2</f>
        <v>1228.7931708365197</v>
      </c>
      <c r="AB233" s="74">
        <f>AB231+(AB222-AB232)*$BA$2</f>
        <v>1295.6475178966837</v>
      </c>
      <c r="AC233" s="74">
        <f>AC231+(AC222-AC232)*$BA$2</f>
        <v>1323.8787834707246</v>
      </c>
      <c r="AE233" s="74">
        <f>AE231+(AE222-AE232)*$BA$2</f>
        <v>1216.5369458560062</v>
      </c>
      <c r="AT233" s="4" t="str">
        <f>W230</f>
        <v>MOTO 12'1</v>
      </c>
      <c r="AU233" s="4">
        <f>AE230</f>
        <v>1178.064106587741</v>
      </c>
      <c r="AW233" s="146"/>
      <c r="AX233" s="54"/>
      <c r="AY233" s="54"/>
      <c r="AZ233" s="54"/>
      <c r="BA233" s="54"/>
      <c r="BB233" s="146"/>
      <c r="BC233" s="54"/>
      <c r="BD233" s="54"/>
      <c r="BE233" s="146"/>
      <c r="BF233" s="54"/>
      <c r="BG233" s="54"/>
      <c r="BH233" s="146"/>
      <c r="BI233" s="54"/>
      <c r="BJ233" s="54"/>
      <c r="BK233" s="146"/>
      <c r="BL233" s="54"/>
      <c r="BM233" s="54"/>
      <c r="BN233" s="146"/>
      <c r="BO233" s="54"/>
      <c r="BP233" s="54"/>
      <c r="BQ233" s="146"/>
      <c r="BR233" s="54"/>
      <c r="BS233" s="54"/>
      <c r="BT233" s="146"/>
      <c r="BU233" s="54"/>
      <c r="BV233" s="54"/>
      <c r="BW233" s="146"/>
      <c r="BX233" s="54"/>
      <c r="BY233" s="54"/>
    </row>
    <row r="234" spans="1:77" x14ac:dyDescent="0.2">
      <c r="A234" s="670" t="s">
        <v>141</v>
      </c>
      <c r="B234" s="670"/>
      <c r="C234" s="670"/>
      <c r="D234" s="670"/>
      <c r="E234" s="670"/>
      <c r="F234" s="670"/>
      <c r="G234" s="670"/>
      <c r="H234" s="670"/>
      <c r="I234" s="670"/>
      <c r="J234" s="670"/>
      <c r="K234" s="670"/>
      <c r="L234" s="670"/>
      <c r="M234" s="670"/>
      <c r="R234" s="85"/>
      <c r="S234" s="85"/>
      <c r="T234" s="86"/>
      <c r="U234" s="86"/>
      <c r="V234" s="670" t="s">
        <v>141</v>
      </c>
      <c r="W234" s="670"/>
      <c r="X234" s="670"/>
      <c r="Y234" s="670"/>
      <c r="Z234" s="670"/>
      <c r="AA234" s="670"/>
      <c r="AB234" s="670"/>
      <c r="AC234" s="670"/>
      <c r="AD234" s="670"/>
      <c r="AE234" s="670"/>
      <c r="AF234" s="670"/>
      <c r="AG234" s="670"/>
      <c r="AH234" s="85"/>
      <c r="AI234" s="85"/>
      <c r="AJ234" s="85"/>
      <c r="AW234" s="146"/>
      <c r="AX234" s="54"/>
      <c r="AY234" s="54"/>
      <c r="AZ234" s="54"/>
      <c r="BA234" s="54"/>
    </row>
    <row r="235" spans="1:77" x14ac:dyDescent="0.2">
      <c r="AT235" s="54"/>
      <c r="AU235" s="54"/>
      <c r="AV235" s="54"/>
      <c r="AW235" s="146"/>
      <c r="AX235" s="54"/>
      <c r="AY235" s="54"/>
      <c r="AZ235" s="54"/>
      <c r="BA235" s="54"/>
    </row>
    <row r="236" spans="1:77" x14ac:dyDescent="0.2">
      <c r="AT236" s="54"/>
      <c r="AU236" s="54"/>
      <c r="AV236" s="54"/>
      <c r="AW236" s="146"/>
      <c r="AX236" s="54"/>
      <c r="AY236" s="54"/>
      <c r="AZ236" s="54"/>
      <c r="BA236" s="54"/>
    </row>
    <row r="237" spans="1:77" x14ac:dyDescent="0.2">
      <c r="AT237" s="54"/>
      <c r="AU237" s="54"/>
      <c r="AV237" s="54"/>
      <c r="AW237" s="146"/>
      <c r="AX237" s="54"/>
      <c r="AY237" s="54"/>
      <c r="AZ237" s="54"/>
      <c r="BA237" s="54"/>
    </row>
    <row r="238" spans="1:77" x14ac:dyDescent="0.2">
      <c r="AT238" s="54"/>
      <c r="AU238" s="54"/>
      <c r="AV238" s="54"/>
      <c r="AW238" s="146"/>
      <c r="AX238" s="54"/>
      <c r="AY238" s="54"/>
      <c r="AZ238" s="54"/>
      <c r="BA238" s="54"/>
    </row>
    <row r="239" spans="1:77" x14ac:dyDescent="0.2">
      <c r="AT239" s="54"/>
      <c r="AU239" s="54"/>
      <c r="AV239" s="54"/>
      <c r="AW239" s="146"/>
      <c r="AX239" s="54"/>
      <c r="AY239" s="54"/>
      <c r="AZ239" s="54"/>
      <c r="BA239" s="54"/>
    </row>
    <row r="240" spans="1:77" x14ac:dyDescent="0.2">
      <c r="AT240" s="54"/>
      <c r="AU240" s="54"/>
      <c r="AV240" s="54"/>
      <c r="AW240" s="146"/>
      <c r="AX240" s="54"/>
      <c r="AY240" s="54"/>
      <c r="AZ240" s="54"/>
      <c r="BA240" s="54"/>
    </row>
    <row r="241" spans="46:53" x14ac:dyDescent="0.2">
      <c r="AT241" s="54"/>
      <c r="AU241" s="54"/>
      <c r="AV241" s="54"/>
      <c r="AW241" s="146"/>
      <c r="AX241" s="54"/>
      <c r="AY241" s="54"/>
      <c r="AZ241" s="54"/>
      <c r="BA241" s="54"/>
    </row>
    <row r="242" spans="46:53" x14ac:dyDescent="0.2">
      <c r="AT242" s="54"/>
      <c r="AU242" s="54"/>
      <c r="AV242" s="54"/>
      <c r="AW242" s="146"/>
      <c r="AX242" s="54"/>
      <c r="AY242" s="54"/>
      <c r="AZ242" s="54"/>
      <c r="BA242" s="54"/>
    </row>
    <row r="243" spans="46:53" x14ac:dyDescent="0.2">
      <c r="AT243" s="54"/>
      <c r="AU243" s="54"/>
      <c r="AV243" s="54"/>
      <c r="AW243" s="146"/>
      <c r="AX243" s="54"/>
      <c r="AY243" s="54"/>
      <c r="AZ243" s="54"/>
      <c r="BA243" s="54"/>
    </row>
    <row r="244" spans="46:53" x14ac:dyDescent="0.2">
      <c r="AT244" s="54"/>
      <c r="AU244" s="54"/>
      <c r="AV244" s="54"/>
      <c r="AW244" s="146"/>
      <c r="AX244" s="54"/>
      <c r="AY244" s="54"/>
      <c r="AZ244" s="54"/>
      <c r="BA244" s="54"/>
    </row>
    <row r="245" spans="46:53" x14ac:dyDescent="0.2">
      <c r="AT245" s="54"/>
      <c r="AU245" s="54"/>
      <c r="AV245" s="54"/>
      <c r="AW245" s="146"/>
      <c r="AX245" s="54"/>
      <c r="AY245" s="54"/>
      <c r="AZ245" s="54"/>
      <c r="BA245" s="54"/>
    </row>
    <row r="246" spans="46:53" x14ac:dyDescent="0.2">
      <c r="AT246" s="54"/>
      <c r="AU246" s="54"/>
      <c r="AV246" s="54"/>
      <c r="AW246" s="146"/>
      <c r="AX246" s="54"/>
      <c r="AY246" s="54"/>
      <c r="AZ246" s="54"/>
      <c r="BA246" s="54"/>
    </row>
    <row r="247" spans="46:53" x14ac:dyDescent="0.2">
      <c r="AT247" s="54"/>
      <c r="AU247" s="54"/>
      <c r="AV247" s="54"/>
    </row>
    <row r="248" spans="46:53" x14ac:dyDescent="0.2">
      <c r="AT248" s="54"/>
      <c r="AU248" s="54"/>
      <c r="AV248" s="54"/>
      <c r="AW248" s="65"/>
      <c r="AX248" s="61"/>
      <c r="AY248" s="61"/>
      <c r="AZ248" s="61"/>
      <c r="BA248" s="61"/>
    </row>
    <row r="249" spans="46:53" x14ac:dyDescent="0.2">
      <c r="AT249" s="54"/>
      <c r="AU249" s="54"/>
      <c r="AV249" s="54"/>
      <c r="AW249" s="65"/>
      <c r="AX249" s="61"/>
      <c r="AY249" s="61"/>
      <c r="AZ249" s="61"/>
      <c r="BA249" s="61"/>
    </row>
    <row r="250" spans="46:53" x14ac:dyDescent="0.2">
      <c r="AT250" s="54"/>
      <c r="AU250" s="54"/>
      <c r="AV250" s="54"/>
      <c r="AW250" s="65"/>
      <c r="AX250" s="61"/>
      <c r="AY250" s="61"/>
      <c r="AZ250" s="61"/>
      <c r="BA250" s="61"/>
    </row>
    <row r="251" spans="46:53" x14ac:dyDescent="0.2">
      <c r="AT251" s="54"/>
      <c r="AU251" s="54"/>
      <c r="AV251" s="54"/>
      <c r="AW251" s="65"/>
      <c r="AX251" s="61"/>
      <c r="AY251" s="61"/>
      <c r="AZ251" s="61"/>
      <c r="BA251" s="61"/>
    </row>
    <row r="252" spans="46:53" x14ac:dyDescent="0.2">
      <c r="AT252" s="54"/>
      <c r="AU252" s="54"/>
      <c r="AV252" s="54"/>
      <c r="AW252" s="65"/>
      <c r="AX252" s="61"/>
      <c r="AY252" s="61"/>
      <c r="AZ252" s="61"/>
      <c r="BA252" s="61"/>
    </row>
    <row r="253" spans="46:53" x14ac:dyDescent="0.2">
      <c r="AT253" s="54"/>
      <c r="AU253" s="54"/>
      <c r="AV253" s="54"/>
      <c r="AW253" s="65"/>
      <c r="AX253" s="61"/>
      <c r="AY253" s="61"/>
      <c r="AZ253" s="61"/>
      <c r="BA253" s="61"/>
    </row>
    <row r="254" spans="46:53" x14ac:dyDescent="0.2">
      <c r="AT254" s="54"/>
      <c r="AU254" s="54"/>
      <c r="AV254" s="54"/>
      <c r="AW254" s="65"/>
      <c r="AX254" s="61"/>
      <c r="AY254" s="61"/>
      <c r="AZ254" s="61"/>
      <c r="BA254" s="61"/>
    </row>
    <row r="255" spans="46:53" x14ac:dyDescent="0.2">
      <c r="AT255" s="54"/>
      <c r="AU255" s="54"/>
      <c r="AV255" s="54"/>
      <c r="AW255" s="65"/>
      <c r="AX255" s="61"/>
      <c r="AY255" s="61"/>
      <c r="AZ255" s="61"/>
      <c r="BA255" s="61"/>
    </row>
    <row r="256" spans="46:53" x14ac:dyDescent="0.2">
      <c r="AT256" s="54"/>
      <c r="AU256" s="54"/>
      <c r="AV256" s="54"/>
      <c r="AW256" s="72"/>
      <c r="AX256" s="71"/>
      <c r="AY256" s="71"/>
      <c r="AZ256" s="71"/>
      <c r="BA256" s="71"/>
    </row>
    <row r="257" spans="46:53" x14ac:dyDescent="0.2">
      <c r="AT257" s="54"/>
      <c r="AU257" s="54"/>
      <c r="AV257" s="54"/>
      <c r="AW257" s="78"/>
      <c r="AX257" s="77"/>
      <c r="AY257" s="77"/>
      <c r="AZ257" s="77"/>
      <c r="BA257" s="77"/>
    </row>
    <row r="258" spans="46:53" x14ac:dyDescent="0.2">
      <c r="AT258" s="54"/>
      <c r="AU258" s="54"/>
      <c r="AV258" s="54"/>
      <c r="AW258" s="78"/>
      <c r="AX258" s="77"/>
      <c r="AY258" s="77"/>
      <c r="AZ258" s="77"/>
      <c r="BA258" s="77"/>
    </row>
    <row r="259" spans="46:53" x14ac:dyDescent="0.2">
      <c r="AT259" s="54"/>
      <c r="AU259" s="54"/>
      <c r="AV259" s="54"/>
      <c r="AW259" s="65"/>
      <c r="AX259" s="61"/>
      <c r="AY259" s="61"/>
      <c r="AZ259" s="61"/>
      <c r="BA259" s="61"/>
    </row>
    <row r="260" spans="46:53" x14ac:dyDescent="0.2">
      <c r="AT260" s="61"/>
      <c r="AU260" s="61"/>
      <c r="AV260" s="61"/>
      <c r="AW260" s="65"/>
      <c r="AX260" s="61"/>
      <c r="AY260" s="61"/>
      <c r="AZ260" s="61"/>
      <c r="BA260" s="61"/>
    </row>
    <row r="261" spans="46:53" x14ac:dyDescent="0.2">
      <c r="AT261" s="61"/>
      <c r="AU261" s="61"/>
      <c r="AV261" s="61"/>
    </row>
    <row r="286" spans="46:53" x14ac:dyDescent="0.2">
      <c r="AT286" s="54"/>
      <c r="AU286" s="54"/>
      <c r="AV286" s="54"/>
      <c r="AW286" s="146"/>
      <c r="AX286" s="54"/>
      <c r="AY286" s="54"/>
      <c r="AZ286" s="54"/>
      <c r="BA286" s="54"/>
    </row>
    <row r="287" spans="46:53" x14ac:dyDescent="0.2">
      <c r="AT287" s="54"/>
      <c r="AU287" s="54"/>
      <c r="AV287" s="54"/>
      <c r="AW287" s="146"/>
      <c r="AX287" s="54"/>
      <c r="AY287" s="54"/>
      <c r="AZ287" s="54"/>
      <c r="BA287" s="54"/>
    </row>
    <row r="288" spans="46:53" x14ac:dyDescent="0.2">
      <c r="AT288" s="54"/>
      <c r="AU288" s="54"/>
      <c r="AV288" s="54"/>
      <c r="AW288" s="146"/>
      <c r="AX288" s="54"/>
      <c r="AY288" s="54"/>
      <c r="AZ288" s="54"/>
      <c r="BA288" s="54"/>
    </row>
    <row r="289" spans="46:53" x14ac:dyDescent="0.2">
      <c r="AT289" s="54"/>
      <c r="AU289" s="54"/>
      <c r="AV289" s="54"/>
      <c r="AW289" s="146"/>
      <c r="AX289" s="54"/>
      <c r="AY289" s="54"/>
      <c r="AZ289" s="54"/>
      <c r="BA289" s="54"/>
    </row>
    <row r="290" spans="46:53" x14ac:dyDescent="0.2">
      <c r="AT290" s="54"/>
      <c r="AU290" s="54"/>
      <c r="AV290" s="54"/>
      <c r="AW290" s="146"/>
      <c r="AX290" s="54"/>
      <c r="AY290" s="54"/>
      <c r="AZ290" s="54"/>
      <c r="BA290" s="54"/>
    </row>
    <row r="291" spans="46:53" x14ac:dyDescent="0.2">
      <c r="AT291" s="54"/>
      <c r="AU291" s="54"/>
      <c r="AV291" s="54"/>
      <c r="AW291" s="146"/>
      <c r="AX291" s="54"/>
      <c r="AY291" s="54"/>
      <c r="AZ291" s="54"/>
      <c r="BA291" s="54"/>
    </row>
    <row r="292" spans="46:53" x14ac:dyDescent="0.2">
      <c r="AT292" s="54"/>
      <c r="AU292" s="54"/>
      <c r="AV292" s="54"/>
      <c r="AW292" s="146"/>
      <c r="AX292" s="54"/>
      <c r="AY292" s="54"/>
      <c r="AZ292" s="54"/>
      <c r="BA292" s="54"/>
    </row>
    <row r="293" spans="46:53" x14ac:dyDescent="0.2">
      <c r="AT293" s="54"/>
      <c r="AU293" s="54"/>
      <c r="AV293" s="54"/>
      <c r="AW293" s="146"/>
      <c r="AX293" s="54"/>
      <c r="AY293" s="54"/>
      <c r="AZ293" s="54"/>
      <c r="BA293" s="54"/>
    </row>
    <row r="294" spans="46:53" x14ac:dyDescent="0.2">
      <c r="AT294" s="54"/>
      <c r="AU294" s="54"/>
      <c r="AV294" s="54"/>
      <c r="AW294" s="146"/>
      <c r="AX294" s="54"/>
      <c r="AY294" s="54"/>
      <c r="AZ294" s="54"/>
      <c r="BA294" s="54"/>
    </row>
    <row r="295" spans="46:53" x14ac:dyDescent="0.2">
      <c r="AT295" s="54"/>
      <c r="AU295" s="54"/>
      <c r="AV295" s="54"/>
      <c r="AW295" s="146"/>
      <c r="AX295" s="54"/>
      <c r="AY295" s="54"/>
      <c r="AZ295" s="54"/>
      <c r="BA295" s="54"/>
    </row>
    <row r="296" spans="46:53" x14ac:dyDescent="0.2">
      <c r="AT296" s="54"/>
      <c r="AU296" s="54"/>
      <c r="AV296" s="54"/>
      <c r="AW296" s="146"/>
      <c r="AX296" s="54"/>
      <c r="AY296" s="54"/>
      <c r="AZ296" s="54"/>
      <c r="BA296" s="54"/>
    </row>
    <row r="297" spans="46:53" x14ac:dyDescent="0.2">
      <c r="AT297" s="54"/>
      <c r="AU297" s="54"/>
      <c r="AV297" s="54"/>
      <c r="AW297" s="146"/>
      <c r="AX297" s="54"/>
      <c r="AY297" s="54"/>
      <c r="AZ297" s="54"/>
      <c r="BA297" s="54"/>
    </row>
    <row r="298" spans="46:53" x14ac:dyDescent="0.2">
      <c r="AT298" s="54"/>
      <c r="AU298" s="54"/>
      <c r="AV298" s="54"/>
      <c r="AW298" s="146"/>
      <c r="AX298" s="54"/>
      <c r="AY298" s="54"/>
      <c r="AZ298" s="54"/>
      <c r="BA298" s="54"/>
    </row>
    <row r="299" spans="46:53" x14ac:dyDescent="0.2">
      <c r="AT299" s="54"/>
      <c r="AU299" s="54"/>
      <c r="AV299" s="54"/>
      <c r="AW299" s="146"/>
      <c r="AX299" s="54"/>
      <c r="AY299" s="54"/>
      <c r="AZ299" s="54"/>
      <c r="BA299" s="54"/>
    </row>
    <row r="300" spans="46:53" x14ac:dyDescent="0.2">
      <c r="AT300" s="54"/>
      <c r="AU300" s="54"/>
      <c r="AV300" s="54"/>
      <c r="AW300" s="146"/>
      <c r="AX300" s="54"/>
      <c r="AY300" s="54"/>
      <c r="AZ300" s="54"/>
      <c r="BA300" s="54"/>
    </row>
    <row r="301" spans="46:53" x14ac:dyDescent="0.2">
      <c r="AT301" s="54"/>
      <c r="AU301" s="54"/>
      <c r="AV301" s="54"/>
      <c r="AW301" s="146"/>
      <c r="AX301" s="54"/>
      <c r="AY301" s="54"/>
      <c r="AZ301" s="54"/>
      <c r="BA301" s="54"/>
    </row>
    <row r="302" spans="46:53" x14ac:dyDescent="0.2">
      <c r="AT302" s="54"/>
      <c r="AU302" s="54"/>
      <c r="AV302" s="54"/>
      <c r="AW302" s="146"/>
      <c r="AX302" s="54"/>
      <c r="AY302" s="54"/>
      <c r="AZ302" s="54"/>
      <c r="BA302" s="54"/>
    </row>
    <row r="303" spans="46:53" x14ac:dyDescent="0.2">
      <c r="AT303" s="54"/>
      <c r="AU303" s="54"/>
      <c r="AV303" s="54"/>
      <c r="AW303" s="146"/>
      <c r="AX303" s="54"/>
      <c r="AY303" s="54"/>
      <c r="AZ303" s="54"/>
      <c r="BA303" s="54"/>
    </row>
    <row r="304" spans="46:53" x14ac:dyDescent="0.2">
      <c r="AT304" s="54"/>
      <c r="AU304" s="54"/>
      <c r="AV304" s="54"/>
      <c r="AW304" s="146"/>
      <c r="AX304" s="54"/>
      <c r="AY304" s="54"/>
      <c r="AZ304" s="54"/>
      <c r="BA304" s="54"/>
    </row>
    <row r="305" spans="46:53" x14ac:dyDescent="0.2">
      <c r="AT305" s="54"/>
      <c r="AU305" s="54"/>
      <c r="AV305" s="54"/>
      <c r="AW305" s="146"/>
      <c r="AX305" s="54"/>
      <c r="AY305" s="54"/>
      <c r="AZ305" s="54"/>
      <c r="BA305" s="54"/>
    </row>
    <row r="306" spans="46:53" x14ac:dyDescent="0.2">
      <c r="AT306" s="54"/>
      <c r="AU306" s="54"/>
      <c r="AV306" s="54"/>
      <c r="AW306" s="146"/>
      <c r="AX306" s="54"/>
      <c r="AY306" s="54"/>
      <c r="AZ306" s="54"/>
      <c r="BA306" s="54"/>
    </row>
    <row r="307" spans="46:53" x14ac:dyDescent="0.2">
      <c r="AT307" s="54"/>
      <c r="AU307" s="54"/>
      <c r="AV307" s="54"/>
      <c r="AW307" s="146"/>
      <c r="AX307" s="54"/>
      <c r="AY307" s="54"/>
      <c r="AZ307" s="54"/>
      <c r="BA307" s="54"/>
    </row>
    <row r="308" spans="46:53" x14ac:dyDescent="0.2">
      <c r="AT308" s="54"/>
      <c r="AU308" s="54"/>
      <c r="AV308" s="54"/>
      <c r="AW308" s="146"/>
      <c r="AX308" s="54"/>
      <c r="AY308" s="54"/>
      <c r="AZ308" s="54"/>
      <c r="BA308" s="54"/>
    </row>
    <row r="309" spans="46:53" x14ac:dyDescent="0.2">
      <c r="AT309" s="54"/>
      <c r="AU309" s="54"/>
      <c r="AV309" s="54"/>
      <c r="AW309" s="146"/>
      <c r="AX309" s="54"/>
      <c r="AY309" s="54"/>
      <c r="AZ309" s="54"/>
      <c r="BA309" s="54"/>
    </row>
    <row r="310" spans="46:53" x14ac:dyDescent="0.2">
      <c r="AT310" s="54"/>
      <c r="AU310" s="54"/>
      <c r="AV310" s="54"/>
      <c r="AW310" s="146"/>
      <c r="AX310" s="54"/>
      <c r="AY310" s="54"/>
      <c r="AZ310" s="54"/>
      <c r="BA310" s="54"/>
    </row>
    <row r="311" spans="46:53" x14ac:dyDescent="0.2">
      <c r="AT311" s="54"/>
      <c r="AU311" s="54"/>
      <c r="AV311" s="54"/>
      <c r="AW311" s="146"/>
      <c r="AX311" s="54"/>
      <c r="AY311" s="54"/>
      <c r="AZ311" s="54"/>
      <c r="BA311" s="54"/>
    </row>
    <row r="312" spans="46:53" x14ac:dyDescent="0.2">
      <c r="AT312" s="54"/>
      <c r="AU312" s="54"/>
      <c r="AV312" s="54"/>
      <c r="AW312" s="146"/>
      <c r="AX312" s="54"/>
      <c r="AY312" s="54"/>
      <c r="AZ312" s="54"/>
      <c r="BA312" s="54"/>
    </row>
    <row r="313" spans="46:53" x14ac:dyDescent="0.2">
      <c r="AT313" s="54"/>
      <c r="AU313" s="54"/>
      <c r="AV313" s="54"/>
      <c r="AW313" s="146"/>
      <c r="AX313" s="54"/>
      <c r="AY313" s="54"/>
      <c r="AZ313" s="54"/>
      <c r="BA313" s="54"/>
    </row>
    <row r="314" spans="46:53" x14ac:dyDescent="0.2">
      <c r="AT314" s="54"/>
      <c r="AU314" s="54"/>
      <c r="AV314" s="54"/>
      <c r="AW314" s="146"/>
      <c r="AX314" s="54"/>
      <c r="AY314" s="54"/>
      <c r="AZ314" s="54"/>
      <c r="BA314" s="54"/>
    </row>
    <row r="315" spans="46:53" x14ac:dyDescent="0.2">
      <c r="AT315" s="54"/>
      <c r="AU315" s="54"/>
      <c r="AV315" s="54"/>
      <c r="AW315" s="146"/>
      <c r="AX315" s="54"/>
      <c r="AY315" s="54"/>
      <c r="AZ315" s="54"/>
      <c r="BA315" s="54"/>
    </row>
    <row r="316" spans="46:53" x14ac:dyDescent="0.2">
      <c r="AT316" s="54"/>
      <c r="AU316" s="54"/>
      <c r="AV316" s="54"/>
      <c r="AW316" s="146"/>
      <c r="AX316" s="54"/>
      <c r="AY316" s="54"/>
      <c r="AZ316" s="54"/>
      <c r="BA316" s="54"/>
    </row>
    <row r="317" spans="46:53" x14ac:dyDescent="0.2">
      <c r="AT317" s="54"/>
      <c r="AU317" s="54"/>
      <c r="AV317" s="54"/>
      <c r="AW317" s="146"/>
      <c r="AX317" s="54"/>
      <c r="AY317" s="54"/>
      <c r="AZ317" s="54"/>
      <c r="BA317" s="54"/>
    </row>
    <row r="318" spans="46:53" x14ac:dyDescent="0.2">
      <c r="AT318" s="54"/>
      <c r="AU318" s="54"/>
      <c r="AV318" s="54"/>
      <c r="AW318" s="146"/>
      <c r="AX318" s="54"/>
      <c r="AY318" s="54"/>
      <c r="AZ318" s="54"/>
      <c r="BA318" s="54"/>
    </row>
    <row r="319" spans="46:53" x14ac:dyDescent="0.2">
      <c r="AT319" s="54"/>
      <c r="AU319" s="54"/>
      <c r="AV319" s="54"/>
      <c r="AW319" s="146"/>
      <c r="AX319" s="54"/>
      <c r="AY319" s="54"/>
      <c r="AZ319" s="54"/>
      <c r="BA319" s="54"/>
    </row>
    <row r="320" spans="46:53" x14ac:dyDescent="0.2">
      <c r="AT320" s="54"/>
      <c r="AU320" s="54"/>
      <c r="AV320" s="54"/>
      <c r="AW320" s="146"/>
      <c r="AX320" s="54"/>
      <c r="AY320" s="54"/>
      <c r="AZ320" s="54"/>
      <c r="BA320" s="54"/>
    </row>
    <row r="321" spans="46:53" x14ac:dyDescent="0.2">
      <c r="AT321" s="54"/>
      <c r="AU321" s="54"/>
      <c r="AV321" s="54"/>
      <c r="AW321" s="146"/>
      <c r="AX321" s="54"/>
      <c r="AY321" s="54"/>
      <c r="AZ321" s="54"/>
      <c r="BA321" s="54"/>
    </row>
    <row r="322" spans="46:53" x14ac:dyDescent="0.2">
      <c r="AT322" s="54"/>
      <c r="AU322" s="54"/>
      <c r="AV322" s="54"/>
      <c r="AW322" s="146"/>
      <c r="AX322" s="54"/>
      <c r="AY322" s="54"/>
      <c r="AZ322" s="54"/>
      <c r="BA322" s="54"/>
    </row>
    <row r="323" spans="46:53" x14ac:dyDescent="0.2">
      <c r="AT323" s="54"/>
      <c r="AU323" s="54"/>
      <c r="AV323" s="54"/>
      <c r="AW323" s="146"/>
      <c r="AX323" s="54"/>
      <c r="AY323" s="54"/>
      <c r="AZ323" s="54"/>
      <c r="BA323" s="54"/>
    </row>
    <row r="324" spans="46:53" x14ac:dyDescent="0.2">
      <c r="AT324" s="54"/>
      <c r="AU324" s="54"/>
      <c r="AV324" s="54"/>
      <c r="AW324" s="146"/>
      <c r="AX324" s="54"/>
      <c r="AY324" s="54"/>
      <c r="AZ324" s="54"/>
      <c r="BA324" s="54"/>
    </row>
    <row r="325" spans="46:53" x14ac:dyDescent="0.2">
      <c r="AT325" s="54"/>
      <c r="AU325" s="54"/>
      <c r="AV325" s="54"/>
      <c r="AW325" s="146"/>
      <c r="AX325" s="54"/>
      <c r="AY325" s="54"/>
      <c r="AZ325" s="54"/>
      <c r="BA325" s="54"/>
    </row>
    <row r="326" spans="46:53" x14ac:dyDescent="0.2">
      <c r="AT326" s="54"/>
      <c r="AU326" s="54"/>
      <c r="AV326" s="54"/>
      <c r="AW326" s="146"/>
      <c r="AX326" s="54"/>
      <c r="AY326" s="54"/>
      <c r="AZ326" s="54"/>
      <c r="BA326" s="54"/>
    </row>
    <row r="327" spans="46:53" x14ac:dyDescent="0.2">
      <c r="AT327" s="54"/>
      <c r="AU327" s="54"/>
      <c r="AV327" s="54"/>
      <c r="AW327" s="146"/>
      <c r="AX327" s="54"/>
      <c r="AY327" s="54"/>
      <c r="AZ327" s="54"/>
      <c r="BA327" s="54"/>
    </row>
    <row r="328" spans="46:53" x14ac:dyDescent="0.2">
      <c r="AT328" s="54"/>
      <c r="AU328" s="54"/>
      <c r="AV328" s="54"/>
      <c r="AW328" s="146"/>
      <c r="AX328" s="54"/>
      <c r="AY328" s="54"/>
      <c r="AZ328" s="54"/>
      <c r="BA328" s="54"/>
    </row>
    <row r="329" spans="46:53" x14ac:dyDescent="0.2">
      <c r="AT329" s="54"/>
      <c r="AU329" s="54"/>
      <c r="AV329" s="54"/>
      <c r="AW329" s="146"/>
      <c r="AX329" s="54"/>
      <c r="AY329" s="54"/>
      <c r="AZ329" s="54"/>
      <c r="BA329" s="54"/>
    </row>
    <row r="330" spans="46:53" x14ac:dyDescent="0.2">
      <c r="AT330" s="54"/>
      <c r="AU330" s="54"/>
      <c r="AV330" s="54"/>
      <c r="AW330" s="146"/>
      <c r="AX330" s="54"/>
      <c r="AY330" s="54"/>
      <c r="AZ330" s="54"/>
      <c r="BA330" s="54"/>
    </row>
    <row r="331" spans="46:53" x14ac:dyDescent="0.2">
      <c r="AT331" s="54"/>
      <c r="AU331" s="54"/>
      <c r="AV331" s="54"/>
      <c r="AW331" s="146"/>
      <c r="AX331" s="54"/>
      <c r="AY331" s="54"/>
      <c r="AZ331" s="54"/>
      <c r="BA331" s="54"/>
    </row>
    <row r="332" spans="46:53" x14ac:dyDescent="0.2">
      <c r="AT332" s="61"/>
      <c r="AU332" s="61"/>
      <c r="AV332" s="61"/>
    </row>
    <row r="333" spans="46:53" x14ac:dyDescent="0.2">
      <c r="AT333" s="61"/>
      <c r="AU333" s="61"/>
      <c r="AV333" s="61"/>
      <c r="AW333" s="65"/>
      <c r="AX333" s="61"/>
      <c r="AY333" s="61"/>
      <c r="AZ333" s="61"/>
      <c r="BA333" s="61"/>
    </row>
    <row r="334" spans="46:53" x14ac:dyDescent="0.2">
      <c r="AW334" s="65"/>
      <c r="AX334" s="61"/>
      <c r="AY334" s="61"/>
      <c r="AZ334" s="61"/>
      <c r="BA334" s="61"/>
    </row>
    <row r="335" spans="46:53" x14ac:dyDescent="0.2">
      <c r="AW335" s="65"/>
      <c r="AX335" s="61"/>
      <c r="AY335" s="61"/>
      <c r="AZ335" s="61"/>
      <c r="BA335" s="61"/>
    </row>
    <row r="336" spans="46:53" x14ac:dyDescent="0.2">
      <c r="AW336" s="65"/>
      <c r="AX336" s="61"/>
      <c r="AY336" s="61"/>
      <c r="AZ336" s="61"/>
      <c r="BA336" s="61"/>
    </row>
    <row r="337" spans="46:53" x14ac:dyDescent="0.2">
      <c r="AW337" s="65"/>
      <c r="AX337" s="61"/>
      <c r="AY337" s="61"/>
      <c r="AZ337" s="61"/>
      <c r="BA337" s="61"/>
    </row>
    <row r="338" spans="46:53" x14ac:dyDescent="0.2">
      <c r="AW338" s="65"/>
      <c r="AX338" s="61"/>
      <c r="AY338" s="61"/>
      <c r="AZ338" s="61"/>
      <c r="BA338" s="61"/>
    </row>
    <row r="339" spans="46:53" x14ac:dyDescent="0.2">
      <c r="AW339" s="65"/>
      <c r="AX339" s="61"/>
      <c r="AY339" s="61"/>
      <c r="AZ339" s="61"/>
      <c r="BA339" s="61"/>
    </row>
    <row r="340" spans="46:53" x14ac:dyDescent="0.2">
      <c r="AW340" s="65"/>
      <c r="AX340" s="61"/>
      <c r="AY340" s="61"/>
      <c r="AZ340" s="61"/>
      <c r="BA340" s="61"/>
    </row>
    <row r="341" spans="46:53" x14ac:dyDescent="0.2">
      <c r="AW341" s="72"/>
      <c r="AX341" s="71"/>
      <c r="AY341" s="71"/>
      <c r="AZ341" s="71"/>
      <c r="BA341" s="71"/>
    </row>
    <row r="342" spans="46:53" x14ac:dyDescent="0.2">
      <c r="AW342" s="78"/>
      <c r="AX342" s="77"/>
      <c r="AY342" s="77"/>
      <c r="AZ342" s="77"/>
      <c r="BA342" s="77"/>
    </row>
    <row r="343" spans="46:53" x14ac:dyDescent="0.2">
      <c r="AW343" s="78"/>
      <c r="AX343" s="77"/>
      <c r="AY343" s="77"/>
      <c r="AZ343" s="77"/>
      <c r="BA343" s="77"/>
    </row>
    <row r="344" spans="46:53" x14ac:dyDescent="0.2">
      <c r="AW344" s="65"/>
      <c r="AX344" s="61"/>
      <c r="AY344" s="61"/>
      <c r="AZ344" s="61"/>
      <c r="BA344" s="61"/>
    </row>
    <row r="345" spans="46:53" x14ac:dyDescent="0.2">
      <c r="AW345" s="65"/>
      <c r="AX345" s="61"/>
      <c r="AY345" s="61"/>
      <c r="AZ345" s="61"/>
      <c r="BA345" s="61"/>
    </row>
    <row r="348" spans="46:53" x14ac:dyDescent="0.2">
      <c r="AT348" s="104"/>
      <c r="AU348" s="104"/>
    </row>
    <row r="371" spans="46:53" x14ac:dyDescent="0.2">
      <c r="AW371" s="146"/>
      <c r="AX371" s="54"/>
      <c r="AY371" s="54"/>
      <c r="AZ371" s="54"/>
      <c r="BA371" s="54"/>
    </row>
    <row r="372" spans="46:53" x14ac:dyDescent="0.2">
      <c r="AW372" s="146"/>
      <c r="AX372" s="54"/>
      <c r="AY372" s="54"/>
      <c r="AZ372" s="54"/>
      <c r="BA372" s="54"/>
    </row>
    <row r="373" spans="46:53" x14ac:dyDescent="0.2">
      <c r="AW373" s="146"/>
      <c r="AX373" s="54"/>
      <c r="AY373" s="54"/>
      <c r="AZ373" s="54"/>
      <c r="BA373" s="54"/>
    </row>
    <row r="374" spans="46:53" x14ac:dyDescent="0.2">
      <c r="AW374" s="146"/>
      <c r="AX374" s="54"/>
      <c r="AY374" s="54"/>
      <c r="AZ374" s="54"/>
      <c r="BA374" s="54"/>
    </row>
    <row r="375" spans="46:53" x14ac:dyDescent="0.2">
      <c r="AW375" s="146"/>
      <c r="AX375" s="54"/>
      <c r="AY375" s="54"/>
      <c r="AZ375" s="54"/>
      <c r="BA375" s="54"/>
    </row>
    <row r="376" spans="46:53" x14ac:dyDescent="0.2">
      <c r="AW376" s="146"/>
      <c r="AX376" s="54"/>
      <c r="AY376" s="54"/>
      <c r="AZ376" s="54"/>
      <c r="BA376" s="54"/>
    </row>
    <row r="377" spans="46:53" x14ac:dyDescent="0.2">
      <c r="AW377" s="146"/>
      <c r="AX377" s="54"/>
      <c r="AY377" s="54"/>
      <c r="AZ377" s="54"/>
      <c r="BA377" s="54"/>
    </row>
    <row r="378" spans="46:53" x14ac:dyDescent="0.2">
      <c r="AW378" s="146"/>
      <c r="AX378" s="54"/>
      <c r="AY378" s="54"/>
      <c r="AZ378" s="54"/>
      <c r="BA378" s="54"/>
    </row>
    <row r="379" spans="46:53" x14ac:dyDescent="0.2">
      <c r="AW379" s="146"/>
      <c r="AX379" s="54"/>
      <c r="AY379" s="54"/>
      <c r="AZ379" s="54"/>
      <c r="BA379" s="54"/>
    </row>
    <row r="380" spans="46:53" x14ac:dyDescent="0.2">
      <c r="AW380" s="146"/>
      <c r="AX380" s="54"/>
      <c r="AY380" s="54"/>
      <c r="AZ380" s="54"/>
      <c r="BA380" s="54"/>
    </row>
    <row r="381" spans="46:53" x14ac:dyDescent="0.2">
      <c r="AW381" s="146"/>
      <c r="AX381" s="54"/>
      <c r="AY381" s="54"/>
      <c r="AZ381" s="54"/>
      <c r="BA381" s="54"/>
    </row>
    <row r="382" spans="46:53" x14ac:dyDescent="0.2">
      <c r="AW382" s="146"/>
      <c r="AX382" s="54"/>
      <c r="AY382" s="54"/>
      <c r="AZ382" s="54"/>
      <c r="BA382" s="54"/>
    </row>
    <row r="383" spans="46:53" x14ac:dyDescent="0.2">
      <c r="AW383" s="146"/>
      <c r="AX383" s="54"/>
      <c r="AY383" s="54"/>
      <c r="AZ383" s="54"/>
      <c r="BA383" s="54"/>
    </row>
    <row r="384" spans="46:53" x14ac:dyDescent="0.2">
      <c r="AT384" s="104"/>
      <c r="AU384" s="104"/>
      <c r="AW384" s="146"/>
      <c r="AX384" s="54"/>
      <c r="AY384" s="54"/>
      <c r="AZ384" s="54"/>
      <c r="BA384" s="54"/>
    </row>
    <row r="385" spans="49:53" x14ac:dyDescent="0.2">
      <c r="AW385" s="146"/>
      <c r="AX385" s="54"/>
      <c r="AY385" s="54"/>
      <c r="AZ385" s="54"/>
      <c r="BA385" s="54"/>
    </row>
    <row r="386" spans="49:53" x14ac:dyDescent="0.2">
      <c r="AW386" s="146"/>
      <c r="AX386" s="54"/>
      <c r="AY386" s="54"/>
      <c r="AZ386" s="54"/>
      <c r="BA386" s="54"/>
    </row>
    <row r="387" spans="49:53" x14ac:dyDescent="0.2">
      <c r="AW387" s="146"/>
      <c r="AX387" s="54"/>
      <c r="AY387" s="54"/>
      <c r="AZ387" s="54"/>
      <c r="BA387" s="54"/>
    </row>
    <row r="388" spans="49:53" x14ac:dyDescent="0.2">
      <c r="AW388" s="146"/>
      <c r="AX388" s="54"/>
      <c r="AY388" s="54"/>
      <c r="AZ388" s="54"/>
      <c r="BA388" s="54"/>
    </row>
    <row r="389" spans="49:53" x14ac:dyDescent="0.2">
      <c r="AW389" s="146"/>
      <c r="AX389" s="54"/>
      <c r="AY389" s="54"/>
      <c r="AZ389" s="54"/>
      <c r="BA389" s="54"/>
    </row>
    <row r="390" spans="49:53" x14ac:dyDescent="0.2">
      <c r="AW390" s="146"/>
      <c r="AX390" s="54"/>
      <c r="AY390" s="54"/>
      <c r="AZ390" s="54"/>
      <c r="BA390" s="54"/>
    </row>
    <row r="391" spans="49:53" x14ac:dyDescent="0.2">
      <c r="AW391" s="146"/>
      <c r="AX391" s="54"/>
      <c r="AY391" s="54"/>
      <c r="AZ391" s="54"/>
      <c r="BA391" s="54"/>
    </row>
    <row r="392" spans="49:53" x14ac:dyDescent="0.2">
      <c r="AW392" s="146"/>
      <c r="AX392" s="54"/>
      <c r="AY392" s="54"/>
      <c r="AZ392" s="54"/>
      <c r="BA392" s="54"/>
    </row>
    <row r="393" spans="49:53" x14ac:dyDescent="0.2">
      <c r="AW393" s="146"/>
      <c r="AX393" s="54"/>
      <c r="AY393" s="54"/>
      <c r="AZ393" s="54"/>
      <c r="BA393" s="54"/>
    </row>
    <row r="394" spans="49:53" x14ac:dyDescent="0.2">
      <c r="AW394" s="146"/>
      <c r="AX394" s="54"/>
      <c r="AY394" s="54"/>
      <c r="AZ394" s="54"/>
      <c r="BA394" s="54"/>
    </row>
    <row r="395" spans="49:53" x14ac:dyDescent="0.2">
      <c r="AW395" s="146"/>
      <c r="AX395" s="54"/>
      <c r="AY395" s="54"/>
      <c r="AZ395" s="54"/>
      <c r="BA395" s="54"/>
    </row>
    <row r="396" spans="49:53" x14ac:dyDescent="0.2">
      <c r="AW396" s="146"/>
      <c r="AX396" s="54"/>
      <c r="AY396" s="54"/>
      <c r="AZ396" s="54"/>
      <c r="BA396" s="54"/>
    </row>
    <row r="397" spans="49:53" x14ac:dyDescent="0.2">
      <c r="AW397" s="146"/>
      <c r="AX397" s="54"/>
      <c r="AY397" s="54"/>
      <c r="AZ397" s="54"/>
      <c r="BA397" s="54"/>
    </row>
    <row r="398" spans="49:53" x14ac:dyDescent="0.2">
      <c r="AW398" s="146"/>
      <c r="AX398" s="54"/>
      <c r="AY398" s="54"/>
      <c r="AZ398" s="54"/>
      <c r="BA398" s="54"/>
    </row>
    <row r="399" spans="49:53" x14ac:dyDescent="0.2">
      <c r="AW399" s="146"/>
      <c r="AX399" s="54"/>
      <c r="AY399" s="54"/>
      <c r="AZ399" s="54"/>
      <c r="BA399" s="54"/>
    </row>
    <row r="400" spans="49:53" x14ac:dyDescent="0.2">
      <c r="AW400" s="146"/>
      <c r="AX400" s="54"/>
      <c r="AY400" s="54"/>
      <c r="AZ400" s="54"/>
      <c r="BA400" s="54"/>
    </row>
    <row r="401" spans="49:53" x14ac:dyDescent="0.2">
      <c r="AW401" s="146"/>
      <c r="AX401" s="54"/>
      <c r="AY401" s="54"/>
      <c r="AZ401" s="54"/>
      <c r="BA401" s="54"/>
    </row>
    <row r="402" spans="49:53" x14ac:dyDescent="0.2">
      <c r="AW402" s="146"/>
      <c r="AX402" s="54"/>
      <c r="AY402" s="54"/>
      <c r="AZ402" s="54"/>
      <c r="BA402" s="54"/>
    </row>
    <row r="403" spans="49:53" x14ac:dyDescent="0.2">
      <c r="AW403" s="146"/>
      <c r="AX403" s="54"/>
      <c r="AY403" s="54"/>
      <c r="AZ403" s="54"/>
      <c r="BA403" s="54"/>
    </row>
    <row r="404" spans="49:53" x14ac:dyDescent="0.2">
      <c r="AW404" s="146"/>
      <c r="AX404" s="54"/>
      <c r="AY404" s="54"/>
      <c r="AZ404" s="54"/>
      <c r="BA404" s="54"/>
    </row>
    <row r="405" spans="49:53" x14ac:dyDescent="0.2">
      <c r="AW405" s="146"/>
      <c r="AX405" s="54"/>
      <c r="AY405" s="54"/>
      <c r="AZ405" s="54"/>
      <c r="BA405" s="54"/>
    </row>
    <row r="406" spans="49:53" x14ac:dyDescent="0.2">
      <c r="AW406" s="146"/>
      <c r="AX406" s="54"/>
      <c r="AY406" s="54"/>
      <c r="AZ406" s="54"/>
      <c r="BA406" s="54"/>
    </row>
    <row r="407" spans="49:53" x14ac:dyDescent="0.2">
      <c r="AW407" s="146"/>
      <c r="AX407" s="54"/>
      <c r="AY407" s="54"/>
      <c r="AZ407" s="54"/>
      <c r="BA407" s="54"/>
    </row>
    <row r="408" spans="49:53" x14ac:dyDescent="0.2">
      <c r="AW408" s="146"/>
      <c r="AX408" s="54"/>
      <c r="AY408" s="54"/>
      <c r="AZ408" s="54"/>
      <c r="BA408" s="54"/>
    </row>
    <row r="409" spans="49:53" x14ac:dyDescent="0.2">
      <c r="AW409" s="146"/>
      <c r="AX409" s="54"/>
      <c r="AY409" s="54"/>
      <c r="AZ409" s="54"/>
      <c r="BA409" s="54"/>
    </row>
    <row r="410" spans="49:53" x14ac:dyDescent="0.2">
      <c r="AW410" s="146"/>
      <c r="AX410" s="54"/>
      <c r="AY410" s="54"/>
      <c r="AZ410" s="54"/>
      <c r="BA410" s="54"/>
    </row>
    <row r="411" spans="49:53" x14ac:dyDescent="0.2">
      <c r="AW411" s="146"/>
      <c r="AX411" s="54"/>
      <c r="AY411" s="54"/>
      <c r="AZ411" s="54"/>
      <c r="BA411" s="54"/>
    </row>
    <row r="412" spans="49:53" x14ac:dyDescent="0.2">
      <c r="AW412" s="146"/>
      <c r="AX412" s="54"/>
      <c r="AY412" s="54"/>
      <c r="AZ412" s="54"/>
      <c r="BA412" s="54"/>
    </row>
    <row r="413" spans="49:53" x14ac:dyDescent="0.2">
      <c r="AW413" s="146"/>
      <c r="AX413" s="54"/>
      <c r="AY413" s="54"/>
      <c r="AZ413" s="54"/>
      <c r="BA413" s="54"/>
    </row>
    <row r="414" spans="49:53" x14ac:dyDescent="0.2">
      <c r="AW414" s="146"/>
      <c r="AX414" s="54"/>
      <c r="AY414" s="54"/>
      <c r="AZ414" s="54"/>
      <c r="BA414" s="54"/>
    </row>
    <row r="415" spans="49:53" x14ac:dyDescent="0.2">
      <c r="AW415" s="146"/>
      <c r="AX415" s="54"/>
      <c r="AY415" s="54"/>
      <c r="AZ415" s="54"/>
      <c r="BA415" s="54"/>
    </row>
    <row r="416" spans="49:53" x14ac:dyDescent="0.2">
      <c r="AW416" s="146"/>
      <c r="AX416" s="54"/>
      <c r="AY416" s="54"/>
      <c r="AZ416" s="54"/>
      <c r="BA416" s="54"/>
    </row>
    <row r="418" spans="49:53" x14ac:dyDescent="0.2">
      <c r="AW418" s="65"/>
      <c r="AX418" s="61"/>
      <c r="AY418" s="61"/>
      <c r="AZ418" s="61"/>
      <c r="BA418" s="61"/>
    </row>
    <row r="419" spans="49:53" x14ac:dyDescent="0.2">
      <c r="AW419" s="65"/>
      <c r="AX419" s="61"/>
      <c r="AY419" s="61"/>
      <c r="AZ419" s="61"/>
      <c r="BA419" s="61"/>
    </row>
    <row r="420" spans="49:53" x14ac:dyDescent="0.2">
      <c r="AW420" s="65"/>
      <c r="AX420" s="61"/>
      <c r="AY420" s="61"/>
      <c r="AZ420" s="61"/>
      <c r="BA420" s="61"/>
    </row>
    <row r="421" spans="49:53" x14ac:dyDescent="0.2">
      <c r="AW421" s="65"/>
      <c r="AX421" s="61"/>
      <c r="AY421" s="61"/>
      <c r="AZ421" s="61"/>
      <c r="BA421" s="61"/>
    </row>
    <row r="422" spans="49:53" x14ac:dyDescent="0.2">
      <c r="AW422" s="65"/>
      <c r="AX422" s="61"/>
      <c r="AY422" s="61"/>
      <c r="AZ422" s="61"/>
      <c r="BA422" s="61"/>
    </row>
    <row r="423" spans="49:53" x14ac:dyDescent="0.2">
      <c r="AW423" s="65"/>
      <c r="AX423" s="61"/>
      <c r="AY423" s="61"/>
      <c r="AZ423" s="61"/>
      <c r="BA423" s="61"/>
    </row>
    <row r="424" spans="49:53" x14ac:dyDescent="0.2">
      <c r="AW424" s="65"/>
      <c r="AX424" s="61"/>
      <c r="AY424" s="61"/>
      <c r="AZ424" s="61"/>
      <c r="BA424" s="61"/>
    </row>
    <row r="425" spans="49:53" x14ac:dyDescent="0.2">
      <c r="AW425" s="65"/>
      <c r="AX425" s="61"/>
      <c r="AY425" s="61"/>
      <c r="AZ425" s="61"/>
      <c r="BA425" s="61"/>
    </row>
    <row r="426" spans="49:53" x14ac:dyDescent="0.2">
      <c r="AW426" s="72"/>
      <c r="AX426" s="71"/>
      <c r="AY426" s="71"/>
      <c r="AZ426" s="71"/>
      <c r="BA426" s="71"/>
    </row>
    <row r="427" spans="49:53" x14ac:dyDescent="0.2">
      <c r="AW427" s="78"/>
      <c r="AX427" s="77"/>
      <c r="AY427" s="77"/>
      <c r="AZ427" s="77"/>
      <c r="BA427" s="77"/>
    </row>
    <row r="428" spans="49:53" x14ac:dyDescent="0.2">
      <c r="AW428" s="78"/>
      <c r="AX428" s="77"/>
      <c r="AY428" s="77"/>
      <c r="AZ428" s="77"/>
      <c r="BA428" s="77"/>
    </row>
    <row r="429" spans="49:53" x14ac:dyDescent="0.2">
      <c r="AW429" s="65"/>
      <c r="AX429" s="61"/>
      <c r="AY429" s="61"/>
      <c r="AZ429" s="61"/>
      <c r="BA429" s="61"/>
    </row>
    <row r="430" spans="49:53" x14ac:dyDescent="0.2">
      <c r="AW430" s="65"/>
      <c r="AX430" s="61"/>
      <c r="AY430" s="61"/>
      <c r="AZ430" s="61"/>
      <c r="BA430" s="61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CalcPr fullCalcOnLoad="1"/>
  <sheetProtection sheet="1" objects="1" scenarios="1" formatCells="0" selectLockedCells="1"/>
  <mergeCells count="431">
    <mergeCell ref="A1:AI1"/>
    <mergeCell ref="AT1:AW1"/>
    <mergeCell ref="AX1:AY1"/>
    <mergeCell ref="A2:I2"/>
    <mergeCell ref="J2:X2"/>
    <mergeCell ref="Y2:AC2"/>
    <mergeCell ref="AD2:AI2"/>
    <mergeCell ref="B3:O3"/>
    <mergeCell ref="P3:R3"/>
    <mergeCell ref="S3:X3"/>
    <mergeCell ref="Y3:AD3"/>
    <mergeCell ref="AE3:AF3"/>
    <mergeCell ref="AG3:AI3"/>
    <mergeCell ref="A4:D4"/>
    <mergeCell ref="E4:M4"/>
    <mergeCell ref="N4:Q4"/>
    <mergeCell ref="R4:AA4"/>
    <mergeCell ref="AB4:AE4"/>
    <mergeCell ref="AF4:AI4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AC8:AE9"/>
    <mergeCell ref="AF8:AF9"/>
    <mergeCell ref="AG8:AG9"/>
    <mergeCell ref="AH8:AI9"/>
    <mergeCell ref="B9:D9"/>
    <mergeCell ref="E9:K9"/>
    <mergeCell ref="A10:A11"/>
    <mergeCell ref="B10:D10"/>
    <mergeCell ref="E10:K10"/>
    <mergeCell ref="L10:P11"/>
    <mergeCell ref="R10:V11"/>
    <mergeCell ref="W10:Y11"/>
    <mergeCell ref="Z10:AB11"/>
    <mergeCell ref="AC10:AE11"/>
    <mergeCell ref="AF10:AF11"/>
    <mergeCell ref="AG10:AG11"/>
    <mergeCell ref="AH10:AI11"/>
    <mergeCell ref="B11:D11"/>
    <mergeCell ref="E11:K11"/>
    <mergeCell ref="A12:A13"/>
    <mergeCell ref="B12:D12"/>
    <mergeCell ref="E12:K12"/>
    <mergeCell ref="L12:P13"/>
    <mergeCell ref="R12:V13"/>
    <mergeCell ref="W12:Y13"/>
    <mergeCell ref="Z12:AB13"/>
    <mergeCell ref="AC12:AE13"/>
    <mergeCell ref="AF12:AF13"/>
    <mergeCell ref="AG12:AG13"/>
    <mergeCell ref="AH12:AI13"/>
    <mergeCell ref="B13:D13"/>
    <mergeCell ref="E13:K13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AG14:AG15"/>
    <mergeCell ref="AH14:AI15"/>
    <mergeCell ref="B15:D15"/>
    <mergeCell ref="E15:K15"/>
    <mergeCell ref="A16:A17"/>
    <mergeCell ref="B16:D16"/>
    <mergeCell ref="E16:K16"/>
    <mergeCell ref="L16:P17"/>
    <mergeCell ref="R16:V17"/>
    <mergeCell ref="W16:Y17"/>
    <mergeCell ref="Z16:AB17"/>
    <mergeCell ref="AC16:AE17"/>
    <mergeCell ref="AF16:AF17"/>
    <mergeCell ref="AG16:AG17"/>
    <mergeCell ref="AH16:AI17"/>
    <mergeCell ref="B17:D17"/>
    <mergeCell ref="E17:K17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3:AB23"/>
    <mergeCell ref="AC23:AE23"/>
    <mergeCell ref="AG57:AK57"/>
    <mergeCell ref="A89:AM89"/>
    <mergeCell ref="AN89:AQ89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Z95:AB96"/>
    <mergeCell ref="AC95:AE96"/>
    <mergeCell ref="AF95:AF96"/>
    <mergeCell ref="AG95:AG96"/>
    <mergeCell ref="AH95:AI96"/>
    <mergeCell ref="B96:D96"/>
    <mergeCell ref="E96:K96"/>
    <mergeCell ref="A97:A98"/>
    <mergeCell ref="B97:D97"/>
    <mergeCell ref="E97:K97"/>
    <mergeCell ref="L97:P98"/>
    <mergeCell ref="R97:V98"/>
    <mergeCell ref="W97:Y98"/>
    <mergeCell ref="Z97:AB98"/>
    <mergeCell ref="AC97:AE98"/>
    <mergeCell ref="AF97:AF98"/>
    <mergeCell ref="AG97:AG98"/>
    <mergeCell ref="AH97:AI98"/>
    <mergeCell ref="B98:D98"/>
    <mergeCell ref="E98:K98"/>
    <mergeCell ref="A99:A100"/>
    <mergeCell ref="B99:D99"/>
    <mergeCell ref="E99:K99"/>
    <mergeCell ref="L99:P100"/>
    <mergeCell ref="R99:V100"/>
    <mergeCell ref="W99:Y100"/>
    <mergeCell ref="Z99:AB100"/>
    <mergeCell ref="AC99:AE100"/>
    <mergeCell ref="AF99:AF100"/>
    <mergeCell ref="AG99:AG100"/>
    <mergeCell ref="AH99:AI100"/>
    <mergeCell ref="B100:D100"/>
    <mergeCell ref="E100:K100"/>
    <mergeCell ref="A101:A102"/>
    <mergeCell ref="B101:D101"/>
    <mergeCell ref="E101:K101"/>
    <mergeCell ref="L101:P102"/>
    <mergeCell ref="R101:V102"/>
    <mergeCell ref="W101:Y102"/>
    <mergeCell ref="Z101:AB102"/>
    <mergeCell ref="AC101:AE102"/>
    <mergeCell ref="AF101:AF102"/>
    <mergeCell ref="AG101:AG102"/>
    <mergeCell ref="AH101:AI102"/>
    <mergeCell ref="B102:D102"/>
    <mergeCell ref="E102:K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8:AB108"/>
    <mergeCell ref="AC108:AE108"/>
    <mergeCell ref="AG142:AK142"/>
    <mergeCell ref="A174:AM174"/>
    <mergeCell ref="AN174:AQ174"/>
    <mergeCell ref="A175:AQ175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82:AQ182"/>
    <mergeCell ref="A183:AQ183"/>
    <mergeCell ref="A184:AQ184"/>
    <mergeCell ref="A185:AQ185"/>
    <mergeCell ref="A186:K186"/>
    <mergeCell ref="A188:O188"/>
    <mergeCell ref="R188:AF188"/>
    <mergeCell ref="A190:E190"/>
    <mergeCell ref="U190:AA190"/>
    <mergeCell ref="A191:E191"/>
    <mergeCell ref="U191:AA191"/>
    <mergeCell ref="A193:E193"/>
    <mergeCell ref="F193:M193"/>
    <mergeCell ref="T193:AA193"/>
    <mergeCell ref="AB193:AH193"/>
    <mergeCell ref="A194:E194"/>
    <mergeCell ref="F194:I194"/>
    <mergeCell ref="J194:M194"/>
    <mergeCell ref="T194:Z194"/>
    <mergeCell ref="AB194:AE194"/>
    <mergeCell ref="AF194:AH194"/>
    <mergeCell ref="A195:E195"/>
    <mergeCell ref="U195:AA195"/>
    <mergeCell ref="A196:E196"/>
    <mergeCell ref="U196:AA196"/>
    <mergeCell ref="F197:I197"/>
    <mergeCell ref="AB197:AE197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200:E200"/>
    <mergeCell ref="J200:P200"/>
    <mergeCell ref="U200:AA200"/>
    <mergeCell ref="A202:D202"/>
    <mergeCell ref="F202:I202"/>
    <mergeCell ref="J202:M202"/>
    <mergeCell ref="T202:Z202"/>
    <mergeCell ref="AB202:AE202"/>
    <mergeCell ref="AF202:AH202"/>
    <mergeCell ref="A203:E203"/>
    <mergeCell ref="F203:M203"/>
    <mergeCell ref="T203:Z203"/>
    <mergeCell ref="AB203:AH203"/>
    <mergeCell ref="A204:E204"/>
    <mergeCell ref="U204:AA204"/>
    <mergeCell ref="A205:E205"/>
    <mergeCell ref="U205:AA205"/>
    <mergeCell ref="A208:J208"/>
    <mergeCell ref="U208:AF208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B217:D217"/>
    <mergeCell ref="E217:G217"/>
    <mergeCell ref="H217:J217"/>
    <mergeCell ref="T217:V217"/>
    <mergeCell ref="W217:Y217"/>
    <mergeCell ref="Z217:AB217"/>
    <mergeCell ref="AC217:AE217"/>
    <mergeCell ref="K218:N218"/>
    <mergeCell ref="T218:V218"/>
    <mergeCell ref="AF218:AG218"/>
    <mergeCell ref="T219:V219"/>
    <mergeCell ref="T220:V220"/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</mergeCells>
  <conditionalFormatting sqref="A8 A93">
    <cfRule type="expression" dxfId="2503" priority="4" stopIfTrue="1">
      <formula>IF(AK9&gt;0,0,1)</formula>
    </cfRule>
  </conditionalFormatting>
  <conditionalFormatting sqref="A10:A11 A95:A96">
    <cfRule type="expression" dxfId="2502" priority="5" stopIfTrue="1">
      <formula>IF(#REF!&gt;1,0,1)</formula>
    </cfRule>
  </conditionalFormatting>
  <conditionalFormatting sqref="A12:A13 A97:A98">
    <cfRule type="expression" dxfId="2501" priority="6" stopIfTrue="1">
      <formula>IF(#REF!&gt;2,0,1)</formula>
    </cfRule>
  </conditionalFormatting>
  <conditionalFormatting sqref="A14:A15 A99:A100">
    <cfRule type="expression" dxfId="2500" priority="7" stopIfTrue="1">
      <formula>IF(#REF!&gt;3,0,1)</formula>
    </cfRule>
  </conditionalFormatting>
  <conditionalFormatting sqref="A16:A17 A101:A102">
    <cfRule type="expression" dxfId="2499" priority="8" stopIfTrue="1">
      <formula>IF(#REF!&gt;4,0,1)</formula>
    </cfRule>
  </conditionalFormatting>
  <conditionalFormatting sqref="B8 B93">
    <cfRule type="expression" dxfId="2498" priority="9" stopIfTrue="1">
      <formula>IF(AK9&gt;0,0,1)</formula>
    </cfRule>
  </conditionalFormatting>
  <conditionalFormatting sqref="B9 B94">
    <cfRule type="expression" dxfId="2497" priority="10" stopIfTrue="1">
      <formula>IF(AK9&gt;0,0,1)</formula>
    </cfRule>
  </conditionalFormatting>
  <conditionalFormatting sqref="B10 B95">
    <cfRule type="expression" dxfId="2496" priority="11" stopIfTrue="1">
      <formula>IF(#REF!&gt;1,0,1)</formula>
    </cfRule>
  </conditionalFormatting>
  <conditionalFormatting sqref="B11:D11 B96:D96">
    <cfRule type="expression" dxfId="2495" priority="12" stopIfTrue="1">
      <formula>IF(#REF!&gt;1,0,1)</formula>
    </cfRule>
  </conditionalFormatting>
  <conditionalFormatting sqref="B12:D12 B97:D97">
    <cfRule type="expression" dxfId="2494" priority="13" stopIfTrue="1">
      <formula>IF(#REF!&gt;2,0,1)</formula>
    </cfRule>
  </conditionalFormatting>
  <conditionalFormatting sqref="B13:D13 B98:D98">
    <cfRule type="expression" dxfId="2493" priority="14" stopIfTrue="1">
      <formula>IF(#REF!&gt;2,0,1)</formula>
    </cfRule>
  </conditionalFormatting>
  <conditionalFormatting sqref="B14:D14 B99:D99">
    <cfRule type="expression" dxfId="2492" priority="15" stopIfTrue="1">
      <formula>IF(#REF!&gt;3,0,1)</formula>
    </cfRule>
  </conditionalFormatting>
  <conditionalFormatting sqref="B15:D15 B100:D100">
    <cfRule type="expression" dxfId="2491" priority="16" stopIfTrue="1">
      <formula>IF(#REF!&gt;3,0,1)</formula>
    </cfRule>
  </conditionalFormatting>
  <conditionalFormatting sqref="B16:D16 B101:D101">
    <cfRule type="expression" dxfId="2490" priority="17" stopIfTrue="1">
      <formula>IF(#REF!&gt;4,0,1)</formula>
    </cfRule>
  </conditionalFormatting>
  <conditionalFormatting sqref="B17:D17 B102:D102">
    <cfRule type="expression" dxfId="2489" priority="18" stopIfTrue="1">
      <formula>IF(#REF!&gt;4,0,1)</formula>
    </cfRule>
  </conditionalFormatting>
  <conditionalFormatting sqref="E8 E93">
    <cfRule type="expression" dxfId="2488" priority="19" stopIfTrue="1">
      <formula>IF(AK9&gt;0,0,1)</formula>
    </cfRule>
  </conditionalFormatting>
  <conditionalFormatting sqref="E9 E94">
    <cfRule type="expression" dxfId="2487" priority="20" stopIfTrue="1">
      <formula>IF(AK9&gt;0,0,1)</formula>
    </cfRule>
  </conditionalFormatting>
  <conditionalFormatting sqref="E10 E95">
    <cfRule type="expression" dxfId="2486" priority="21" stopIfTrue="1">
      <formula>IF(#REF!&gt;1,0,1)</formula>
    </cfRule>
  </conditionalFormatting>
  <conditionalFormatting sqref="E11 E96">
    <cfRule type="expression" dxfId="2485" priority="22" stopIfTrue="1">
      <formula>IF(#REF!&gt;1,0,1)</formula>
    </cfRule>
  </conditionalFormatting>
  <conditionalFormatting sqref="E12 E97">
    <cfRule type="expression" dxfId="2484" priority="23" stopIfTrue="1">
      <formula>IF(#REF!&gt;2,0,1)</formula>
    </cfRule>
  </conditionalFormatting>
  <conditionalFormatting sqref="E13 E98">
    <cfRule type="expression" dxfId="2483" priority="24" stopIfTrue="1">
      <formula>IF(#REF!&gt;2,0,1)</formula>
    </cfRule>
  </conditionalFormatting>
  <conditionalFormatting sqref="E14 E99">
    <cfRule type="expression" dxfId="2482" priority="25" stopIfTrue="1">
      <formula>IF(#REF!&gt;3,0,1)</formula>
    </cfRule>
  </conditionalFormatting>
  <conditionalFormatting sqref="E15 E100">
    <cfRule type="expression" dxfId="2481" priority="26" stopIfTrue="1">
      <formula>IF(#REF!&gt;3,0,1)</formula>
    </cfRule>
  </conditionalFormatting>
  <conditionalFormatting sqref="E16 E101">
    <cfRule type="expression" dxfId="2480" priority="27" stopIfTrue="1">
      <formula>IF(#REF!&gt;4,0,1)</formula>
    </cfRule>
  </conditionalFormatting>
  <conditionalFormatting sqref="E17 E102">
    <cfRule type="expression" dxfId="2479" priority="28" stopIfTrue="1">
      <formula>IF(#REF!&gt;4,0,1)</formula>
    </cfRule>
  </conditionalFormatting>
  <conditionalFormatting sqref="AC8 AC93">
    <cfRule type="expression" dxfId="2478" priority="29" stopIfTrue="1">
      <formula>IF(AK11=1,IF(AK9&gt;0,0,1),1)</formula>
    </cfRule>
  </conditionalFormatting>
  <conditionalFormatting sqref="AC10:AE11 AC95:AE96">
    <cfRule type="expression" dxfId="2477" priority="30" stopIfTrue="1">
      <formula>IF(AK11=1,IF(#REF!&gt;1,0,1),1)</formula>
    </cfRule>
  </conditionalFormatting>
  <conditionalFormatting sqref="AC12:AE13 AC97:AE98">
    <cfRule type="expression" dxfId="2476" priority="31" stopIfTrue="1">
      <formula>IF(#REF!=1,IF(#REF!&gt;2,0,1),1)</formula>
    </cfRule>
  </conditionalFormatting>
  <conditionalFormatting sqref="AC14:AE15 AC99:AE100">
    <cfRule type="expression" dxfId="2475" priority="32" stopIfTrue="1">
      <formula>IF(#REF!=1,IF(#REF!&gt;3,0,1),1)</formula>
    </cfRule>
  </conditionalFormatting>
  <conditionalFormatting sqref="AC16:AE17 AC101:AE102">
    <cfRule type="expression" dxfId="2474" priority="33" stopIfTrue="1">
      <formula>IF(#REF!=1,IF(#REF!&gt;4,0,1),1)</formula>
    </cfRule>
  </conditionalFormatting>
  <conditionalFormatting sqref="AH8 AH93">
    <cfRule type="expression" dxfId="2473" priority="34" stopIfTrue="1">
      <formula>IF(AK9&gt;0,0,1)</formula>
    </cfRule>
  </conditionalFormatting>
  <conditionalFormatting sqref="AH10:AI11 AH95:AI96">
    <cfRule type="expression" dxfId="2472" priority="35" stopIfTrue="1">
      <formula>IF(#REF!&gt;1,0,1)</formula>
    </cfRule>
  </conditionalFormatting>
  <conditionalFormatting sqref="AH12:AI13 AH97:AI98">
    <cfRule type="expression" dxfId="2471" priority="36" stopIfTrue="1">
      <formula>IF(#REF!&gt;2,0,1)</formula>
    </cfRule>
  </conditionalFormatting>
  <conditionalFormatting sqref="AH14:AI15 AH99:AI100">
    <cfRule type="expression" dxfId="2470" priority="37" stopIfTrue="1">
      <formula>IF(#REF!&gt;3,0,1)</formula>
    </cfRule>
  </conditionalFormatting>
  <conditionalFormatting sqref="AH16:AI17 AH101:AI102">
    <cfRule type="expression" dxfId="2469" priority="38" stopIfTrue="1">
      <formula>IF(#REF!&gt;4,0,1)</formula>
    </cfRule>
  </conditionalFormatting>
  <conditionalFormatting sqref="B19:D19 B104:D104">
    <cfRule type="expression" dxfId="2468" priority="39" stopIfTrue="1">
      <formula>IF(#REF!&gt;0,0,1)</formula>
    </cfRule>
  </conditionalFormatting>
  <conditionalFormatting sqref="E19:G19 E104:G104">
    <cfRule type="expression" dxfId="2467" priority="40" stopIfTrue="1">
      <formula>IF(#REF!&gt;1,0,1)</formula>
    </cfRule>
  </conditionalFormatting>
  <conditionalFormatting sqref="H19:J19 H104:J104">
    <cfRule type="expression" dxfId="2466" priority="41" stopIfTrue="1">
      <formula>IF(#REF!&gt;2,0,1)</formula>
    </cfRule>
  </conditionalFormatting>
  <conditionalFormatting sqref="K19:M19 K104:M104">
    <cfRule type="expression" dxfId="2465" priority="42" stopIfTrue="1">
      <formula>IF(#REF!&gt;3,0,1)</formula>
    </cfRule>
  </conditionalFormatting>
  <conditionalFormatting sqref="N19:P19 N104:P104">
    <cfRule type="expression" dxfId="2464" priority="43" stopIfTrue="1">
      <formula>IF(#REF!&gt;4,0,1)</formula>
    </cfRule>
  </conditionalFormatting>
  <conditionalFormatting sqref="Q19:S19 Q104:S104">
    <cfRule type="expression" dxfId="2463" priority="44" stopIfTrue="1">
      <formula>IF(#REF!&gt;5,0,1)</formula>
    </cfRule>
  </conditionalFormatting>
  <conditionalFormatting sqref="T19:V19 T104:V104">
    <cfRule type="expression" dxfId="2462" priority="45" stopIfTrue="1">
      <formula>IF(#REF!&gt;6,0,1)</formula>
    </cfRule>
  </conditionalFormatting>
  <conditionalFormatting sqref="W19:Y19 W104:Y104">
    <cfRule type="expression" dxfId="2461" priority="46" stopIfTrue="1">
      <formula>IF(#REF!&gt;7,0,1)</formula>
    </cfRule>
  </conditionalFormatting>
  <conditionalFormatting sqref="Z19:AB19 Z104:AB104">
    <cfRule type="expression" dxfId="2460" priority="47" stopIfTrue="1">
      <formula>IF(#REF!&gt;8,0,1)</formula>
    </cfRule>
  </conditionalFormatting>
  <conditionalFormatting sqref="AC19:AE19 AC104:AE104">
    <cfRule type="expression" dxfId="2459" priority="48" stopIfTrue="1">
      <formula>IF(#REF!&gt;9,0,1)</formula>
    </cfRule>
  </conditionalFormatting>
  <conditionalFormatting sqref="B20:D20 B105:D105">
    <cfRule type="expression" dxfId="2458" priority="49" stopIfTrue="1">
      <formula>IF(#REF!&gt;0,0,1)</formula>
    </cfRule>
  </conditionalFormatting>
  <conditionalFormatting sqref="E20:G20 E105:G105">
    <cfRule type="expression" dxfId="2457" priority="50" stopIfTrue="1">
      <formula>IF(#REF!&gt;1,0,1)</formula>
    </cfRule>
  </conditionalFormatting>
  <conditionalFormatting sqref="H20:J20 H105:J105">
    <cfRule type="expression" dxfId="2456" priority="51" stopIfTrue="1">
      <formula>IF(#REF!&gt;2,0,1)</formula>
    </cfRule>
  </conditionalFormatting>
  <conditionalFormatting sqref="K20:M20 K105:M105">
    <cfRule type="expression" dxfId="2455" priority="52" stopIfTrue="1">
      <formula>IF(#REF!&gt;3,0,1)</formula>
    </cfRule>
  </conditionalFormatting>
  <conditionalFormatting sqref="N20:P20 N105:P105">
    <cfRule type="expression" dxfId="2454" priority="53" stopIfTrue="1">
      <formula>IF(#REF!&gt;4,0,1)</formula>
    </cfRule>
  </conditionalFormatting>
  <conditionalFormatting sqref="Q20:S20 Q105:S105">
    <cfRule type="expression" dxfId="2453" priority="54" stopIfTrue="1">
      <formula>IF(#REF!&gt;5,0,1)</formula>
    </cfRule>
  </conditionalFormatting>
  <conditionalFormatting sqref="T20:V20 T105:V105">
    <cfRule type="expression" dxfId="2452" priority="55" stopIfTrue="1">
      <formula>IF(#REF!&gt;6,0,1)</formula>
    </cfRule>
  </conditionalFormatting>
  <conditionalFormatting sqref="W20:Y20 W105:Y105">
    <cfRule type="expression" dxfId="2451" priority="56" stopIfTrue="1">
      <formula>IF(#REF!&gt;7,0,1)</formula>
    </cfRule>
  </conditionalFormatting>
  <conditionalFormatting sqref="Z20:AB20 Z105:AB105">
    <cfRule type="expression" dxfId="2450" priority="57" stopIfTrue="1">
      <formula>IF(#REF!&gt;8,0,1)</formula>
    </cfRule>
  </conditionalFormatting>
  <conditionalFormatting sqref="AC20:AE20 AC105:AE105">
    <cfRule type="expression" dxfId="2449" priority="58" stopIfTrue="1">
      <formula>IF(#REF!&gt;9,0,1)</formula>
    </cfRule>
  </conditionalFormatting>
  <conditionalFormatting sqref="E22:G22 E107:G107">
    <cfRule type="expression" dxfId="2448" priority="59" stopIfTrue="1">
      <formula>IF(#REF!&gt;1,0,1)</formula>
    </cfRule>
  </conditionalFormatting>
  <conditionalFormatting sqref="H22:J22 H107:J107">
    <cfRule type="expression" dxfId="2447" priority="60" stopIfTrue="1">
      <formula>IF(#REF!&gt;2,0,1)</formula>
    </cfRule>
  </conditionalFormatting>
  <conditionalFormatting sqref="K22:M22 K107:M107">
    <cfRule type="expression" dxfId="2446" priority="61" stopIfTrue="1">
      <formula>IF(#REF!&gt;3,0,1)</formula>
    </cfRule>
  </conditionalFormatting>
  <conditionalFormatting sqref="N22:P22 N107:P107">
    <cfRule type="expression" dxfId="2445" priority="62" stopIfTrue="1">
      <formula>IF(#REF!&gt;4,0,1)</formula>
    </cfRule>
  </conditionalFormatting>
  <conditionalFormatting sqref="Q22:S22 Q107:S107">
    <cfRule type="expression" dxfId="2444" priority="63" stopIfTrue="1">
      <formula>IF(#REF!&gt;5,0,1)</formula>
    </cfRule>
  </conditionalFormatting>
  <conditionalFormatting sqref="T22:V22 T107:V107">
    <cfRule type="expression" dxfId="2443" priority="64" stopIfTrue="1">
      <formula>IF(#REF!&gt;6,0,1)</formula>
    </cfRule>
  </conditionalFormatting>
  <conditionalFormatting sqref="W22:Y22 W107:Y107">
    <cfRule type="expression" dxfId="2442" priority="65" stopIfTrue="1">
      <formula>IF(#REF!&gt;7,0,1)</formula>
    </cfRule>
  </conditionalFormatting>
  <conditionalFormatting sqref="Z22:AB22 Z107:AB107">
    <cfRule type="expression" dxfId="2441" priority="66" stopIfTrue="1">
      <formula>IF(#REF!&gt;8,0,1)</formula>
    </cfRule>
  </conditionalFormatting>
  <conditionalFormatting sqref="AC22:AE22 AC107:AE107">
    <cfRule type="expression" dxfId="2440" priority="67" stopIfTrue="1">
      <formula>IF(#REF!&gt;9,0,1)</formula>
    </cfRule>
  </conditionalFormatting>
  <conditionalFormatting sqref="B24 B109">
    <cfRule type="expression" dxfId="2439" priority="68" stopIfTrue="1">
      <formula>IF(#REF!&gt;0,0,1)</formula>
    </cfRule>
  </conditionalFormatting>
  <conditionalFormatting sqref="C24 C109">
    <cfRule type="expression" dxfId="2438" priority="69" stopIfTrue="1">
      <formula>IF(#REF!&gt;0,0,1)</formula>
    </cfRule>
  </conditionalFormatting>
  <conditionalFormatting sqref="D24 D109">
    <cfRule type="expression" dxfId="2437" priority="70" stopIfTrue="1">
      <formula>IF(#REF!&gt;0,0,1)</formula>
    </cfRule>
  </conditionalFormatting>
  <conditionalFormatting sqref="E23:G23 E108:G108">
    <cfRule type="expression" dxfId="2436" priority="71" stopIfTrue="1">
      <formula>IF(#REF!&gt;1,0,1)</formula>
    </cfRule>
  </conditionalFormatting>
  <conditionalFormatting sqref="F24 F109">
    <cfRule type="expression" dxfId="2435" priority="72" stopIfTrue="1">
      <formula>IF(#REF!&gt;1,0,1)</formula>
    </cfRule>
  </conditionalFormatting>
  <conditionalFormatting sqref="G24 G109">
    <cfRule type="expression" dxfId="2434" priority="73" stopIfTrue="1">
      <formula>IF(#REF!&gt;1,0,1)</formula>
    </cfRule>
  </conditionalFormatting>
  <conditionalFormatting sqref="H23:J23 H108:J108">
    <cfRule type="expression" dxfId="2433" priority="74" stopIfTrue="1">
      <formula>IF(#REF!&gt;2,0,1)</formula>
    </cfRule>
  </conditionalFormatting>
  <conditionalFormatting sqref="I24 I109">
    <cfRule type="expression" dxfId="2432" priority="75" stopIfTrue="1">
      <formula>IF(#REF!&gt;2,0,1)</formula>
    </cfRule>
  </conditionalFormatting>
  <conditionalFormatting sqref="J24 J109">
    <cfRule type="expression" dxfId="2431" priority="76" stopIfTrue="1">
      <formula>IF(#REF!&gt;2,0,1)</formula>
    </cfRule>
  </conditionalFormatting>
  <conditionalFormatting sqref="K23:M23 K108:M108">
    <cfRule type="expression" dxfId="2430" priority="77" stopIfTrue="1">
      <formula>IF(#REF!&gt;3,0,1)</formula>
    </cfRule>
  </conditionalFormatting>
  <conditionalFormatting sqref="L24 L109">
    <cfRule type="expression" dxfId="2429" priority="78" stopIfTrue="1">
      <formula>IF(#REF!&gt;3,0,1)</formula>
    </cfRule>
  </conditionalFormatting>
  <conditionalFormatting sqref="M24 M109">
    <cfRule type="expression" dxfId="2428" priority="79" stopIfTrue="1">
      <formula>IF(#REF!&gt;3,0,1)</formula>
    </cfRule>
  </conditionalFormatting>
  <conditionalFormatting sqref="N23:P23 N108:P108">
    <cfRule type="expression" dxfId="2427" priority="80" stopIfTrue="1">
      <formula>IF(#REF!&gt;4,0,1)</formula>
    </cfRule>
  </conditionalFormatting>
  <conditionalFormatting sqref="O24 O109">
    <cfRule type="expression" dxfId="2426" priority="81" stopIfTrue="1">
      <formula>IF(#REF!&gt;4,0,1)</formula>
    </cfRule>
  </conditionalFormatting>
  <conditionalFormatting sqref="P24 P109">
    <cfRule type="expression" dxfId="2425" priority="82" stopIfTrue="1">
      <formula>IF(#REF!&gt;4,0,1)</formula>
    </cfRule>
  </conditionalFormatting>
  <conditionalFormatting sqref="Q23:S23 Q108:S108">
    <cfRule type="expression" dxfId="2424" priority="83" stopIfTrue="1">
      <formula>IF(#REF!&gt;5,0,1)</formula>
    </cfRule>
  </conditionalFormatting>
  <conditionalFormatting sqref="R24 R109">
    <cfRule type="expression" dxfId="2423" priority="84" stopIfTrue="1">
      <formula>IF(#REF!&gt;5,0,1)</formula>
    </cfRule>
  </conditionalFormatting>
  <conditionalFormatting sqref="S24 S109">
    <cfRule type="expression" dxfId="2422" priority="85" stopIfTrue="1">
      <formula>IF(#REF!&gt;5,0,1)</formula>
    </cfRule>
  </conditionalFormatting>
  <conditionalFormatting sqref="T23:V23 T108:V108">
    <cfRule type="expression" dxfId="2421" priority="86" stopIfTrue="1">
      <formula>IF(#REF!&gt;6,0,1)</formula>
    </cfRule>
  </conditionalFormatting>
  <conditionalFormatting sqref="U24 U109">
    <cfRule type="expression" dxfId="2420" priority="87" stopIfTrue="1">
      <formula>IF(#REF!&gt;6,0,1)</formula>
    </cfRule>
  </conditionalFormatting>
  <conditionalFormatting sqref="V24 V109">
    <cfRule type="expression" dxfId="2419" priority="88" stopIfTrue="1">
      <formula>IF(#REF!&gt;6,0,1)</formula>
    </cfRule>
  </conditionalFormatting>
  <conditionalFormatting sqref="W23:Y23 W108:Y108">
    <cfRule type="expression" dxfId="2418" priority="89" stopIfTrue="1">
      <formula>IF(#REF!&gt;7,0,1)</formula>
    </cfRule>
  </conditionalFormatting>
  <conditionalFormatting sqref="X24 X109">
    <cfRule type="expression" dxfId="2417" priority="90" stopIfTrue="1">
      <formula>IF(#REF!&gt;7,0,1)</formula>
    </cfRule>
  </conditionalFormatting>
  <conditionalFormatting sqref="Y24 Y109">
    <cfRule type="expression" dxfId="2416" priority="91" stopIfTrue="1">
      <formula>IF(#REF!&gt;7,0,1)</formula>
    </cfRule>
  </conditionalFormatting>
  <conditionalFormatting sqref="Z23:AB23 Z108:AB108">
    <cfRule type="expression" dxfId="2415" priority="92" stopIfTrue="1">
      <formula>IF(#REF!&gt;8,0,1)</formula>
    </cfRule>
  </conditionalFormatting>
  <conditionalFormatting sqref="AA24 AA109">
    <cfRule type="expression" dxfId="2414" priority="93" stopIfTrue="1">
      <formula>IF(#REF!&gt;8,0,1)</formula>
    </cfRule>
  </conditionalFormatting>
  <conditionalFormatting sqref="AB24 AB109">
    <cfRule type="expression" dxfId="2413" priority="94" stopIfTrue="1">
      <formula>IF(#REF!&gt;8,0,1)</formula>
    </cfRule>
  </conditionalFormatting>
  <conditionalFormatting sqref="AC23:AE23 AC108:AE108">
    <cfRule type="expression" dxfId="2412" priority="95" stopIfTrue="1">
      <formula>IF(#REF!&gt;9,0,1)</formula>
    </cfRule>
  </conditionalFormatting>
  <conditionalFormatting sqref="AD24 AD109">
    <cfRule type="expression" dxfId="2411" priority="96" stopIfTrue="1">
      <formula>IF(#REF!&gt;9,0,1)</formula>
    </cfRule>
  </conditionalFormatting>
  <conditionalFormatting sqref="AE24 AE109">
    <cfRule type="expression" dxfId="2410" priority="97" stopIfTrue="1">
      <formula>IF(#REF!&gt;9,0,1)</formula>
    </cfRule>
  </conditionalFormatting>
  <conditionalFormatting sqref="A26 A111">
    <cfRule type="expression" dxfId="2409" priority="98" stopIfTrue="1">
      <formula>IF(#REF!&gt;1,0,1)</formula>
    </cfRule>
  </conditionalFormatting>
  <conditionalFormatting sqref="A27 A112">
    <cfRule type="expression" dxfId="2408" priority="99" stopIfTrue="1">
      <formula>IF(#REF!&gt;2,0,1)</formula>
    </cfRule>
  </conditionalFormatting>
  <conditionalFormatting sqref="A28 A113">
    <cfRule type="expression" dxfId="2407" priority="100" stopIfTrue="1">
      <formula>IF(#REF!&gt;3,0,1)</formula>
    </cfRule>
  </conditionalFormatting>
  <conditionalFormatting sqref="A29 A114">
    <cfRule type="expression" dxfId="2406" priority="101" stopIfTrue="1">
      <formula>IF(#REF!&gt;4,0,1)</formula>
    </cfRule>
  </conditionalFormatting>
  <conditionalFormatting sqref="B25:D25 B110:D110">
    <cfRule type="expression" dxfId="2405" priority="102" stopIfTrue="1">
      <formula>IF(#REF!&gt;0,0,1)</formula>
    </cfRule>
  </conditionalFormatting>
  <conditionalFormatting sqref="B26:D26 B111:D111">
    <cfRule type="expression" dxfId="2404" priority="103" stopIfTrue="1">
      <formula>IF(#REF!&lt;1,1,IF(#REF!&lt;2,1,0))</formula>
    </cfRule>
  </conditionalFormatting>
  <conditionalFormatting sqref="B27:D27 B112:D112">
    <cfRule type="expression" dxfId="2403" priority="104" stopIfTrue="1">
      <formula>IF(#REF!&lt;1,1,IF(#REF!&lt;3,1,0))</formula>
    </cfRule>
  </conditionalFormatting>
  <conditionalFormatting sqref="B28:D28 B113:D113">
    <cfRule type="expression" dxfId="2402" priority="105" stopIfTrue="1">
      <formula>IF(#REF!&lt;1,1,IF(#REF!&lt;4,1,0))</formula>
    </cfRule>
  </conditionalFormatting>
  <conditionalFormatting sqref="B29:D29 B114:D114">
    <cfRule type="expression" dxfId="2401" priority="106" stopIfTrue="1">
      <formula>IF(#REF!&lt;1,1,IF(#REF!&lt;5,1,0))</formula>
    </cfRule>
  </conditionalFormatting>
  <conditionalFormatting sqref="AG23 AG108">
    <cfRule type="expression" dxfId="2400" priority="107" stopIfTrue="1">
      <formula>IF(#REF!&lt;1,1,0)</formula>
    </cfRule>
  </conditionalFormatting>
  <conditionalFormatting sqref="AH23 AH108">
    <cfRule type="expression" dxfId="2399" priority="108" stopIfTrue="1">
      <formula>IF(#REF!&lt;2,1,0)</formula>
    </cfRule>
  </conditionalFormatting>
  <conditionalFormatting sqref="AI23 AI108">
    <cfRule type="expression" dxfId="2398" priority="109" stopIfTrue="1">
      <formula>IF(#REF!&lt;3,1,0)</formula>
    </cfRule>
  </conditionalFormatting>
  <conditionalFormatting sqref="AJ23 AJ108">
    <cfRule type="expression" dxfId="2397" priority="110" stopIfTrue="1">
      <formula>IF(#REF!&lt;4,1,0)</formula>
    </cfRule>
  </conditionalFormatting>
  <conditionalFormatting sqref="AK23 AK108">
    <cfRule type="expression" dxfId="2396" priority="111" stopIfTrue="1">
      <formula>IF(#REF!&lt;5,1,0)</formula>
    </cfRule>
  </conditionalFormatting>
  <conditionalFormatting sqref="AL23 AL108">
    <cfRule type="expression" dxfId="2395" priority="112" stopIfTrue="1">
      <formula>IF(#REF!&lt;6,1,0)</formula>
    </cfRule>
  </conditionalFormatting>
  <conditionalFormatting sqref="AM23 AM108">
    <cfRule type="expression" dxfId="2394" priority="113" stopIfTrue="1">
      <formula>IF(#REF!&lt;7,1,0)</formula>
    </cfRule>
  </conditionalFormatting>
  <conditionalFormatting sqref="AN23 AN108">
    <cfRule type="expression" dxfId="2393" priority="114" stopIfTrue="1">
      <formula>IF(#REF!&lt;8,1,0)</formula>
    </cfRule>
  </conditionalFormatting>
  <conditionalFormatting sqref="AO23 AO108">
    <cfRule type="expression" dxfId="2392" priority="115" stopIfTrue="1">
      <formula>IF(#REF!&lt;9,1,0)</formula>
    </cfRule>
  </conditionalFormatting>
  <conditionalFormatting sqref="AP23 AP108">
    <cfRule type="expression" dxfId="2391" priority="116" stopIfTrue="1">
      <formula>IF(#REF!&lt;10,1,0)</formula>
    </cfRule>
  </conditionalFormatting>
  <conditionalFormatting sqref="AQ24 AQ109">
    <cfRule type="expression" dxfId="2390" priority="117" stopIfTrue="1">
      <formula>IF(#REF!&gt;0,0,1)</formula>
    </cfRule>
  </conditionalFormatting>
  <conditionalFormatting sqref="AQ25 AQ110">
    <cfRule type="expression" dxfId="2389" priority="118" stopIfTrue="1">
      <formula>IF(#REF!&gt;1,0,1)</formula>
    </cfRule>
  </conditionalFormatting>
  <conditionalFormatting sqref="AQ26 H25:J25 AQ111 H110:J110">
    <cfRule type="expression" dxfId="2388" priority="119" stopIfTrue="1">
      <formula>IF(#REF!&gt;2,0,1)</formula>
    </cfRule>
  </conditionalFormatting>
  <conditionalFormatting sqref="K25:M25 K110:M110">
    <cfRule type="expression" dxfId="2387" priority="120" stopIfTrue="1">
      <formula>IF(#REF!&gt;3,0,1)</formula>
    </cfRule>
  </conditionalFormatting>
  <conditionalFormatting sqref="AQ28 AQ113">
    <cfRule type="expression" dxfId="2386" priority="121" stopIfTrue="1">
      <formula>IF(#REF!&gt;4,0,1)</formula>
    </cfRule>
  </conditionalFormatting>
  <conditionalFormatting sqref="E26:G26 E111:G111">
    <cfRule type="expression" dxfId="2385" priority="122" stopIfTrue="1">
      <formula>IF(#REF!&lt;2,1,IF(#REF!&lt;2,1,0))</formula>
    </cfRule>
  </conditionalFormatting>
  <conditionalFormatting sqref="E27:G27 E112:G112">
    <cfRule type="expression" dxfId="2384" priority="123" stopIfTrue="1">
      <formula>IF(#REF!&lt;2,1,IF(#REF!&lt;3,1,0))</formula>
    </cfRule>
  </conditionalFormatting>
  <conditionalFormatting sqref="E28:G28 E113:G113">
    <cfRule type="expression" dxfId="2383" priority="124" stopIfTrue="1">
      <formula>IF(#REF!&lt;2,1,IF(#REF!&lt;4,1,0))</formula>
    </cfRule>
  </conditionalFormatting>
  <conditionalFormatting sqref="E29:G29 E114:G114">
    <cfRule type="expression" dxfId="2382" priority="125" stopIfTrue="1">
      <formula>IF(#REF!&lt;2,1,IF(#REF!&lt;5,1,0))</formula>
    </cfRule>
  </conditionalFormatting>
  <conditionalFormatting sqref="N25:P25 N110:P110">
    <cfRule type="expression" dxfId="2381" priority="126" stopIfTrue="1">
      <formula>IF(#REF!&gt;4,0,1)</formula>
    </cfRule>
  </conditionalFormatting>
  <conditionalFormatting sqref="Q25:S25 Q110:S110">
    <cfRule type="expression" dxfId="2380" priority="127" stopIfTrue="1">
      <formula>IF(#REF!&gt;5,0,1)</formula>
    </cfRule>
  </conditionalFormatting>
  <conditionalFormatting sqref="T25:V25 T110:V110">
    <cfRule type="expression" dxfId="2379" priority="128" stopIfTrue="1">
      <formula>IF(#REF!&gt;6,0,1)</formula>
    </cfRule>
  </conditionalFormatting>
  <conditionalFormatting sqref="W25:Y25 W110:Y110">
    <cfRule type="expression" dxfId="2378" priority="129" stopIfTrue="1">
      <formula>IF(#REF!&gt;7,0,1)</formula>
    </cfRule>
  </conditionalFormatting>
  <conditionalFormatting sqref="Z25:AB25 Z110:AB110">
    <cfRule type="expression" dxfId="2377" priority="130" stopIfTrue="1">
      <formula>IF(#REF!&gt;8,0,1)</formula>
    </cfRule>
  </conditionalFormatting>
  <conditionalFormatting sqref="AC25:AE25 AC110:AE110">
    <cfRule type="expression" dxfId="2376" priority="131" stopIfTrue="1">
      <formula>IF(#REF!&gt;9,0,1)</formula>
    </cfRule>
  </conditionalFormatting>
  <conditionalFormatting sqref="H26:J26 H111:J111">
    <cfRule type="expression" dxfId="2375" priority="132" stopIfTrue="1">
      <formula>IF(#REF!&lt;3,1,IF(#REF!&lt;2,1,0))</formula>
    </cfRule>
  </conditionalFormatting>
  <conditionalFormatting sqref="K26:M26 K111:M111">
    <cfRule type="expression" dxfId="2374" priority="133" stopIfTrue="1">
      <formula>IF(#REF!&lt;4,1,IF(#REF!&lt;2,1,0))</formula>
    </cfRule>
  </conditionalFormatting>
  <conditionalFormatting sqref="N26:P26 N111:P111">
    <cfRule type="expression" dxfId="2373" priority="134" stopIfTrue="1">
      <formula>IF(#REF!&lt;5,1,IF(#REF!&lt;2,1,0))</formula>
    </cfRule>
  </conditionalFormatting>
  <conditionalFormatting sqref="Q26:S26 Q111:S111">
    <cfRule type="expression" dxfId="2372" priority="135" stopIfTrue="1">
      <formula>IF(#REF!&lt;6,1,IF(#REF!&lt;2,1,0))</formula>
    </cfRule>
  </conditionalFormatting>
  <conditionalFormatting sqref="T26:V26 T111:V111">
    <cfRule type="expression" dxfId="2371" priority="136" stopIfTrue="1">
      <formula>IF(#REF!&lt;7,1,IF(#REF!&lt;2,1,0))</formula>
    </cfRule>
  </conditionalFormatting>
  <conditionalFormatting sqref="W26:Y26 W111:Y111">
    <cfRule type="expression" dxfId="2370" priority="137" stopIfTrue="1">
      <formula>IF(#REF!&lt;8,1,IF(#REF!&lt;2,1,0))</formula>
    </cfRule>
  </conditionalFormatting>
  <conditionalFormatting sqref="Z26:AB26 Z111:AB111">
    <cfRule type="expression" dxfId="2369" priority="138" stopIfTrue="1">
      <formula>IF(#REF!&lt;9,1,IF(#REF!&lt;2,1,0))</formula>
    </cfRule>
  </conditionalFormatting>
  <conditionalFormatting sqref="AC26:AE26 AC111:AE111">
    <cfRule type="expression" dxfId="2368" priority="139" stopIfTrue="1">
      <formula>IF(#REF!&lt;10,1,IF(#REF!&lt;2,1,0))</formula>
    </cfRule>
  </conditionalFormatting>
  <conditionalFormatting sqref="H27:J27 H112:J112">
    <cfRule type="expression" dxfId="2367" priority="140" stopIfTrue="1">
      <formula>IF(#REF!&lt;3,1,IF(#REF!&lt;3,1,0))</formula>
    </cfRule>
  </conditionalFormatting>
  <conditionalFormatting sqref="K27:M27 K112:M112">
    <cfRule type="expression" dxfId="2366" priority="141" stopIfTrue="1">
      <formula>IF(#REF!&lt;4,1,IF(#REF!&lt;3,1,0))</formula>
    </cfRule>
  </conditionalFormatting>
  <conditionalFormatting sqref="N27:P27 N112:P112">
    <cfRule type="expression" dxfId="2365" priority="142" stopIfTrue="1">
      <formula>IF(#REF!&lt;5,1,IF(#REF!&lt;3,1,0))</formula>
    </cfRule>
  </conditionalFormatting>
  <conditionalFormatting sqref="Q27:S27 Q112:S112">
    <cfRule type="expression" dxfId="2364" priority="143" stopIfTrue="1">
      <formula>IF(#REF!&lt;6,1,IF(#REF!&lt;3,1,0))</formula>
    </cfRule>
  </conditionalFormatting>
  <conditionalFormatting sqref="T27:V27 T112:V112">
    <cfRule type="expression" dxfId="2363" priority="144" stopIfTrue="1">
      <formula>IF(#REF!&lt;7,1,IF(#REF!&lt;3,1,0))</formula>
    </cfRule>
  </conditionalFormatting>
  <conditionalFormatting sqref="W27:Y27 W112:Y112">
    <cfRule type="expression" dxfId="2362" priority="145" stopIfTrue="1">
      <formula>IF(#REF!&lt;8,1,IF(#REF!&lt;3,1,0))</formula>
    </cfRule>
  </conditionalFormatting>
  <conditionalFormatting sqref="Z27:AB27 Z112:AB112">
    <cfRule type="expression" dxfId="2361" priority="146" stopIfTrue="1">
      <formula>IF(#REF!&lt;9,1,IF(#REF!&lt;3,1,0))</formula>
    </cfRule>
  </conditionalFormatting>
  <conditionalFormatting sqref="AC27:AE27 AC112:AE112">
    <cfRule type="expression" dxfId="2360" priority="147" stopIfTrue="1">
      <formula>IF(#REF!&lt;10,1,IF(#REF!&lt;3,1,0))</formula>
    </cfRule>
  </conditionalFormatting>
  <conditionalFormatting sqref="H28:J28 H113:J113">
    <cfRule type="expression" dxfId="2359" priority="148" stopIfTrue="1">
      <formula>IF(#REF!&lt;3,1,IF(#REF!&lt;4,1,0))</formula>
    </cfRule>
  </conditionalFormatting>
  <conditionalFormatting sqref="K28:M28 K113:M113">
    <cfRule type="expression" dxfId="2358" priority="149" stopIfTrue="1">
      <formula>IF(#REF!&lt;4,1,IF(#REF!&lt;4,1,0))</formula>
    </cfRule>
  </conditionalFormatting>
  <conditionalFormatting sqref="N28:P28 N113:P113">
    <cfRule type="expression" dxfId="2357" priority="150" stopIfTrue="1">
      <formula>IF(#REF!&lt;5,1,IF(#REF!&lt;4,1,0))</formula>
    </cfRule>
  </conditionalFormatting>
  <conditionalFormatting sqref="Q28:S28 Q113:S113">
    <cfRule type="expression" dxfId="2356" priority="151" stopIfTrue="1">
      <formula>IF(#REF!&lt;6,1,IF(#REF!&lt;4,1,0))</formula>
    </cfRule>
  </conditionalFormatting>
  <conditionalFormatting sqref="T28:V28 T113:V113">
    <cfRule type="expression" dxfId="2355" priority="152" stopIfTrue="1">
      <formula>IF(#REF!&lt;7,1,IF(#REF!&lt;4,1,0))</formula>
    </cfRule>
  </conditionalFormatting>
  <conditionalFormatting sqref="W28:Y28 W113:Y113">
    <cfRule type="expression" dxfId="2354" priority="153" stopIfTrue="1">
      <formula>IF(#REF!&lt;8,1,IF(#REF!&lt;4,1,0))</formula>
    </cfRule>
  </conditionalFormatting>
  <conditionalFormatting sqref="Z28:AB28 Z113:AB113">
    <cfRule type="expression" dxfId="2353" priority="154" stopIfTrue="1">
      <formula>IF(#REF!&lt;9,1,IF(#REF!&lt;4,1,0))</formula>
    </cfRule>
  </conditionalFormatting>
  <conditionalFormatting sqref="AC28:AE28 AC113:AE113">
    <cfRule type="expression" dxfId="2352" priority="155" stopIfTrue="1">
      <formula>IF(#REF!&lt;10,1,IF(#REF!&lt;4,1,0))</formula>
    </cfRule>
  </conditionalFormatting>
  <conditionalFormatting sqref="H29:J29 H114:J114">
    <cfRule type="expression" dxfId="2351" priority="156" stopIfTrue="1">
      <formula>IF(#REF!&lt;3,1,IF(#REF!&lt;5,1,0))</formula>
    </cfRule>
  </conditionalFormatting>
  <conditionalFormatting sqref="K29:M29 K114:M114">
    <cfRule type="expression" dxfId="2350" priority="157" stopIfTrue="1">
      <formula>IF(#REF!&lt;4,1,IF(#REF!&lt;5,1,0))</formula>
    </cfRule>
  </conditionalFormatting>
  <conditionalFormatting sqref="N29:P29 N114:P114">
    <cfRule type="expression" dxfId="2349" priority="158" stopIfTrue="1">
      <formula>IF(#REF!&lt;5,1,IF(#REF!&lt;5,1,0))</formula>
    </cfRule>
  </conditionalFormatting>
  <conditionalFormatting sqref="Q29:S29 Q114:S114">
    <cfRule type="expression" dxfId="2348" priority="159" stopIfTrue="1">
      <formula>IF(#REF!&lt;6,1,IF(#REF!&lt;5,1,0))</formula>
    </cfRule>
  </conditionalFormatting>
  <conditionalFormatting sqref="T29:V29 T114:V114">
    <cfRule type="expression" dxfId="2347" priority="160" stopIfTrue="1">
      <formula>IF(#REF!&lt;7,1,IF(#REF!&lt;5,1,0))</formula>
    </cfRule>
  </conditionalFormatting>
  <conditionalFormatting sqref="W29:Y29 W114:Y114">
    <cfRule type="expression" dxfId="2346" priority="161" stopIfTrue="1">
      <formula>IF(#REF!&lt;8,1,IF(#REF!&lt;5,1,0))</formula>
    </cfRule>
  </conditionalFormatting>
  <conditionalFormatting sqref="Z29:AB29 Z114:AB114">
    <cfRule type="expression" dxfId="2345" priority="162" stopIfTrue="1">
      <formula>IF(#REF!&lt;9,1,IF(#REF!&lt;5,1,0))</formula>
    </cfRule>
  </conditionalFormatting>
  <conditionalFormatting sqref="AC29:AE29 AC114:AE114">
    <cfRule type="expression" dxfId="2344" priority="163" stopIfTrue="1">
      <formula>IF(#REF!&lt;10,1,IF(#REF!&lt;5,1,0))</formula>
    </cfRule>
  </conditionalFormatting>
  <conditionalFormatting sqref="R14:AB15 AF14:AF15 L14:P15 R99:AB100 AF99:AF100 L99:P100 AG14 AG99">
    <cfRule type="expression" dxfId="2343" priority="164" stopIfTrue="1">
      <formula>IF(#REF!&gt;3,0,1)</formula>
    </cfRule>
  </conditionalFormatting>
  <conditionalFormatting sqref="R16:AB17 AF16:AF17 L16:P17 R101:AB102 AF101:AF102 L101:P102 AG16 AG101">
    <cfRule type="expression" dxfId="2342" priority="165" stopIfTrue="1">
      <formula>IF(#REF!&gt;4,0,1)</formula>
    </cfRule>
  </conditionalFormatting>
  <conditionalFormatting sqref="R8:AB9 AF8:AF9 L8:P9 R93:AB94 AF93:AF94 L93:P94 AG8 AG93">
    <cfRule type="expression" dxfId="2341" priority="166" stopIfTrue="1">
      <formula>IF($AK9&gt;0,0,1)</formula>
    </cfRule>
  </conditionalFormatting>
  <conditionalFormatting sqref="R10:AB11 AF10:AF11 L10:P11 R95:AB96 AF95:AF96 L95:P96 AG10 AG95">
    <cfRule type="expression" dxfId="2340" priority="167" stopIfTrue="1">
      <formula>IF(#REF!&gt;1,0,1)</formula>
    </cfRule>
  </conditionalFormatting>
  <conditionalFormatting sqref="R12:AB13 AF12:AF13 L12:P13 R97:AB98 AF97:AF98 L97:P98 AG12 AG97">
    <cfRule type="expression" dxfId="2339" priority="168" stopIfTrue="1">
      <formula>IF(#REF!&gt;2,0,1)</formula>
    </cfRule>
  </conditionalFormatting>
  <conditionalFormatting sqref="E24 E109">
    <cfRule type="expression" dxfId="2338" priority="169" stopIfTrue="1">
      <formula>IF(#REF!&gt;1,0,1)</formula>
    </cfRule>
  </conditionalFormatting>
  <conditionalFormatting sqref="H24 H109">
    <cfRule type="expression" dxfId="2337" priority="170" stopIfTrue="1">
      <formula>IF(#REF!&gt;2,0,1)</formula>
    </cfRule>
  </conditionalFormatting>
  <conditionalFormatting sqref="K24 K109">
    <cfRule type="expression" dxfId="2336" priority="171" stopIfTrue="1">
      <formula>IF(#REF!&gt;3,0,1)</formula>
    </cfRule>
  </conditionalFormatting>
  <conditionalFormatting sqref="N24 N109">
    <cfRule type="expression" dxfId="2335" priority="172" stopIfTrue="1">
      <formula>IF(#REF!&gt;4,0,1)</formula>
    </cfRule>
  </conditionalFormatting>
  <conditionalFormatting sqref="Q24 Q109">
    <cfRule type="expression" dxfId="2334" priority="173" stopIfTrue="1">
      <formula>IF(#REF!&gt;5,0,1)</formula>
    </cfRule>
  </conditionalFormatting>
  <conditionalFormatting sqref="T24 T109">
    <cfRule type="expression" dxfId="2333" priority="174" stopIfTrue="1">
      <formula>IF(#REF!&gt;6,0,1)</formula>
    </cfRule>
  </conditionalFormatting>
  <conditionalFormatting sqref="W24 W109">
    <cfRule type="expression" dxfId="2332" priority="175" stopIfTrue="1">
      <formula>IF(#REF!&gt;7,0,1)</formula>
    </cfRule>
  </conditionalFormatting>
  <conditionalFormatting sqref="Z24 Z109">
    <cfRule type="expression" dxfId="2331" priority="176" stopIfTrue="1">
      <formula>IF(#REF!&gt;8,0,1)</formula>
    </cfRule>
  </conditionalFormatting>
  <conditionalFormatting sqref="AC24 AC109">
    <cfRule type="expression" dxfId="2330" priority="177" stopIfTrue="1">
      <formula>IF(#REF!&gt;9,0,1)</formula>
    </cfRule>
  </conditionalFormatting>
  <conditionalFormatting sqref="AQ27 AQ112">
    <cfRule type="expression" dxfId="2329" priority="178" stopIfTrue="1">
      <formula>IF(#REF!&gt;3,0,1)</formula>
    </cfRule>
  </conditionalFormatting>
  <conditionalFormatting sqref="E25:G25 E110:G110">
    <cfRule type="expression" dxfId="2328" priority="179" stopIfTrue="1">
      <formula>IF(#REF!&gt;1,0,1)</formula>
    </cfRule>
  </conditionalFormatting>
  <conditionalFormatting sqref="B21:D21 B106:D106">
    <cfRule type="expression" dxfId="2327" priority="180" stopIfTrue="1">
      <formula>IF(#REF!&gt;0,0,1)</formula>
    </cfRule>
  </conditionalFormatting>
  <conditionalFormatting sqref="E21:G21 E106:G106">
    <cfRule type="expression" dxfId="2326" priority="181" stopIfTrue="1">
      <formula>IF(#REF!&gt;1,0,1)</formula>
    </cfRule>
  </conditionalFormatting>
  <conditionalFormatting sqref="H21:J21 H106:J106">
    <cfRule type="expression" dxfId="2325" priority="182" stopIfTrue="1">
      <formula>IF(#REF!&gt;2,0,1)</formula>
    </cfRule>
  </conditionalFormatting>
  <conditionalFormatting sqref="K21:M21 K106:M106">
    <cfRule type="expression" dxfId="2324" priority="183" stopIfTrue="1">
      <formula>IF(#REF!&gt;3,0,1)</formula>
    </cfRule>
  </conditionalFormatting>
  <conditionalFormatting sqref="N21:P21 N106:P106">
    <cfRule type="expression" dxfId="2323" priority="184" stopIfTrue="1">
      <formula>IF(#REF!&gt;4,0,1)</formula>
    </cfRule>
  </conditionalFormatting>
  <conditionalFormatting sqref="Q21:S21 Q106:S106">
    <cfRule type="expression" dxfId="2322" priority="185" stopIfTrue="1">
      <formula>IF(#REF!&gt;5,0,1)</formula>
    </cfRule>
  </conditionalFormatting>
  <conditionalFormatting sqref="T21:V21 T106:V106">
    <cfRule type="expression" dxfId="2321" priority="186" stopIfTrue="1">
      <formula>IF(#REF!&gt;6,0,1)</formula>
    </cfRule>
  </conditionalFormatting>
  <conditionalFormatting sqref="W21:Y21 W106:Y106">
    <cfRule type="expression" dxfId="2320" priority="187" stopIfTrue="1">
      <formula>IF(#REF!&gt;7,0,1)</formula>
    </cfRule>
  </conditionalFormatting>
  <conditionalFormatting sqref="Z21:AB21 Z106:AB106">
    <cfRule type="expression" dxfId="2319" priority="188" stopIfTrue="1">
      <formula>IF(#REF!&gt;8,0,1)</formula>
    </cfRule>
  </conditionalFormatting>
  <conditionalFormatting sqref="AC21:AE21 AC106:AE106">
    <cfRule type="expression" dxfId="2318" priority="189" stopIfTrue="1">
      <formula>IF(#REF!&gt;9,0,1)</formula>
    </cfRule>
  </conditionalFormatting>
  <conditionalFormatting sqref="X224:X225 W215:W216 X215:Y215 W218:Y223 Z219:AE222 AA223:AA225 I223:I225 C224:C225 B215:B216 C215:D215 B218:D223 E219:J222 F223:F225 AD223:AD225">
    <cfRule type="expression" dxfId="2317" priority="190" stopIfTrue="1">
      <formula>IF(#REF!&gt;0,0,1)</formula>
    </cfRule>
  </conditionalFormatting>
  <conditionalFormatting sqref="AA215:AB215 AB223 AA218:AB218 Z223 Z215:Z218 F215:G215 G223 F218:G218 E223 E215:E218">
    <cfRule type="expression" dxfId="2316" priority="191" stopIfTrue="1">
      <formula>IF(#REF!&gt;1,0,1)</formula>
    </cfRule>
  </conditionalFormatting>
  <conditionalFormatting sqref="AC215:AC218 AD215:AE215 AE223 AD218:AE218 AC223 H223 H215:H218 I215:J215 J223 I218:J218">
    <cfRule type="expression" dxfId="2315" priority="192" stopIfTrue="1">
      <formula>IF(#REF!&gt;2,0,1)</formula>
    </cfRule>
  </conditionalFormatting>
  <conditionalFormatting sqref="W224 Y224 B224 D224">
    <cfRule type="expression" dxfId="2314" priority="193" stopIfTrue="1">
      <formula>IF(#REF!&lt;1,1,IF(#REF!&lt;2,1,0))</formula>
    </cfRule>
  </conditionalFormatting>
  <conditionalFormatting sqref="Z224 AB224 E224 G224">
    <cfRule type="expression" dxfId="2313" priority="194" stopIfTrue="1">
      <formula>IF(#REF!&lt;2,1,IF(#REF!&lt;2,1,0))</formula>
    </cfRule>
  </conditionalFormatting>
  <conditionalFormatting sqref="AC224 AE224 H224 J224">
    <cfRule type="expression" dxfId="2312" priority="195" stopIfTrue="1">
      <formula>IF(#REF!&lt;3,1,IF(#REF!&lt;2,1,0))</formula>
    </cfRule>
  </conditionalFormatting>
  <conditionalFormatting sqref="Y225 B225 D225 W225">
    <cfRule type="expression" dxfId="2311" priority="196" stopIfTrue="1">
      <formula>IF(#REF!&lt;1,1,IF(#REF!&lt;3,1,0))</formula>
    </cfRule>
  </conditionalFormatting>
  <conditionalFormatting sqref="AB225 E225 G225 Z225">
    <cfRule type="expression" dxfId="2310" priority="197" stopIfTrue="1">
      <formula>IF(#REF!&lt;2,1,IF(#REF!&lt;3,1,0))</formula>
    </cfRule>
  </conditionalFormatting>
  <conditionalFormatting sqref="AE225 H225 J225 AC225">
    <cfRule type="expression" dxfId="2309" priority="198" stopIfTrue="1">
      <formula>IF(#REF!&lt;3,1,IF(#REF!&lt;3,1,0))</formula>
    </cfRule>
  </conditionalFormatting>
  <conditionalFormatting sqref="AG24:AP28 AG109:AP113">
    <cfRule type="cellIs" dxfId="2308" priority="199" stopIfTrue="1" operator="notBetween">
      <formula>-9999</formula>
      <formula>9999</formula>
    </cfRule>
  </conditionalFormatting>
  <conditionalFormatting sqref="AC7 AC92">
    <cfRule type="expression" dxfId="2307" priority="200" stopIfTrue="1">
      <formula>IF($AK$11=0,1,0)</formula>
    </cfRule>
  </conditionalFormatting>
  <conditionalFormatting sqref="B18 B103">
    <cfRule type="expression" dxfId="2306" priority="201" stopIfTrue="1">
      <formula>IF($AK$9&gt;0,0,1)</formula>
    </cfRule>
  </conditionalFormatting>
  <conditionalFormatting sqref="B22:D23 B107:D108">
    <cfRule type="cellIs" dxfId="2305" priority="202" stopIfTrue="1" operator="equal">
      <formula>99</formula>
    </cfRule>
  </conditionalFormatting>
  <conditionalFormatting sqref="X226 AA226 C226 F226">
    <cfRule type="expression" dxfId="2304" priority="203" stopIfTrue="1">
      <formula>IF(#REF!&gt;0,0,1)</formula>
    </cfRule>
  </conditionalFormatting>
  <conditionalFormatting sqref="K215">
    <cfRule type="expression" dxfId="2303" priority="3" stopIfTrue="1">
      <formula>IF(#REF!&gt;2,0,1)</formula>
    </cfRule>
  </conditionalFormatting>
  <conditionalFormatting sqref="K215">
    <cfRule type="expression" dxfId="2302" priority="2" stopIfTrue="1">
      <formula>IF(ISNUMBER(K223),0,1)</formula>
    </cfRule>
  </conditionalFormatting>
  <conditionalFormatting sqref="AF215">
    <cfRule type="expression" dxfId="2301" priority="1" stopIfTrue="1">
      <formula>IF(ISNUMBER(AF223),0,1)</formula>
    </cfRule>
  </conditionalFormatting>
  <pageMargins left="0.25" right="0.25" top="0.25" bottom="0.25" header="0" footer="0"/>
  <pageSetup scale="62" orientation="landscape" horizontalDpi="4294967293" verticalDpi="4294967293"/>
  <headerFooter alignWithMargins="0"/>
  <rowBreaks count="2" manualBreakCount="2">
    <brk id="90" max="42" man="1"/>
    <brk id="175" max="4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 enableFormatConditionsCalculation="0">
    <tabColor rgb="FFFFFF00"/>
    <pageSetUpPr fitToPage="1"/>
  </sheetPr>
  <dimension ref="A1:BB658"/>
  <sheetViews>
    <sheetView topLeftCell="L1" zoomScale="70" zoomScaleNormal="70" workbookViewId="0">
      <selection activeCell="AZ26" sqref="AZ26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62" customWidth="1"/>
    <col min="50" max="50" width="10.42578125" style="4" customWidth="1"/>
    <col min="51" max="51" width="11.28515625" style="4" customWidth="1"/>
    <col min="52" max="52" width="25" style="4" customWidth="1"/>
    <col min="53" max="53" width="6" style="4" customWidth="1"/>
    <col min="54" max="16384" width="8.7109375" style="4"/>
  </cols>
  <sheetData>
    <row r="1" spans="1:53" ht="13.5" thickBot="1" x14ac:dyDescent="0.25">
      <c r="A1" s="914" t="s">
        <v>0</v>
      </c>
      <c r="B1" s="914"/>
      <c r="C1" s="914"/>
      <c r="D1" s="914"/>
      <c r="E1" s="914"/>
      <c r="F1" s="914"/>
      <c r="G1" s="914"/>
      <c r="H1" s="914"/>
      <c r="I1" s="914"/>
      <c r="J1" s="914"/>
      <c r="K1" s="914"/>
      <c r="L1" s="914"/>
      <c r="M1" s="914"/>
      <c r="N1" s="914"/>
      <c r="O1" s="914"/>
      <c r="P1" s="914"/>
      <c r="Q1" s="914"/>
      <c r="R1" s="914"/>
      <c r="S1" s="914"/>
      <c r="T1" s="914"/>
      <c r="U1" s="914"/>
      <c r="V1" s="914"/>
      <c r="W1" s="914"/>
      <c r="X1" s="914"/>
      <c r="Y1" s="914"/>
      <c r="Z1" s="914"/>
      <c r="AA1" s="914"/>
      <c r="AB1" s="914"/>
      <c r="AC1" s="914"/>
      <c r="AD1" s="914"/>
      <c r="AE1" s="914"/>
      <c r="AF1" s="914"/>
      <c r="AG1" s="914"/>
      <c r="AH1" s="914"/>
      <c r="AI1" s="914"/>
      <c r="AJ1" s="1"/>
      <c r="AK1" s="1"/>
      <c r="AL1" s="1"/>
      <c r="AM1" s="1"/>
      <c r="AN1" s="1"/>
      <c r="AO1" s="1"/>
      <c r="AP1" s="1"/>
      <c r="AQ1" s="2" t="s">
        <v>349</v>
      </c>
      <c r="AR1" s="3"/>
      <c r="AT1" s="915" t="s">
        <v>1</v>
      </c>
      <c r="AU1" s="916"/>
      <c r="AV1" s="916"/>
      <c r="AW1" s="917"/>
      <c r="AX1" s="918" t="s">
        <v>2</v>
      </c>
      <c r="AY1" s="919"/>
      <c r="AZ1" s="9" t="s">
        <v>3</v>
      </c>
      <c r="BA1" s="10">
        <v>32</v>
      </c>
    </row>
    <row r="2" spans="1:53" ht="18.75" customHeight="1" thickBot="1" x14ac:dyDescent="0.3">
      <c r="A2" s="920" t="s">
        <v>4</v>
      </c>
      <c r="B2" s="921"/>
      <c r="C2" s="921"/>
      <c r="D2" s="921"/>
      <c r="E2" s="921"/>
      <c r="F2" s="921"/>
      <c r="G2" s="921"/>
      <c r="H2" s="921"/>
      <c r="I2" s="922"/>
      <c r="J2" s="923" t="s">
        <v>351</v>
      </c>
      <c r="K2" s="924"/>
      <c r="L2" s="924"/>
      <c r="M2" s="924"/>
      <c r="N2" s="924"/>
      <c r="O2" s="924"/>
      <c r="P2" s="924"/>
      <c r="Q2" s="924"/>
      <c r="R2" s="924"/>
      <c r="S2" s="924"/>
      <c r="T2" s="924"/>
      <c r="U2" s="924"/>
      <c r="V2" s="924"/>
      <c r="W2" s="924"/>
      <c r="X2" s="925"/>
      <c r="Y2" s="926" t="s">
        <v>5</v>
      </c>
      <c r="Z2" s="927"/>
      <c r="AA2" s="927"/>
      <c r="AB2" s="927"/>
      <c r="AC2" s="928"/>
      <c r="AD2" s="929">
        <v>42434</v>
      </c>
      <c r="AE2" s="897"/>
      <c r="AF2" s="897"/>
      <c r="AG2" s="897"/>
      <c r="AH2" s="897"/>
      <c r="AI2" s="898"/>
      <c r="AJ2" s="11"/>
      <c r="AK2" s="11"/>
      <c r="AL2" s="11"/>
      <c r="AM2" s="11"/>
      <c r="AN2" s="11"/>
      <c r="AO2" s="11"/>
      <c r="AP2" s="11"/>
      <c r="AQ2" s="11"/>
      <c r="AR2" s="3"/>
      <c r="AT2" s="12" t="s">
        <v>6</v>
      </c>
      <c r="AU2" s="5" t="s">
        <v>7</v>
      </c>
      <c r="AV2" s="6" t="s">
        <v>8</v>
      </c>
      <c r="AW2" s="8" t="s">
        <v>9</v>
      </c>
      <c r="AX2" s="7" t="s">
        <v>10</v>
      </c>
      <c r="AY2" s="8" t="s">
        <v>11</v>
      </c>
      <c r="AZ2" s="9" t="s">
        <v>12</v>
      </c>
      <c r="BA2" s="10">
        <v>16</v>
      </c>
    </row>
    <row r="3" spans="1:53" ht="18.75" customHeight="1" thickBot="1" x14ac:dyDescent="0.3">
      <c r="A3" s="14" t="s">
        <v>13</v>
      </c>
      <c r="B3" s="899" t="s">
        <v>357</v>
      </c>
      <c r="C3" s="900"/>
      <c r="D3" s="900"/>
      <c r="E3" s="900"/>
      <c r="F3" s="900"/>
      <c r="G3" s="900"/>
      <c r="H3" s="900"/>
      <c r="I3" s="900"/>
      <c r="J3" s="900"/>
      <c r="K3" s="900"/>
      <c r="L3" s="900"/>
      <c r="M3" s="900"/>
      <c r="N3" s="900"/>
      <c r="O3" s="901"/>
      <c r="P3" s="902" t="s">
        <v>14</v>
      </c>
      <c r="Q3" s="903"/>
      <c r="R3" s="903"/>
      <c r="S3" s="904" t="s">
        <v>355</v>
      </c>
      <c r="T3" s="905"/>
      <c r="U3" s="905"/>
      <c r="V3" s="905"/>
      <c r="W3" s="905"/>
      <c r="X3" s="906"/>
      <c r="Y3" s="907" t="s">
        <v>15</v>
      </c>
      <c r="Z3" s="908"/>
      <c r="AA3" s="908"/>
      <c r="AB3" s="908"/>
      <c r="AC3" s="908"/>
      <c r="AD3" s="909"/>
      <c r="AE3" s="910" t="s">
        <v>16</v>
      </c>
      <c r="AF3" s="911"/>
      <c r="AG3" s="912" t="s">
        <v>17</v>
      </c>
      <c r="AH3" s="912"/>
      <c r="AI3" s="913"/>
      <c r="AJ3" s="11"/>
      <c r="AK3" s="11"/>
      <c r="AL3" s="11"/>
      <c r="AM3" s="11"/>
      <c r="AN3" s="11"/>
      <c r="AO3" s="11"/>
      <c r="AP3" s="11"/>
      <c r="AQ3" s="11"/>
      <c r="AR3" s="3"/>
      <c r="AT3" s="149">
        <v>1</v>
      </c>
      <c r="AU3" s="148" t="s">
        <v>508</v>
      </c>
      <c r="AV3" s="148" t="s">
        <v>509</v>
      </c>
      <c r="AW3" s="16">
        <f>VLOOKUP(AV3,Initial!G:K,5,FALSE)</f>
        <v>1868.4106312164884</v>
      </c>
      <c r="AX3" s="17">
        <f>VLOOKUP(AU3,AT$79:AU$343,2,FALSE)</f>
        <v>1861.2917168384377</v>
      </c>
      <c r="AY3" s="18">
        <f>IF(ISNA(VLOOKUP(AU3,AT$354:AU$454,2,FALSE)),AX3,VLOOKUP(AU3,AT$354:AU$454,2,FALSE))</f>
        <v>1857.7120355940935</v>
      </c>
    </row>
    <row r="4" spans="1:53" ht="24" customHeight="1" thickBot="1" x14ac:dyDescent="0.25">
      <c r="A4" s="890" t="s">
        <v>18</v>
      </c>
      <c r="B4" s="891"/>
      <c r="C4" s="891"/>
      <c r="D4" s="892"/>
      <c r="E4" s="893" t="s">
        <v>354</v>
      </c>
      <c r="F4" s="894"/>
      <c r="G4" s="894"/>
      <c r="H4" s="894"/>
      <c r="I4" s="894"/>
      <c r="J4" s="894"/>
      <c r="K4" s="894"/>
      <c r="L4" s="894"/>
      <c r="M4" s="895"/>
      <c r="N4" s="890" t="s">
        <v>19</v>
      </c>
      <c r="O4" s="891"/>
      <c r="P4" s="891"/>
      <c r="Q4" s="892"/>
      <c r="R4" s="896"/>
      <c r="S4" s="897"/>
      <c r="T4" s="897"/>
      <c r="U4" s="897"/>
      <c r="V4" s="897"/>
      <c r="W4" s="897"/>
      <c r="X4" s="897"/>
      <c r="Y4" s="897"/>
      <c r="Z4" s="897"/>
      <c r="AA4" s="898"/>
      <c r="AB4" s="890" t="s">
        <v>20</v>
      </c>
      <c r="AC4" s="891"/>
      <c r="AD4" s="891"/>
      <c r="AE4" s="892"/>
      <c r="AF4" s="896"/>
      <c r="AG4" s="897"/>
      <c r="AH4" s="897"/>
      <c r="AI4" s="898"/>
      <c r="AJ4" s="11"/>
      <c r="AK4" s="11"/>
      <c r="AL4" s="11"/>
      <c r="AM4" s="11"/>
      <c r="AN4" s="11"/>
      <c r="AO4" s="11"/>
      <c r="AP4" s="11"/>
      <c r="AQ4" s="11"/>
      <c r="AR4" s="3"/>
      <c r="AT4" s="19">
        <v>2</v>
      </c>
      <c r="AU4" s="148" t="s">
        <v>303</v>
      </c>
      <c r="AV4" s="148" t="s">
        <v>304</v>
      </c>
      <c r="AW4" s="16">
        <f>VLOOKUP(AV4,Initial!G:K,5,FALSE)</f>
        <v>1855.4692952764783</v>
      </c>
      <c r="AX4" s="20">
        <f>VLOOKUP(AU4,AT$79:AU$343,2,FALSE)</f>
        <v>1820.9197353686502</v>
      </c>
      <c r="AY4" s="21">
        <f t="shared" ref="AY4:AY22" si="0">IF(ISNA(VLOOKUP(AU4,AT$354:AU$454,2,FALSE)),AX4,VLOOKUP(AU4,AT$354:AU$454,2,FALSE))</f>
        <v>1840.7252067753311</v>
      </c>
    </row>
    <row r="5" spans="1:53" ht="15.75" thickBot="1" x14ac:dyDescent="0.25">
      <c r="A5" s="1" t="s">
        <v>21</v>
      </c>
      <c r="B5" s="887" t="s">
        <v>21</v>
      </c>
      <c r="C5" s="888"/>
      <c r="D5" s="888"/>
      <c r="E5" s="888"/>
      <c r="F5" s="888"/>
      <c r="G5" s="888"/>
      <c r="H5" s="888"/>
      <c r="I5" s="888"/>
      <c r="J5" s="888"/>
      <c r="K5" s="889" t="s">
        <v>21</v>
      </c>
      <c r="L5" s="889"/>
      <c r="M5" s="889"/>
      <c r="N5" s="889"/>
      <c r="O5" s="889"/>
      <c r="P5" s="889"/>
      <c r="Q5" s="889"/>
      <c r="R5" s="889"/>
      <c r="S5" s="889"/>
      <c r="T5" s="889"/>
      <c r="U5" s="889"/>
      <c r="V5" s="889"/>
      <c r="W5" s="889"/>
      <c r="X5" s="889"/>
      <c r="Y5" s="889"/>
      <c r="Z5" s="889"/>
      <c r="AA5" s="889"/>
      <c r="AB5" s="889"/>
      <c r="AC5" s="889"/>
      <c r="AD5" s="889"/>
      <c r="AE5" s="889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9">
        <v>3</v>
      </c>
      <c r="AU5" s="148" t="s">
        <v>377</v>
      </c>
      <c r="AV5" s="148" t="s">
        <v>218</v>
      </c>
      <c r="AW5" s="16">
        <f>VLOOKUP(AV5,Initial!G:K,5,FALSE)</f>
        <v>1879.4957453076413</v>
      </c>
      <c r="AX5" s="20">
        <f t="shared" ref="AX5:AX22" si="1">VLOOKUP(AU5,AT$79:AU$343,2,FALSE)</f>
        <v>1865.7250287147676</v>
      </c>
      <c r="AY5" s="21">
        <f t="shared" si="0"/>
        <v>1852.7901971715694</v>
      </c>
    </row>
    <row r="6" spans="1:53" ht="24" customHeight="1" thickBot="1" x14ac:dyDescent="0.25">
      <c r="A6" s="22" t="s">
        <v>22</v>
      </c>
      <c r="B6" s="23" t="s">
        <v>23</v>
      </c>
      <c r="C6" s="862" t="s">
        <v>1182</v>
      </c>
      <c r="D6" s="863"/>
      <c r="E6" s="863"/>
      <c r="F6" s="863"/>
      <c r="G6" s="863"/>
      <c r="H6" s="864"/>
      <c r="I6" s="865">
        <v>1</v>
      </c>
      <c r="J6" s="866"/>
      <c r="K6" s="867" t="str">
        <f>"Pool "&amp;B6&amp;" - Round 1 - Court "&amp;I6</f>
        <v>Pool A - Round 1 - Court 1</v>
      </c>
      <c r="L6" s="868"/>
      <c r="M6" s="868"/>
      <c r="N6" s="868"/>
      <c r="O6" s="868"/>
      <c r="P6" s="868"/>
      <c r="Q6" s="868"/>
      <c r="R6" s="868"/>
      <c r="S6" s="868"/>
      <c r="T6" s="868"/>
      <c r="U6" s="868"/>
      <c r="V6" s="868"/>
      <c r="W6" s="868"/>
      <c r="X6" s="868"/>
      <c r="Y6" s="868"/>
      <c r="Z6" s="868"/>
      <c r="AA6" s="868"/>
      <c r="AB6" s="868"/>
      <c r="AC6" s="868"/>
      <c r="AD6" s="868"/>
      <c r="AE6" s="868"/>
      <c r="AF6" s="868"/>
      <c r="AG6" s="868"/>
      <c r="AH6" s="868"/>
      <c r="AI6" s="869"/>
      <c r="AJ6" s="11"/>
      <c r="AK6" s="11"/>
      <c r="AL6" s="11"/>
      <c r="AM6" s="11"/>
      <c r="AN6" s="11"/>
      <c r="AO6" s="11"/>
      <c r="AP6" s="11"/>
      <c r="AQ6" s="11"/>
      <c r="AT6" s="19">
        <v>4</v>
      </c>
      <c r="AU6" s="148" t="s">
        <v>486</v>
      </c>
      <c r="AV6" s="148" t="s">
        <v>232</v>
      </c>
      <c r="AW6" s="16">
        <f>VLOOKUP(AV6,Initial!G:K,5,FALSE)</f>
        <v>1718.3151948204377</v>
      </c>
      <c r="AX6" s="20">
        <f t="shared" si="1"/>
        <v>1740.3377839503121</v>
      </c>
      <c r="AY6" s="21">
        <f t="shared" si="0"/>
        <v>1740.617576890636</v>
      </c>
    </row>
    <row r="7" spans="1:53" ht="27" customHeight="1" thickBot="1" x14ac:dyDescent="0.25">
      <c r="A7" s="24" t="s">
        <v>25</v>
      </c>
      <c r="B7" s="870" t="s">
        <v>7</v>
      </c>
      <c r="C7" s="871"/>
      <c r="D7" s="871"/>
      <c r="E7" s="871"/>
      <c r="F7" s="871"/>
      <c r="G7" s="871"/>
      <c r="H7" s="871"/>
      <c r="I7" s="871"/>
      <c r="J7" s="871"/>
      <c r="K7" s="968"/>
      <c r="L7" s="870" t="str">
        <f>IF($AK10=0,"Games Won","Matches Won")</f>
        <v>Games Won</v>
      </c>
      <c r="M7" s="871"/>
      <c r="N7" s="871"/>
      <c r="O7" s="871"/>
      <c r="P7" s="968"/>
      <c r="Q7" s="969"/>
      <c r="R7" s="870" t="str">
        <f>IF($AK10=0,"Games Lost","Matches Lost")</f>
        <v>Games Lost</v>
      </c>
      <c r="S7" s="871"/>
      <c r="T7" s="871"/>
      <c r="U7" s="871"/>
      <c r="V7" s="968"/>
      <c r="W7" s="875" t="s">
        <v>26</v>
      </c>
      <c r="X7" s="876"/>
      <c r="Y7" s="877"/>
      <c r="Z7" s="875" t="s">
        <v>27</v>
      </c>
      <c r="AA7" s="876"/>
      <c r="AB7" s="877"/>
      <c r="AC7" s="878" t="s">
        <v>28</v>
      </c>
      <c r="AD7" s="879"/>
      <c r="AE7" s="880"/>
      <c r="AF7" s="25" t="s">
        <v>29</v>
      </c>
      <c r="AG7" s="26" t="s">
        <v>6</v>
      </c>
      <c r="AH7" s="860" t="s">
        <v>30</v>
      </c>
      <c r="AI7" s="861"/>
      <c r="AJ7" s="27"/>
      <c r="AK7" s="28">
        <v>2</v>
      </c>
      <c r="AL7" s="29" t="s">
        <v>31</v>
      </c>
      <c r="AM7" s="29"/>
      <c r="AN7" s="29"/>
      <c r="AO7" s="29"/>
      <c r="AP7" s="29"/>
      <c r="AQ7" s="29"/>
      <c r="AR7" s="30"/>
      <c r="AT7" s="19">
        <v>5</v>
      </c>
      <c r="AU7" s="148" t="s">
        <v>492</v>
      </c>
      <c r="AV7" s="148" t="s">
        <v>493</v>
      </c>
      <c r="AW7" s="16">
        <f>VLOOKUP(AV7,Initial!G:K,5,FALSE)</f>
        <v>1754.9535955038507</v>
      </c>
      <c r="AX7" s="20">
        <f t="shared" si="1"/>
        <v>1803.6548107089232</v>
      </c>
      <c r="AY7" s="21">
        <f t="shared" si="0"/>
        <v>1800.6174885332118</v>
      </c>
    </row>
    <row r="8" spans="1:53" ht="18.75" customHeight="1" thickBot="1" x14ac:dyDescent="0.25">
      <c r="A8" s="829" t="str">
        <f>IF($AK9&gt;0,"1","")</f>
        <v>1</v>
      </c>
      <c r="B8" s="857" t="s">
        <v>7</v>
      </c>
      <c r="C8" s="858"/>
      <c r="D8" s="859"/>
      <c r="E8" s="833" t="str">
        <f>AU3</f>
        <v>PRV - 13U Bayley</v>
      </c>
      <c r="F8" s="834"/>
      <c r="G8" s="834"/>
      <c r="H8" s="834"/>
      <c r="I8" s="834"/>
      <c r="J8" s="834"/>
      <c r="K8" s="835"/>
      <c r="L8" s="836">
        <f>IF($AK10=0,AF64,AF46)</f>
        <v>4</v>
      </c>
      <c r="M8" s="837"/>
      <c r="N8" s="837"/>
      <c r="O8" s="837"/>
      <c r="P8" s="956"/>
      <c r="Q8" s="872"/>
      <c r="R8" s="836">
        <f>IF($AK10=0,AG64,AG46)</f>
        <v>4</v>
      </c>
      <c r="S8" s="837"/>
      <c r="T8" s="837"/>
      <c r="U8" s="837"/>
      <c r="V8" s="956"/>
      <c r="W8" s="836">
        <f>AQ24</f>
        <v>10</v>
      </c>
      <c r="X8" s="837"/>
      <c r="Y8" s="956"/>
      <c r="Z8" s="938">
        <f>IF(AF58&gt;0,(AQ24/AF58),0)</f>
        <v>4.975124378109453E-2</v>
      </c>
      <c r="AA8" s="939"/>
      <c r="AB8" s="940"/>
      <c r="AC8" s="944">
        <f>IF(AF72=0,0,(AF64/AF72))</f>
        <v>0.5</v>
      </c>
      <c r="AD8" s="945"/>
      <c r="AE8" s="946"/>
      <c r="AF8" s="819">
        <v>3</v>
      </c>
      <c r="AG8" s="819">
        <v>1</v>
      </c>
      <c r="AH8" s="821">
        <v>9</v>
      </c>
      <c r="AI8" s="822"/>
      <c r="AJ8" s="27"/>
      <c r="AK8" s="28">
        <v>10</v>
      </c>
      <c r="AL8" s="29" t="s">
        <v>32</v>
      </c>
      <c r="AM8" s="29"/>
      <c r="AN8" s="29"/>
      <c r="AO8" s="29"/>
      <c r="AP8" s="29"/>
      <c r="AQ8" s="29"/>
      <c r="AR8" s="30"/>
      <c r="AT8" s="19">
        <v>6</v>
      </c>
      <c r="AU8" s="148" t="s">
        <v>178</v>
      </c>
      <c r="AV8" s="148" t="s">
        <v>249</v>
      </c>
      <c r="AW8" s="16">
        <f>VLOOKUP(AV8,Initial!G:K,5,FALSE)</f>
        <v>1724.0595262997672</v>
      </c>
      <c r="AX8" s="20">
        <f t="shared" si="1"/>
        <v>1786.1625321837212</v>
      </c>
      <c r="AY8" s="21">
        <f t="shared" si="0"/>
        <v>1778.9601871978155</v>
      </c>
    </row>
    <row r="9" spans="1:53" ht="18.75" customHeight="1" thickBot="1" x14ac:dyDescent="0.25">
      <c r="A9" s="830"/>
      <c r="B9" s="854" t="s">
        <v>8</v>
      </c>
      <c r="C9" s="855"/>
      <c r="D9" s="856"/>
      <c r="E9" s="964" t="str">
        <f>AV3</f>
        <v>fj3prage1pm</v>
      </c>
      <c r="F9" s="965"/>
      <c r="G9" s="965"/>
      <c r="H9" s="965"/>
      <c r="I9" s="965"/>
      <c r="J9" s="965"/>
      <c r="K9" s="966"/>
      <c r="L9" s="852"/>
      <c r="M9" s="853"/>
      <c r="N9" s="853"/>
      <c r="O9" s="853"/>
      <c r="P9" s="967"/>
      <c r="Q9" s="872"/>
      <c r="R9" s="852"/>
      <c r="S9" s="853"/>
      <c r="T9" s="853"/>
      <c r="U9" s="853"/>
      <c r="V9" s="967"/>
      <c r="W9" s="852"/>
      <c r="X9" s="853"/>
      <c r="Y9" s="967"/>
      <c r="Z9" s="958"/>
      <c r="AA9" s="959"/>
      <c r="AB9" s="960"/>
      <c r="AC9" s="961"/>
      <c r="AD9" s="962"/>
      <c r="AE9" s="963"/>
      <c r="AF9" s="845"/>
      <c r="AG9" s="845"/>
      <c r="AH9" s="846"/>
      <c r="AI9" s="847"/>
      <c r="AJ9" s="27"/>
      <c r="AK9" s="28">
        <v>5</v>
      </c>
      <c r="AL9" s="29" t="s">
        <v>33</v>
      </c>
      <c r="AM9" s="27"/>
      <c r="AN9" s="27"/>
      <c r="AO9" s="27"/>
      <c r="AP9" s="27"/>
      <c r="AQ9" s="27"/>
      <c r="AR9" s="3"/>
      <c r="AT9" s="19">
        <v>7</v>
      </c>
      <c r="AU9" s="148" t="s">
        <v>177</v>
      </c>
      <c r="AV9" s="148" t="s">
        <v>203</v>
      </c>
      <c r="AW9" s="16">
        <f>VLOOKUP(AV9,Initial!G:K,5,FALSE)</f>
        <v>1649.1598067006576</v>
      </c>
      <c r="AX9" s="20">
        <f t="shared" si="1"/>
        <v>1570.045589451209</v>
      </c>
      <c r="AY9" s="21">
        <f t="shared" si="0"/>
        <v>1570.045589451209</v>
      </c>
    </row>
    <row r="10" spans="1:53" ht="18.75" customHeight="1" thickBot="1" x14ac:dyDescent="0.25">
      <c r="A10" s="829" t="str">
        <f>IF($AK9&gt;1,"2","")</f>
        <v>2</v>
      </c>
      <c r="B10" s="857" t="s">
        <v>7</v>
      </c>
      <c r="C10" s="858"/>
      <c r="D10" s="859"/>
      <c r="E10" s="833" t="str">
        <f>AU10</f>
        <v>Foothills 13 May</v>
      </c>
      <c r="F10" s="834"/>
      <c r="G10" s="834"/>
      <c r="H10" s="834"/>
      <c r="I10" s="834"/>
      <c r="J10" s="834"/>
      <c r="K10" s="835"/>
      <c r="L10" s="836">
        <f>IF($AK10=0,AF65,AF47)</f>
        <v>3</v>
      </c>
      <c r="M10" s="837"/>
      <c r="N10" s="837"/>
      <c r="O10" s="837"/>
      <c r="P10" s="956"/>
      <c r="Q10" s="872"/>
      <c r="R10" s="836">
        <f>IF($AK10=0,AG65,AG47)</f>
        <v>5</v>
      </c>
      <c r="S10" s="837"/>
      <c r="T10" s="837"/>
      <c r="U10" s="837"/>
      <c r="V10" s="956"/>
      <c r="W10" s="836">
        <f>AQ25</f>
        <v>-34</v>
      </c>
      <c r="X10" s="837"/>
      <c r="Y10" s="956"/>
      <c r="Z10" s="938">
        <f>IF(AF59&gt;0,(AQ25/AF59),0)</f>
        <v>-0.1691542288557214</v>
      </c>
      <c r="AA10" s="939"/>
      <c r="AB10" s="940"/>
      <c r="AC10" s="944">
        <f>IF(AF73=0,0,(AF65/AF73))</f>
        <v>0.375</v>
      </c>
      <c r="AD10" s="945"/>
      <c r="AE10" s="946"/>
      <c r="AF10" s="819">
        <v>4</v>
      </c>
      <c r="AG10" s="819">
        <v>1</v>
      </c>
      <c r="AH10" s="821">
        <v>14</v>
      </c>
      <c r="AI10" s="822"/>
      <c r="AJ10" s="27"/>
      <c r="AK10" s="28">
        <v>0</v>
      </c>
      <c r="AL10" s="29" t="s">
        <v>34</v>
      </c>
      <c r="AM10" s="29"/>
      <c r="AN10" s="29"/>
      <c r="AO10" s="29"/>
      <c r="AP10" s="29"/>
      <c r="AQ10" s="29"/>
      <c r="AR10" s="30"/>
      <c r="AT10" s="19">
        <v>8</v>
      </c>
      <c r="AU10" s="148" t="s">
        <v>366</v>
      </c>
      <c r="AV10" s="148" t="s">
        <v>298</v>
      </c>
      <c r="AW10" s="16">
        <f>VLOOKUP(AV10,Initial!G:K,5,FALSE)</f>
        <v>1753.5034142818647</v>
      </c>
      <c r="AX10" s="20">
        <f t="shared" si="1"/>
        <v>1757.7047526785418</v>
      </c>
      <c r="AY10" s="21">
        <f t="shared" si="0"/>
        <v>1747.4620936172917</v>
      </c>
    </row>
    <row r="11" spans="1:53" ht="18.75" customHeight="1" thickBot="1" x14ac:dyDescent="0.25">
      <c r="A11" s="830"/>
      <c r="B11" s="854" t="s">
        <v>8</v>
      </c>
      <c r="C11" s="855"/>
      <c r="D11" s="856"/>
      <c r="E11" s="964" t="str">
        <f>AV10</f>
        <v>fj3footh1pm</v>
      </c>
      <c r="F11" s="965"/>
      <c r="G11" s="965"/>
      <c r="H11" s="965"/>
      <c r="I11" s="965"/>
      <c r="J11" s="965"/>
      <c r="K11" s="966"/>
      <c r="L11" s="852"/>
      <c r="M11" s="853"/>
      <c r="N11" s="853"/>
      <c r="O11" s="853"/>
      <c r="P11" s="967"/>
      <c r="Q11" s="872"/>
      <c r="R11" s="852"/>
      <c r="S11" s="853"/>
      <c r="T11" s="853"/>
      <c r="U11" s="853"/>
      <c r="V11" s="967"/>
      <c r="W11" s="852"/>
      <c r="X11" s="853"/>
      <c r="Y11" s="967"/>
      <c r="Z11" s="958"/>
      <c r="AA11" s="959"/>
      <c r="AB11" s="960"/>
      <c r="AC11" s="961"/>
      <c r="AD11" s="962"/>
      <c r="AE11" s="963"/>
      <c r="AF11" s="845"/>
      <c r="AG11" s="845"/>
      <c r="AH11" s="846"/>
      <c r="AI11" s="847"/>
      <c r="AJ11" s="27"/>
      <c r="AK11" s="28">
        <v>1</v>
      </c>
      <c r="AL11" s="29" t="s">
        <v>35</v>
      </c>
      <c r="AM11" s="27"/>
      <c r="AN11" s="27"/>
      <c r="AO11" s="27"/>
      <c r="AP11" s="27"/>
      <c r="AQ11" s="27"/>
      <c r="AR11" s="3"/>
      <c r="AT11" s="19">
        <v>9</v>
      </c>
      <c r="AU11" s="148" t="s">
        <v>301</v>
      </c>
      <c r="AV11" s="148" t="s">
        <v>299</v>
      </c>
      <c r="AW11" s="16">
        <f>VLOOKUP(AV11,Initial!G:K,5,FALSE)</f>
        <v>1559.0584600733771</v>
      </c>
      <c r="AX11" s="20">
        <f t="shared" si="1"/>
        <v>1524.91900289658</v>
      </c>
      <c r="AY11" s="21">
        <f t="shared" si="0"/>
        <v>1524.91900289658</v>
      </c>
    </row>
    <row r="12" spans="1:53" ht="18.75" customHeight="1" thickBot="1" x14ac:dyDescent="0.25">
      <c r="A12" s="829" t="str">
        <f>IF($AK9&gt;2,"3","")</f>
        <v>3</v>
      </c>
      <c r="B12" s="857" t="s">
        <v>7</v>
      </c>
      <c r="C12" s="858"/>
      <c r="D12" s="859"/>
      <c r="E12" s="833" t="str">
        <f>AU11</f>
        <v>C1VB 13 State Royal Grvl</v>
      </c>
      <c r="F12" s="834"/>
      <c r="G12" s="834"/>
      <c r="H12" s="834"/>
      <c r="I12" s="834"/>
      <c r="J12" s="834"/>
      <c r="K12" s="835"/>
      <c r="L12" s="836">
        <f>IF($AK10=0,AF66,AF48)</f>
        <v>0</v>
      </c>
      <c r="M12" s="837"/>
      <c r="N12" s="837"/>
      <c r="O12" s="837"/>
      <c r="P12" s="956"/>
      <c r="Q12" s="872"/>
      <c r="R12" s="836">
        <f>IF($AK10=0,AG66,AG48)</f>
        <v>8</v>
      </c>
      <c r="S12" s="837"/>
      <c r="T12" s="837"/>
      <c r="U12" s="837"/>
      <c r="V12" s="956"/>
      <c r="W12" s="836">
        <f>AQ26</f>
        <v>-66</v>
      </c>
      <c r="X12" s="837"/>
      <c r="Y12" s="956"/>
      <c r="Z12" s="938">
        <f>IF(AF60&gt;0,(AQ26/AF60),0)</f>
        <v>-0.33</v>
      </c>
      <c r="AA12" s="939"/>
      <c r="AB12" s="940"/>
      <c r="AC12" s="944">
        <f>IF(AF74=0,0,(AF66/AF74))</f>
        <v>0</v>
      </c>
      <c r="AD12" s="945"/>
      <c r="AE12" s="946"/>
      <c r="AF12" s="819">
        <v>5</v>
      </c>
      <c r="AG12" s="819">
        <v>1</v>
      </c>
      <c r="AH12" s="821">
        <v>0</v>
      </c>
      <c r="AI12" s="822"/>
      <c r="AJ12" s="36"/>
      <c r="AK12" s="28">
        <v>8</v>
      </c>
      <c r="AL12" s="37" t="s">
        <v>36</v>
      </c>
      <c r="AM12" s="29"/>
      <c r="AN12" s="29"/>
      <c r="AO12" s="29"/>
      <c r="AP12" s="29"/>
      <c r="AQ12" s="29"/>
      <c r="AR12" s="30"/>
      <c r="AT12" s="19">
        <v>10</v>
      </c>
      <c r="AU12" s="148" t="s">
        <v>399</v>
      </c>
      <c r="AV12" s="148" t="s">
        <v>307</v>
      </c>
      <c r="AW12" s="16">
        <f>VLOOKUP(AV12,Initial!G:K,5,FALSE)</f>
        <v>1672.8922772837741</v>
      </c>
      <c r="AX12" s="20">
        <f t="shared" si="1"/>
        <v>1649.4978277891198</v>
      </c>
      <c r="AY12" s="21">
        <f t="shared" si="0"/>
        <v>1669.691703894817</v>
      </c>
    </row>
    <row r="13" spans="1:53" ht="18.75" customHeight="1" thickBot="1" x14ac:dyDescent="0.25">
      <c r="A13" s="830"/>
      <c r="B13" s="854" t="s">
        <v>8</v>
      </c>
      <c r="C13" s="855"/>
      <c r="D13" s="856"/>
      <c r="E13" s="964" t="str">
        <f>AV11</f>
        <v>fj3crone4pm</v>
      </c>
      <c r="F13" s="965"/>
      <c r="G13" s="965"/>
      <c r="H13" s="965"/>
      <c r="I13" s="965"/>
      <c r="J13" s="965"/>
      <c r="K13" s="966"/>
      <c r="L13" s="852"/>
      <c r="M13" s="853"/>
      <c r="N13" s="853"/>
      <c r="O13" s="853"/>
      <c r="P13" s="967"/>
      <c r="Q13" s="872"/>
      <c r="R13" s="852"/>
      <c r="S13" s="853"/>
      <c r="T13" s="853"/>
      <c r="U13" s="853"/>
      <c r="V13" s="967"/>
      <c r="W13" s="852"/>
      <c r="X13" s="853"/>
      <c r="Y13" s="967"/>
      <c r="Z13" s="958"/>
      <c r="AA13" s="959"/>
      <c r="AB13" s="960"/>
      <c r="AC13" s="961"/>
      <c r="AD13" s="962"/>
      <c r="AE13" s="963"/>
      <c r="AF13" s="845"/>
      <c r="AG13" s="845"/>
      <c r="AH13" s="846"/>
      <c r="AI13" s="847"/>
      <c r="AJ13" s="36"/>
      <c r="AK13" s="38"/>
      <c r="AL13" s="39"/>
      <c r="AM13" s="39"/>
      <c r="AN13" s="39"/>
      <c r="AO13" s="39"/>
      <c r="AP13" s="39"/>
      <c r="AQ13" s="27"/>
      <c r="AR13" s="3"/>
      <c r="AT13" s="19">
        <v>11</v>
      </c>
      <c r="AU13" s="148" t="s">
        <v>495</v>
      </c>
      <c r="AV13" s="148" t="s">
        <v>496</v>
      </c>
      <c r="AW13" s="16">
        <f>VLOOKUP(AV13,Initial!G:K,5,FALSE)</f>
        <v>1531.9857171026847</v>
      </c>
      <c r="AX13" s="20">
        <f t="shared" si="1"/>
        <v>1509.9161662418283</v>
      </c>
      <c r="AY13" s="21">
        <f t="shared" si="0"/>
        <v>1504.9677174020592</v>
      </c>
    </row>
    <row r="14" spans="1:53" ht="18.75" customHeight="1" thickBot="1" x14ac:dyDescent="0.25">
      <c r="A14" s="829" t="str">
        <f>IF($AK9&gt;3,"4","")</f>
        <v>4</v>
      </c>
      <c r="B14" s="857" t="s">
        <v>7</v>
      </c>
      <c r="C14" s="858"/>
      <c r="D14" s="859"/>
      <c r="E14" s="833" t="str">
        <f>AU18</f>
        <v>Extreme 13-1</v>
      </c>
      <c r="F14" s="834"/>
      <c r="G14" s="834"/>
      <c r="H14" s="834"/>
      <c r="I14" s="834"/>
      <c r="J14" s="834"/>
      <c r="K14" s="835"/>
      <c r="L14" s="836">
        <f>IF($AK10=0,AF67,AF49)</f>
        <v>7</v>
      </c>
      <c r="M14" s="837"/>
      <c r="N14" s="837"/>
      <c r="O14" s="837"/>
      <c r="P14" s="956"/>
      <c r="Q14" s="872"/>
      <c r="R14" s="836">
        <f>IF($AK10=0,AG67,AG49)</f>
        <v>1</v>
      </c>
      <c r="S14" s="837"/>
      <c r="T14" s="837"/>
      <c r="U14" s="837"/>
      <c r="V14" s="956"/>
      <c r="W14" s="836">
        <f>AQ27</f>
        <v>42</v>
      </c>
      <c r="X14" s="837"/>
      <c r="Y14" s="956"/>
      <c r="Z14" s="938">
        <f>IF(AF61&gt;0,(AQ27/AF61),0)</f>
        <v>0.21</v>
      </c>
      <c r="AA14" s="939"/>
      <c r="AB14" s="940"/>
      <c r="AC14" s="944">
        <f>IF(AF75=0,0,(AF67/AF75))</f>
        <v>0.875</v>
      </c>
      <c r="AD14" s="945"/>
      <c r="AE14" s="946"/>
      <c r="AF14" s="819">
        <v>1</v>
      </c>
      <c r="AG14" s="819">
        <v>1</v>
      </c>
      <c r="AH14" s="821">
        <v>2</v>
      </c>
      <c r="AI14" s="822"/>
      <c r="AJ14" s="11"/>
      <c r="AK14" s="39"/>
      <c r="AL14" s="39"/>
      <c r="AM14" s="39"/>
      <c r="AN14" s="39"/>
      <c r="AO14" s="39"/>
      <c r="AP14" s="39"/>
      <c r="AQ14" s="29"/>
      <c r="AR14" s="30"/>
      <c r="AT14" s="19">
        <v>12</v>
      </c>
      <c r="AU14" s="148" t="s">
        <v>511</v>
      </c>
      <c r="AV14" s="148" t="s">
        <v>512</v>
      </c>
      <c r="AW14" s="16">
        <f>VLOOKUP(AV14,Initial!G:K,5,FALSE)</f>
        <v>1532.3959580712301</v>
      </c>
      <c r="AX14" s="20">
        <f t="shared" si="1"/>
        <v>1574.4452714225863</v>
      </c>
      <c r="AY14" s="21">
        <f t="shared" si="0"/>
        <v>1571.8701672086986</v>
      </c>
    </row>
    <row r="15" spans="1:53" ht="18.75" customHeight="1" thickBot="1" x14ac:dyDescent="0.25">
      <c r="A15" s="830"/>
      <c r="B15" s="854" t="s">
        <v>8</v>
      </c>
      <c r="C15" s="855"/>
      <c r="D15" s="856"/>
      <c r="E15" s="964" t="str">
        <f>AV18</f>
        <v>fj3extvb1so</v>
      </c>
      <c r="F15" s="965"/>
      <c r="G15" s="965"/>
      <c r="H15" s="965"/>
      <c r="I15" s="965"/>
      <c r="J15" s="965"/>
      <c r="K15" s="966"/>
      <c r="L15" s="852"/>
      <c r="M15" s="853"/>
      <c r="N15" s="853"/>
      <c r="O15" s="853"/>
      <c r="P15" s="967"/>
      <c r="Q15" s="872"/>
      <c r="R15" s="852"/>
      <c r="S15" s="853"/>
      <c r="T15" s="853"/>
      <c r="U15" s="853"/>
      <c r="V15" s="967"/>
      <c r="W15" s="852"/>
      <c r="X15" s="853"/>
      <c r="Y15" s="967"/>
      <c r="Z15" s="958"/>
      <c r="AA15" s="959"/>
      <c r="AB15" s="960"/>
      <c r="AC15" s="961"/>
      <c r="AD15" s="962"/>
      <c r="AE15" s="963"/>
      <c r="AF15" s="845"/>
      <c r="AG15" s="845"/>
      <c r="AH15" s="846"/>
      <c r="AI15" s="847"/>
      <c r="AJ15" s="11"/>
      <c r="AK15" s="39"/>
      <c r="AL15" s="39"/>
      <c r="AM15" s="39"/>
      <c r="AN15" s="39"/>
      <c r="AO15" s="39"/>
      <c r="AP15" s="39"/>
      <c r="AQ15" s="150"/>
      <c r="AR15" s="3"/>
      <c r="AT15" s="19">
        <v>13</v>
      </c>
      <c r="AU15" s="148" t="s">
        <v>363</v>
      </c>
      <c r="AV15" s="148" t="s">
        <v>364</v>
      </c>
      <c r="AW15" s="16">
        <f>VLOOKUP(AV15,Initial!G:K,5,FALSE)</f>
        <v>1644.9049961515773</v>
      </c>
      <c r="AX15" s="20">
        <f t="shared" si="1"/>
        <v>1620.8755534647216</v>
      </c>
      <c r="AY15" s="21">
        <f t="shared" si="0"/>
        <v>1615.8727852600437</v>
      </c>
    </row>
    <row r="16" spans="1:53" ht="18.75" customHeight="1" thickBot="1" x14ac:dyDescent="0.25">
      <c r="A16" s="829" t="str">
        <f>IF($AK9&gt;4,"5","")</f>
        <v>5</v>
      </c>
      <c r="B16" s="857" t="s">
        <v>7</v>
      </c>
      <c r="C16" s="858"/>
      <c r="D16" s="859"/>
      <c r="E16" s="833" t="str">
        <f>AU19</f>
        <v>BVA 13 Black</v>
      </c>
      <c r="F16" s="834"/>
      <c r="G16" s="834"/>
      <c r="H16" s="834"/>
      <c r="I16" s="834"/>
      <c r="J16" s="834"/>
      <c r="K16" s="835"/>
      <c r="L16" s="836">
        <f>IF($AK10=0,AF68,AF50)</f>
        <v>6</v>
      </c>
      <c r="M16" s="837"/>
      <c r="N16" s="837"/>
      <c r="O16" s="837"/>
      <c r="P16" s="956"/>
      <c r="Q16" s="872"/>
      <c r="R16" s="836">
        <f>IF($AK10=0,AG68,AG50)</f>
        <v>2</v>
      </c>
      <c r="S16" s="837"/>
      <c r="T16" s="837"/>
      <c r="U16" s="837"/>
      <c r="V16" s="956"/>
      <c r="W16" s="836">
        <f>AQ28</f>
        <v>48</v>
      </c>
      <c r="X16" s="837"/>
      <c r="Y16" s="956"/>
      <c r="Z16" s="938">
        <f>IF(AF62&gt;0,(AQ28/AF62),0)</f>
        <v>0.24</v>
      </c>
      <c r="AA16" s="939"/>
      <c r="AB16" s="940"/>
      <c r="AC16" s="944">
        <f>IF(AF76=0,0,(AF68/AF76))</f>
        <v>0.75</v>
      </c>
      <c r="AD16" s="945"/>
      <c r="AE16" s="946"/>
      <c r="AF16" s="819">
        <v>2</v>
      </c>
      <c r="AG16" s="819">
        <v>1</v>
      </c>
      <c r="AH16" s="821">
        <v>7</v>
      </c>
      <c r="AI16" s="822"/>
      <c r="AJ16" s="11"/>
      <c r="AK16" s="39"/>
      <c r="AL16" s="39"/>
      <c r="AM16" s="39"/>
      <c r="AN16" s="39"/>
      <c r="AO16" s="39"/>
      <c r="AP16" s="39"/>
      <c r="AQ16" s="150"/>
      <c r="AR16" s="3"/>
      <c r="AT16" s="19">
        <v>14</v>
      </c>
      <c r="AU16" s="148" t="s">
        <v>448</v>
      </c>
      <c r="AV16" s="148" t="s">
        <v>309</v>
      </c>
      <c r="AW16" s="1035">
        <v>1975.7226594081633</v>
      </c>
      <c r="AX16" s="20">
        <f t="shared" si="1"/>
        <v>1988.575482653684</v>
      </c>
      <c r="AY16" s="21">
        <f t="shared" si="0"/>
        <v>1975.7224030177772</v>
      </c>
      <c r="AZ16" s="68">
        <f>AY16-AW16</f>
        <v>-2.5639038608460396E-4</v>
      </c>
    </row>
    <row r="17" spans="1:52" ht="18.75" customHeight="1" thickBot="1" x14ac:dyDescent="0.25">
      <c r="A17" s="830"/>
      <c r="B17" s="950" t="s">
        <v>8</v>
      </c>
      <c r="C17" s="951"/>
      <c r="D17" s="952"/>
      <c r="E17" s="953" t="str">
        <f>AV19</f>
        <v>fj3biltm1cr</v>
      </c>
      <c r="F17" s="954"/>
      <c r="G17" s="954"/>
      <c r="H17" s="954"/>
      <c r="I17" s="954"/>
      <c r="J17" s="954"/>
      <c r="K17" s="955"/>
      <c r="L17" s="838"/>
      <c r="M17" s="839"/>
      <c r="N17" s="839"/>
      <c r="O17" s="839"/>
      <c r="P17" s="957"/>
      <c r="Q17" s="872"/>
      <c r="R17" s="838"/>
      <c r="S17" s="839"/>
      <c r="T17" s="839"/>
      <c r="U17" s="839"/>
      <c r="V17" s="957"/>
      <c r="W17" s="838"/>
      <c r="X17" s="839"/>
      <c r="Y17" s="957"/>
      <c r="Z17" s="941"/>
      <c r="AA17" s="942"/>
      <c r="AB17" s="943"/>
      <c r="AC17" s="947"/>
      <c r="AD17" s="948"/>
      <c r="AE17" s="949"/>
      <c r="AF17" s="820"/>
      <c r="AG17" s="820"/>
      <c r="AH17" s="823"/>
      <c r="AI17" s="824"/>
      <c r="AJ17" s="11"/>
      <c r="AK17" s="39"/>
      <c r="AL17" s="39"/>
      <c r="AM17" s="39"/>
      <c r="AN17" s="39"/>
      <c r="AO17" s="39"/>
      <c r="AP17" s="39"/>
      <c r="AQ17" s="150"/>
      <c r="AR17" s="3"/>
      <c r="AT17" s="19">
        <v>15</v>
      </c>
      <c r="AU17" s="148" t="s">
        <v>527</v>
      </c>
      <c r="AV17" s="148" t="s">
        <v>528</v>
      </c>
      <c r="AW17" s="16">
        <f>VLOOKUP(AV17,Initial!G:K,5,FALSE)</f>
        <v>1625.5722405667989</v>
      </c>
      <c r="AX17" s="20">
        <f t="shared" si="1"/>
        <v>1615.6024569517674</v>
      </c>
      <c r="AY17" s="21">
        <f t="shared" si="0"/>
        <v>1634.6920739531975</v>
      </c>
    </row>
    <row r="18" spans="1:52" ht="21" customHeight="1" thickTop="1" thickBot="1" x14ac:dyDescent="0.25">
      <c r="A18" s="40"/>
      <c r="B18" s="806" t="s">
        <v>38</v>
      </c>
      <c r="C18" s="807"/>
      <c r="D18" s="807"/>
      <c r="E18" s="807"/>
      <c r="F18" s="807"/>
      <c r="G18" s="807"/>
      <c r="H18" s="807"/>
      <c r="I18" s="807"/>
      <c r="J18" s="807"/>
      <c r="K18" s="807"/>
      <c r="L18" s="807"/>
      <c r="M18" s="807"/>
      <c r="N18" s="807"/>
      <c r="O18" s="807"/>
      <c r="P18" s="807"/>
      <c r="Q18" s="807"/>
      <c r="R18" s="807"/>
      <c r="S18" s="807"/>
      <c r="T18" s="807"/>
      <c r="U18" s="807"/>
      <c r="V18" s="807"/>
      <c r="W18" s="807"/>
      <c r="X18" s="807"/>
      <c r="Y18" s="807"/>
      <c r="Z18" s="807"/>
      <c r="AA18" s="807"/>
      <c r="AB18" s="807"/>
      <c r="AC18" s="807"/>
      <c r="AD18" s="807"/>
      <c r="AE18" s="807"/>
      <c r="AF18" s="807"/>
      <c r="AG18" s="807"/>
      <c r="AH18" s="807"/>
      <c r="AI18" s="808"/>
      <c r="AJ18" s="11"/>
      <c r="AK18" s="39"/>
      <c r="AL18" s="39"/>
      <c r="AM18" s="39"/>
      <c r="AN18" s="39"/>
      <c r="AO18" s="39"/>
      <c r="AP18" s="39"/>
      <c r="AQ18" s="150"/>
      <c r="AR18" s="3"/>
      <c r="AT18" s="19">
        <v>16</v>
      </c>
      <c r="AU18" s="170" t="s">
        <v>308</v>
      </c>
      <c r="AV18" s="148" t="s">
        <v>427</v>
      </c>
      <c r="AW18" s="1035">
        <v>2031.5626982129445</v>
      </c>
      <c r="AX18" s="20">
        <f t="shared" si="1"/>
        <v>2055.7363571869355</v>
      </c>
      <c r="AY18" s="21">
        <f t="shared" si="0"/>
        <v>2031.5628240207368</v>
      </c>
      <c r="AZ18" s="68">
        <f t="shared" ref="AZ18:AZ19" si="2">AY18-AW18</f>
        <v>1.2580779230120243E-4</v>
      </c>
    </row>
    <row r="19" spans="1:52" ht="14.25" thickTop="1" thickBot="1" x14ac:dyDescent="0.25">
      <c r="A19" s="4" t="s">
        <v>39</v>
      </c>
      <c r="B19" s="795">
        <v>0.35416666666666669</v>
      </c>
      <c r="C19" s="796"/>
      <c r="D19" s="797"/>
      <c r="E19" s="795">
        <v>0.38194444444444442</v>
      </c>
      <c r="F19" s="796"/>
      <c r="G19" s="797"/>
      <c r="H19" s="795">
        <v>0.40972222222222227</v>
      </c>
      <c r="I19" s="796"/>
      <c r="J19" s="797"/>
      <c r="K19" s="795">
        <v>0.4375</v>
      </c>
      <c r="L19" s="796"/>
      <c r="M19" s="797"/>
      <c r="N19" s="795">
        <v>0.46527777777777773</v>
      </c>
      <c r="O19" s="796"/>
      <c r="P19" s="797"/>
      <c r="Q19" s="795">
        <v>0.49305555555555558</v>
      </c>
      <c r="R19" s="796"/>
      <c r="S19" s="797"/>
      <c r="T19" s="795">
        <v>0.52083333333333337</v>
      </c>
      <c r="U19" s="796"/>
      <c r="V19" s="797"/>
      <c r="W19" s="795">
        <v>4.8611111111111112E-2</v>
      </c>
      <c r="X19" s="796"/>
      <c r="Y19" s="797"/>
      <c r="Z19" s="795">
        <v>7.6388888888888895E-2</v>
      </c>
      <c r="AA19" s="796"/>
      <c r="AB19" s="797"/>
      <c r="AC19" s="795">
        <v>0.10416666666666667</v>
      </c>
      <c r="AD19" s="796"/>
      <c r="AE19" s="796"/>
      <c r="AF19" s="798" t="s">
        <v>40</v>
      </c>
      <c r="AG19" s="799"/>
      <c r="AH19" s="799"/>
      <c r="AI19" s="799"/>
      <c r="AJ19" s="800"/>
      <c r="AK19" s="800"/>
      <c r="AL19" s="800"/>
      <c r="AM19" s="800"/>
      <c r="AN19" s="800"/>
      <c r="AO19" s="800"/>
      <c r="AP19" s="800"/>
      <c r="AQ19" s="801"/>
      <c r="AT19" s="19">
        <v>17</v>
      </c>
      <c r="AU19" s="148" t="s">
        <v>179</v>
      </c>
      <c r="AV19" s="148" t="s">
        <v>255</v>
      </c>
      <c r="AW19" s="1035">
        <v>1973.9609100736691</v>
      </c>
      <c r="AX19" s="20">
        <f t="shared" si="1"/>
        <v>1986.8442842578486</v>
      </c>
      <c r="AY19" s="21">
        <f t="shared" si="0"/>
        <v>1973.9613648967495</v>
      </c>
      <c r="AZ19" s="68">
        <f t="shared" si="2"/>
        <v>4.5482308041755459E-4</v>
      </c>
    </row>
    <row r="20" spans="1:52" ht="13.5" thickBot="1" x14ac:dyDescent="0.25">
      <c r="A20" s="41" t="s">
        <v>41</v>
      </c>
      <c r="B20" s="792"/>
      <c r="C20" s="793"/>
      <c r="D20" s="794"/>
      <c r="E20" s="792"/>
      <c r="F20" s="793"/>
      <c r="G20" s="794"/>
      <c r="H20" s="792"/>
      <c r="I20" s="793"/>
      <c r="J20" s="794"/>
      <c r="K20" s="792"/>
      <c r="L20" s="793"/>
      <c r="M20" s="794"/>
      <c r="N20" s="792"/>
      <c r="O20" s="793"/>
      <c r="P20" s="794"/>
      <c r="Q20" s="792"/>
      <c r="R20" s="793"/>
      <c r="S20" s="794"/>
      <c r="T20" s="792"/>
      <c r="U20" s="793"/>
      <c r="V20" s="794"/>
      <c r="W20" s="792"/>
      <c r="X20" s="793"/>
      <c r="Y20" s="794"/>
      <c r="Z20" s="792"/>
      <c r="AA20" s="793"/>
      <c r="AB20" s="794"/>
      <c r="AC20" s="792"/>
      <c r="AD20" s="793"/>
      <c r="AE20" s="793"/>
      <c r="AF20" s="798"/>
      <c r="AG20" s="799"/>
      <c r="AH20" s="799"/>
      <c r="AI20" s="799"/>
      <c r="AJ20" s="799"/>
      <c r="AK20" s="799"/>
      <c r="AL20" s="799"/>
      <c r="AM20" s="799"/>
      <c r="AN20" s="799"/>
      <c r="AO20" s="799"/>
      <c r="AP20" s="799"/>
      <c r="AQ20" s="802"/>
      <c r="AT20" s="19">
        <v>18</v>
      </c>
      <c r="AU20" s="170" t="s">
        <v>478</v>
      </c>
      <c r="AV20" s="148" t="s">
        <v>479</v>
      </c>
      <c r="AW20" s="16">
        <f>VLOOKUP(AV20,Initial!G:K,5,FALSE)</f>
        <v>1597.0988941571195</v>
      </c>
      <c r="AX20" s="20">
        <f t="shared" si="1"/>
        <v>1744.1269044240819</v>
      </c>
      <c r="AY20" s="21">
        <f t="shared" si="0"/>
        <v>1784.1908394018988</v>
      </c>
    </row>
    <row r="21" spans="1:52" ht="13.5" thickBot="1" x14ac:dyDescent="0.25">
      <c r="A21" s="41" t="s">
        <v>42</v>
      </c>
      <c r="B21" s="792"/>
      <c r="C21" s="793"/>
      <c r="D21" s="794"/>
      <c r="E21" s="792"/>
      <c r="F21" s="793"/>
      <c r="G21" s="794"/>
      <c r="H21" s="792"/>
      <c r="I21" s="793"/>
      <c r="J21" s="794"/>
      <c r="K21" s="792"/>
      <c r="L21" s="793"/>
      <c r="M21" s="794"/>
      <c r="N21" s="792"/>
      <c r="O21" s="793"/>
      <c r="P21" s="794"/>
      <c r="Q21" s="792"/>
      <c r="R21" s="793"/>
      <c r="S21" s="794"/>
      <c r="T21" s="792"/>
      <c r="U21" s="793"/>
      <c r="V21" s="794"/>
      <c r="W21" s="792"/>
      <c r="X21" s="793"/>
      <c r="Y21" s="794"/>
      <c r="Z21" s="792"/>
      <c r="AA21" s="793"/>
      <c r="AB21" s="794"/>
      <c r="AC21" s="792"/>
      <c r="AD21" s="793"/>
      <c r="AE21" s="793"/>
      <c r="AF21" s="798"/>
      <c r="AG21" s="799"/>
      <c r="AH21" s="799"/>
      <c r="AI21" s="799"/>
      <c r="AJ21" s="799"/>
      <c r="AK21" s="799"/>
      <c r="AL21" s="799"/>
      <c r="AM21" s="799"/>
      <c r="AN21" s="799"/>
      <c r="AO21" s="799"/>
      <c r="AP21" s="799"/>
      <c r="AQ21" s="802"/>
      <c r="AT21" s="19">
        <v>19</v>
      </c>
      <c r="AU21" s="148" t="s">
        <v>300</v>
      </c>
      <c r="AV21" s="148" t="s">
        <v>245</v>
      </c>
      <c r="AW21" s="16">
        <f>VLOOKUP(AV21,Initial!G:K,5,FALSE)</f>
        <v>1592.2302498222155</v>
      </c>
      <c r="AX21" s="20">
        <f t="shared" si="1"/>
        <v>1553.1146881464708</v>
      </c>
      <c r="AY21" s="21">
        <f t="shared" si="0"/>
        <v>1553.1146881464708</v>
      </c>
    </row>
    <row r="22" spans="1:52" ht="13.5" thickBot="1" x14ac:dyDescent="0.25">
      <c r="A22" s="11"/>
      <c r="B22" s="684" t="s">
        <v>43</v>
      </c>
      <c r="C22" s="685"/>
      <c r="D22" s="691"/>
      <c r="E22" s="684" t="str">
        <f>IF(AK8&gt;1,"Match 2","")</f>
        <v>Match 2</v>
      </c>
      <c r="F22" s="685"/>
      <c r="G22" s="691"/>
      <c r="H22" s="684" t="str">
        <f>IF(AK8&gt;2,"Match 3","")</f>
        <v>Match 3</v>
      </c>
      <c r="I22" s="685"/>
      <c r="J22" s="691"/>
      <c r="K22" s="684" t="str">
        <f>IF(AK8&gt;3,"Match 4","")</f>
        <v>Match 4</v>
      </c>
      <c r="L22" s="685"/>
      <c r="M22" s="691"/>
      <c r="N22" s="684" t="str">
        <f>IF(AK8&gt;4,"Match 5","")</f>
        <v>Match 5</v>
      </c>
      <c r="O22" s="685"/>
      <c r="P22" s="691"/>
      <c r="Q22" s="684" t="str">
        <f>IF(AK8&gt;5,"Match 6","")</f>
        <v>Match 6</v>
      </c>
      <c r="R22" s="685"/>
      <c r="S22" s="691"/>
      <c r="T22" s="684" t="str">
        <f>IF(AK8&gt;6,"Match 7","")</f>
        <v>Match 7</v>
      </c>
      <c r="U22" s="685"/>
      <c r="V22" s="691"/>
      <c r="W22" s="684" t="str">
        <f>IF(AK8&gt;7,"Match 8","")</f>
        <v>Match 8</v>
      </c>
      <c r="X22" s="685"/>
      <c r="Y22" s="691"/>
      <c r="Z22" s="684" t="str">
        <f>IF(AK8&gt;8,"Match 9","")</f>
        <v>Match 9</v>
      </c>
      <c r="AA22" s="685"/>
      <c r="AB22" s="691"/>
      <c r="AC22" s="684" t="str">
        <f>IF(AK8&gt;9,"Match 10","")</f>
        <v>Match 10</v>
      </c>
      <c r="AD22" s="685"/>
      <c r="AE22" s="685"/>
      <c r="AF22" s="803"/>
      <c r="AG22" s="804"/>
      <c r="AH22" s="804"/>
      <c r="AI22" s="804"/>
      <c r="AJ22" s="804"/>
      <c r="AK22" s="804"/>
      <c r="AL22" s="804"/>
      <c r="AM22" s="804"/>
      <c r="AN22" s="804"/>
      <c r="AO22" s="804"/>
      <c r="AP22" s="804"/>
      <c r="AQ22" s="805"/>
      <c r="AT22" s="151">
        <v>20</v>
      </c>
      <c r="AU22" s="148" t="s">
        <v>453</v>
      </c>
      <c r="AV22" s="148" t="s">
        <v>454</v>
      </c>
      <c r="AW22" s="16">
        <f>VLOOKUP(AV22,Initial!G:K,5,FALSE)</f>
        <v>1578.5432678949517</v>
      </c>
      <c r="AX22" s="152">
        <f t="shared" si="1"/>
        <v>1489.7995928955042</v>
      </c>
      <c r="AY22" s="153">
        <f t="shared" si="0"/>
        <v>1489.7995928955042</v>
      </c>
    </row>
    <row r="23" spans="1:52" ht="15.75" customHeight="1" x14ac:dyDescent="0.25">
      <c r="A23" s="11"/>
      <c r="B23" s="786" t="s">
        <v>44</v>
      </c>
      <c r="C23" s="787"/>
      <c r="D23" s="788"/>
      <c r="E23" s="786" t="s">
        <v>45</v>
      </c>
      <c r="F23" s="787"/>
      <c r="G23" s="788"/>
      <c r="H23" s="786" t="s">
        <v>46</v>
      </c>
      <c r="I23" s="787"/>
      <c r="J23" s="788"/>
      <c r="K23" s="786" t="s">
        <v>47</v>
      </c>
      <c r="L23" s="787"/>
      <c r="M23" s="788"/>
      <c r="N23" s="786" t="s">
        <v>48</v>
      </c>
      <c r="O23" s="787"/>
      <c r="P23" s="788"/>
      <c r="Q23" s="786" t="s">
        <v>46</v>
      </c>
      <c r="R23" s="787"/>
      <c r="S23" s="788"/>
      <c r="T23" s="786" t="s">
        <v>44</v>
      </c>
      <c r="U23" s="787"/>
      <c r="V23" s="788"/>
      <c r="W23" s="786" t="s">
        <v>48</v>
      </c>
      <c r="X23" s="787"/>
      <c r="Y23" s="788"/>
      <c r="Z23" s="786" t="s">
        <v>47</v>
      </c>
      <c r="AA23" s="787"/>
      <c r="AB23" s="788"/>
      <c r="AC23" s="786" t="s">
        <v>45</v>
      </c>
      <c r="AD23" s="787"/>
      <c r="AE23" s="788"/>
      <c r="AF23" s="154" t="s">
        <v>49</v>
      </c>
      <c r="AG23" s="155">
        <v>1</v>
      </c>
      <c r="AH23" s="155">
        <v>2</v>
      </c>
      <c r="AI23" s="155">
        <v>3</v>
      </c>
      <c r="AJ23" s="155">
        <v>4</v>
      </c>
      <c r="AK23" s="155">
        <v>5</v>
      </c>
      <c r="AL23" s="155">
        <v>6</v>
      </c>
      <c r="AM23" s="155">
        <v>7</v>
      </c>
      <c r="AN23" s="155">
        <v>8</v>
      </c>
      <c r="AO23" s="155">
        <v>9</v>
      </c>
      <c r="AP23" s="155">
        <v>10</v>
      </c>
      <c r="AQ23" s="156" t="s">
        <v>50</v>
      </c>
      <c r="AT23" s="881" t="s">
        <v>37</v>
      </c>
      <c r="AU23" s="882"/>
      <c r="AV23" s="882"/>
      <c r="AW23" s="882"/>
      <c r="AX23" s="882"/>
      <c r="AY23" s="883"/>
    </row>
    <row r="24" spans="1:52" ht="16.5" thickBot="1" x14ac:dyDescent="0.3">
      <c r="A24" s="11"/>
      <c r="B24" s="45">
        <v>2</v>
      </c>
      <c r="C24" s="46" t="s">
        <v>51</v>
      </c>
      <c r="D24" s="47">
        <v>5</v>
      </c>
      <c r="E24" s="45">
        <v>1</v>
      </c>
      <c r="F24" s="46" t="str">
        <f>IF(AK8&gt;1,"v","")</f>
        <v>v</v>
      </c>
      <c r="G24" s="47">
        <v>4</v>
      </c>
      <c r="H24" s="45">
        <v>3</v>
      </c>
      <c r="I24" s="46" t="str">
        <f>IF(AK8&gt;2,"v","")</f>
        <v>v</v>
      </c>
      <c r="J24" s="47">
        <v>5</v>
      </c>
      <c r="K24" s="45">
        <v>2</v>
      </c>
      <c r="L24" s="46" t="str">
        <f>IF(AK8&gt;3,"v","")</f>
        <v>v</v>
      </c>
      <c r="M24" s="47">
        <v>4</v>
      </c>
      <c r="N24" s="45">
        <v>1</v>
      </c>
      <c r="O24" s="46" t="str">
        <f>IF(AK8&gt;4,"v","")</f>
        <v>v</v>
      </c>
      <c r="P24" s="47">
        <v>3</v>
      </c>
      <c r="Q24" s="45">
        <v>4</v>
      </c>
      <c r="R24" s="46" t="str">
        <f>IF(AK8&gt;5,"v","")</f>
        <v>v</v>
      </c>
      <c r="S24" s="47">
        <v>5</v>
      </c>
      <c r="T24" s="45">
        <v>2</v>
      </c>
      <c r="U24" s="46" t="str">
        <f>IF(AK8&gt;6,"v","")</f>
        <v>v</v>
      </c>
      <c r="V24" s="47">
        <v>3</v>
      </c>
      <c r="W24" s="45">
        <v>1</v>
      </c>
      <c r="X24" s="46" t="str">
        <f>IF(AK8&gt;7,"v","")</f>
        <v>v</v>
      </c>
      <c r="Y24" s="47">
        <v>5</v>
      </c>
      <c r="Z24" s="45">
        <v>3</v>
      </c>
      <c r="AA24" s="46" t="str">
        <f>IF(AK8&gt;8,"v","")</f>
        <v>v</v>
      </c>
      <c r="AB24" s="47">
        <v>4</v>
      </c>
      <c r="AC24" s="45">
        <v>1</v>
      </c>
      <c r="AD24" s="46" t="str">
        <f>IF(AK8&gt;9,"v","")</f>
        <v>v</v>
      </c>
      <c r="AE24" s="47">
        <v>2</v>
      </c>
      <c r="AF24" s="42" t="str">
        <f>IF(AK9&gt;0,"Team 1","")</f>
        <v>Team 1</v>
      </c>
      <c r="AG24" s="48" t="str">
        <f>IF(AK9&lt;1,"",IF(AK8&lt;1,"",IF(B24=1,B30-D30,IF(D24=1,D30-B30,""))))</f>
        <v/>
      </c>
      <c r="AH24" s="48">
        <f>IF(AK9&lt;1,"",IF(AK8&lt;2,"",IF(E24=1,E30-G30,IF(G24=1,G30-E30,""))))</f>
        <v>-17</v>
      </c>
      <c r="AI24" s="48" t="str">
        <f>IF(AK9&lt;1,"",IF(AK8&lt;3,"",IF(H24=1,H30-J30,IF(J24=1,J30-H30,""))))</f>
        <v/>
      </c>
      <c r="AJ24" s="48" t="str">
        <f>IF(AK9&lt;1,"",IF(AK8&lt;4,"",IF(K24=1,K30-M30,IF(M24=1,M30-K30,""))))</f>
        <v/>
      </c>
      <c r="AK24" s="48">
        <f>IF(AK9&lt;1,"",IF(AK8&lt;5,"",IF(N24=1,N30-P30,IF(P24=1,P30-N30,""))))</f>
        <v>21</v>
      </c>
      <c r="AL24" s="48" t="str">
        <f>IF(AK9&lt;1,"",IF(AK8&lt;6,"",IF(Q24=1,Q30-S30,IF(S24=1,S30-Q30,""))))</f>
        <v/>
      </c>
      <c r="AM24" s="48" t="str">
        <f>IF(AK9&lt;1,"",IF(AK8&lt;7,"",IF(T24=1,T30-V30,IF(V24=1,V30-T30,""))))</f>
        <v/>
      </c>
      <c r="AN24" s="48">
        <f>IF(AK9&lt;1,"",IF(AK8&lt;8,"",IF(W24=1,W30-Y30,IF(Y24=1,Y30-W30,""))))</f>
        <v>2</v>
      </c>
      <c r="AO24" s="48" t="str">
        <f>IF(AK9&lt;1,"",IF(AK8&lt;9,"",IF(Z24=1,Z30-AB30,IF(AB24=1,AB30-Z30,""))))</f>
        <v/>
      </c>
      <c r="AP24" s="48">
        <f>IF(AK9&lt;1,"",IF(AK8&lt;10,"",IF(AC24=1,AC30-AE30,IF(AE24=1,AE30-AC30,""))))</f>
        <v>4</v>
      </c>
      <c r="AQ24" s="44">
        <f>SUM(AG24:AP24)</f>
        <v>10</v>
      </c>
      <c r="AT24" s="884"/>
      <c r="AU24" s="885"/>
      <c r="AV24" s="885"/>
      <c r="AW24" s="885"/>
      <c r="AX24" s="885"/>
      <c r="AY24" s="886"/>
    </row>
    <row r="25" spans="1:52" ht="15" x14ac:dyDescent="0.2">
      <c r="A25" s="4" t="s">
        <v>52</v>
      </c>
      <c r="B25" s="49">
        <v>15</v>
      </c>
      <c r="C25" s="50" t="s">
        <v>53</v>
      </c>
      <c r="D25" s="51">
        <v>25</v>
      </c>
      <c r="E25" s="49">
        <v>14</v>
      </c>
      <c r="F25" s="50" t="str">
        <f>IF(AK8&gt;1,"/","")</f>
        <v>/</v>
      </c>
      <c r="G25" s="51">
        <v>25</v>
      </c>
      <c r="H25" s="49">
        <v>15</v>
      </c>
      <c r="I25" s="50" t="str">
        <f>IF(AK8&gt;2,"/","")</f>
        <v>/</v>
      </c>
      <c r="J25" s="51">
        <v>25</v>
      </c>
      <c r="K25" s="49">
        <v>23</v>
      </c>
      <c r="L25" s="50" t="str">
        <f>IF(AK8&gt;3,"/","")</f>
        <v>/</v>
      </c>
      <c r="M25" s="51">
        <v>25</v>
      </c>
      <c r="N25" s="49">
        <v>25</v>
      </c>
      <c r="O25" s="50" t="str">
        <f>IF(AK8&gt;4,"/","")</f>
        <v>/</v>
      </c>
      <c r="P25" s="51">
        <v>12</v>
      </c>
      <c r="Q25" s="49">
        <v>14</v>
      </c>
      <c r="R25" s="50" t="str">
        <f>IF(AK8&gt;5,"/","")</f>
        <v>/</v>
      </c>
      <c r="S25" s="51">
        <v>25</v>
      </c>
      <c r="T25" s="49">
        <v>25</v>
      </c>
      <c r="U25" s="50" t="str">
        <f>IF(AK8&gt;6,"/","")</f>
        <v>/</v>
      </c>
      <c r="V25" s="51">
        <v>23</v>
      </c>
      <c r="W25" s="49">
        <v>25</v>
      </c>
      <c r="X25" s="50" t="str">
        <f>IF(AK8&gt;7,"/","")</f>
        <v>/</v>
      </c>
      <c r="Y25" s="51">
        <v>21</v>
      </c>
      <c r="Z25" s="49">
        <v>17</v>
      </c>
      <c r="AA25" s="50" t="str">
        <f>IF(AK8&gt;8,"/","")</f>
        <v>/</v>
      </c>
      <c r="AB25" s="51">
        <v>25</v>
      </c>
      <c r="AC25" s="49">
        <v>25</v>
      </c>
      <c r="AD25" s="50" t="str">
        <f>IF(AK8&gt;9,"/","")</f>
        <v>/</v>
      </c>
      <c r="AE25" s="51">
        <v>19</v>
      </c>
      <c r="AF25" s="42" t="str">
        <f>IF(AK9&gt;1,"Team 2","")</f>
        <v>Team 2</v>
      </c>
      <c r="AG25" s="48">
        <f>IF(AK9&lt;2,"",IF(AK8&lt;1,"",IF(B24=2,B30-D30,IF(D24=2,D30-B30,""))))</f>
        <v>-22</v>
      </c>
      <c r="AH25" s="48" t="str">
        <f>IF(AK9&lt;2,"",IF(AK8&lt;2,"",IF(E24=2,E30-G30,IF(G24=2,G30-E30,""))))</f>
        <v/>
      </c>
      <c r="AI25" s="48" t="str">
        <f>IF(AK9&lt;2,"",IF(AK8&lt;3,"",IF(H24=2,H30-J30,IF(J24=2,J30-H30,""))))</f>
        <v/>
      </c>
      <c r="AJ25" s="48">
        <f>IF(AK9&lt;2,"",IF(AK8&lt;4,"",IF(K24=2,K30-M30,IF(M24=2,M30-K30,""))))</f>
        <v>-17</v>
      </c>
      <c r="AK25" s="48" t="str">
        <f>IF(AK9&lt;2,"",IF(AK8&lt;5,"",IF(N24=2,N30-P30,IF(P24=2,P30-N30,""))))</f>
        <v/>
      </c>
      <c r="AL25" s="48" t="str">
        <f>IF(AK9&lt;2,"",IF(AK8&lt;6,"",IF(Q24=2,Q30-S30,IF(S24=2,S30-Q30,""))))</f>
        <v/>
      </c>
      <c r="AM25" s="48">
        <f>IF(AK9&lt;2,"",IF(AK8&lt;7,"",IF(T24=2,T30-V30,IF(V24=2,V30-T30,""))))</f>
        <v>9</v>
      </c>
      <c r="AN25" s="48" t="str">
        <f>IF(AK9&lt;2,"",IF(AK8&lt;8,"",IF(W24=2,W30-Y30,IF(Y24=2,Y30-W30,""))))</f>
        <v/>
      </c>
      <c r="AO25" s="48" t="str">
        <f>IF(AK9&lt;2,"",IF(AK8&lt;9,"",IF(Z24=2,Z30-AB30,IF(AB24=2,AB30-Z30,""))))</f>
        <v/>
      </c>
      <c r="AP25" s="48">
        <f>IF(AK9&lt;2,"",IF(AK8&lt;10,"",IF(AC24=2,AC30-AE30,IF(AE24=2,AE30-AC30,""))))</f>
        <v>-4</v>
      </c>
      <c r="AQ25" s="44">
        <f>SUM(AG25:AP25)</f>
        <v>-34</v>
      </c>
      <c r="AW25" s="4"/>
    </row>
    <row r="26" spans="1:52" ht="15" x14ac:dyDescent="0.2">
      <c r="A26" s="3" t="str">
        <f>IF(AK7&gt;1,"Game 2","")</f>
        <v>Game 2</v>
      </c>
      <c r="B26" s="49">
        <v>13</v>
      </c>
      <c r="C26" s="50" t="s">
        <v>53</v>
      </c>
      <c r="D26" s="51">
        <v>25</v>
      </c>
      <c r="E26" s="49">
        <v>19</v>
      </c>
      <c r="F26" s="50" t="str">
        <f>IF(AK8&gt;1,IF(AK7&gt;1,"/",""),"")</f>
        <v>/</v>
      </c>
      <c r="G26" s="51">
        <v>25</v>
      </c>
      <c r="H26" s="49">
        <v>9</v>
      </c>
      <c r="I26" s="50" t="str">
        <f>IF(AK8&gt;2,IF(AK7&gt;1,"/",""),"")</f>
        <v>/</v>
      </c>
      <c r="J26" s="51">
        <v>25</v>
      </c>
      <c r="K26" s="49">
        <v>10</v>
      </c>
      <c r="L26" s="50" t="str">
        <f>IF(AK8&gt;3,IF(AK7&gt;1,"/",""),"")</f>
        <v>/</v>
      </c>
      <c r="M26" s="51">
        <v>25</v>
      </c>
      <c r="N26" s="49">
        <v>25</v>
      </c>
      <c r="O26" s="50" t="str">
        <f>IF(AK8&gt;4,IF(AK7&gt;1,"/",""),"")</f>
        <v>/</v>
      </c>
      <c r="P26" s="51">
        <v>17</v>
      </c>
      <c r="Q26" s="49">
        <v>25</v>
      </c>
      <c r="R26" s="50" t="str">
        <f>IF(AK8&gt;5,IF(AK7&gt;1,"/",""),"")</f>
        <v>/</v>
      </c>
      <c r="S26" s="51">
        <v>16</v>
      </c>
      <c r="T26" s="49">
        <v>25</v>
      </c>
      <c r="U26" s="50" t="str">
        <f>IF(AK8&gt;6,IF(AK7&gt;1,"/",""),"")</f>
        <v>/</v>
      </c>
      <c r="V26" s="51">
        <v>18</v>
      </c>
      <c r="W26" s="49">
        <v>23</v>
      </c>
      <c r="X26" s="50" t="str">
        <f>IF(AK8&gt;7,IF(AK7&gt;1,"/",""),"")</f>
        <v>/</v>
      </c>
      <c r="Y26" s="51">
        <v>25</v>
      </c>
      <c r="Z26" s="49">
        <v>23</v>
      </c>
      <c r="AA26" s="50" t="str">
        <f>IF(AK8&gt;8,IF(AK7&gt;1,"/",""),"")</f>
        <v>/</v>
      </c>
      <c r="AB26" s="51">
        <v>25</v>
      </c>
      <c r="AC26" s="49">
        <v>24</v>
      </c>
      <c r="AD26" s="50" t="str">
        <f>IF(AK8&gt;9,IF(AK7&gt;1,"/",""),"")</f>
        <v>/</v>
      </c>
      <c r="AE26" s="51">
        <v>26</v>
      </c>
      <c r="AF26" s="42" t="str">
        <f>IF(AK9&gt;2,"Team 3","")</f>
        <v>Team 3</v>
      </c>
      <c r="AG26" s="48" t="str">
        <f>IF(AK9&lt;3,"",IF(AK8&lt;1,"",IF(B24=3,B30-D30,IF(D24=3,D30-B30,""))))</f>
        <v/>
      </c>
      <c r="AH26" s="48" t="str">
        <f>IF(AK9&lt;3,"",IF(AK8&lt;2,"",IF(E24=3,E30-G30,IF(G24=3,G30-E30,""))))</f>
        <v/>
      </c>
      <c r="AI26" s="48">
        <f>IF(AK9&lt;3,"",IF(AK8&lt;3,"",IF(H24=3,H30-J30,IF(J24=3,J30-H30,""))))</f>
        <v>-26</v>
      </c>
      <c r="AJ26" s="48" t="str">
        <f>IF(AK9&lt;3,"",IF(AK8&lt;4,"",IF(K24=3,K30-M30,IF(M24=3,M30-K30,""))))</f>
        <v/>
      </c>
      <c r="AK26" s="48">
        <f>IF(AK9&lt;3,"",IF(AK8&lt;5,"",IF(N24=3,N30-P30,IF(P24=3,P30-N30,""))))</f>
        <v>-21</v>
      </c>
      <c r="AL26" s="48" t="str">
        <f>IF(AK9&lt;3,"",IF(AK8&lt;6,"",IF(Q24=3,Q30-S30,IF(S24=3,S30-Q30,""))))</f>
        <v/>
      </c>
      <c r="AM26" s="48">
        <f>IF(AK9&lt;3,"",IF(AK8&lt;7,"",IF(T24=3,T30-V30,IF(V24=3,V30-T30,""))))</f>
        <v>-9</v>
      </c>
      <c r="AN26" s="48" t="str">
        <f>IF(AK9&lt;3,"",IF(AK8&lt;8,"",IF(W24=3,W30-Y30,IF(Y24=3,Y30-W30,""))))</f>
        <v/>
      </c>
      <c r="AO26" s="48">
        <f>IF(AK9&lt;3,"",IF(AK8&lt;9,"",IF(Z24=3,Z30-AB30,IF(AB24=3,AB30-Z30,""))))</f>
        <v>-10</v>
      </c>
      <c r="AP26" s="48" t="str">
        <f>IF(AK9&lt;3,"",IF(AK8&lt;9,"",IF(AC24=3,AC30-AE30,IF(AE24=3,AE30-AC30,""))))</f>
        <v/>
      </c>
      <c r="AQ26" s="44">
        <f>SUM(AG26:AP26)</f>
        <v>-66</v>
      </c>
      <c r="AT26" s="10"/>
      <c r="AU26" s="10"/>
      <c r="AV26" s="10"/>
      <c r="AW26" s="4"/>
      <c r="AZ26" s="4">
        <f>SUMSQ(AZ16:AZ22)</f>
        <v>2.884276651608281E-7</v>
      </c>
    </row>
    <row r="27" spans="1:52" ht="15.75" thickBot="1" x14ac:dyDescent="0.25">
      <c r="A27" s="3" t="str">
        <f>IF(AK7&gt;2,"Game 3","")</f>
        <v/>
      </c>
      <c r="B27" s="49"/>
      <c r="C27" s="50" t="s">
        <v>53</v>
      </c>
      <c r="D27" s="51"/>
      <c r="E27" s="49"/>
      <c r="F27" s="50" t="str">
        <f>IF(AK8&gt;1,IF(AK7&gt;2,"/",""),"")</f>
        <v/>
      </c>
      <c r="G27" s="51"/>
      <c r="H27" s="49"/>
      <c r="I27" s="50" t="str">
        <f>IF(AK8&gt;2,IF(AK7&gt;2,"/",""),"")</f>
        <v/>
      </c>
      <c r="J27" s="51"/>
      <c r="K27" s="49"/>
      <c r="L27" s="50" t="str">
        <f>IF(AK8&gt;3,IF(AK7&gt;2,"/",""),"")</f>
        <v/>
      </c>
      <c r="M27" s="51"/>
      <c r="N27" s="49"/>
      <c r="O27" s="50" t="str">
        <f>IF(AK8&gt;4,IF(AK7&gt;2,"/",""),"")</f>
        <v/>
      </c>
      <c r="P27" s="51"/>
      <c r="Q27" s="49"/>
      <c r="R27" s="50" t="str">
        <f>IF(AK8&gt;5,IF(AK7&gt;2,"/",""),"")</f>
        <v/>
      </c>
      <c r="S27" s="51"/>
      <c r="T27" s="49"/>
      <c r="U27" s="50" t="str">
        <f>IF(AK8&gt;6,IF(AK7&gt;2,"/",""),"")</f>
        <v/>
      </c>
      <c r="V27" s="51"/>
      <c r="W27" s="49"/>
      <c r="X27" s="50" t="str">
        <f>IF(AK8&gt;7,IF(AK7&gt;2,"/",""),"")</f>
        <v/>
      </c>
      <c r="Y27" s="51"/>
      <c r="Z27" s="49"/>
      <c r="AA27" s="50" t="str">
        <f>IF(AK8&gt;8,IF(AK7&gt;2,"/",""),"")</f>
        <v/>
      </c>
      <c r="AB27" s="51"/>
      <c r="AC27" s="49"/>
      <c r="AD27" s="50" t="str">
        <f>IF(AK8&gt;9,IF(AK7&gt;2,"/",""),"")</f>
        <v/>
      </c>
      <c r="AE27" s="51"/>
      <c r="AF27" s="42" t="str">
        <f>IF(AK9&gt;3,"Team 4","")</f>
        <v>Team 4</v>
      </c>
      <c r="AG27" s="48" t="str">
        <f>IF(AK9&lt;4,"",IF(AK8&lt;1,"",IF(B24=4,B30-D30,IF(D24=4,D30-B30,""))))</f>
        <v/>
      </c>
      <c r="AH27" s="48">
        <f>IF(AK9&lt;4,"",IF(AK8&lt;2,"",IF(E24=4,E30-G30,IF(G24=4,G30-E30,""))))</f>
        <v>17</v>
      </c>
      <c r="AI27" s="48" t="str">
        <f>IF(AK9&lt;4,"",IF(AK8&lt;3,"",IF(H24=4,H30-J30,IF(J24=4,J30-H30,""))))</f>
        <v/>
      </c>
      <c r="AJ27" s="48">
        <f>IF(AK9&lt;4,"",IF(AK8&lt;4,"",IF(K24=4,K30-M30,IF(M24=4,M30-K30,""))))</f>
        <v>17</v>
      </c>
      <c r="AK27" s="48" t="str">
        <f>IF(AK9&lt;4,"",IF(AK8&lt;5,"",IF(N24=4,N30-P30,IF(P24=4,P30-N30,""))))</f>
        <v/>
      </c>
      <c r="AL27" s="48">
        <f>IF(AK9&lt;4,"",IF(AK8&lt;6,"",IF(Q24=4,Q30-S30,IF(S24=4,S30-Q30,""))))</f>
        <v>-2</v>
      </c>
      <c r="AM27" s="48" t="str">
        <f>IF(AK9&lt;4,"",IF(AK8&lt;7,"",IF(T24=4,T30-V30,IF(V24=4,V30-T30,""))))</f>
        <v/>
      </c>
      <c r="AN27" s="48" t="str">
        <f>IF(AK9&lt;4,"",IF(AK8&lt;8,"",IF(W24=4,W30-Y30,IF(Y24=4,Y30-W30,""))))</f>
        <v/>
      </c>
      <c r="AO27" s="48">
        <f>IF(AK9&lt;4,"",IF(AK8&lt;9,"",IF(Z24=4,Z30-AB30,IF(AB24=4,AB30-Z30,""))))</f>
        <v>10</v>
      </c>
      <c r="AP27" s="48" t="str">
        <f>IF(AK9&lt;4,"",IF(AK8&lt;10,"",IF(AC24=4,AC30-AE30,IF(AE24=4,AE30-AC30,""))))</f>
        <v/>
      </c>
      <c r="AQ27" s="44">
        <f>SUM(AG27:AP27)</f>
        <v>42</v>
      </c>
      <c r="AT27" s="10"/>
      <c r="AU27" s="10"/>
      <c r="AV27" s="10"/>
      <c r="AW27" s="4"/>
    </row>
    <row r="28" spans="1:52" ht="15.75" thickBot="1" x14ac:dyDescent="0.25">
      <c r="A28" s="3" t="str">
        <f>IF(AK7&gt;3,"Game 4","")</f>
        <v/>
      </c>
      <c r="B28" s="49"/>
      <c r="C28" s="50" t="s">
        <v>53</v>
      </c>
      <c r="D28" s="51"/>
      <c r="E28" s="49"/>
      <c r="F28" s="50" t="str">
        <f>IF(AK8&gt;1,IF(AK7&gt;3,"/",""),"")</f>
        <v/>
      </c>
      <c r="G28" s="51"/>
      <c r="H28" s="49"/>
      <c r="I28" s="50" t="str">
        <f>IF(AK8&gt;2,IF(AK7&gt;3,"/",""),"")</f>
        <v/>
      </c>
      <c r="J28" s="51"/>
      <c r="K28" s="49"/>
      <c r="L28" s="50" t="str">
        <f>IF(AK8&gt;3,IF(AK7&gt;3,"/",""),"")</f>
        <v/>
      </c>
      <c r="M28" s="51"/>
      <c r="N28" s="49"/>
      <c r="O28" s="50" t="str">
        <f>IF(AK8&gt;4,IF(AK7&gt;3,"/",""),"")</f>
        <v/>
      </c>
      <c r="P28" s="51"/>
      <c r="Q28" s="49"/>
      <c r="R28" s="50" t="str">
        <f>IF(AK8&gt;5,IF(AK7&gt;3,"/",""),"")</f>
        <v/>
      </c>
      <c r="S28" s="51"/>
      <c r="T28" s="49"/>
      <c r="U28" s="50" t="str">
        <f>IF(AK8&gt;6,IF(AK7&gt;3,"/",""),"")</f>
        <v/>
      </c>
      <c r="V28" s="51"/>
      <c r="W28" s="49"/>
      <c r="X28" s="50" t="str">
        <f>IF(AK8&gt;7,IF(AK7&gt;3,"/",""),"")</f>
        <v/>
      </c>
      <c r="Y28" s="51"/>
      <c r="Z28" s="49"/>
      <c r="AA28" s="50" t="str">
        <f>IF(AK8&gt;8,IF(AK7&gt;3,"/",""),"")</f>
        <v/>
      </c>
      <c r="AB28" s="51"/>
      <c r="AC28" s="49"/>
      <c r="AD28" s="50" t="str">
        <f>IF(AK8&gt;9,IF(AK7&gt;3,"/",""),"")</f>
        <v/>
      </c>
      <c r="AE28" s="51"/>
      <c r="AF28" s="42" t="str">
        <f>IF(AK9&gt;4,"Team 5","")</f>
        <v>Team 5</v>
      </c>
      <c r="AG28" s="52">
        <f>IF(AK9&lt;5,"",IF(AK8&lt;1,"",IF(B24=5,B30-D30,IF(D24=5,D30-B30,""))))</f>
        <v>22</v>
      </c>
      <c r="AH28" s="48" t="str">
        <f>IF(AK9&lt;5,"",IF(AK8&lt;2,"",IF(E24=5,E30-G30,IF(G24=5,G30-E30,""))))</f>
        <v/>
      </c>
      <c r="AI28" s="48">
        <f>IF(AK9&lt;5,"",IF(AK8&lt;3,"",IF(H24=5,H30-J30,IF(J24=5,J30-H30,""))))</f>
        <v>26</v>
      </c>
      <c r="AJ28" s="48" t="str">
        <f>IF(AK9&lt;5,"",IF(AK8&lt;4,"",IF(K24=5,K30-M30,IF(M24=5,M30-K30,""))))</f>
        <v/>
      </c>
      <c r="AK28" s="48" t="str">
        <f>IF(AK9&lt;5,"",IF(AK8&lt;5,"",IF(N24=5,N30-P30,IF(P24=5,P30-N30,""))))</f>
        <v/>
      </c>
      <c r="AL28" s="48">
        <f>IF(AK9&lt;5,"",IF(AK8&lt;6,"",IF(Q24=5,Q30-S30,IF(S24=5,S30-Q30,""))))</f>
        <v>2</v>
      </c>
      <c r="AM28" s="48" t="str">
        <f>IF(AK9&lt;5,"",IF(AK8&lt;7,"",IF(T24=5,T30-V30,IF(V24=5,V30-T30,""))))</f>
        <v/>
      </c>
      <c r="AN28" s="48">
        <f>IF(AK9&lt;5,"",IF(AK8&lt;8,"",IF(W24=5,W30-Y30,IF(Y24=5,Y30-W30,""))))</f>
        <v>-2</v>
      </c>
      <c r="AO28" s="48" t="str">
        <f>IF(AK9&lt;5,"",IF(AK8&lt;9,"",IF(Z24=5,Z30-AB30,IF(AB24=5,AB30-Z30,""))))</f>
        <v/>
      </c>
      <c r="AP28" s="48" t="str">
        <f>IF(AK9&lt;5,"",IF(AK8&lt;10,"",IF(AC24=5,AC30-AE30,IF(AE24=5,AE30-AC30,""))))</f>
        <v/>
      </c>
      <c r="AQ28" s="44">
        <f>SUM(AG28:AP28)</f>
        <v>48</v>
      </c>
      <c r="AT28" s="10"/>
      <c r="AU28" s="148"/>
      <c r="AV28" s="148"/>
      <c r="AW28" s="309"/>
      <c r="AX28" s="10"/>
      <c r="AY28" s="10"/>
    </row>
    <row r="29" spans="1:52" ht="15" x14ac:dyDescent="0.2">
      <c r="A29" s="3" t="str">
        <f>IF(AK7&gt;4,"Game 5","")</f>
        <v/>
      </c>
      <c r="B29" s="49"/>
      <c r="C29" s="50" t="s">
        <v>53</v>
      </c>
      <c r="D29" s="51"/>
      <c r="E29" s="49"/>
      <c r="F29" s="50" t="str">
        <f>IF(AK8&gt;1,IF(AK7&gt;4,"/",""),"")</f>
        <v/>
      </c>
      <c r="G29" s="51"/>
      <c r="H29" s="49"/>
      <c r="I29" s="50" t="str">
        <f>IF(AK8&gt;2,IF(AK7&gt;4,"/",""),"")</f>
        <v/>
      </c>
      <c r="J29" s="51"/>
      <c r="K29" s="49"/>
      <c r="L29" s="50" t="str">
        <f>IF(AK8&gt;3,IF(AK7&gt;4,"/",""),"")</f>
        <v/>
      </c>
      <c r="M29" s="51"/>
      <c r="N29" s="49"/>
      <c r="O29" s="50" t="str">
        <f>IF(AK8&gt;4,IF(AK7&gt;4,"/",""),"")</f>
        <v/>
      </c>
      <c r="P29" s="51"/>
      <c r="Q29" s="49"/>
      <c r="R29" s="50" t="str">
        <f>IF(AK8&gt;5,IF(AK7&gt;4,"/",""),"")</f>
        <v/>
      </c>
      <c r="S29" s="51"/>
      <c r="T29" s="49"/>
      <c r="U29" s="50" t="str">
        <f>IF(AK8&gt;6,IF(AK7&gt;4,"/",""),"")</f>
        <v/>
      </c>
      <c r="V29" s="51"/>
      <c r="W29" s="49"/>
      <c r="X29" s="50" t="str">
        <f>IF(AK8&gt;7,IF(AK7&gt;4,"/",""),"")</f>
        <v/>
      </c>
      <c r="Y29" s="51"/>
      <c r="Z29" s="49"/>
      <c r="AA29" s="50" t="str">
        <f>IF(AK8&gt;8,IF(AK7&gt;4,"/",""),"")</f>
        <v/>
      </c>
      <c r="AB29" s="51"/>
      <c r="AC29" s="49"/>
      <c r="AD29" s="50" t="str">
        <f>IF(AK8&gt;9,IF(AK7&gt;4,"/",""),"")</f>
        <v/>
      </c>
      <c r="AE29" s="5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T29" s="10"/>
      <c r="AU29" s="10"/>
      <c r="AV29" s="10"/>
      <c r="AW29" s="10"/>
      <c r="AX29" s="10"/>
      <c r="AY29" s="10"/>
    </row>
    <row r="30" spans="1:52" hidden="1" x14ac:dyDescent="0.2">
      <c r="A30" s="53"/>
      <c r="B30" s="53">
        <f>IF($AK7=5,SUM(B25:B29),IF($AK7=4,SUM(B25:B28),IF($AK7=3,SUM(B25:B27),IF($AK7=2,SUM(B25:B26),B25))))</f>
        <v>28</v>
      </c>
      <c r="C30" s="53"/>
      <c r="D30" s="53">
        <f>IF($AK7=5,SUM(D25:D29),IF($AK7=4,SUM(D25:D28),IF($AK7=3,SUM(D25:D27),IF($AK7=2,SUM(D25:D26),D25))))</f>
        <v>50</v>
      </c>
      <c r="E30" s="53">
        <f>IF($AK7=5,SUM(E25:E29),IF($AK7=4,SUM(E25:E28),IF($AK7=3,SUM(E25:E27),IF($AK7=2,SUM(E25:E26),E25))))</f>
        <v>33</v>
      </c>
      <c r="F30" s="53"/>
      <c r="G30" s="53">
        <f>IF($AK7=5,SUM(G25:G29),IF($AK7=4,SUM(G25:G28),IF($AK7=3,SUM(G25:G27),IF($AK7=2,SUM(G25:G26),G25))))</f>
        <v>50</v>
      </c>
      <c r="H30" s="53">
        <f>IF($AK7=5,SUM(H25:H29),IF($AK7=4,SUM(H25:H28),IF($AK7=3,SUM(H25:H27),IF($AK7=2,SUM(H25:H26),H25))))</f>
        <v>24</v>
      </c>
      <c r="I30" s="53"/>
      <c r="J30" s="53">
        <f>IF($AK7=5,SUM(J25:J29),IF($AK7=4,SUM(J25:J28),IF($AK7=3,SUM(J25:J27),IF($AK7=2,SUM(J25:J26),J25))))</f>
        <v>50</v>
      </c>
      <c r="K30" s="53">
        <f>IF($AK7=5,SUM(K25:K29),IF($AK7=4,SUM(K25:K28),IF($AK7=3,SUM(K25:K27),IF($AK7=2,SUM(K25:K26),K25))))</f>
        <v>33</v>
      </c>
      <c r="L30" s="53"/>
      <c r="M30" s="53">
        <f>IF($AK7=5,SUM(M25:M29),IF($AK7=4,SUM(M25:M28),IF($AK7=3,SUM(M25:M27),IF($AK7=2,SUM(M25:M26),M25))))</f>
        <v>50</v>
      </c>
      <c r="N30" s="53">
        <f>IF($AK7=5,SUM(N25:N29),IF($AK7=4,SUM(N25:N28),IF($AK7=3,SUM(N25:N27),IF($AK7=2,SUM(N25:N26),N25))))</f>
        <v>50</v>
      </c>
      <c r="O30" s="53"/>
      <c r="P30" s="53">
        <f>IF($AK7=5,SUM(P25:P29),IF($AK7=4,SUM(P25:P28),IF($AK7=3,SUM(P25:P27),IF($AK7=2,SUM(P25:P26),P25))))</f>
        <v>29</v>
      </c>
      <c r="Q30" s="53">
        <f>IF($AK7=5,SUM(Q25:Q29),IF($AK7=4,SUM(Q25:Q28),IF($AK7=3,SUM(Q25:Q27),IF($AK7=2,SUM(Q25:Q26),Q25))))</f>
        <v>39</v>
      </c>
      <c r="R30" s="53"/>
      <c r="S30" s="53">
        <f>IF($AK7=5,SUM(S25:S29),IF($AK7=4,SUM(S25:S28),IF($AK7=3,SUM(S25:S27),IF($AK7=2,SUM(S25:S26),S25))))</f>
        <v>41</v>
      </c>
      <c r="T30" s="53">
        <f>IF($AK7=5,SUM(T25:T29),IF($AK7=4,SUM(T25:T28),IF($AK7=3,SUM(T25:T27),IF($AK7=2,SUM(T25:T26),T25))))</f>
        <v>50</v>
      </c>
      <c r="U30" s="53"/>
      <c r="V30" s="53">
        <f>IF($AK7=5,SUM(V25:V29),IF($AK7=4,SUM(V25:V28),IF($AK7=3,SUM(V25:V27),IF($AK7=2,SUM(V25:V26),V25))))</f>
        <v>41</v>
      </c>
      <c r="W30" s="53">
        <f>IF($AK7=5,SUM(W25:W29),IF($AK7=4,SUM(W25:W28),IF($AK7=3,SUM(W25:W27),IF($AK7=2,SUM(W25:W26),W25))))</f>
        <v>48</v>
      </c>
      <c r="X30" s="53"/>
      <c r="Y30" s="53">
        <f>IF($AK7=5,SUM(Y25:Y29),IF($AK7=4,SUM(Y25:Y28),IF($AK7=3,SUM(Y25:Y27),IF($AK7=2,SUM(Y25:Y26),Y25))))</f>
        <v>46</v>
      </c>
      <c r="Z30" s="53">
        <f>IF($AK7=5,SUM(Z25:Z29),IF($AK7=4,SUM(Z25:Z28),IF($AK7=3,SUM(Z25:Z27),IF($AK7=2,SUM(Z25:Z26),Z25))))</f>
        <v>40</v>
      </c>
      <c r="AA30" s="53"/>
      <c r="AB30" s="53">
        <f>IF($AK7=5,SUM(AB25:AB29),IF($AK7=4,SUM(AB25:AB28),IF($AK7=3,SUM(AB25:AB27),IF($AK7=2,SUM(AB25:AB26),AB25))))</f>
        <v>50</v>
      </c>
      <c r="AC30" s="53">
        <f>IF($AK7=5,SUM(AC25:AC29),IF($AK7=4,SUM(AC25:AC28),IF($AK7=3,SUM(AC25:AC27),IF($AK7=2,SUM(AC25:AC26),AC25))))</f>
        <v>49</v>
      </c>
      <c r="AD30" s="53"/>
      <c r="AE30" s="53">
        <f>IF($AK7=5,SUM(AE25:AE29),IF($AK7=4,SUM(AE25:AE28),IF($AK7=3,SUM(AE25:AE27),IF($AK7=2,SUM(AE25:AE26),AE25))))</f>
        <v>45</v>
      </c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T30" s="80"/>
      <c r="AU30" s="80"/>
      <c r="AV30" s="80"/>
    </row>
    <row r="31" spans="1:52" s="54" customFormat="1" ht="12.75" hidden="1" customHeight="1" x14ac:dyDescent="0.2">
      <c r="A31" s="54" t="s">
        <v>54</v>
      </c>
      <c r="B31" s="55">
        <f>IF(AND(B25&gt;D25,$AK8&gt;0,ISNUMBER(B25),ISNUMBER(D25)),1,0)</f>
        <v>0</v>
      </c>
      <c r="C31" s="55"/>
      <c r="D31" s="56">
        <f>IF(AND(D25&gt;B25,$AK8&gt;0,ISNUMBER(B25),ISNUMBER(D25)),1,0)</f>
        <v>1</v>
      </c>
      <c r="E31" s="55">
        <f>IF(AND(E25&gt;G25,$AK8&gt;1,ISNUMBER(E25),ISNUMBER(G25)),1,0)</f>
        <v>0</v>
      </c>
      <c r="F31" s="55"/>
      <c r="G31" s="56">
        <f>IF(AND(G25&gt;E25,$AK8&gt;1,ISNUMBER(E25),ISNUMBER(G25)),1,0)</f>
        <v>1</v>
      </c>
      <c r="H31" s="55">
        <f>IF(AND(H25&gt;J25,$AK8&gt;2,ISNUMBER(H25),ISNUMBER(J25)),1,0)</f>
        <v>0</v>
      </c>
      <c r="I31" s="55"/>
      <c r="J31" s="56">
        <f>IF(AND(J25&gt;H25,$AK8&gt;2,ISNUMBER(H25),ISNUMBER(J25)),1,0)</f>
        <v>1</v>
      </c>
      <c r="K31" s="55">
        <f>IF(AND(K25&gt;M25,$AK8&gt;3,ISNUMBER(K25),ISNUMBER(M25)),1,0)</f>
        <v>0</v>
      </c>
      <c r="L31" s="55"/>
      <c r="M31" s="56">
        <f>IF(AND(M25&gt;K25,$AK8&gt;3,ISNUMBER(K25),ISNUMBER(M25)),1,0)</f>
        <v>1</v>
      </c>
      <c r="N31" s="55">
        <f>IF(AND(N25&gt;P25,$AK8&gt;4,ISNUMBER(N25),ISNUMBER(P25)),1,0)</f>
        <v>1</v>
      </c>
      <c r="O31" s="55"/>
      <c r="P31" s="56">
        <f>IF(AND(P25&gt;N25,$AK8&gt;4,ISNUMBER(N25),ISNUMBER(P25)),1,0)</f>
        <v>0</v>
      </c>
      <c r="Q31" s="55">
        <f>IF(AND(Q25&gt;S25,$AK8&gt;5,ISNUMBER(Q25),ISNUMBER(S25)),1,0)</f>
        <v>0</v>
      </c>
      <c r="R31" s="55"/>
      <c r="S31" s="56">
        <f>IF(AND(S25&gt;Q25,$AK8&gt;5,ISNUMBER(Q25),ISNUMBER(S25)),1,0)</f>
        <v>1</v>
      </c>
      <c r="T31" s="55">
        <f>IF(AND(T25&gt;V25,$AK8&gt;6,ISNUMBER(T25),ISNUMBER(V25)),1,0)</f>
        <v>1</v>
      </c>
      <c r="U31" s="55"/>
      <c r="V31" s="56">
        <f>IF(AND(V25&gt;T25,$AK8&gt;6,ISNUMBER(T25),ISNUMBER(V25)),1,0)</f>
        <v>0</v>
      </c>
      <c r="W31" s="55">
        <f>IF(AND(W25&gt;Y25,$AK8&gt;7,ISNUMBER(W25),ISNUMBER(Y25)),1,0)</f>
        <v>1</v>
      </c>
      <c r="X31" s="55"/>
      <c r="Y31" s="56">
        <f>IF(AND(Y25&gt;W25,$AK8&gt;7,ISNUMBER(W25),ISNUMBER(Y25)),1,0)</f>
        <v>0</v>
      </c>
      <c r="Z31" s="55">
        <f>IF(AND(Z25&gt;AB25,$AK8&gt;8,ISNUMBER(Z25),ISNUMBER(AB25)),1,0)</f>
        <v>0</v>
      </c>
      <c r="AA31" s="55"/>
      <c r="AB31" s="56">
        <f>IF(AND(AB25&gt;Z25,$AK8&gt;8,ISNUMBER(Z25),ISNUMBER(AB25)),1,0)</f>
        <v>1</v>
      </c>
      <c r="AC31" s="55">
        <f>IF(AND(AC25&gt;AE25,$AK8&gt;9,ISNUMBER(AC25),ISNUMBER(AE25)),1,0)</f>
        <v>1</v>
      </c>
      <c r="AD31" s="55"/>
      <c r="AE31" s="56">
        <f>IF(AND(AE25&gt;AC25,$AK8&gt;9,ISNUMBER(AC25),ISNUMBER(AE25)),1,0)</f>
        <v>0</v>
      </c>
      <c r="AW31" s="146"/>
    </row>
    <row r="32" spans="1:52" s="54" customFormat="1" ht="12.75" hidden="1" customHeight="1" x14ac:dyDescent="0.2">
      <c r="A32" s="54" t="s">
        <v>55</v>
      </c>
      <c r="B32" s="55">
        <f>IF(AND(B26&gt;D26,$AK8&gt;0,$AK7&gt;1,ISNUMBER(B26),ISNUMBER(D26)),1,0)</f>
        <v>0</v>
      </c>
      <c r="C32" s="55"/>
      <c r="D32" s="56">
        <f>IF(AND(D26&gt;B26,$AK8&gt;0,$AK7&gt;1,ISNUMBER(B26),ISNUMBER(D26)),1,0)</f>
        <v>1</v>
      </c>
      <c r="E32" s="55">
        <f>IF(AND(E26&gt;G26,$AK8&gt;1,$AK7&gt;1,ISNUMBER(E26),ISNUMBER(G26)),1,0)</f>
        <v>0</v>
      </c>
      <c r="F32" s="55"/>
      <c r="G32" s="56">
        <f>IF(AND(G26&gt;E26,$AK8&gt;1,$AK7&gt;1,ISNUMBER(E26),ISNUMBER(G26)),1,0)</f>
        <v>1</v>
      </c>
      <c r="H32" s="55">
        <f>IF(AND(H26&gt;J26,$AK8&gt;2,$AK7&gt;1,ISNUMBER(H26),ISNUMBER(J26)),1,0)</f>
        <v>0</v>
      </c>
      <c r="I32" s="55"/>
      <c r="J32" s="56">
        <f>IF(AND(J26&gt;H26,$AK8&gt;2,$AK7&gt;1,ISNUMBER(H26),ISNUMBER(J26)),1,0)</f>
        <v>1</v>
      </c>
      <c r="K32" s="55">
        <f>IF(AND(K26&gt;M26,$AK8&gt;3,$AK7&gt;1,ISNUMBER(K26),ISNUMBER(M26)),1,0)</f>
        <v>0</v>
      </c>
      <c r="L32" s="55"/>
      <c r="M32" s="56">
        <f>IF(AND(M26&gt;K26,$AK8&gt;3,$AK7&gt;1,ISNUMBER(K26),ISNUMBER(M26)),1,0)</f>
        <v>1</v>
      </c>
      <c r="N32" s="55">
        <f>IF(AND(N26&gt;P26,$AK8&gt;4,$AK7&gt;1,ISNUMBER(N26),ISNUMBER(P26)),1,0)</f>
        <v>1</v>
      </c>
      <c r="O32" s="55"/>
      <c r="P32" s="56">
        <f>IF(AND(P26&gt;N26,$AK8&gt;4,$AK7&gt;1,ISNUMBER(N26),ISNUMBER(P26)),1,0)</f>
        <v>0</v>
      </c>
      <c r="Q32" s="55">
        <f>IF(AND(Q26&gt;S26,$AK8&gt;5,$AK7&gt;1,ISNUMBER(Q26),ISNUMBER(S26)),1,0)</f>
        <v>1</v>
      </c>
      <c r="R32" s="55"/>
      <c r="S32" s="56">
        <f>IF(AND(S26&gt;Q26,$AK8&gt;5,$AK7&gt;1,ISNUMBER(Q26),ISNUMBER(S26)),1,0)</f>
        <v>0</v>
      </c>
      <c r="T32" s="55">
        <f>IF(AND(T26&gt;V26,$AK8&gt;6,$AK7&gt;1,ISNUMBER(T26),ISNUMBER(V26)),1,0)</f>
        <v>1</v>
      </c>
      <c r="U32" s="55"/>
      <c r="V32" s="56">
        <f>IF(AND(V26&gt;T26,$AK8&gt;6,$AK7&gt;1,ISNUMBER(T26),ISNUMBER(V26)),1,0)</f>
        <v>0</v>
      </c>
      <c r="W32" s="55">
        <f>IF(AND(W26&gt;Y26,$AK8&gt;7,$AK7&gt;1,ISNUMBER(W26),ISNUMBER(Y26)),1,0)</f>
        <v>0</v>
      </c>
      <c r="X32" s="55"/>
      <c r="Y32" s="56">
        <f>IF(AND(Y26&gt;W26,$AK8&gt;7,$AK7&gt;1,ISNUMBER(W26),ISNUMBER(Y26)),1,0)</f>
        <v>1</v>
      </c>
      <c r="Z32" s="55">
        <f>IF(AND(Z26&gt;AB26,$AK8&gt;8,$AK7&gt;1,ISNUMBER(Z26),ISNUMBER(AB26)),1,0)</f>
        <v>0</v>
      </c>
      <c r="AA32" s="55"/>
      <c r="AB32" s="56">
        <f>IF(AND(AB26&gt;Z26,$AK8&gt;8,$AK7&gt;1,ISNUMBER(Z26),ISNUMBER(AB26)),1,0)</f>
        <v>1</v>
      </c>
      <c r="AC32" s="55">
        <f>IF(AND(AC26&gt;AE26,$AK8&gt;9,$AK7&gt;1,ISNUMBER(AC26),ISNUMBER(AE26)),1,0)</f>
        <v>0</v>
      </c>
      <c r="AD32" s="55"/>
      <c r="AE32" s="56">
        <f>IF(AND(AE26&gt;AC26,$AK8&gt;9,$AK7&gt;1,ISNUMBER(AC26),ISNUMBER(AE26)),1,0)</f>
        <v>1</v>
      </c>
      <c r="AW32" s="146"/>
    </row>
    <row r="33" spans="1:49" s="54" customFormat="1" ht="12.75" hidden="1" customHeight="1" x14ac:dyDescent="0.2">
      <c r="A33" s="54" t="s">
        <v>56</v>
      </c>
      <c r="B33" s="55">
        <f>IF(AND(B27&gt;D27,$AK8&gt;0,$AK7&gt;2,ISNUMBER(B27),ISNUMBER(D27)),1,0)</f>
        <v>0</v>
      </c>
      <c r="C33" s="55"/>
      <c r="D33" s="56">
        <f>IF(AND(D27&gt;B27,$AK8&gt;0,$AK7&gt;2,ISNUMBER(B27),ISNUMBER(D27)),1,0)</f>
        <v>0</v>
      </c>
      <c r="E33" s="55">
        <f>IF(AND(E27&gt;G27,$AK8&gt;1,$AK7&gt;2,ISNUMBER(E27),ISNUMBER(G27)),1,0)</f>
        <v>0</v>
      </c>
      <c r="F33" s="55"/>
      <c r="G33" s="56">
        <f>IF(AND(G27&gt;E27,$AK8&gt;1,$AK7&gt;2,ISNUMBER(E27),ISNUMBER(G27)),1,0)</f>
        <v>0</v>
      </c>
      <c r="H33" s="55">
        <f>IF(AND(H27&gt;J27,$AK8&gt;2,$AK7&gt;2,ISNUMBER(H27),ISNUMBER(J27)),1,0)</f>
        <v>0</v>
      </c>
      <c r="I33" s="55"/>
      <c r="J33" s="56">
        <f>IF(AND(J27&gt;H27,$AK8&gt;2,$AK7&gt;2,ISNUMBER(H27),ISNUMBER(J27)),1,0)</f>
        <v>0</v>
      </c>
      <c r="K33" s="55">
        <f>IF(AND(K27&gt;M27,$AK8&gt;3,$AK7&gt;2,ISNUMBER(K27),ISNUMBER(M27)),1,0)</f>
        <v>0</v>
      </c>
      <c r="L33" s="55"/>
      <c r="M33" s="56">
        <f>IF(AND(M27&gt;K27,$AK8&gt;3,$AK7&gt;2,ISNUMBER(K27),ISNUMBER(M27)),1,0)</f>
        <v>0</v>
      </c>
      <c r="N33" s="55">
        <f>IF(AND(N27&gt;P27,$AK8&gt;4,$AK7&gt;2,ISNUMBER(N27),ISNUMBER(P27)),1,0)</f>
        <v>0</v>
      </c>
      <c r="O33" s="55"/>
      <c r="P33" s="56">
        <f>IF(AND(P27&gt;N27,$AK8&gt;4,$AK7&gt;2,ISNUMBER(N27),ISNUMBER(P27)),1,0)</f>
        <v>0</v>
      </c>
      <c r="Q33" s="55">
        <f>IF(AND(Q27&gt;S27,$AK8&gt;5,$AK7&gt;2,ISNUMBER(Q27),ISNUMBER(S27)),1,0)</f>
        <v>0</v>
      </c>
      <c r="R33" s="55"/>
      <c r="S33" s="56">
        <f>IF(AND(S27&gt;Q27,$AK8&gt;5,$AK7&gt;2,ISNUMBER(Q27),ISNUMBER(S27)),1,0)</f>
        <v>0</v>
      </c>
      <c r="T33" s="55">
        <f>IF(AND(T27&gt;V27,$AK8&gt;6,$AK7&gt;2,ISNUMBER(T27),ISNUMBER(V27)),1,0)</f>
        <v>0</v>
      </c>
      <c r="U33" s="55"/>
      <c r="V33" s="56">
        <f>IF(AND(V27&gt;T27,$AK8&gt;6,$AK7&gt;2,ISNUMBER(T27),ISNUMBER(V27)),1,0)</f>
        <v>0</v>
      </c>
      <c r="W33" s="55">
        <f>IF(AND(W27&gt;Y27,$AK8&gt;7,$AK7&gt;2,ISNUMBER(W27),ISNUMBER(Y27)),1,0)</f>
        <v>0</v>
      </c>
      <c r="X33" s="55"/>
      <c r="Y33" s="56">
        <f>IF(AND(Y27&gt;W27,$AK8&gt;7,$AK7&gt;2,ISNUMBER(W27),ISNUMBER(Y27)),1,0)</f>
        <v>0</v>
      </c>
      <c r="Z33" s="55">
        <f>IF(AND(Z27&gt;AB27,$AK8&gt;8,$AK7&gt;2,ISNUMBER(Z27),ISNUMBER(AB27)),1,0)</f>
        <v>0</v>
      </c>
      <c r="AA33" s="55"/>
      <c r="AB33" s="56">
        <f>IF(AND(AB27&gt;Z27,$AK8&gt;8,$AK7&gt;2,ISNUMBER(Z27),ISNUMBER(AB27)),1,0)</f>
        <v>0</v>
      </c>
      <c r="AC33" s="55">
        <f>IF(AND(AC27&gt;AE27,$AK8&gt;9,$AK7&gt;2,ISNUMBER(AC27),ISNUMBER(AE27)),1,0)</f>
        <v>0</v>
      </c>
      <c r="AD33" s="55"/>
      <c r="AE33" s="56">
        <f>IF(AND(AE27&gt;AC27,$AK8&gt;9,$AK7&gt;2,ISNUMBER(AC27),ISNUMBER(AE27)),1,0)</f>
        <v>0</v>
      </c>
      <c r="AW33" s="146"/>
    </row>
    <row r="34" spans="1:49" s="54" customFormat="1" ht="12.75" hidden="1" customHeight="1" x14ac:dyDescent="0.2">
      <c r="A34" s="54" t="s">
        <v>57</v>
      </c>
      <c r="B34" s="55">
        <f>IF(AND(B28&gt;D28,$AK8&gt;0,$AK7&gt;3,ISNUMBER(B28),ISNUMBER(D28)),1,0)</f>
        <v>0</v>
      </c>
      <c r="C34" s="55"/>
      <c r="D34" s="56">
        <f>IF(AND(D28&gt;B28,$AK8&gt;0,$AK7&gt;3,ISNUMBER(B28),ISNUMBER(D28)),1,0)</f>
        <v>0</v>
      </c>
      <c r="E34" s="55">
        <f>IF(AND(E28&gt;G28,$AK8&gt;1,$AK7&gt;3,ISNUMBER(E28),ISNUMBER(G28)),1,0)</f>
        <v>0</v>
      </c>
      <c r="F34" s="55"/>
      <c r="G34" s="56">
        <f>IF(AND(G28&gt;E28,$AK8&gt;1,$AK7&gt;3,ISNUMBER(E28),ISNUMBER(G28)),1,0)</f>
        <v>0</v>
      </c>
      <c r="H34" s="55">
        <f>IF(AND(H28&gt;J28,$AK8&gt;2,$AK7&gt;3,ISNUMBER(H28),ISNUMBER(J28)),1,0)</f>
        <v>0</v>
      </c>
      <c r="I34" s="55"/>
      <c r="J34" s="56">
        <f>IF(AND(J28&gt;H28,$AK8&gt;2,$AK7&gt;3,ISNUMBER(H28),ISNUMBER(J28)),1,0)</f>
        <v>0</v>
      </c>
      <c r="K34" s="55">
        <f>IF(AND(K28&gt;M28,$AK8&gt;3,$AK7&gt;3,ISNUMBER(K28),ISNUMBER(M28)),1,0)</f>
        <v>0</v>
      </c>
      <c r="L34" s="55"/>
      <c r="M34" s="56">
        <f>IF(AND(M28&gt;K28,$AK8&gt;3,$AK7&gt;3,ISNUMBER(K28),ISNUMBER(M28)),1,0)</f>
        <v>0</v>
      </c>
      <c r="N34" s="55">
        <f>IF(AND(N28&gt;P28,$AK8&gt;4,$AK7&gt;3,ISNUMBER(N28),ISNUMBER(P28)),1,0)</f>
        <v>0</v>
      </c>
      <c r="O34" s="55"/>
      <c r="P34" s="56">
        <f>IF(AND(P28&gt;N28,$AK8&gt;4,$AK7&gt;3,ISNUMBER(N28),ISNUMBER(P28)),1,0)</f>
        <v>0</v>
      </c>
      <c r="Q34" s="55">
        <f>IF(AND(Q28&gt;S28,$AK8&gt;5,$AK7&gt;3,ISNUMBER(Q28),ISNUMBER(S28)),1,0)</f>
        <v>0</v>
      </c>
      <c r="R34" s="55"/>
      <c r="S34" s="56">
        <f>IF(AND(S28&gt;Q28,$AK8&gt;5,$AK7&gt;3,ISNUMBER(Q28),ISNUMBER(S28)),1,0)</f>
        <v>0</v>
      </c>
      <c r="T34" s="55">
        <f>IF(AND(T28&gt;V28,$AK8&gt;6,$AK7&gt;3,ISNUMBER(T28),ISNUMBER(V28)),1,0)</f>
        <v>0</v>
      </c>
      <c r="U34" s="55"/>
      <c r="V34" s="56">
        <f>IF(AND(V28&gt;T28,$AK8&gt;6,$AK7&gt;3,ISNUMBER(T28),ISNUMBER(V28)),1,0)</f>
        <v>0</v>
      </c>
      <c r="W34" s="55">
        <f>IF(AND(W28&gt;Y28,$AK8&gt;7,$AK7&gt;3,ISNUMBER(W28),ISNUMBER(Y28)),1,0)</f>
        <v>0</v>
      </c>
      <c r="X34" s="55"/>
      <c r="Y34" s="56">
        <f>IF(AND(Y28&gt;W28,$AK8&gt;7,$AK7&gt;3,ISNUMBER(W28),ISNUMBER(Y28)),1,0)</f>
        <v>0</v>
      </c>
      <c r="Z34" s="55">
        <f>IF(AND(Z28&gt;AB28,$AK8&gt;8,$AK7&gt;3,ISNUMBER(Z28),ISNUMBER(AB28)),1,0)</f>
        <v>0</v>
      </c>
      <c r="AA34" s="55"/>
      <c r="AB34" s="56">
        <f>IF(AND(AB28&gt;Z28,$AK8&gt;8,$AK7&gt;3,ISNUMBER(Z28),ISNUMBER(AB28)),1,0)</f>
        <v>0</v>
      </c>
      <c r="AC34" s="55">
        <f>IF(AND(AC28&gt;AE28,$AK8&gt;9,$AK7&gt;3,ISNUMBER(AC28),ISNUMBER(AE28)),1,0)</f>
        <v>0</v>
      </c>
      <c r="AD34" s="55"/>
      <c r="AE34" s="56">
        <f>IF(AND(AE28&gt;AC28,$AK8&gt;9,$AK7&gt;3,ISNUMBER(AC28),ISNUMBER(AE28)),1,0)</f>
        <v>0</v>
      </c>
      <c r="AW34" s="146"/>
    </row>
    <row r="35" spans="1:49" s="54" customFormat="1" ht="12.75" hidden="1" customHeight="1" x14ac:dyDescent="0.2">
      <c r="A35" s="54" t="s">
        <v>58</v>
      </c>
      <c r="B35" s="55">
        <f>IF(AND(B29&gt;D29,$AK8&gt;0,$AK7&gt;4,ISNUMBER(B29),ISNUMBER(D29)),1,0)</f>
        <v>0</v>
      </c>
      <c r="C35" s="55"/>
      <c r="D35" s="56">
        <f>IF(AND(D29&gt;B29,$AK8&gt;0,$AK7&gt;4,ISNUMBER(B29),ISNUMBER(D29)),1,0)</f>
        <v>0</v>
      </c>
      <c r="E35" s="55">
        <f>IF(AND(E29&gt;G29,$AK8&gt;1,$AK7&gt;4,ISNUMBER(E29),ISNUMBER(G29)),1,0)</f>
        <v>0</v>
      </c>
      <c r="F35" s="55"/>
      <c r="G35" s="56">
        <f>IF(AND(G29&gt;E29,$AK8&gt;1,$AK7&gt;4,ISNUMBER(E29),ISNUMBER(G29)),1,0)</f>
        <v>0</v>
      </c>
      <c r="H35" s="55">
        <f>IF(AND(H29&gt;J29,$AK8&gt;2,$AK7&gt;4,ISNUMBER(H29),ISNUMBER(J29)),1,0)</f>
        <v>0</v>
      </c>
      <c r="I35" s="55"/>
      <c r="J35" s="56">
        <f>IF(AND(J29&gt;H29,$AK8&gt;2,$AK7&gt;4,ISNUMBER(H29),ISNUMBER(J29)),1,0)</f>
        <v>0</v>
      </c>
      <c r="K35" s="55">
        <f>IF(AND(K29&gt;M29,$AK8&gt;3,$AK7&gt;4,ISNUMBER(K29),ISNUMBER(M29)),1,0)</f>
        <v>0</v>
      </c>
      <c r="L35" s="55"/>
      <c r="M35" s="56">
        <f>IF(AND(M29&gt;K29,$AK8&gt;3,$AK7&gt;4,ISNUMBER(K29),ISNUMBER(M29)),1,0)</f>
        <v>0</v>
      </c>
      <c r="N35" s="55">
        <f>IF(AND(N29&gt;P29,$AK8&gt;4,$AK7&gt;4,ISNUMBER(N29),ISNUMBER(P29)),1,0)</f>
        <v>0</v>
      </c>
      <c r="O35" s="55"/>
      <c r="P35" s="56">
        <f>IF(AND(P29&gt;N29,$AK8&gt;4,$AK7&gt;4,ISNUMBER(N29),ISNUMBER(P29)),1,0)</f>
        <v>0</v>
      </c>
      <c r="Q35" s="55">
        <f>IF(AND(Q29&gt;S29,$AK8&gt;5,$AK7&gt;4,ISNUMBER(Q29),ISNUMBER(S29)),1,0)</f>
        <v>0</v>
      </c>
      <c r="R35" s="55"/>
      <c r="S35" s="56">
        <f>IF(AND(S29&gt;Q29,$AK8&gt;5,$AK7&gt;4,ISNUMBER(Q29),ISNUMBER(S29)),1,0)</f>
        <v>0</v>
      </c>
      <c r="T35" s="55">
        <f>IF(AND(T29&gt;V29,$AK8&gt;6,$AK7&gt;4,ISNUMBER(T29),ISNUMBER(V29)),1,0)</f>
        <v>0</v>
      </c>
      <c r="U35" s="55"/>
      <c r="V35" s="56">
        <f>IF(AND(V29&gt;T29,$AK8&gt;6,$AK7&gt;4,ISNUMBER(T29),ISNUMBER(V29)),1,0)</f>
        <v>0</v>
      </c>
      <c r="W35" s="55">
        <f>IF(AND(W29&gt;Y29,$AK8&gt;7,$AK7&gt;4,ISNUMBER(W29),ISNUMBER(Y29)),1,0)</f>
        <v>0</v>
      </c>
      <c r="X35" s="55"/>
      <c r="Y35" s="56">
        <f>IF(AND(Y29&gt;W29,$AK8&gt;7,$AK7&gt;4,ISNUMBER(W29),ISNUMBER(Y29)),1,0)</f>
        <v>0</v>
      </c>
      <c r="Z35" s="55">
        <f>IF(AND(Z29&gt;AB29,$AK8&gt;8,$AK7&gt;4,ISNUMBER(Z29),ISNUMBER(AB29)),1,0)</f>
        <v>0</v>
      </c>
      <c r="AA35" s="55"/>
      <c r="AB35" s="56">
        <f>IF(AND(AB29&gt;Z29,$AK8&gt;8,$AK7&gt;4,ISNUMBER(Z29),ISNUMBER(AB29)),1,0)</f>
        <v>0</v>
      </c>
      <c r="AC35" s="55">
        <f>IF(AND(AC29&gt;AE29,$AK8&gt;9,$AK7&gt;4,ISNUMBER(AC29),ISNUMBER(AE29)),1,0)</f>
        <v>0</v>
      </c>
      <c r="AD35" s="55"/>
      <c r="AE35" s="56">
        <f>IF(AND(AE29&gt;AC29,$AK8&gt;9,$AK7&gt;4,ISNUMBER(AC29),ISNUMBER(AE29)),1,0)</f>
        <v>0</v>
      </c>
      <c r="AW35" s="146"/>
    </row>
    <row r="36" spans="1:49" s="54" customFormat="1" ht="38.25" hidden="1" customHeight="1" x14ac:dyDescent="0.2">
      <c r="A36" s="57" t="s">
        <v>59</v>
      </c>
      <c r="B36" s="54">
        <f>SUM(B31:B35)</f>
        <v>0</v>
      </c>
      <c r="D36" s="58">
        <f>SUM(D31:D35)</f>
        <v>2</v>
      </c>
      <c r="E36" s="54">
        <f>SUM(E31:E35)</f>
        <v>0</v>
      </c>
      <c r="G36" s="58">
        <f>SUM(G31:G35)</f>
        <v>2</v>
      </c>
      <c r="H36" s="54">
        <f>SUM(H31:H35)</f>
        <v>0</v>
      </c>
      <c r="J36" s="58">
        <f>SUM(J31:J35)</f>
        <v>2</v>
      </c>
      <c r="K36" s="54">
        <f>SUM(K31:K35)</f>
        <v>0</v>
      </c>
      <c r="M36" s="58">
        <f>SUM(M31:M35)</f>
        <v>2</v>
      </c>
      <c r="N36" s="54">
        <f>SUM(N31:N35)</f>
        <v>2</v>
      </c>
      <c r="P36" s="58">
        <f>SUM(P31:P35)</f>
        <v>0</v>
      </c>
      <c r="Q36" s="54">
        <f>SUM(Q31:Q35)</f>
        <v>1</v>
      </c>
      <c r="S36" s="58">
        <f>SUM(S31:S35)</f>
        <v>1</v>
      </c>
      <c r="T36" s="54">
        <f>SUM(T31:T35)</f>
        <v>2</v>
      </c>
      <c r="V36" s="58">
        <f>SUM(V31:V35)</f>
        <v>0</v>
      </c>
      <c r="W36" s="54">
        <f>SUM(W31:W35)</f>
        <v>1</v>
      </c>
      <c r="Y36" s="58">
        <f>SUM(Y31:Y35)</f>
        <v>1</v>
      </c>
      <c r="Z36" s="54">
        <f>SUM(Z31:Z35)</f>
        <v>0</v>
      </c>
      <c r="AB36" s="58">
        <f>SUM(AB31:AB35)</f>
        <v>2</v>
      </c>
      <c r="AC36" s="54">
        <f>SUM(AC31:AC35)</f>
        <v>1</v>
      </c>
      <c r="AE36" s="58">
        <f>SUM(AE31:AE35)</f>
        <v>1</v>
      </c>
      <c r="AW36" s="146"/>
    </row>
    <row r="37" spans="1:49" s="54" customFormat="1" ht="25.5" hidden="1" customHeight="1" x14ac:dyDescent="0.2">
      <c r="A37" s="57" t="s">
        <v>60</v>
      </c>
      <c r="B37" s="54">
        <f>IF(B36&gt;D36,IF(C71=AK7,1,IF(C71=AK7-1,1,0)),0)</f>
        <v>0</v>
      </c>
      <c r="C37" s="54">
        <f>B37+D37</f>
        <v>1</v>
      </c>
      <c r="D37" s="58">
        <f>IF(D36&gt;B36,IF(C71=AK7,1,IF(C71=AK7-1,1,0)),0)</f>
        <v>1</v>
      </c>
      <c r="E37" s="54">
        <f>IF(E36&gt;G36,IF(F71=AK7,1,IF(F71=AK7-1,1,0)),0)</f>
        <v>0</v>
      </c>
      <c r="F37" s="54">
        <f>E37+G37</f>
        <v>1</v>
      </c>
      <c r="G37" s="58">
        <f>IF(G36&gt;E36,IF(F71=AK7,1,IF(F71=AK7-1,1,0)),0)</f>
        <v>1</v>
      </c>
      <c r="H37" s="54">
        <f>IF(H36&gt;J36,IF(I71=AK7,1,IF(I71=AK7-1,1,0)),0)</f>
        <v>0</v>
      </c>
      <c r="I37" s="54">
        <f>H37+J37</f>
        <v>1</v>
      </c>
      <c r="J37" s="58">
        <f>IF(J36&gt;H36,IF(I71=AK7,1,IF(I71=AK7-1,1,0)),0)</f>
        <v>1</v>
      </c>
      <c r="K37" s="54">
        <f>IF(K36&gt;M36,IF(L71=AK7,1,IF(L71=AK7-1,1,0)),0)</f>
        <v>0</v>
      </c>
      <c r="L37" s="54">
        <f>K37+M37</f>
        <v>1</v>
      </c>
      <c r="M37" s="58">
        <f>IF(M36&gt;K36,IF(L71=AK7,1,IF(L71=AK7-1,1,0)),0)</f>
        <v>1</v>
      </c>
      <c r="N37" s="54">
        <f>IF(N36&gt;P36,IF(O71=AK7,1,IF(O71=AK7-1,1,0)),0)</f>
        <v>1</v>
      </c>
      <c r="O37" s="54">
        <f>N37+P37</f>
        <v>1</v>
      </c>
      <c r="P37" s="58">
        <f>IF(P36&gt;N36,IF(O71=AK7,1,IF(O71=AK7-1,1,0)),0)</f>
        <v>0</v>
      </c>
      <c r="Q37" s="54">
        <f>IF(Q36&gt;S36,IF(R71=AK7,1,IF(R71=AK7-1,1,0)),0)</f>
        <v>0</v>
      </c>
      <c r="R37" s="54">
        <f>Q37+S37</f>
        <v>0</v>
      </c>
      <c r="S37" s="58">
        <f>IF(S36&gt;Q36,IF(R71=AK7,1,IF(R71=AK7-1,1,0)),0)</f>
        <v>0</v>
      </c>
      <c r="T37" s="54">
        <f>IF(T36&gt;V36,IF(U71=AK7,1,IF(U71=AK7-1,1,0)),0)</f>
        <v>1</v>
      </c>
      <c r="U37" s="54">
        <f>T37+V37</f>
        <v>1</v>
      </c>
      <c r="V37" s="58">
        <f>IF(V36&gt;T36,IF(U71=AK7,1,IF(U71=AK7-1,1,0)),0)</f>
        <v>0</v>
      </c>
      <c r="W37" s="54">
        <f>IF(W36&gt;Y36,IF(X71=AK7,1,IF(X71=AK7-1,1,0)),0)</f>
        <v>0</v>
      </c>
      <c r="X37" s="54">
        <f>W37+Y37</f>
        <v>0</v>
      </c>
      <c r="Y37" s="58">
        <f>IF(Y36&gt;W36,IF(X71=AK7,1,IF(X71=AK7-1,1,0)),0)</f>
        <v>0</v>
      </c>
      <c r="Z37" s="54">
        <f>IF(Z36&gt;AB36,IF(AA71=AK7,1,IF(AA71=AK7-1,1,0)),0)</f>
        <v>0</v>
      </c>
      <c r="AA37" s="54">
        <f>Z37+AB37</f>
        <v>1</v>
      </c>
      <c r="AB37" s="58">
        <f>IF(AB36&gt;Z36,IF(AA71=AK7,1,IF(AA71=AK7-1,1,0)),0)</f>
        <v>1</v>
      </c>
      <c r="AC37" s="54">
        <f>IF(AC36&gt;AE36,IF(AD71=AK7,1,IF(AD71=AK7-1,1,0)),0)</f>
        <v>0</v>
      </c>
      <c r="AD37" s="54">
        <f>AC37+AE37</f>
        <v>0</v>
      </c>
      <c r="AE37" s="58">
        <f>IF(AE36&gt;AC36,IF(AD71=AK7,1,IF(AD71=AK7-1,1,0)),0)</f>
        <v>0</v>
      </c>
      <c r="AW37" s="146"/>
    </row>
    <row r="38" spans="1:49" s="54" customFormat="1" ht="25.5" hidden="1" customHeight="1" x14ac:dyDescent="0.2">
      <c r="A38" s="57"/>
      <c r="D38" s="58"/>
      <c r="G38" s="58"/>
      <c r="J38" s="58"/>
      <c r="M38" s="58"/>
      <c r="P38" s="58"/>
      <c r="S38" s="58"/>
      <c r="V38" s="58"/>
      <c r="Y38" s="58"/>
      <c r="AB38" s="58"/>
      <c r="AE38" s="58"/>
      <c r="AW38" s="146"/>
    </row>
    <row r="39" spans="1:49" s="54" customFormat="1" ht="12.75" hidden="1" customHeight="1" x14ac:dyDescent="0.2">
      <c r="A39" s="54" t="s">
        <v>61</v>
      </c>
      <c r="B39" s="54">
        <f>IF(B31=1,B25,0)</f>
        <v>0</v>
      </c>
      <c r="D39" s="58">
        <f t="shared" ref="D39:E43" si="3">IF(D31=1,D25,0)</f>
        <v>25</v>
      </c>
      <c r="E39" s="54">
        <f t="shared" si="3"/>
        <v>0</v>
      </c>
      <c r="G39" s="58">
        <f t="shared" ref="G39:H43" si="4">IF(G31=1,G25,0)</f>
        <v>25</v>
      </c>
      <c r="H39" s="54">
        <f t="shared" si="4"/>
        <v>0</v>
      </c>
      <c r="J39" s="58">
        <f t="shared" ref="J39:K43" si="5">IF(J31=1,J25,0)</f>
        <v>25</v>
      </c>
      <c r="K39" s="54">
        <f t="shared" si="5"/>
        <v>0</v>
      </c>
      <c r="M39" s="58">
        <f t="shared" ref="M39:N43" si="6">IF(M31=1,M25,0)</f>
        <v>25</v>
      </c>
      <c r="N39" s="54">
        <f t="shared" si="6"/>
        <v>25</v>
      </c>
      <c r="P39" s="58">
        <f t="shared" ref="P39:Q43" si="7">IF(P31=1,P25,0)</f>
        <v>0</v>
      </c>
      <c r="Q39" s="54">
        <f t="shared" si="7"/>
        <v>0</v>
      </c>
      <c r="S39" s="58">
        <f t="shared" ref="S39:T43" si="8">IF(S31=1,S25,0)</f>
        <v>25</v>
      </c>
      <c r="T39" s="54">
        <f t="shared" si="8"/>
        <v>25</v>
      </c>
      <c r="V39" s="58">
        <f t="shared" ref="V39:W43" si="9">IF(V31=1,V25,0)</f>
        <v>0</v>
      </c>
      <c r="W39" s="54">
        <f t="shared" si="9"/>
        <v>25</v>
      </c>
      <c r="Y39" s="58">
        <f t="shared" ref="Y39:Z43" si="10">IF(Y31=1,Y25,0)</f>
        <v>0</v>
      </c>
      <c r="Z39" s="54">
        <f t="shared" si="10"/>
        <v>0</v>
      </c>
      <c r="AB39" s="58">
        <f t="shared" ref="AB39:AC43" si="11">IF(AB31=1,AB25,0)</f>
        <v>25</v>
      </c>
      <c r="AC39" s="54">
        <f t="shared" si="11"/>
        <v>25</v>
      </c>
      <c r="AE39" s="58">
        <f>IF(AE31=1,AE25,0)</f>
        <v>0</v>
      </c>
      <c r="AW39" s="146"/>
    </row>
    <row r="40" spans="1:49" s="54" customFormat="1" ht="12.75" hidden="1" customHeight="1" x14ac:dyDescent="0.2">
      <c r="A40" s="54" t="s">
        <v>62</v>
      </c>
      <c r="B40" s="54">
        <f>IF(B32=1,B26,0)</f>
        <v>0</v>
      </c>
      <c r="D40" s="58">
        <f t="shared" si="3"/>
        <v>25</v>
      </c>
      <c r="E40" s="54">
        <f t="shared" si="3"/>
        <v>0</v>
      </c>
      <c r="G40" s="58">
        <f t="shared" si="4"/>
        <v>25</v>
      </c>
      <c r="H40" s="54">
        <f t="shared" si="4"/>
        <v>0</v>
      </c>
      <c r="J40" s="58">
        <f t="shared" si="5"/>
        <v>25</v>
      </c>
      <c r="K40" s="54">
        <f t="shared" si="5"/>
        <v>0</v>
      </c>
      <c r="M40" s="58">
        <f t="shared" si="6"/>
        <v>25</v>
      </c>
      <c r="N40" s="54">
        <f t="shared" si="6"/>
        <v>25</v>
      </c>
      <c r="P40" s="58">
        <f t="shared" si="7"/>
        <v>0</v>
      </c>
      <c r="Q40" s="54">
        <f t="shared" si="7"/>
        <v>25</v>
      </c>
      <c r="S40" s="58">
        <f t="shared" si="8"/>
        <v>0</v>
      </c>
      <c r="T40" s="54">
        <f t="shared" si="8"/>
        <v>25</v>
      </c>
      <c r="V40" s="58">
        <f t="shared" si="9"/>
        <v>0</v>
      </c>
      <c r="W40" s="54">
        <f t="shared" si="9"/>
        <v>0</v>
      </c>
      <c r="Y40" s="58">
        <f t="shared" si="10"/>
        <v>25</v>
      </c>
      <c r="Z40" s="54">
        <f t="shared" si="10"/>
        <v>0</v>
      </c>
      <c r="AB40" s="58">
        <f t="shared" si="11"/>
        <v>25</v>
      </c>
      <c r="AC40" s="54">
        <f t="shared" si="11"/>
        <v>0</v>
      </c>
      <c r="AE40" s="58">
        <f>IF(AE32=1,AE26,0)</f>
        <v>26</v>
      </c>
      <c r="AW40" s="146"/>
    </row>
    <row r="41" spans="1:49" s="54" customFormat="1" ht="12.75" hidden="1" customHeight="1" x14ac:dyDescent="0.2">
      <c r="A41" s="54" t="s">
        <v>63</v>
      </c>
      <c r="B41" s="54">
        <f>IF(B33=1,B27,0)</f>
        <v>0</v>
      </c>
      <c r="D41" s="58">
        <f t="shared" si="3"/>
        <v>0</v>
      </c>
      <c r="E41" s="54">
        <f t="shared" si="3"/>
        <v>0</v>
      </c>
      <c r="G41" s="58">
        <f t="shared" si="4"/>
        <v>0</v>
      </c>
      <c r="H41" s="54">
        <f t="shared" si="4"/>
        <v>0</v>
      </c>
      <c r="J41" s="58">
        <f t="shared" si="5"/>
        <v>0</v>
      </c>
      <c r="K41" s="54">
        <f t="shared" si="5"/>
        <v>0</v>
      </c>
      <c r="M41" s="58">
        <f t="shared" si="6"/>
        <v>0</v>
      </c>
      <c r="N41" s="54">
        <f t="shared" si="6"/>
        <v>0</v>
      </c>
      <c r="P41" s="58">
        <f t="shared" si="7"/>
        <v>0</v>
      </c>
      <c r="Q41" s="54">
        <f t="shared" si="7"/>
        <v>0</v>
      </c>
      <c r="S41" s="58">
        <f t="shared" si="8"/>
        <v>0</v>
      </c>
      <c r="T41" s="54">
        <f t="shared" si="8"/>
        <v>0</v>
      </c>
      <c r="V41" s="58">
        <f t="shared" si="9"/>
        <v>0</v>
      </c>
      <c r="W41" s="54">
        <f t="shared" si="9"/>
        <v>0</v>
      </c>
      <c r="Y41" s="58">
        <f t="shared" si="10"/>
        <v>0</v>
      </c>
      <c r="Z41" s="54">
        <f t="shared" si="10"/>
        <v>0</v>
      </c>
      <c r="AB41" s="58">
        <f t="shared" si="11"/>
        <v>0</v>
      </c>
      <c r="AC41" s="54">
        <f t="shared" si="11"/>
        <v>0</v>
      </c>
      <c r="AE41" s="58">
        <f>IF(AE33=1,AE27,0)</f>
        <v>0</v>
      </c>
      <c r="AW41" s="146"/>
    </row>
    <row r="42" spans="1:49" s="54" customFormat="1" ht="12.75" hidden="1" customHeight="1" x14ac:dyDescent="0.2">
      <c r="A42" s="54" t="s">
        <v>64</v>
      </c>
      <c r="B42" s="54">
        <f>IF(B34=1,B28,0)</f>
        <v>0</v>
      </c>
      <c r="D42" s="58">
        <f t="shared" si="3"/>
        <v>0</v>
      </c>
      <c r="E42" s="54">
        <f t="shared" si="3"/>
        <v>0</v>
      </c>
      <c r="G42" s="58">
        <f t="shared" si="4"/>
        <v>0</v>
      </c>
      <c r="H42" s="54">
        <f t="shared" si="4"/>
        <v>0</v>
      </c>
      <c r="J42" s="58">
        <f t="shared" si="5"/>
        <v>0</v>
      </c>
      <c r="K42" s="54">
        <f t="shared" si="5"/>
        <v>0</v>
      </c>
      <c r="M42" s="58">
        <f t="shared" si="6"/>
        <v>0</v>
      </c>
      <c r="N42" s="54">
        <f t="shared" si="6"/>
        <v>0</v>
      </c>
      <c r="P42" s="58">
        <f t="shared" si="7"/>
        <v>0</v>
      </c>
      <c r="Q42" s="54">
        <f t="shared" si="7"/>
        <v>0</v>
      </c>
      <c r="S42" s="58">
        <f t="shared" si="8"/>
        <v>0</v>
      </c>
      <c r="T42" s="54">
        <f t="shared" si="8"/>
        <v>0</v>
      </c>
      <c r="V42" s="58">
        <f t="shared" si="9"/>
        <v>0</v>
      </c>
      <c r="W42" s="54">
        <f t="shared" si="9"/>
        <v>0</v>
      </c>
      <c r="Y42" s="58">
        <f t="shared" si="10"/>
        <v>0</v>
      </c>
      <c r="Z42" s="54">
        <f t="shared" si="10"/>
        <v>0</v>
      </c>
      <c r="AB42" s="58">
        <f t="shared" si="11"/>
        <v>0</v>
      </c>
      <c r="AC42" s="54">
        <f t="shared" si="11"/>
        <v>0</v>
      </c>
      <c r="AE42" s="58">
        <f>IF(AE34=1,AE28,0)</f>
        <v>0</v>
      </c>
      <c r="AW42" s="146"/>
    </row>
    <row r="43" spans="1:49" s="54" customFormat="1" ht="12.75" hidden="1" customHeight="1" x14ac:dyDescent="0.2">
      <c r="A43" s="54" t="s">
        <v>65</v>
      </c>
      <c r="B43" s="54">
        <f>IF(B35=1,B29,0)</f>
        <v>0</v>
      </c>
      <c r="D43" s="58">
        <f t="shared" si="3"/>
        <v>0</v>
      </c>
      <c r="E43" s="54">
        <f t="shared" si="3"/>
        <v>0</v>
      </c>
      <c r="G43" s="58">
        <f t="shared" si="4"/>
        <v>0</v>
      </c>
      <c r="H43" s="54">
        <f t="shared" si="4"/>
        <v>0</v>
      </c>
      <c r="J43" s="58">
        <f t="shared" si="5"/>
        <v>0</v>
      </c>
      <c r="K43" s="54">
        <f t="shared" si="5"/>
        <v>0</v>
      </c>
      <c r="M43" s="58">
        <f t="shared" si="6"/>
        <v>0</v>
      </c>
      <c r="N43" s="54">
        <f t="shared" si="6"/>
        <v>0</v>
      </c>
      <c r="P43" s="58">
        <f t="shared" si="7"/>
        <v>0</v>
      </c>
      <c r="Q43" s="54">
        <f t="shared" si="7"/>
        <v>0</v>
      </c>
      <c r="S43" s="58">
        <f t="shared" si="8"/>
        <v>0</v>
      </c>
      <c r="T43" s="54">
        <f t="shared" si="8"/>
        <v>0</v>
      </c>
      <c r="V43" s="58">
        <f t="shared" si="9"/>
        <v>0</v>
      </c>
      <c r="W43" s="54">
        <f t="shared" si="9"/>
        <v>0</v>
      </c>
      <c r="Y43" s="58">
        <f t="shared" si="10"/>
        <v>0</v>
      </c>
      <c r="Z43" s="54">
        <f t="shared" si="10"/>
        <v>0</v>
      </c>
      <c r="AB43" s="58">
        <f t="shared" si="11"/>
        <v>0</v>
      </c>
      <c r="AC43" s="54">
        <f t="shared" si="11"/>
        <v>0</v>
      </c>
      <c r="AE43" s="58">
        <f>IF(AE35=1,AE29,0)</f>
        <v>0</v>
      </c>
      <c r="AW43" s="146"/>
    </row>
    <row r="44" spans="1:49" s="54" customFormat="1" ht="38.25" hidden="1" customHeight="1" x14ac:dyDescent="0.2">
      <c r="A44" s="57" t="s">
        <v>66</v>
      </c>
      <c r="B44" s="54">
        <f>SUM(B39:D43)</f>
        <v>50</v>
      </c>
      <c r="D44" s="58"/>
      <c r="E44" s="54">
        <f>SUM(E39:G43)</f>
        <v>50</v>
      </c>
      <c r="G44" s="58"/>
      <c r="H44" s="54">
        <f>SUM(H39:J43)</f>
        <v>50</v>
      </c>
      <c r="J44" s="58"/>
      <c r="K44" s="54">
        <f>SUM(K39:M43)</f>
        <v>50</v>
      </c>
      <c r="M44" s="58"/>
      <c r="N44" s="54">
        <f>SUM(N39:P43)</f>
        <v>50</v>
      </c>
      <c r="P44" s="58"/>
      <c r="Q44" s="54">
        <f>SUM(Q39:S43)</f>
        <v>50</v>
      </c>
      <c r="S44" s="58"/>
      <c r="T44" s="54">
        <f>SUM(T39:V43)</f>
        <v>50</v>
      </c>
      <c r="V44" s="58"/>
      <c r="W44" s="54">
        <f>SUM(W39:Y43)</f>
        <v>50</v>
      </c>
      <c r="Y44" s="58"/>
      <c r="Z44" s="54">
        <f>SUM(Z39:AB43)</f>
        <v>50</v>
      </c>
      <c r="AB44" s="58"/>
      <c r="AC44" s="54">
        <f>SUM(AC39:AE43)</f>
        <v>51</v>
      </c>
      <c r="AE44" s="58"/>
      <c r="AW44" s="146"/>
    </row>
    <row r="45" spans="1:49" s="54" customFormat="1" ht="38.25" hidden="1" customHeight="1" x14ac:dyDescent="0.2">
      <c r="A45" s="54" t="s">
        <v>67</v>
      </c>
      <c r="D45" s="58"/>
      <c r="G45" s="58"/>
      <c r="J45" s="58"/>
      <c r="M45" s="58"/>
      <c r="P45" s="58"/>
      <c r="S45" s="58"/>
      <c r="V45" s="58"/>
      <c r="Y45" s="58"/>
      <c r="AB45" s="58"/>
      <c r="AE45" s="58"/>
      <c r="AF45" s="57" t="s">
        <v>68</v>
      </c>
      <c r="AG45" s="54" t="s">
        <v>69</v>
      </c>
      <c r="AW45" s="146"/>
    </row>
    <row r="46" spans="1:49" s="54" customFormat="1" ht="12.75" hidden="1" customHeight="1" x14ac:dyDescent="0.2">
      <c r="A46" s="54" t="s">
        <v>70</v>
      </c>
      <c r="B46" s="54">
        <f>IF(B24=1,IF(B37=1,1,0),0)</f>
        <v>0</v>
      </c>
      <c r="D46" s="58">
        <f>IF(D24=1,IF(D37=1,1,0),0)</f>
        <v>0</v>
      </c>
      <c r="E46" s="54">
        <f>IF(E24=1,IF(E37=1,1,0),0)</f>
        <v>0</v>
      </c>
      <c r="G46" s="58">
        <f>IF(G24=1,IF(G37=1,1,0),0)</f>
        <v>0</v>
      </c>
      <c r="H46" s="54">
        <f>IF(H24=1,IF(H37=1,1,0),0)</f>
        <v>0</v>
      </c>
      <c r="J46" s="58">
        <f>IF(J24=1,IF(J37=1,1,0),0)</f>
        <v>0</v>
      </c>
      <c r="K46" s="54">
        <f>IF(K24=1,IF(K37=1,1,0),0)</f>
        <v>0</v>
      </c>
      <c r="M46" s="58">
        <f>IF(M24=1,IF(M37=1,1,0),0)</f>
        <v>0</v>
      </c>
      <c r="N46" s="54">
        <f>IF(N24=1,IF(N37=1,1,0),0)</f>
        <v>1</v>
      </c>
      <c r="P46" s="58">
        <f>IF(P24=1,IF(P37=1,1,0),0)</f>
        <v>0</v>
      </c>
      <c r="Q46" s="54">
        <f>IF(Q24=1,IF(Q37=1,1,0),0)</f>
        <v>0</v>
      </c>
      <c r="S46" s="58">
        <f>IF(S24=1,IF(S37=1,1,0),0)</f>
        <v>0</v>
      </c>
      <c r="T46" s="54">
        <f>IF(T24=1,IF(T37=1,1,0),0)</f>
        <v>0</v>
      </c>
      <c r="V46" s="58">
        <f>IF(V24=1,IF(V37=1,1,0),0)</f>
        <v>0</v>
      </c>
      <c r="W46" s="54">
        <f>IF(W24=1,IF(W37=1,1,0),0)</f>
        <v>0</v>
      </c>
      <c r="Y46" s="58">
        <f>IF(Y24=1,IF(Y37=1,1,0),0)</f>
        <v>0</v>
      </c>
      <c r="Z46" s="54">
        <f>IF(Z24=1,IF(Z37=1,1,0),0)</f>
        <v>0</v>
      </c>
      <c r="AB46" s="58">
        <f>IF(AB24=1,IF(AB37=1,1,0),0)</f>
        <v>0</v>
      </c>
      <c r="AC46" s="54">
        <f>IF(AC24=1,IF(AC37=1,1,0),0)</f>
        <v>0</v>
      </c>
      <c r="AE46" s="58">
        <f>IF(AE24=1,IF(AE37=1,1,0),0)</f>
        <v>0</v>
      </c>
      <c r="AF46" s="54">
        <f>SUM(B46:AE46)</f>
        <v>1</v>
      </c>
      <c r="AG46" s="54">
        <f>AF52-AF46</f>
        <v>1</v>
      </c>
      <c r="AW46" s="146"/>
    </row>
    <row r="47" spans="1:49" s="54" customFormat="1" ht="12.75" hidden="1" customHeight="1" x14ac:dyDescent="0.2">
      <c r="A47" s="54" t="s">
        <v>71</v>
      </c>
      <c r="B47" s="54">
        <f>IF(B24=2,IF(B37=1,1,0),0)</f>
        <v>0</v>
      </c>
      <c r="D47" s="58">
        <f>IF(D24=2,IF(D37=1,1,0),0)</f>
        <v>0</v>
      </c>
      <c r="E47" s="54">
        <f>IF(E24=2,IF(E37=1,1,0),0)</f>
        <v>0</v>
      </c>
      <c r="G47" s="58">
        <f>IF(G24=2,IF(G37=1,1,0),0)</f>
        <v>0</v>
      </c>
      <c r="H47" s="54">
        <f>IF(H24=2,IF(H37=1,1,0),0)</f>
        <v>0</v>
      </c>
      <c r="J47" s="58">
        <f>IF(J24=2,IF(J37=1,1,0),0)</f>
        <v>0</v>
      </c>
      <c r="K47" s="54">
        <f>IF(K24=2,IF(K37=1,1,0),0)</f>
        <v>0</v>
      </c>
      <c r="M47" s="58">
        <f>IF(M24=2,IF(M37=1,1,0),0)</f>
        <v>0</v>
      </c>
      <c r="N47" s="54">
        <f>IF(N24=2,IF(N37=1,1,0),0)</f>
        <v>0</v>
      </c>
      <c r="P47" s="58">
        <f>IF(P24=2,IF(P37=1,1,0),0)</f>
        <v>0</v>
      </c>
      <c r="Q47" s="54">
        <f>IF(Q24=2,IF(Q37=1,1,0),0)</f>
        <v>0</v>
      </c>
      <c r="S47" s="58">
        <f>IF(S24=2,IF(S37=1,1,0),0)</f>
        <v>0</v>
      </c>
      <c r="T47" s="54">
        <f>IF(T24=2,IF(T37=1,1,0),0)</f>
        <v>1</v>
      </c>
      <c r="V47" s="58">
        <f>IF(V24=2,IF(V37=1,1,0),0)</f>
        <v>0</v>
      </c>
      <c r="W47" s="54">
        <f>IF(W24=2,IF(W37=1,1,0),0)</f>
        <v>0</v>
      </c>
      <c r="Y47" s="58">
        <f>IF(Y24=2,IF(Y37=1,1,0),0)</f>
        <v>0</v>
      </c>
      <c r="Z47" s="54">
        <f>IF(Z24=2,IF(Z37=1,1,0),0)</f>
        <v>0</v>
      </c>
      <c r="AB47" s="58">
        <f>IF(AB24=2,IF(AB37=1,1,0),0)</f>
        <v>0</v>
      </c>
      <c r="AC47" s="54">
        <f>IF(AC24=2,IF(AC37=1,1,0),0)</f>
        <v>0</v>
      </c>
      <c r="AE47" s="58">
        <f>IF(AE24=2,IF(AE37=1,1,0),0)</f>
        <v>0</v>
      </c>
      <c r="AF47" s="54">
        <f>SUM(B47:AE47)</f>
        <v>1</v>
      </c>
      <c r="AG47" s="54">
        <f>AF53-AF47</f>
        <v>2</v>
      </c>
      <c r="AW47" s="146"/>
    </row>
    <row r="48" spans="1:49" s="54" customFormat="1" ht="12.75" hidden="1" customHeight="1" x14ac:dyDescent="0.2">
      <c r="A48" s="54" t="s">
        <v>72</v>
      </c>
      <c r="B48" s="54">
        <f>IF(B24=3,IF(B37=1,1,0),0)</f>
        <v>0</v>
      </c>
      <c r="D48" s="58">
        <f>IF(D24=3,IF(D37=1,1,0),0)</f>
        <v>0</v>
      </c>
      <c r="E48" s="54">
        <f>IF(E24=3,IF(E37=1,1,0),0)</f>
        <v>0</v>
      </c>
      <c r="G48" s="58">
        <f>IF(G24=3,IF(G37=1,1,0),0)</f>
        <v>0</v>
      </c>
      <c r="H48" s="54">
        <f>IF(H24=3,IF(H37=1,1,0),0)</f>
        <v>0</v>
      </c>
      <c r="J48" s="58">
        <f>IF(J24=3,IF(J37=1,1,0),0)</f>
        <v>0</v>
      </c>
      <c r="K48" s="54">
        <f>IF(K24=3,IF(K37=1,1,0),0)</f>
        <v>0</v>
      </c>
      <c r="M48" s="58">
        <f>IF(M24=3,IF(M37=1,1,0),0)</f>
        <v>0</v>
      </c>
      <c r="N48" s="54">
        <f>IF(N24=3,IF(N37=1,1,0),0)</f>
        <v>0</v>
      </c>
      <c r="P48" s="58">
        <f>IF(P24=3,IF(P37=1,1,0),0)</f>
        <v>0</v>
      </c>
      <c r="Q48" s="54">
        <f>IF(Q24=3,IF(Q37=1,1,0),0)</f>
        <v>0</v>
      </c>
      <c r="S48" s="58">
        <f>IF(S24=3,IF(S37=1,1,0),0)</f>
        <v>0</v>
      </c>
      <c r="T48" s="54">
        <f>IF(T24=3,IF(T37=1,1,0),0)</f>
        <v>0</v>
      </c>
      <c r="V48" s="58">
        <f>IF(V24=3,IF(V37=1,1,0),0)</f>
        <v>0</v>
      </c>
      <c r="W48" s="54">
        <f>IF(W24=3,IF(W37=1,1,0),0)</f>
        <v>0</v>
      </c>
      <c r="Y48" s="58">
        <f>IF(Y24=3,IF(Y37=1,1,0),0)</f>
        <v>0</v>
      </c>
      <c r="Z48" s="54">
        <f>IF(Z24=3,IF(Z37=1,1,0),0)</f>
        <v>0</v>
      </c>
      <c r="AB48" s="58">
        <f>IF(AB24=3,IF(AB37=1,1,0),0)</f>
        <v>0</v>
      </c>
      <c r="AC48" s="54">
        <f>IF(AC24=3,IF(AC37=1,1,0),0)</f>
        <v>0</v>
      </c>
      <c r="AE48" s="58">
        <f>IF(AE24=3,IF(AE37=1,1,0),0)</f>
        <v>0</v>
      </c>
      <c r="AF48" s="54">
        <f>SUM(B48:AE48)</f>
        <v>0</v>
      </c>
      <c r="AG48" s="54">
        <f>AF54-AF48</f>
        <v>4</v>
      </c>
      <c r="AW48" s="146"/>
    </row>
    <row r="49" spans="1:49" s="54" customFormat="1" ht="12.75" hidden="1" customHeight="1" x14ac:dyDescent="0.2">
      <c r="A49" s="54" t="s">
        <v>73</v>
      </c>
      <c r="B49" s="54">
        <f>IF(B24=4,IF(B37=1,1,0),0)</f>
        <v>0</v>
      </c>
      <c r="D49" s="58">
        <f>IF(D24=4,IF(D37=1,1,0),0)</f>
        <v>0</v>
      </c>
      <c r="E49" s="54">
        <f>IF(E24=4,IF(E37=1,1,0),0)</f>
        <v>0</v>
      </c>
      <c r="G49" s="58">
        <f>IF(G24=4,IF(G37=1,1,0),0)</f>
        <v>1</v>
      </c>
      <c r="H49" s="54">
        <f>IF(H24=4,IF(H37=1,1,0),0)</f>
        <v>0</v>
      </c>
      <c r="J49" s="58">
        <f>IF(J24=4,IF(J37=1,1,0),0)</f>
        <v>0</v>
      </c>
      <c r="K49" s="54">
        <f>IF(K24=4,IF(K37=1,1,0),0)</f>
        <v>0</v>
      </c>
      <c r="M49" s="58">
        <f>IF(M24=4,IF(M37=1,1,0),0)</f>
        <v>1</v>
      </c>
      <c r="N49" s="54">
        <f>IF(N24=4,IF(N37=1,1,0),0)</f>
        <v>0</v>
      </c>
      <c r="P49" s="58">
        <f>IF(P24=4,IF(P37=1,1,0),0)</f>
        <v>0</v>
      </c>
      <c r="Q49" s="54">
        <f>IF(Q24=4,IF(Q37=1,1,0),0)</f>
        <v>0</v>
      </c>
      <c r="S49" s="58">
        <f>IF(S24=4,IF(S37=1,1,0),0)</f>
        <v>0</v>
      </c>
      <c r="T49" s="54">
        <f>IF(T24=4,IF(T37=1,1,0),0)</f>
        <v>0</v>
      </c>
      <c r="V49" s="58">
        <f>IF(V24=4,IF(V37=1,1,0),0)</f>
        <v>0</v>
      </c>
      <c r="W49" s="54">
        <f>IF(W24=4,IF(W37=1,1,0),0)</f>
        <v>0</v>
      </c>
      <c r="Y49" s="58">
        <f>IF(Y24=4,IF(Y37=1,1,0),0)</f>
        <v>0</v>
      </c>
      <c r="Z49" s="54">
        <f>IF(Z24=4,IF(Z37=1,1,0),0)</f>
        <v>0</v>
      </c>
      <c r="AB49" s="58">
        <f>IF(AB24=4,IF(AB37=1,1,0),0)</f>
        <v>1</v>
      </c>
      <c r="AC49" s="54">
        <f>IF(AC24=4,IF(AC37=1,1,0),0)</f>
        <v>0</v>
      </c>
      <c r="AE49" s="58">
        <f>IF(AE24=4,IF(AE37=1,1,0),0)</f>
        <v>0</v>
      </c>
      <c r="AF49" s="54">
        <f>SUM(B49:AE49)</f>
        <v>3</v>
      </c>
      <c r="AG49" s="54">
        <f>AF55-AF49</f>
        <v>0</v>
      </c>
      <c r="AW49" s="146"/>
    </row>
    <row r="50" spans="1:49" s="54" customFormat="1" ht="12.75" hidden="1" customHeight="1" x14ac:dyDescent="0.2">
      <c r="A50" s="54" t="s">
        <v>74</v>
      </c>
      <c r="B50" s="54">
        <f>IF(B24=5,IF(B37=1,1,0),0)</f>
        <v>0</v>
      </c>
      <c r="D50" s="58">
        <f>IF(D24=5,IF(D37=1,1,0),0)</f>
        <v>1</v>
      </c>
      <c r="E50" s="54">
        <f>IF(E24=5,IF(E37=1,1,0),0)</f>
        <v>0</v>
      </c>
      <c r="G50" s="58">
        <f>IF(G24=5,IF(G37=1,1,0),0)</f>
        <v>0</v>
      </c>
      <c r="H50" s="54">
        <f>IF(H24=5,IF(H37=1,1,0),0)</f>
        <v>0</v>
      </c>
      <c r="J50" s="58">
        <f>IF(J24=5,IF(J37=1,1,0),0)</f>
        <v>1</v>
      </c>
      <c r="K50" s="54">
        <f>IF(K24=5,IF(K37=1,1,0),0)</f>
        <v>0</v>
      </c>
      <c r="M50" s="58">
        <f>IF(M24=5,IF(M37=1,1,0),0)</f>
        <v>0</v>
      </c>
      <c r="N50" s="54">
        <f>IF(N24=5,IF(N37=1,1,0),0)</f>
        <v>0</v>
      </c>
      <c r="P50" s="58">
        <f>IF(P24=5,IF(P37=1,1,0),0)</f>
        <v>0</v>
      </c>
      <c r="Q50" s="54">
        <f>IF(Q24=5,IF(Q37=1,1,0),0)</f>
        <v>0</v>
      </c>
      <c r="S50" s="58">
        <f>IF(S24=5,IF(S37=1,1,0),0)</f>
        <v>0</v>
      </c>
      <c r="T50" s="54">
        <f>IF(T24=5,IF(T37=1,1,0),0)</f>
        <v>0</v>
      </c>
      <c r="V50" s="58">
        <f>IF(V24=5,IF(V37=1,1,0),0)</f>
        <v>0</v>
      </c>
      <c r="W50" s="54">
        <f>IF(W24=5,IF(W37=1,1,0),0)</f>
        <v>0</v>
      </c>
      <c r="Y50" s="58">
        <f>IF(Y24=5,IF(Y37=1,1,0),0)</f>
        <v>0</v>
      </c>
      <c r="Z50" s="54">
        <f>IF(Z24=5,IF(Z37=1,1,0),0)</f>
        <v>0</v>
      </c>
      <c r="AB50" s="58">
        <f>IF(AB24=5,IF(AB37=1,1,0),0)</f>
        <v>0</v>
      </c>
      <c r="AC50" s="54">
        <f>IF(AC24=5,IF(AC37=1,1,0),0)</f>
        <v>0</v>
      </c>
      <c r="AE50" s="58">
        <f>IF(AE24=5,IF(AE37=1,1,0),0)</f>
        <v>0</v>
      </c>
      <c r="AF50" s="54">
        <f>SUM(B50:AE50)</f>
        <v>2</v>
      </c>
      <c r="AG50" s="54">
        <f>AF56-AF50</f>
        <v>0</v>
      </c>
      <c r="AW50" s="146"/>
    </row>
    <row r="51" spans="1:49" s="54" customFormat="1" ht="38.25" hidden="1" customHeight="1" x14ac:dyDescent="0.2">
      <c r="A51" s="57"/>
      <c r="D51" s="58"/>
      <c r="G51" s="58"/>
      <c r="J51" s="58"/>
      <c r="M51" s="58"/>
      <c r="P51" s="58"/>
      <c r="S51" s="58"/>
      <c r="V51" s="58"/>
      <c r="Y51" s="58"/>
      <c r="AB51" s="58"/>
      <c r="AE51" s="58"/>
      <c r="AF51" s="57" t="s">
        <v>75</v>
      </c>
      <c r="AW51" s="146"/>
    </row>
    <row r="52" spans="1:49" s="54" customFormat="1" ht="12.75" hidden="1" customHeight="1" x14ac:dyDescent="0.2">
      <c r="A52" s="54" t="s">
        <v>76</v>
      </c>
      <c r="B52" s="54">
        <f>IF(B24=1,IF(C37=1,1,0),0)</f>
        <v>0</v>
      </c>
      <c r="D52" s="58">
        <f>IF(D24=1,IF(C37=1,1,0),0)</f>
        <v>0</v>
      </c>
      <c r="E52" s="54">
        <f>IF(E24=1,IF(F37=1,1,0),0)</f>
        <v>1</v>
      </c>
      <c r="G52" s="58">
        <f>IF(G24=1,IF(F37=1,1,0),0)</f>
        <v>0</v>
      </c>
      <c r="H52" s="54">
        <f>IF(H24=1,IF(I37=1,1,0),0)</f>
        <v>0</v>
      </c>
      <c r="J52" s="58">
        <f>IF(J24=1,IF(I37=1,1,0),0)</f>
        <v>0</v>
      </c>
      <c r="K52" s="54">
        <f>IF(K24=1,IF(L37=1,1,0),0)</f>
        <v>0</v>
      </c>
      <c r="M52" s="58">
        <f>IF(M24=1,IF(L37=1,1,0),0)</f>
        <v>0</v>
      </c>
      <c r="N52" s="54">
        <f>IF(N24=1,IF(O37=1,1,0),0)</f>
        <v>1</v>
      </c>
      <c r="P52" s="58">
        <f>IF(P24=1,IF(O37=1,1,0),0)</f>
        <v>0</v>
      </c>
      <c r="Q52" s="54">
        <f>IF(Q24=1,IF(R37=1,1,0),0)</f>
        <v>0</v>
      </c>
      <c r="S52" s="58">
        <f>IF(S24=1,IF(R37=1,1,0),0)</f>
        <v>0</v>
      </c>
      <c r="T52" s="54">
        <f>IF(T24=1,IF(U37=1,1,0),0)</f>
        <v>0</v>
      </c>
      <c r="V52" s="58">
        <f>IF(V24=1,IF(U37=1,1,0),0)</f>
        <v>0</v>
      </c>
      <c r="W52" s="54">
        <f>IF(W24=1,IF(X37=1,1,0),0)</f>
        <v>0</v>
      </c>
      <c r="Y52" s="58">
        <f>IF(Y24=1,IF(X37=1,1,0),0)</f>
        <v>0</v>
      </c>
      <c r="Z52" s="54">
        <f>IF(Z24=1,IF(AA37=1,1,0),0)</f>
        <v>0</v>
      </c>
      <c r="AB52" s="58">
        <f>IF(AB24=1,IF(AA37=1,1,0),0)</f>
        <v>0</v>
      </c>
      <c r="AC52" s="54">
        <f>IF(AC24=1,IF(AD37=1,1,0),0)</f>
        <v>0</v>
      </c>
      <c r="AE52" s="58">
        <f>IF(AE24=1,IF(AD37=1,1,0),0)</f>
        <v>0</v>
      </c>
      <c r="AF52" s="54">
        <f>SUM(B52:AE52)</f>
        <v>2</v>
      </c>
      <c r="AW52" s="146"/>
    </row>
    <row r="53" spans="1:49" s="54" customFormat="1" ht="12.75" hidden="1" customHeight="1" x14ac:dyDescent="0.2">
      <c r="A53" s="54" t="s">
        <v>77</v>
      </c>
      <c r="B53" s="54">
        <f>IF(B24=2,IF(C37=1,1,0),0)</f>
        <v>1</v>
      </c>
      <c r="D53" s="58">
        <f>IF(D24=2,IF(C37=1,1,0),0)</f>
        <v>0</v>
      </c>
      <c r="E53" s="54">
        <f>IF(E24=2,IF(F37=1,1,0),0)</f>
        <v>0</v>
      </c>
      <c r="G53" s="58">
        <f>IF(G24=2,IF(F37=1,1,0),0)</f>
        <v>0</v>
      </c>
      <c r="H53" s="54">
        <f>IF(H24=2,IF(I37=1,1,0),0)</f>
        <v>0</v>
      </c>
      <c r="J53" s="58">
        <f>IF(J24=2,IF(I37=1,1,0),0)</f>
        <v>0</v>
      </c>
      <c r="K53" s="54">
        <f>IF(K24=2,IF(L37=1,1,0),0)</f>
        <v>1</v>
      </c>
      <c r="M53" s="58">
        <f>IF(M24=2,IF(L37=1,1,0),0)</f>
        <v>0</v>
      </c>
      <c r="N53" s="54">
        <f>IF(N24=2,IF(O37=1,1,0),0)</f>
        <v>0</v>
      </c>
      <c r="P53" s="58">
        <f>IF(P24=2,IF(O37=1,1,0),0)</f>
        <v>0</v>
      </c>
      <c r="Q53" s="54">
        <f>IF(Q24=2,IF(R37=1,1,0),0)</f>
        <v>0</v>
      </c>
      <c r="S53" s="58">
        <f>IF(S24=2,IF(R37=1,1,0),0)</f>
        <v>0</v>
      </c>
      <c r="T53" s="54">
        <f>IF(T24=2,IF(U37=1,1,0),0)</f>
        <v>1</v>
      </c>
      <c r="V53" s="58">
        <f>IF(V24=2,IF(U37=1,1,0),0)</f>
        <v>0</v>
      </c>
      <c r="W53" s="54">
        <f>IF(W24=2,IF(X37=1,1,0),0)</f>
        <v>0</v>
      </c>
      <c r="Y53" s="58">
        <f>IF(Y24=2,IF(X37=1,1,0),0)</f>
        <v>0</v>
      </c>
      <c r="Z53" s="54">
        <f>IF(Z24=2,IF(AA37=1,1,0),0)</f>
        <v>0</v>
      </c>
      <c r="AB53" s="58">
        <f>IF(AB24=2,IF(AA37=1,1,0),0)</f>
        <v>0</v>
      </c>
      <c r="AC53" s="54">
        <f>IF(AC24=2,IF(AD37=1,1,0),0)</f>
        <v>0</v>
      </c>
      <c r="AE53" s="58">
        <f>IF(AE24=2,IF(AD37=1,1,0),0)</f>
        <v>0</v>
      </c>
      <c r="AF53" s="54">
        <f>SUM(B53:AE53)</f>
        <v>3</v>
      </c>
      <c r="AW53" s="146"/>
    </row>
    <row r="54" spans="1:49" s="54" customFormat="1" ht="12.75" hidden="1" customHeight="1" x14ac:dyDescent="0.2">
      <c r="A54" s="54" t="s">
        <v>78</v>
      </c>
      <c r="B54" s="54">
        <f>IF(B24=3,IF(C37=1,1,0),0)</f>
        <v>0</v>
      </c>
      <c r="D54" s="58">
        <f>IF(D24=3,IF(C37=1,1,0),0)</f>
        <v>0</v>
      </c>
      <c r="E54" s="54">
        <f>IF(E24=3,IF(F37=1,1,0),0)</f>
        <v>0</v>
      </c>
      <c r="G54" s="58">
        <f>IF(G24=3,IF(F37=1,1,0),0)</f>
        <v>0</v>
      </c>
      <c r="H54" s="54">
        <f>IF(H24=3,IF(I37=1,1,0),0)</f>
        <v>1</v>
      </c>
      <c r="J54" s="58">
        <f>IF(J24=3,IF(I37=1,1,0),0)</f>
        <v>0</v>
      </c>
      <c r="K54" s="54">
        <f>IF(K24=3,IF(L37=1,1,0),0)</f>
        <v>0</v>
      </c>
      <c r="M54" s="58">
        <f>IF(M24=3,IF(L37=1,1,0),0)</f>
        <v>0</v>
      </c>
      <c r="N54" s="54">
        <f>IF(N24=3,IF(O37=1,1,0),0)</f>
        <v>0</v>
      </c>
      <c r="P54" s="58">
        <f>IF(P24=3,IF(O37=1,1,0),0)</f>
        <v>1</v>
      </c>
      <c r="Q54" s="54">
        <f>IF(Q24=3,IF(R37=1,1,0),0)</f>
        <v>0</v>
      </c>
      <c r="S54" s="58">
        <f>IF(S24=3,IF(R37=1,1,0),0)</f>
        <v>0</v>
      </c>
      <c r="T54" s="54">
        <f>IF(T24=3,IF(U37=1,1,0),0)</f>
        <v>0</v>
      </c>
      <c r="V54" s="58">
        <f>IF(V24=3,IF(U37=1,1,0),0)</f>
        <v>1</v>
      </c>
      <c r="W54" s="54">
        <f>IF(W24=3,IF(X37=1,1,0),0)</f>
        <v>0</v>
      </c>
      <c r="Y54" s="58">
        <f>IF(Y24=3,IF(X37=1,1,0),0)</f>
        <v>0</v>
      </c>
      <c r="Z54" s="54">
        <f>IF(Z24=3,IF(AA37=1,1,0),0)</f>
        <v>1</v>
      </c>
      <c r="AB54" s="58">
        <f>IF(AB24=3,IF(AA37=1,1,0),0)</f>
        <v>0</v>
      </c>
      <c r="AC54" s="54">
        <f>IF(AC24=3,IF(AD37=1,1,0),0)</f>
        <v>0</v>
      </c>
      <c r="AE54" s="58">
        <f>IF(AE24=3,IF(AD37=1,1,0),0)</f>
        <v>0</v>
      </c>
      <c r="AF54" s="54">
        <f>SUM(B54:AE54)</f>
        <v>4</v>
      </c>
      <c r="AW54" s="146"/>
    </row>
    <row r="55" spans="1:49" s="54" customFormat="1" ht="12.75" hidden="1" customHeight="1" x14ac:dyDescent="0.2">
      <c r="A55" s="54" t="s">
        <v>79</v>
      </c>
      <c r="B55" s="54">
        <f>IF(B24=4,IF(C37=1,1,0),0)</f>
        <v>0</v>
      </c>
      <c r="D55" s="58">
        <f>IF(D24=4,IF(C37=1,1,0),0)</f>
        <v>0</v>
      </c>
      <c r="E55" s="54">
        <f>IF(E24=4,IF(F37=1,1,0),0)</f>
        <v>0</v>
      </c>
      <c r="G55" s="58">
        <f>IF(G24=4,IF(F37=1,1,0),0)</f>
        <v>1</v>
      </c>
      <c r="H55" s="54">
        <f>IF(H24=4,IF(I37=1,1,0),0)</f>
        <v>0</v>
      </c>
      <c r="J55" s="58">
        <f>IF(J24=4,IF(I37=1,1,0),0)</f>
        <v>0</v>
      </c>
      <c r="K55" s="54">
        <f>IF(K24=4,IF(L37=1,1,0),0)</f>
        <v>0</v>
      </c>
      <c r="M55" s="58">
        <f>IF(M24=4,IF(L37=1,1,0),0)</f>
        <v>1</v>
      </c>
      <c r="N55" s="54">
        <f>IF(N24=4,IF(O37=1,1,0),0)</f>
        <v>0</v>
      </c>
      <c r="P55" s="58">
        <f>IF(P24=4,IF(O37=1,1,0),0)</f>
        <v>0</v>
      </c>
      <c r="Q55" s="54">
        <f>IF(Q24=4,IF(R37=1,1,0),0)</f>
        <v>0</v>
      </c>
      <c r="S55" s="58">
        <f>IF(S24=4,IF(R37=1,1,0),0)</f>
        <v>0</v>
      </c>
      <c r="T55" s="54">
        <f>IF(T24=4,IF(U37=1,1,0),0)</f>
        <v>0</v>
      </c>
      <c r="V55" s="58">
        <f>IF(V24=4,IF(U37=1,1,0),0)</f>
        <v>0</v>
      </c>
      <c r="W55" s="54">
        <f>IF(W24=4,IF(X37=1,1,0),0)</f>
        <v>0</v>
      </c>
      <c r="Y55" s="58">
        <f>IF(Y24=4,IF(X37=1,1,0),0)</f>
        <v>0</v>
      </c>
      <c r="Z55" s="54">
        <f>IF(Z24=4,IF(AA37=1,1,0),0)</f>
        <v>0</v>
      </c>
      <c r="AB55" s="58">
        <f>IF(AB24=4,IF(AA37=1,1,0),0)</f>
        <v>1</v>
      </c>
      <c r="AC55" s="54">
        <f>IF(AC24=4,IF(AD37=1,1,0),0)</f>
        <v>0</v>
      </c>
      <c r="AE55" s="58">
        <f>IF(AE24=4,IF(AD37=1,1,0),0)</f>
        <v>0</v>
      </c>
      <c r="AF55" s="54">
        <f>SUM(B55:AE55)</f>
        <v>3</v>
      </c>
      <c r="AW55" s="146"/>
    </row>
    <row r="56" spans="1:49" s="54" customFormat="1" ht="12.75" hidden="1" customHeight="1" x14ac:dyDescent="0.2">
      <c r="A56" s="54" t="s">
        <v>80</v>
      </c>
      <c r="B56" s="54">
        <f>IF(B24=5,IF(C37=1,1,0),0)</f>
        <v>0</v>
      </c>
      <c r="D56" s="58">
        <f>IF(D24=5,IF(C37=1,1,0),0)</f>
        <v>1</v>
      </c>
      <c r="E56" s="54">
        <f>IF(E24=5,IF(F37=1,1,0),0)</f>
        <v>0</v>
      </c>
      <c r="G56" s="58">
        <f>IF(G24=5,IF(F37=1,1,0),0)</f>
        <v>0</v>
      </c>
      <c r="H56" s="54">
        <f>IF(H24=5,IF(I37=1,1,0),0)</f>
        <v>0</v>
      </c>
      <c r="J56" s="58">
        <f>IF(J24=5,IF(I37=1,1,0),0)</f>
        <v>1</v>
      </c>
      <c r="K56" s="54">
        <f>IF(K24=5,IF(L37=1,1,0),0)</f>
        <v>0</v>
      </c>
      <c r="M56" s="58">
        <f>IF(M24=5,IF(L37=1,1,0),0)</f>
        <v>0</v>
      </c>
      <c r="N56" s="54">
        <f>IF(N24=5,IF(O37=1,1,0),0)</f>
        <v>0</v>
      </c>
      <c r="P56" s="58">
        <f>IF(P24=5,IF(O37=1,1,0),0)</f>
        <v>0</v>
      </c>
      <c r="Q56" s="54">
        <f>IF(Q24=5,IF(R37=1,1,0),0)</f>
        <v>0</v>
      </c>
      <c r="S56" s="58">
        <f>IF(S24=5,IF(R37=1,1,0),0)</f>
        <v>0</v>
      </c>
      <c r="T56" s="54">
        <f>IF(T24=5,IF(U37=1,1,0),0)</f>
        <v>0</v>
      </c>
      <c r="V56" s="58">
        <f>IF(V24=5,IF(U37=1,1,0),0)</f>
        <v>0</v>
      </c>
      <c r="W56" s="54">
        <f>IF(W24=5,IF(X37=1,1,0),0)</f>
        <v>0</v>
      </c>
      <c r="Y56" s="58">
        <f>IF(Y24=5,IF(X37=1,1,0),0)</f>
        <v>0</v>
      </c>
      <c r="Z56" s="54">
        <f>IF(Z24=5,IF(AA37=1,1,0),0)</f>
        <v>0</v>
      </c>
      <c r="AB56" s="58">
        <f>IF(AB24=5,IF(AA37=1,1,0),0)</f>
        <v>0</v>
      </c>
      <c r="AC56" s="54">
        <f>IF(AC24=5,IF(AD37=1,1,0),0)</f>
        <v>0</v>
      </c>
      <c r="AE56" s="58">
        <f>IF(AE24=5,IF(AD37=1,1,0),0)</f>
        <v>0</v>
      </c>
      <c r="AF56" s="54">
        <f>SUM(B56:AE56)</f>
        <v>2</v>
      </c>
      <c r="AW56" s="146"/>
    </row>
    <row r="57" spans="1:49" s="54" customFormat="1" ht="38.25" hidden="1" customHeight="1" x14ac:dyDescent="0.2">
      <c r="A57" s="57"/>
      <c r="D57" s="58"/>
      <c r="G57" s="58"/>
      <c r="J57" s="58"/>
      <c r="M57" s="58"/>
      <c r="P57" s="58"/>
      <c r="S57" s="58"/>
      <c r="V57" s="58"/>
      <c r="Y57" s="58"/>
      <c r="AB57" s="58"/>
      <c r="AE57" s="58"/>
      <c r="AF57" s="57" t="s">
        <v>81</v>
      </c>
      <c r="AG57" s="789"/>
      <c r="AH57" s="789"/>
      <c r="AI57" s="789"/>
      <c r="AJ57" s="789"/>
      <c r="AK57" s="789"/>
      <c r="AW57" s="146"/>
    </row>
    <row r="58" spans="1:49" s="54" customFormat="1" ht="12.75" hidden="1" customHeight="1" x14ac:dyDescent="0.2">
      <c r="A58" s="54" t="s">
        <v>76</v>
      </c>
      <c r="B58" s="54">
        <f>IF(B24=1,B44,0)</f>
        <v>0</v>
      </c>
      <c r="D58" s="58">
        <f>IF(D24=1,B44,0)</f>
        <v>0</v>
      </c>
      <c r="E58" s="54">
        <f>IF(E24=1,E44,0)</f>
        <v>50</v>
      </c>
      <c r="G58" s="58">
        <f>IF(G24=1,E44,0)</f>
        <v>0</v>
      </c>
      <c r="H58" s="54">
        <f>IF(H24=1,H44,0)</f>
        <v>0</v>
      </c>
      <c r="J58" s="58">
        <f>IF(J24=1,H44,0)</f>
        <v>0</v>
      </c>
      <c r="K58" s="54">
        <f>IF(K24=1,K44,0)</f>
        <v>0</v>
      </c>
      <c r="M58" s="58">
        <f>IF(M24=1,K44,0)</f>
        <v>0</v>
      </c>
      <c r="N58" s="54">
        <f>IF(N24=1,N44,0)</f>
        <v>50</v>
      </c>
      <c r="P58" s="58">
        <f>IF(P24=1,N44,0)</f>
        <v>0</v>
      </c>
      <c r="Q58" s="54">
        <f>IF(Q24=1,Q44,0)</f>
        <v>0</v>
      </c>
      <c r="S58" s="58">
        <f>IF(S24=1,Q44,0)</f>
        <v>0</v>
      </c>
      <c r="T58" s="54">
        <f>IF(T24=1,T44,0)</f>
        <v>0</v>
      </c>
      <c r="V58" s="58">
        <f>IF(V24=1,T44,0)</f>
        <v>0</v>
      </c>
      <c r="W58" s="54">
        <f>IF(W24=1,W44,0)</f>
        <v>50</v>
      </c>
      <c r="Y58" s="58">
        <f>IF(Y24=1,W44,0)</f>
        <v>0</v>
      </c>
      <c r="Z58" s="54">
        <f>IF(Z24=1,Z44,0)</f>
        <v>0</v>
      </c>
      <c r="AB58" s="58">
        <f>IF(AB24=1,Z44,0)</f>
        <v>0</v>
      </c>
      <c r="AC58" s="54">
        <f>IF(AC24=1,AC44,0)</f>
        <v>51</v>
      </c>
      <c r="AE58" s="58">
        <f>IF(AE24=1,AC44,0)</f>
        <v>0</v>
      </c>
      <c r="AF58" s="54">
        <f>SUM(B58:AE58)</f>
        <v>201</v>
      </c>
      <c r="AW58" s="146"/>
    </row>
    <row r="59" spans="1:49" s="54" customFormat="1" ht="12.75" hidden="1" customHeight="1" x14ac:dyDescent="0.2">
      <c r="A59" s="54" t="s">
        <v>77</v>
      </c>
      <c r="B59" s="54">
        <f>IF(B24=2,B44,0)</f>
        <v>50</v>
      </c>
      <c r="D59" s="58">
        <f>IF(D24=2,B44,0)</f>
        <v>0</v>
      </c>
      <c r="E59" s="54">
        <f>IF(E24=2,E44,0)</f>
        <v>0</v>
      </c>
      <c r="G59" s="58">
        <f>IF(G24=2,E44,0)</f>
        <v>0</v>
      </c>
      <c r="H59" s="54">
        <f>IF(H24=2,H44,0)</f>
        <v>0</v>
      </c>
      <c r="J59" s="58">
        <f>IF(J24=2,H44,0)</f>
        <v>0</v>
      </c>
      <c r="K59" s="54">
        <f>IF(K24=2,K44,0)</f>
        <v>50</v>
      </c>
      <c r="M59" s="58">
        <f>IF(M24=2,K44,0)</f>
        <v>0</v>
      </c>
      <c r="N59" s="54">
        <f>IF(N24=2,N44,0)</f>
        <v>0</v>
      </c>
      <c r="P59" s="58">
        <f>IF(P24=2,N44,0)</f>
        <v>0</v>
      </c>
      <c r="Q59" s="54">
        <f>IF(Q24=2,Q44,0)</f>
        <v>0</v>
      </c>
      <c r="S59" s="58">
        <f>IF(S24=2,Q44,0)</f>
        <v>0</v>
      </c>
      <c r="T59" s="54">
        <f>IF(T24=2,T44,0)</f>
        <v>50</v>
      </c>
      <c r="V59" s="58">
        <f>IF(V24=2,T44,0)</f>
        <v>0</v>
      </c>
      <c r="W59" s="54">
        <f>IF(W24=2,W44,0)</f>
        <v>0</v>
      </c>
      <c r="Y59" s="58">
        <f>IF(Y24=2,W44,0)</f>
        <v>0</v>
      </c>
      <c r="Z59" s="54">
        <f>IF(Z24=2,Z44,0)</f>
        <v>0</v>
      </c>
      <c r="AB59" s="58">
        <f>IF(AB24=2,Z44,0)</f>
        <v>0</v>
      </c>
      <c r="AC59" s="54">
        <f>IF(AC24=2,AC44,0)</f>
        <v>0</v>
      </c>
      <c r="AE59" s="58">
        <f>IF(AE24=2,AC44,0)</f>
        <v>51</v>
      </c>
      <c r="AF59" s="54">
        <f>SUM(B59:AE59)</f>
        <v>201</v>
      </c>
      <c r="AW59" s="146"/>
    </row>
    <row r="60" spans="1:49" s="54" customFormat="1" ht="12.75" hidden="1" customHeight="1" x14ac:dyDescent="0.2">
      <c r="A60" s="54" t="s">
        <v>78</v>
      </c>
      <c r="B60" s="54">
        <f>IF(B24=3,B44,0)</f>
        <v>0</v>
      </c>
      <c r="D60" s="58">
        <f>IF(D24=3,B44,0)</f>
        <v>0</v>
      </c>
      <c r="E60" s="54">
        <f>IF(E24=3,E44,0)</f>
        <v>0</v>
      </c>
      <c r="G60" s="58">
        <f>IF(G24=3,E44,0)</f>
        <v>0</v>
      </c>
      <c r="H60" s="54">
        <f>IF(H24=3,H44,0)</f>
        <v>50</v>
      </c>
      <c r="J60" s="58">
        <f>IF(J24=3,H44,0)</f>
        <v>0</v>
      </c>
      <c r="K60" s="54">
        <f>IF(K24=3,K44,0)</f>
        <v>0</v>
      </c>
      <c r="M60" s="58">
        <f>IF(M24=3,K44,0)</f>
        <v>0</v>
      </c>
      <c r="N60" s="54">
        <f>IF(N24=3,N44,0)</f>
        <v>0</v>
      </c>
      <c r="P60" s="58">
        <f>IF(P24=3,N44,0)</f>
        <v>50</v>
      </c>
      <c r="Q60" s="54">
        <f>IF(Q24=3,Q44,0)</f>
        <v>0</v>
      </c>
      <c r="S60" s="58">
        <f>IF(S24=3,Q44,0)</f>
        <v>0</v>
      </c>
      <c r="T60" s="54">
        <f>IF(T24=3,T44,0)</f>
        <v>0</v>
      </c>
      <c r="V60" s="58">
        <f>IF(V24=3,T44,0)</f>
        <v>50</v>
      </c>
      <c r="W60" s="54">
        <f>IF(W24=3,W44,0)</f>
        <v>0</v>
      </c>
      <c r="Y60" s="58">
        <f>IF(Y24=3,W44,0)</f>
        <v>0</v>
      </c>
      <c r="Z60" s="54">
        <f>IF(Z24=3,Z44,0)</f>
        <v>50</v>
      </c>
      <c r="AB60" s="58">
        <f>IF(AB24=3,Z44,0)</f>
        <v>0</v>
      </c>
      <c r="AC60" s="54">
        <f>IF(AC24=3,AC44,0)</f>
        <v>0</v>
      </c>
      <c r="AE60" s="58">
        <f>IF(AE24=3,AC44,0)</f>
        <v>0</v>
      </c>
      <c r="AF60" s="54">
        <f>SUM(B60:AE60)</f>
        <v>200</v>
      </c>
      <c r="AW60" s="146"/>
    </row>
    <row r="61" spans="1:49" s="54" customFormat="1" ht="12.75" hidden="1" customHeight="1" x14ac:dyDescent="0.2">
      <c r="A61" s="54" t="s">
        <v>79</v>
      </c>
      <c r="B61" s="54">
        <f>IF(B24=4,B44,0)</f>
        <v>0</v>
      </c>
      <c r="D61" s="58">
        <f>IF(D24=4,B44,0)</f>
        <v>0</v>
      </c>
      <c r="E61" s="54">
        <f>IF(E24=4,E44,0)</f>
        <v>0</v>
      </c>
      <c r="G61" s="58">
        <f>IF(G24=4,E44,0)</f>
        <v>50</v>
      </c>
      <c r="H61" s="54">
        <f>IF(H24=4,H44,0)</f>
        <v>0</v>
      </c>
      <c r="J61" s="58">
        <f>IF(J24=4,H44,0)</f>
        <v>0</v>
      </c>
      <c r="K61" s="54">
        <f>IF(K24=4,K44,0)</f>
        <v>0</v>
      </c>
      <c r="M61" s="58">
        <f>IF(M24=4,K44,0)</f>
        <v>50</v>
      </c>
      <c r="N61" s="54">
        <f>IF(N24=4,N44,0)</f>
        <v>0</v>
      </c>
      <c r="P61" s="58">
        <f>IF(P24=4,N44,0)</f>
        <v>0</v>
      </c>
      <c r="Q61" s="54">
        <f>IF(Q24=4,Q44,0)</f>
        <v>50</v>
      </c>
      <c r="S61" s="58">
        <f>IF(S24=4,Q44,0)</f>
        <v>0</v>
      </c>
      <c r="T61" s="54">
        <f>IF(T24=4,T44,0)</f>
        <v>0</v>
      </c>
      <c r="V61" s="58">
        <f>IF(V24=4,T44,0)</f>
        <v>0</v>
      </c>
      <c r="W61" s="54">
        <f>IF(W24=4,W44,0)</f>
        <v>0</v>
      </c>
      <c r="Y61" s="58">
        <f>IF(Y24=4,W44,0)</f>
        <v>0</v>
      </c>
      <c r="Z61" s="54">
        <f>IF(Z24=4,Z44,0)</f>
        <v>0</v>
      </c>
      <c r="AB61" s="58">
        <f>IF(AB24=4,Z44,0)</f>
        <v>50</v>
      </c>
      <c r="AC61" s="54">
        <f>IF(AC24=4,AC44,0)</f>
        <v>0</v>
      </c>
      <c r="AE61" s="58">
        <f>IF(AE24=4,AC44,0)</f>
        <v>0</v>
      </c>
      <c r="AF61" s="54">
        <f>SUM(B61:AE61)</f>
        <v>200</v>
      </c>
      <c r="AW61" s="146"/>
    </row>
    <row r="62" spans="1:49" s="54" customFormat="1" ht="12.75" hidden="1" customHeight="1" x14ac:dyDescent="0.2">
      <c r="A62" s="54" t="s">
        <v>80</v>
      </c>
      <c r="B62" s="54">
        <f>IF(B24=5,B44,0)</f>
        <v>0</v>
      </c>
      <c r="D62" s="58">
        <f>IF(D24=5,B44,0)</f>
        <v>50</v>
      </c>
      <c r="E62" s="54">
        <f>IF(E24=5,E44,0)</f>
        <v>0</v>
      </c>
      <c r="G62" s="58">
        <f>IF(G24=5,E44,0)</f>
        <v>0</v>
      </c>
      <c r="H62" s="54">
        <f>IF(H24=5,H44,0)</f>
        <v>0</v>
      </c>
      <c r="J62" s="58">
        <f>IF(J24=5,H44,0)</f>
        <v>50</v>
      </c>
      <c r="K62" s="54">
        <f>IF(K24=5,K44,0)</f>
        <v>0</v>
      </c>
      <c r="M62" s="58">
        <f>IF(M24=5,K44,0)</f>
        <v>0</v>
      </c>
      <c r="N62" s="54">
        <f>IF(N24=5,N44,0)</f>
        <v>0</v>
      </c>
      <c r="P62" s="58">
        <f>IF(P24=5,N44,0)</f>
        <v>0</v>
      </c>
      <c r="Q62" s="54">
        <f>IF(Q24=5,Q44,0)</f>
        <v>0</v>
      </c>
      <c r="S62" s="58">
        <f>IF(S24=5,Q44,0)</f>
        <v>50</v>
      </c>
      <c r="T62" s="54">
        <f>IF(T24=5,T44,0)</f>
        <v>0</v>
      </c>
      <c r="V62" s="58">
        <f>IF(V24=5,T44,0)</f>
        <v>0</v>
      </c>
      <c r="W62" s="54">
        <f>IF(W24=5,W44,0)</f>
        <v>0</v>
      </c>
      <c r="Y62" s="58">
        <f>IF(Y24=5,W44,0)</f>
        <v>50</v>
      </c>
      <c r="Z62" s="54">
        <f>IF(Z24=5,Z44,0)</f>
        <v>0</v>
      </c>
      <c r="AB62" s="58">
        <f>IF(AB24=5,Z44,0)</f>
        <v>0</v>
      </c>
      <c r="AC62" s="54">
        <f>IF(AC24=5,AC44,0)</f>
        <v>0</v>
      </c>
      <c r="AE62" s="58">
        <f>IF(AE24=5,AC44,0)</f>
        <v>0</v>
      </c>
      <c r="AF62" s="54">
        <f>SUM(B62:AE62)</f>
        <v>200</v>
      </c>
      <c r="AW62" s="146"/>
    </row>
    <row r="63" spans="1:49" s="54" customFormat="1" ht="38.25" hidden="1" customHeight="1" x14ac:dyDescent="0.2">
      <c r="A63" s="54" t="s">
        <v>82</v>
      </c>
      <c r="D63" s="58"/>
      <c r="G63" s="58"/>
      <c r="J63" s="58"/>
      <c r="M63" s="58"/>
      <c r="P63" s="58"/>
      <c r="S63" s="58"/>
      <c r="V63" s="58"/>
      <c r="Y63" s="58"/>
      <c r="AB63" s="58"/>
      <c r="AE63" s="58"/>
      <c r="AF63" s="57" t="s">
        <v>83</v>
      </c>
      <c r="AG63" s="54" t="s">
        <v>84</v>
      </c>
      <c r="AW63" s="146"/>
    </row>
    <row r="64" spans="1:49" s="54" customFormat="1" ht="12.75" hidden="1" customHeight="1" x14ac:dyDescent="0.2">
      <c r="A64" s="54" t="s">
        <v>70</v>
      </c>
      <c r="B64" s="54">
        <f>IF(B24=1,SUMIF(B31:B35,"&gt;0"),0)</f>
        <v>0</v>
      </c>
      <c r="D64" s="58">
        <f>IF(D24=1,SUMIF(D31:D35,"&gt;0"),0)</f>
        <v>0</v>
      </c>
      <c r="E64" s="54">
        <f>IF(E24=1,SUMIF(E31:E35,"&gt;0"),0)</f>
        <v>0</v>
      </c>
      <c r="G64" s="58">
        <f>IF(G24=1,SUMIF(G31:G35,"&gt;0"),0)</f>
        <v>0</v>
      </c>
      <c r="H64" s="54">
        <f>IF(H24=1,SUMIF(H31:H35,"&gt;0"),0)</f>
        <v>0</v>
      </c>
      <c r="J64" s="58">
        <f>IF(J24=1,SUMIF(J31:J35,"&gt;0"),0)</f>
        <v>0</v>
      </c>
      <c r="K64" s="54">
        <f>IF(K24=1,SUMIF(K31:K35,"&gt;0"),0)</f>
        <v>0</v>
      </c>
      <c r="M64" s="58">
        <f>IF(M24=1,SUMIF(M31:M35,"&gt;0"),0)</f>
        <v>0</v>
      </c>
      <c r="N64" s="54">
        <f>IF(N24=1,SUMIF(N31:N35,"&gt;0"),0)</f>
        <v>2</v>
      </c>
      <c r="P64" s="58">
        <f>IF(P24=1,SUMIF(P31:P35,"&gt;0"),0)</f>
        <v>0</v>
      </c>
      <c r="Q64" s="54">
        <f>IF(Q24=1,SUMIF(Q31:Q35,"&gt;0"),0)</f>
        <v>0</v>
      </c>
      <c r="S64" s="58">
        <f>IF(S24=1,SUMIF(S31:S35,"&gt;0"),0)</f>
        <v>0</v>
      </c>
      <c r="T64" s="54">
        <f>IF(T24=1,SUMIF(T31:T35,"&gt;0"),0)</f>
        <v>0</v>
      </c>
      <c r="V64" s="58">
        <f>IF(V24=1,SUMIF(V31:V35,"&gt;0"),0)</f>
        <v>0</v>
      </c>
      <c r="W64" s="54">
        <f>IF(W24=1,SUMIF(W31:W35,"&gt;0"),0)</f>
        <v>1</v>
      </c>
      <c r="Y64" s="58">
        <f>IF(Y24=1,SUMIF(Y31:Y35,"&gt;0"),0)</f>
        <v>0</v>
      </c>
      <c r="Z64" s="54">
        <f>IF(Z24=1,SUMIF(Z31:Z35,"&gt;0"),0)</f>
        <v>0</v>
      </c>
      <c r="AB64" s="58">
        <f>IF(AB24=1,SUMIF(AB31:AB35,"&gt;0"),0)</f>
        <v>0</v>
      </c>
      <c r="AC64" s="54">
        <f>IF(AC24=1,SUMIF(AC31:AC35,"&gt;0"),0)</f>
        <v>1</v>
      </c>
      <c r="AE64" s="58">
        <f>IF(AE24=1,SUMIF(AE31:AE35,"&gt;0"),0)</f>
        <v>0</v>
      </c>
      <c r="AF64" s="54">
        <f>SUM(B64:AE64)</f>
        <v>4</v>
      </c>
      <c r="AG64" s="54">
        <f>AF72-AF64</f>
        <v>4</v>
      </c>
      <c r="AW64" s="146"/>
    </row>
    <row r="65" spans="1:54" s="54" customFormat="1" ht="12.75" hidden="1" customHeight="1" x14ac:dyDescent="0.2">
      <c r="A65" s="54" t="s">
        <v>71</v>
      </c>
      <c r="B65" s="54">
        <f>IF(B24=2,SUMIF(B31:B35,"&gt;0"),0)</f>
        <v>0</v>
      </c>
      <c r="D65" s="58">
        <f>IF(D24=2,SUMIF(D31:D35,"&gt;0"),0)</f>
        <v>0</v>
      </c>
      <c r="E65" s="54">
        <f>IF(E24=2,SUMIF(E31:E35,"&gt;0"),0)</f>
        <v>0</v>
      </c>
      <c r="G65" s="58">
        <f>IF(G24=2,SUMIF(G31:G35,"&gt;0"),0)</f>
        <v>0</v>
      </c>
      <c r="H65" s="54">
        <f>IF(H24=2,SUMIF(H31:H35,"&gt;0"),0)</f>
        <v>0</v>
      </c>
      <c r="J65" s="58">
        <f>IF(J24=2,SUMIF(J31:J35,"&gt;0"),0)</f>
        <v>0</v>
      </c>
      <c r="K65" s="54">
        <f>IF(K24=2,SUMIF(K31:K35,"&gt;0"),0)</f>
        <v>0</v>
      </c>
      <c r="M65" s="58">
        <f>IF(M24=2,SUMIF(M31:M35,"&gt;0"),0)</f>
        <v>0</v>
      </c>
      <c r="N65" s="54">
        <f>IF(N24=2,SUMIF(N31:N35,"&gt;0"),0)</f>
        <v>0</v>
      </c>
      <c r="P65" s="58">
        <f>IF(P24=2,SUMIF(P31:P35,"&gt;0"),0)</f>
        <v>0</v>
      </c>
      <c r="Q65" s="54">
        <f>IF(Q24=2,SUMIF(Q31:Q35,"&gt;0"),0)</f>
        <v>0</v>
      </c>
      <c r="S65" s="58">
        <f>IF(S24=2,SUMIF(S31:S35,"&gt;0"),0)</f>
        <v>0</v>
      </c>
      <c r="T65" s="54">
        <f>IF(T24=2,SUMIF(T31:T35,"&gt;0"),0)</f>
        <v>2</v>
      </c>
      <c r="V65" s="58">
        <f>IF(V24=2,SUMIF(V31:V35,"&gt;0"),0)</f>
        <v>0</v>
      </c>
      <c r="W65" s="54">
        <f>IF(W24=2,SUMIF(W31:W35,"&gt;0"),0)</f>
        <v>0</v>
      </c>
      <c r="Y65" s="58">
        <f>IF(Y24=2,SUMIF(Y31:Y35,"&gt;0"),0)</f>
        <v>0</v>
      </c>
      <c r="Z65" s="54">
        <f>IF(Z24=2,SUMIF(Z31:Z35,"&gt;0"),0)</f>
        <v>0</v>
      </c>
      <c r="AB65" s="58">
        <f>IF(AB24=2,SUMIF(AB31:AB35,"&gt;0"),0)</f>
        <v>0</v>
      </c>
      <c r="AC65" s="54">
        <f>IF(AC24=2,SUMIF(AC31:AC35,"&gt;0"),0)</f>
        <v>0</v>
      </c>
      <c r="AE65" s="58">
        <f>IF(AE24=2,SUMIF(AE31:AE35,"&gt;0"),0)</f>
        <v>1</v>
      </c>
      <c r="AF65" s="54">
        <f>SUM(B65:AE65)</f>
        <v>3</v>
      </c>
      <c r="AG65" s="54">
        <f>AF73-AF65</f>
        <v>5</v>
      </c>
      <c r="AW65" s="146"/>
    </row>
    <row r="66" spans="1:54" s="54" customFormat="1" ht="12.75" hidden="1" customHeight="1" x14ac:dyDescent="0.2">
      <c r="A66" s="54" t="s">
        <v>72</v>
      </c>
      <c r="B66" s="54">
        <f>IF(B24=3,SUMIF(B31:B35,"&gt;0"),0)</f>
        <v>0</v>
      </c>
      <c r="D66" s="58">
        <f>IF(D24=3,SUMIF(D31:D35,"&gt;0"),0)</f>
        <v>0</v>
      </c>
      <c r="E66" s="54">
        <f>IF(E24=3,SUMIF(E31:E35,"&gt;0"),0)</f>
        <v>0</v>
      </c>
      <c r="G66" s="58">
        <f>IF(G24=3,SUMIF(G31:G35,"&gt;0"),0)</f>
        <v>0</v>
      </c>
      <c r="H66" s="54">
        <f>IF(H24=3,SUMIF(H31:H35,"&gt;0"),0)</f>
        <v>0</v>
      </c>
      <c r="J66" s="58">
        <f>IF(J24=3,SUMIF(J31:J35,"&gt;0"),0)</f>
        <v>0</v>
      </c>
      <c r="K66" s="54">
        <f>IF(K24=3,SUMIF(K31:K35,"&gt;0"),0)</f>
        <v>0</v>
      </c>
      <c r="M66" s="58">
        <f>IF(M24=3,SUMIF(M31:M35,"&gt;0"),0)</f>
        <v>0</v>
      </c>
      <c r="N66" s="54">
        <f>IF(N24=3,SUMIF(N31:N35,"&gt;0"),0)</f>
        <v>0</v>
      </c>
      <c r="P66" s="58">
        <f>IF(P24=3,SUMIF(P31:P35,"&gt;0"),0)</f>
        <v>0</v>
      </c>
      <c r="Q66" s="54">
        <f>IF(Q24=3,SUMIF(Q31:Q35,"&gt;0"),0)</f>
        <v>0</v>
      </c>
      <c r="S66" s="58">
        <f>IF(S24=3,SUMIF(S31:S35,"&gt;0"),0)</f>
        <v>0</v>
      </c>
      <c r="T66" s="54">
        <f>IF(T24=3,SUMIF(T31:T35,"&gt;0"),0)</f>
        <v>0</v>
      </c>
      <c r="V66" s="58">
        <f>IF(V24=3,SUMIF(V31:V35,"&gt;0"),0)</f>
        <v>0</v>
      </c>
      <c r="W66" s="54">
        <f>IF(W24=3,SUMIF(W31:W35,"&gt;0"),0)</f>
        <v>0</v>
      </c>
      <c r="Y66" s="58">
        <f>IF(Y24=3,SUMIF(Y31:Y35,"&gt;0"),0)</f>
        <v>0</v>
      </c>
      <c r="Z66" s="54">
        <f>IF(Z24=3,SUMIF(Z31:Z35,"&gt;0"),0)</f>
        <v>0</v>
      </c>
      <c r="AB66" s="58">
        <f>IF(AB24=3,SUMIF(AB31:AB35,"&gt;0"),0)</f>
        <v>0</v>
      </c>
      <c r="AC66" s="54">
        <f>IF(AC24=3,SUMIF(AC31:AC35,"&gt;0"),0)</f>
        <v>0</v>
      </c>
      <c r="AE66" s="58">
        <f>IF(AE24=3,SUMIF(AE31:AE35,"&gt;0"),0)</f>
        <v>0</v>
      </c>
      <c r="AF66" s="54">
        <f>SUM(B66:AE66)</f>
        <v>0</v>
      </c>
      <c r="AG66" s="54">
        <f>AF74-AF66</f>
        <v>8</v>
      </c>
      <c r="AW66" s="146"/>
    </row>
    <row r="67" spans="1:54" s="54" customFormat="1" ht="12.75" hidden="1" customHeight="1" x14ac:dyDescent="0.2">
      <c r="A67" s="54" t="s">
        <v>73</v>
      </c>
      <c r="B67" s="54">
        <f>IF(B24=4,SUMIF(B31:B35,"&gt;0"),0)</f>
        <v>0</v>
      </c>
      <c r="D67" s="58">
        <f>IF(D24=4,SUMIF(D31:D35,"&gt;0"),0)</f>
        <v>0</v>
      </c>
      <c r="E67" s="54">
        <f>IF(E24=4,SUMIF(E31:E35,"&gt;0"),0)</f>
        <v>0</v>
      </c>
      <c r="G67" s="58">
        <f>IF(G24=4,SUMIF(G31:G35,"&gt;0"),0)</f>
        <v>2</v>
      </c>
      <c r="H67" s="54">
        <f>IF(H24=4,SUMIF(H31:H35,"&gt;0"),0)</f>
        <v>0</v>
      </c>
      <c r="J67" s="58">
        <f>IF(J24=4,SUMIF(J31:J35,"&gt;0"),0)</f>
        <v>0</v>
      </c>
      <c r="K67" s="54">
        <f>IF(K24=4,SUMIF(K31:K35,"&gt;0"),0)</f>
        <v>0</v>
      </c>
      <c r="M67" s="58">
        <f>IF(M24=4,SUMIF(M31:M35,"&gt;0"),0)</f>
        <v>2</v>
      </c>
      <c r="N67" s="54">
        <f>IF(N24=4,SUMIF(N31:N35,"&gt;0"),0)</f>
        <v>0</v>
      </c>
      <c r="P67" s="58">
        <f>IF(P24=4,SUMIF(P31:P35,"&gt;0"),0)</f>
        <v>0</v>
      </c>
      <c r="Q67" s="54">
        <f>IF(Q24=4,SUMIF(Q31:Q35,"&gt;0"),0)</f>
        <v>1</v>
      </c>
      <c r="S67" s="58">
        <f>IF(S24=4,SUMIF(S31:S35,"&gt;0"),0)</f>
        <v>0</v>
      </c>
      <c r="T67" s="54">
        <f>IF(T24=4,SUMIF(T31:T35,"&gt;0"),0)</f>
        <v>0</v>
      </c>
      <c r="V67" s="58">
        <f>IF(V24=4,SUMIF(V31:V35,"&gt;0"),0)</f>
        <v>0</v>
      </c>
      <c r="W67" s="54">
        <f>IF(W24=4,SUMIF(W31:W35,"&gt;0"),0)</f>
        <v>0</v>
      </c>
      <c r="Y67" s="58">
        <f>IF(Y24=4,SUMIF(Y31:Y35,"&gt;0"),0)</f>
        <v>0</v>
      </c>
      <c r="Z67" s="54">
        <f>IF(Z24=4,SUMIF(Z31:Z35,"&gt;0"),0)</f>
        <v>0</v>
      </c>
      <c r="AB67" s="58">
        <f>IF(AB24=4,SUMIF(AB31:AB35,"&gt;0"),0)</f>
        <v>2</v>
      </c>
      <c r="AC67" s="54">
        <f>IF(AC24=4,SUMIF(AC31:AC35,"&gt;0"),0)</f>
        <v>0</v>
      </c>
      <c r="AE67" s="58">
        <f>IF(AE24=4,SUMIF(AE31:AE35,"&gt;0"),0)</f>
        <v>0</v>
      </c>
      <c r="AF67" s="54">
        <f>SUM(B67:AE67)</f>
        <v>7</v>
      </c>
      <c r="AG67" s="54">
        <f>AF75-AF67</f>
        <v>1</v>
      </c>
      <c r="AW67" s="146"/>
    </row>
    <row r="68" spans="1:54" s="54" customFormat="1" ht="12.75" hidden="1" customHeight="1" x14ac:dyDescent="0.2">
      <c r="A68" s="54" t="s">
        <v>74</v>
      </c>
      <c r="B68" s="54">
        <f>IF(B24=5,SUMIF(B31:B35,"&gt;0"),0)</f>
        <v>0</v>
      </c>
      <c r="D68" s="58">
        <f>IF(D24=5,SUMIF(D31:D35,"&gt;0"),0)</f>
        <v>2</v>
      </c>
      <c r="E68" s="54">
        <f>IF(E24=5,SUMIF(E31:E35,"&gt;0"),0)</f>
        <v>0</v>
      </c>
      <c r="G68" s="58">
        <f>IF(G24=5,SUMIF(G31:G35,"&gt;0"),0)</f>
        <v>0</v>
      </c>
      <c r="H68" s="54">
        <f>IF(H24=5,SUMIF(H31:H35,"&gt;0"),0)</f>
        <v>0</v>
      </c>
      <c r="J68" s="58">
        <f>IF(J24=5,SUMIF(J31:J35,"&gt;0"),0)</f>
        <v>2</v>
      </c>
      <c r="K68" s="54">
        <f>IF(K24=5,SUMIF(K31:K35,"&gt;0"),0)</f>
        <v>0</v>
      </c>
      <c r="M68" s="58">
        <f>IF(M24=5,SUMIF(M31:M35,"&gt;0"),0)</f>
        <v>0</v>
      </c>
      <c r="N68" s="54">
        <f>IF(N24=5,SUMIF(N31:N35,"&gt;0"),0)</f>
        <v>0</v>
      </c>
      <c r="P68" s="58">
        <f>IF(P24=5,SUMIF(P31:P35,"&gt;0"),0)</f>
        <v>0</v>
      </c>
      <c r="Q68" s="54">
        <f>IF(Q24=5,SUMIF(Q31:Q35,"&gt;0"),0)</f>
        <v>0</v>
      </c>
      <c r="S68" s="58">
        <f>IF(S24=5,SUMIF(S31:S35,"&gt;0"),0)</f>
        <v>1</v>
      </c>
      <c r="T68" s="54">
        <f>IF(T24=5,SUMIF(T31:T35,"&gt;0"),0)</f>
        <v>0</v>
      </c>
      <c r="V68" s="58">
        <f>IF(V24=5,SUMIF(V31:V35,"&gt;0"),0)</f>
        <v>0</v>
      </c>
      <c r="W68" s="54">
        <f>IF(W24=5,SUMIF(W31:W35,"&gt;0"),0)</f>
        <v>0</v>
      </c>
      <c r="Y68" s="58">
        <f>IF(Y24=5,SUMIF(Y31:Y35,"&gt;0"),0)</f>
        <v>1</v>
      </c>
      <c r="Z68" s="54">
        <f>IF(Z24=5,SUMIF(Z31:Z35,"&gt;0"),0)</f>
        <v>0</v>
      </c>
      <c r="AB68" s="58">
        <f>IF(AB24=5,SUMIF(AB31:AB35,"&gt;0"),0)</f>
        <v>0</v>
      </c>
      <c r="AC68" s="54">
        <f>IF(AC24=5,SUMIF(AC31:AC35,"&gt;0"),0)</f>
        <v>0</v>
      </c>
      <c r="AE68" s="58">
        <f>IF(AE24=5,SUMIF(AE31:AE35,"&gt;0"),0)</f>
        <v>0</v>
      </c>
      <c r="AF68" s="54">
        <f>SUM(B68:AE68)</f>
        <v>6</v>
      </c>
      <c r="AG68" s="54">
        <f>AF76-AF68</f>
        <v>2</v>
      </c>
      <c r="AW68" s="146"/>
    </row>
    <row r="69" spans="1:54" s="54" customFormat="1" ht="12.75" hidden="1" customHeight="1" x14ac:dyDescent="0.2">
      <c r="D69" s="58"/>
      <c r="G69" s="58"/>
      <c r="J69" s="58"/>
      <c r="M69" s="58"/>
      <c r="P69" s="58"/>
      <c r="S69" s="58"/>
      <c r="V69" s="58"/>
      <c r="Y69" s="58"/>
      <c r="AB69" s="58"/>
      <c r="AE69" s="58"/>
      <c r="AW69" s="146"/>
    </row>
    <row r="70" spans="1:54" s="54" customFormat="1" ht="12.75" hidden="1" customHeight="1" x14ac:dyDescent="0.2">
      <c r="D70" s="58"/>
      <c r="G70" s="58"/>
      <c r="J70" s="58"/>
      <c r="M70" s="58"/>
      <c r="P70" s="58"/>
      <c r="S70" s="58"/>
      <c r="V70" s="58"/>
      <c r="Y70" s="58"/>
      <c r="AB70" s="58"/>
      <c r="AE70" s="58"/>
      <c r="AW70" s="146"/>
    </row>
    <row r="71" spans="1:54" s="54" customFormat="1" ht="51" hidden="1" customHeight="1" x14ac:dyDescent="0.2">
      <c r="A71" s="57" t="s">
        <v>85</v>
      </c>
      <c r="C71" s="54">
        <f>SUMIF(B64:D68,"&gt;0")</f>
        <v>2</v>
      </c>
      <c r="D71" s="58"/>
      <c r="F71" s="54">
        <f>SUMIF(E64:G68,"&gt;0")</f>
        <v>2</v>
      </c>
      <c r="G71" s="58"/>
      <c r="I71" s="54">
        <f>SUMIF(H64:J68,"&gt;0")</f>
        <v>2</v>
      </c>
      <c r="J71" s="58"/>
      <c r="L71" s="54">
        <f>SUMIF(K64:M68,"&gt;0")</f>
        <v>2</v>
      </c>
      <c r="M71" s="58"/>
      <c r="O71" s="54">
        <f>SUMIF(N64:P68,"&gt;0")</f>
        <v>2</v>
      </c>
      <c r="P71" s="58"/>
      <c r="R71" s="54">
        <f>SUMIF(Q64:S68,"&gt;0")</f>
        <v>2</v>
      </c>
      <c r="S71" s="58"/>
      <c r="U71" s="54">
        <f>SUMIF(T64:V68,"&gt;0")</f>
        <v>2</v>
      </c>
      <c r="V71" s="58"/>
      <c r="X71" s="54">
        <f>SUMIF(W64:Y68,"&gt;0")</f>
        <v>2</v>
      </c>
      <c r="Y71" s="58"/>
      <c r="AA71" s="54">
        <f>SUMIF(Z64:AB68,"&gt;0")</f>
        <v>2</v>
      </c>
      <c r="AB71" s="58"/>
      <c r="AD71" s="54">
        <f>SUMIF(AC64:AE68,"&gt;0")</f>
        <v>2</v>
      </c>
      <c r="AE71" s="58"/>
      <c r="AF71" s="57" t="s">
        <v>86</v>
      </c>
      <c r="AW71" s="146"/>
    </row>
    <row r="72" spans="1:54" s="54" customFormat="1" ht="12.75" hidden="1" customHeight="1" x14ac:dyDescent="0.2">
      <c r="A72" s="54" t="s">
        <v>76</v>
      </c>
      <c r="B72" s="54">
        <f>IF(B24=1,C71,0)</f>
        <v>0</v>
      </c>
      <c r="D72" s="58">
        <f>IF(D24=1,C71,0)</f>
        <v>0</v>
      </c>
      <c r="E72" s="54">
        <f>IF(E24=1,F71,0)</f>
        <v>2</v>
      </c>
      <c r="G72" s="58">
        <f>IF(G24=1,F71,0)</f>
        <v>0</v>
      </c>
      <c r="H72" s="54">
        <f>IF(H24=1,I71,0)</f>
        <v>0</v>
      </c>
      <c r="J72" s="58">
        <f>IF(J24=1,I71,0)</f>
        <v>0</v>
      </c>
      <c r="K72" s="54">
        <f>IF(K24=1,L71,0)</f>
        <v>0</v>
      </c>
      <c r="M72" s="58">
        <f>IF(M24=1,L71,0)</f>
        <v>0</v>
      </c>
      <c r="N72" s="54">
        <f>IF(N24=1,O71,0)</f>
        <v>2</v>
      </c>
      <c r="P72" s="58">
        <f>IF(P24=1,O71,0)</f>
        <v>0</v>
      </c>
      <c r="Q72" s="54">
        <f>IF(Q24=1,R71,0)</f>
        <v>0</v>
      </c>
      <c r="S72" s="58">
        <f>IF(S24=1,R71,0)</f>
        <v>0</v>
      </c>
      <c r="T72" s="54">
        <f>IF(T24=1,U71,0)</f>
        <v>0</v>
      </c>
      <c r="V72" s="58">
        <f>IF(V24=1,U71,0)</f>
        <v>0</v>
      </c>
      <c r="W72" s="54">
        <f>IF(W24=1,X71,0)</f>
        <v>2</v>
      </c>
      <c r="Y72" s="58">
        <f>IF(Y24=1,X71,0)</f>
        <v>0</v>
      </c>
      <c r="Z72" s="54">
        <f>IF(Z24=1,AA71,0)</f>
        <v>0</v>
      </c>
      <c r="AB72" s="58">
        <f>IF(AB24=1,AA71,0)</f>
        <v>0</v>
      </c>
      <c r="AC72" s="54">
        <f>IF(AC24=1,AD71,0)</f>
        <v>2</v>
      </c>
      <c r="AE72" s="58">
        <f>IF(AE24=1,AD71,0)</f>
        <v>0</v>
      </c>
      <c r="AF72" s="54">
        <f>SUM(B72:AE72)</f>
        <v>8</v>
      </c>
      <c r="AW72" s="146"/>
    </row>
    <row r="73" spans="1:54" s="54" customFormat="1" ht="12.75" hidden="1" customHeight="1" x14ac:dyDescent="0.2">
      <c r="A73" s="54" t="s">
        <v>77</v>
      </c>
      <c r="B73" s="54">
        <f>IF(B24=2,C71,0)</f>
        <v>2</v>
      </c>
      <c r="D73" s="58">
        <f>IF(D24=2,C71,0)</f>
        <v>0</v>
      </c>
      <c r="E73" s="54">
        <f>IF(E24=2,F71,0)</f>
        <v>0</v>
      </c>
      <c r="G73" s="58">
        <f>IF(G24=2,F71,0)</f>
        <v>0</v>
      </c>
      <c r="H73" s="54">
        <f>IF(H24=2,I71,0)</f>
        <v>0</v>
      </c>
      <c r="J73" s="58">
        <f>IF(J24=2,I71,0)</f>
        <v>0</v>
      </c>
      <c r="K73" s="54">
        <f>IF(K24=2,L71,0)</f>
        <v>2</v>
      </c>
      <c r="M73" s="58">
        <f>IF(M24=2,L71,0)</f>
        <v>0</v>
      </c>
      <c r="N73" s="54">
        <f>IF(N24=2,O71,0)</f>
        <v>0</v>
      </c>
      <c r="P73" s="58">
        <f>IF(P24=2,O71,0)</f>
        <v>0</v>
      </c>
      <c r="Q73" s="54">
        <f>IF(Q24=2,R71,0)</f>
        <v>0</v>
      </c>
      <c r="S73" s="58">
        <f>IF(S24=2,R71,0)</f>
        <v>0</v>
      </c>
      <c r="T73" s="54">
        <f>IF(T24=2,U71,0)</f>
        <v>2</v>
      </c>
      <c r="V73" s="58">
        <f>IF(V24=2,U71,0)</f>
        <v>0</v>
      </c>
      <c r="W73" s="54">
        <f>IF(W24=2,X71,0)</f>
        <v>0</v>
      </c>
      <c r="Y73" s="58">
        <f>IF(Y24=2,X71,0)</f>
        <v>0</v>
      </c>
      <c r="Z73" s="54">
        <f>IF(Z24=2,AA71,0)</f>
        <v>0</v>
      </c>
      <c r="AB73" s="58">
        <f>IF(AB24=2,AA71,0)</f>
        <v>0</v>
      </c>
      <c r="AC73" s="54">
        <f>IF(AC24=2,AD71,0)</f>
        <v>0</v>
      </c>
      <c r="AE73" s="58">
        <f>IF(AE24=2,AD71,0)</f>
        <v>2</v>
      </c>
      <c r="AF73" s="54">
        <f>SUM(B73:AE73)</f>
        <v>8</v>
      </c>
      <c r="AW73" s="146"/>
    </row>
    <row r="74" spans="1:54" s="54" customFormat="1" ht="12.75" hidden="1" customHeight="1" x14ac:dyDescent="0.2">
      <c r="A74" s="54" t="s">
        <v>78</v>
      </c>
      <c r="B74" s="54">
        <f>IF(B24=3,C71,0)</f>
        <v>0</v>
      </c>
      <c r="D74" s="58">
        <f>IF(D24=3,C71,0)</f>
        <v>0</v>
      </c>
      <c r="E74" s="54">
        <f>IF(E24=3,F71,0)</f>
        <v>0</v>
      </c>
      <c r="G74" s="58">
        <f>IF(G24=3,F71,0)</f>
        <v>0</v>
      </c>
      <c r="H74" s="54">
        <f>IF(H24=3,I71,0)</f>
        <v>2</v>
      </c>
      <c r="J74" s="58">
        <f>IF(J24=3,I71,0)</f>
        <v>0</v>
      </c>
      <c r="K74" s="54">
        <f>IF(K24=3,L71,0)</f>
        <v>0</v>
      </c>
      <c r="M74" s="58">
        <f>IF(M24=3,L71,0)</f>
        <v>0</v>
      </c>
      <c r="N74" s="54">
        <f>IF(N24=3,O71,0)</f>
        <v>0</v>
      </c>
      <c r="P74" s="58">
        <f>IF(P24=3,O71,0)</f>
        <v>2</v>
      </c>
      <c r="Q74" s="54">
        <f>IF(Q24=3,R71,0)</f>
        <v>0</v>
      </c>
      <c r="S74" s="58">
        <f>IF(S24=3,R71,0)</f>
        <v>0</v>
      </c>
      <c r="T74" s="54">
        <f>IF(T24=3,U71,0)</f>
        <v>0</v>
      </c>
      <c r="V74" s="58">
        <f>IF(V24=3,U71,0)</f>
        <v>2</v>
      </c>
      <c r="W74" s="54">
        <f>IF(W24=3,X71,0)</f>
        <v>0</v>
      </c>
      <c r="Y74" s="58">
        <f>IF(Y24=3,X71,0)</f>
        <v>0</v>
      </c>
      <c r="Z74" s="54">
        <f>IF(Z24=3,AA71,0)</f>
        <v>2</v>
      </c>
      <c r="AB74" s="58">
        <f>IF(AB24=3,AA71,0)</f>
        <v>0</v>
      </c>
      <c r="AC74" s="54">
        <f>IF(AC24=3,AD71,0)</f>
        <v>0</v>
      </c>
      <c r="AE74" s="58">
        <f>IF(AE24=3,AD71,0)</f>
        <v>0</v>
      </c>
      <c r="AF74" s="54">
        <f>SUM(B74:AE74)</f>
        <v>8</v>
      </c>
      <c r="AW74" s="146"/>
    </row>
    <row r="75" spans="1:54" s="54" customFormat="1" ht="12.75" hidden="1" customHeight="1" x14ac:dyDescent="0.2">
      <c r="A75" s="54" t="s">
        <v>79</v>
      </c>
      <c r="B75" s="54">
        <f>IF(B24=4,C71,0)</f>
        <v>0</v>
      </c>
      <c r="D75" s="58">
        <f>IF(D24=4,C71,0)</f>
        <v>0</v>
      </c>
      <c r="E75" s="54">
        <f>IF(E24=4,F71,0)</f>
        <v>0</v>
      </c>
      <c r="G75" s="58">
        <f>IF(G24=4,F71,0)</f>
        <v>2</v>
      </c>
      <c r="H75" s="54">
        <f>IF(H24=4,I71,0)</f>
        <v>0</v>
      </c>
      <c r="J75" s="58">
        <f>IF(J24=4,I71,0)</f>
        <v>0</v>
      </c>
      <c r="K75" s="54">
        <f>IF(K24=4,L71,0)</f>
        <v>0</v>
      </c>
      <c r="M75" s="58">
        <f>IF(M24=4,L71,0)</f>
        <v>2</v>
      </c>
      <c r="N75" s="54">
        <f>IF(N24=4,O71,0)</f>
        <v>0</v>
      </c>
      <c r="P75" s="58">
        <f>IF(P24=4,O71,0)</f>
        <v>0</v>
      </c>
      <c r="Q75" s="54">
        <f>IF(Q24=4,R71,0)</f>
        <v>2</v>
      </c>
      <c r="S75" s="58">
        <f>IF(S24=4,R71,0)</f>
        <v>0</v>
      </c>
      <c r="T75" s="54">
        <f>IF(T24=4,U71,0)</f>
        <v>0</v>
      </c>
      <c r="V75" s="58">
        <f>IF(V24=4,U71,0)</f>
        <v>0</v>
      </c>
      <c r="W75" s="54">
        <f>IF(W24=4,X71,0)</f>
        <v>0</v>
      </c>
      <c r="Y75" s="58">
        <f>IF(Y24=4,X71,0)</f>
        <v>0</v>
      </c>
      <c r="Z75" s="54">
        <f>IF(Z24=4,AA71,0)</f>
        <v>0</v>
      </c>
      <c r="AB75" s="58">
        <f>IF(AB24=4,AA71,0)</f>
        <v>2</v>
      </c>
      <c r="AC75" s="54">
        <f>IF(AC24=4,AD71,0)</f>
        <v>0</v>
      </c>
      <c r="AE75" s="58">
        <f>IF(AE24=4,AD71,0)</f>
        <v>0</v>
      </c>
      <c r="AF75" s="54">
        <f>SUM(B75:AE75)</f>
        <v>8</v>
      </c>
      <c r="AW75" s="146"/>
    </row>
    <row r="76" spans="1:54" s="54" customFormat="1" ht="12.75" hidden="1" customHeight="1" x14ac:dyDescent="0.2">
      <c r="A76" s="54" t="s">
        <v>80</v>
      </c>
      <c r="B76" s="54">
        <f>IF(B24=5,C71,0)</f>
        <v>0</v>
      </c>
      <c r="D76" s="58">
        <f>IF(D24=5,C71,0)</f>
        <v>2</v>
      </c>
      <c r="E76" s="54">
        <f>IF(E24=5,F71,0)</f>
        <v>0</v>
      </c>
      <c r="G76" s="58">
        <f>IF(G24=5,F71,0)</f>
        <v>0</v>
      </c>
      <c r="H76" s="54">
        <f>IF(H24=5,I71,0)</f>
        <v>0</v>
      </c>
      <c r="J76" s="58">
        <f>IF(J24=5,I71,0)</f>
        <v>2</v>
      </c>
      <c r="K76" s="54">
        <f>IF(K24=5,L71,0)</f>
        <v>0</v>
      </c>
      <c r="M76" s="58">
        <f>IF(M24=5,L71,0)</f>
        <v>0</v>
      </c>
      <c r="N76" s="54">
        <f>IF(N24=5,O71,0)</f>
        <v>0</v>
      </c>
      <c r="P76" s="58">
        <f>IF(P24=5,O71,0)</f>
        <v>0</v>
      </c>
      <c r="Q76" s="54">
        <f>IF(Q24=5,R71,0)</f>
        <v>0</v>
      </c>
      <c r="S76" s="58">
        <f>IF(S24=5,R71,0)</f>
        <v>2</v>
      </c>
      <c r="T76" s="54">
        <f>IF(T24=5,U71,0)</f>
        <v>0</v>
      </c>
      <c r="V76" s="58">
        <f>IF(V24=5,U71,0)</f>
        <v>0</v>
      </c>
      <c r="W76" s="54">
        <f>IF(W24=5,X71,0)</f>
        <v>0</v>
      </c>
      <c r="Y76" s="58">
        <f>IF(Y24=5,X71,0)</f>
        <v>2</v>
      </c>
      <c r="Z76" s="54">
        <f>IF(Z24=5,AA71,0)</f>
        <v>0</v>
      </c>
      <c r="AB76" s="58">
        <f>IF(AB24=5,AA71,0)</f>
        <v>0</v>
      </c>
      <c r="AC76" s="54">
        <f>IF(AC24=5,AD71,0)</f>
        <v>0</v>
      </c>
      <c r="AE76" s="58">
        <f>IF(AE24=5,AD71,0)</f>
        <v>0</v>
      </c>
      <c r="AF76" s="54">
        <f>SUM(B76:AE76)</f>
        <v>8</v>
      </c>
      <c r="AT76" s="61"/>
      <c r="AU76" s="61"/>
      <c r="AV76" s="61"/>
      <c r="AW76" s="146"/>
    </row>
    <row r="77" spans="1:54" hidden="1" x14ac:dyDescent="0.2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60"/>
      <c r="AO77" s="60"/>
      <c r="AP77" s="60"/>
      <c r="AQ77" s="60"/>
      <c r="AR77" s="61"/>
      <c r="AS77" s="61"/>
      <c r="AT77" s="61"/>
      <c r="AU77" s="61"/>
      <c r="AV77" s="61"/>
      <c r="BB77" s="62"/>
    </row>
    <row r="78" spans="1:54" s="61" customFormat="1" hidden="1" x14ac:dyDescent="0.2">
      <c r="A78" s="63"/>
      <c r="B78" s="63"/>
      <c r="C78" s="63" t="s">
        <v>87</v>
      </c>
      <c r="D78" s="63">
        <v>1</v>
      </c>
      <c r="E78" s="63"/>
      <c r="F78" s="63"/>
      <c r="G78" s="63">
        <v>2</v>
      </c>
      <c r="H78" s="63"/>
      <c r="I78" s="63"/>
      <c r="J78" s="63">
        <v>3</v>
      </c>
      <c r="K78" s="63"/>
      <c r="L78" s="63"/>
      <c r="M78" s="63">
        <v>4</v>
      </c>
      <c r="N78" s="63"/>
      <c r="O78" s="63"/>
      <c r="P78" s="63">
        <v>5</v>
      </c>
      <c r="Q78" s="63"/>
      <c r="R78" s="63"/>
      <c r="S78" s="63">
        <v>6</v>
      </c>
      <c r="T78" s="63"/>
      <c r="U78" s="63"/>
      <c r="V78" s="63">
        <v>7</v>
      </c>
      <c r="W78" s="63"/>
      <c r="X78" s="63"/>
      <c r="Y78" s="63">
        <v>8</v>
      </c>
      <c r="Z78" s="63"/>
      <c r="AA78" s="63"/>
      <c r="AB78" s="63">
        <v>9</v>
      </c>
      <c r="AC78" s="63"/>
      <c r="AD78" s="63"/>
      <c r="AE78" s="63">
        <v>10</v>
      </c>
      <c r="AF78" s="4"/>
      <c r="AG78" s="63"/>
      <c r="AI78" s="64"/>
      <c r="AJ78" s="4"/>
      <c r="AK78" s="4"/>
      <c r="AL78" s="4"/>
      <c r="AM78" s="4"/>
      <c r="AN78" s="4"/>
      <c r="AO78" s="4"/>
      <c r="AT78" s="64" t="s">
        <v>88</v>
      </c>
      <c r="AW78" s="65"/>
      <c r="BB78" s="65"/>
    </row>
    <row r="79" spans="1:54" s="61" customFormat="1" hidden="1" x14ac:dyDescent="0.2">
      <c r="A79" s="66">
        <v>1</v>
      </c>
      <c r="B79" s="66" t="str">
        <f>E8</f>
        <v>PRV - 13U Bayley</v>
      </c>
      <c r="C79" s="66">
        <f>VLOOKUP(B79,AU$3:BB$33,3,FALSE)</f>
        <v>1868.4106312164884</v>
      </c>
      <c r="D79" s="66">
        <f>IF(B72,B87,IF(D72,D87,C79))</f>
        <v>1868.4106312164884</v>
      </c>
      <c r="E79" s="66"/>
      <c r="F79" s="66"/>
      <c r="G79" s="66">
        <f>IF(E72,E87,IF(G72,G87,D79))</f>
        <v>1850.4223910671335</v>
      </c>
      <c r="H79" s="66"/>
      <c r="I79" s="66"/>
      <c r="J79" s="66">
        <f>IF(H72,H87,IF(J72,J87,G79))</f>
        <v>1850.4223910671335</v>
      </c>
      <c r="K79" s="66"/>
      <c r="L79" s="66"/>
      <c r="M79" s="66">
        <f>IF(K72,K87,IF(M72,M87,J79))</f>
        <v>1850.4223910671335</v>
      </c>
      <c r="N79" s="66"/>
      <c r="O79" s="66"/>
      <c r="P79" s="66">
        <f>IF(N72,N87,IF(P72,P87,M79))</f>
        <v>1860.2582979672388</v>
      </c>
      <c r="Q79" s="66"/>
      <c r="R79" s="66"/>
      <c r="S79" s="66">
        <f>IF(Q72,Q87,IF(S72,S87,P79))</f>
        <v>1860.2582979672388</v>
      </c>
      <c r="T79" s="66"/>
      <c r="U79" s="66"/>
      <c r="V79" s="66">
        <f>IF(T72,T87,IF(V72,V87,S79))</f>
        <v>1860.2582979672388</v>
      </c>
      <c r="W79" s="66"/>
      <c r="X79" s="66"/>
      <c r="Y79" s="66">
        <f>IF(W72,W87,IF(Y72,Y87,V79))</f>
        <v>1872.396992803401</v>
      </c>
      <c r="Z79" s="66"/>
      <c r="AA79" s="66"/>
      <c r="AB79" s="66">
        <f>IF(Z72,Z87,IF(AB72,AB87,Y79))</f>
        <v>1872.396992803401</v>
      </c>
      <c r="AC79" s="66"/>
      <c r="AD79" s="66"/>
      <c r="AE79" s="66">
        <f>IF(AC72,AC87,IF(AE72,AE87,AB79))</f>
        <v>1861.2917168384377</v>
      </c>
      <c r="AF79" s="4"/>
      <c r="AG79" s="4"/>
      <c r="AJ79" s="4"/>
      <c r="AK79" s="4"/>
      <c r="AL79" s="4"/>
      <c r="AM79" s="4"/>
      <c r="AN79" s="4"/>
      <c r="AO79" s="4"/>
      <c r="AT79" s="61" t="str">
        <f>B79</f>
        <v>PRV - 13U Bayley</v>
      </c>
      <c r="AU79" s="61">
        <f>AE79</f>
        <v>1861.2917168384377</v>
      </c>
      <c r="AW79" s="65"/>
      <c r="BB79" s="65"/>
    </row>
    <row r="80" spans="1:54" s="61" customFormat="1" hidden="1" x14ac:dyDescent="0.2">
      <c r="A80" s="66">
        <v>2</v>
      </c>
      <c r="B80" s="66" t="str">
        <f>E10</f>
        <v>Foothills 13 May</v>
      </c>
      <c r="C80" s="66">
        <f>VLOOKUP(B80,AU$3:BB$33,3,FALSE)</f>
        <v>1753.5034142818647</v>
      </c>
      <c r="D80" s="66">
        <f>IF(B73,B87,IF(D73,D87,C80))</f>
        <v>1739.4605981539717</v>
      </c>
      <c r="E80" s="66"/>
      <c r="F80" s="66"/>
      <c r="G80" s="66">
        <f>IF(E73,E87,IF(G73,G87,D80))</f>
        <v>1739.4605981539717</v>
      </c>
      <c r="H80" s="66"/>
      <c r="I80" s="66"/>
      <c r="J80" s="66">
        <f>IF(H73,H87,IF(J73,J87,G80))</f>
        <v>1739.4605981539717</v>
      </c>
      <c r="K80" s="66"/>
      <c r="L80" s="66"/>
      <c r="M80" s="66">
        <f>IF(K73,K87,IF(M73,M87,J80))</f>
        <v>1730.2648258079314</v>
      </c>
      <c r="N80" s="66"/>
      <c r="O80" s="66"/>
      <c r="P80" s="66">
        <f>IF(N73,N87,IF(P73,P87,M80))</f>
        <v>1730.2648258079314</v>
      </c>
      <c r="Q80" s="66"/>
      <c r="R80" s="66"/>
      <c r="S80" s="66">
        <f>IF(Q73,Q87,IF(S73,S87,P80))</f>
        <v>1730.2648258079314</v>
      </c>
      <c r="T80" s="66"/>
      <c r="U80" s="66"/>
      <c r="V80" s="66">
        <f>IF(T73,T87,IF(V73,V87,S80))</f>
        <v>1746.5994767135785</v>
      </c>
      <c r="W80" s="66"/>
      <c r="X80" s="66"/>
      <c r="Y80" s="66">
        <f>IF(W73,W87,IF(Y73,Y87,V80))</f>
        <v>1746.5994767135785</v>
      </c>
      <c r="Z80" s="66"/>
      <c r="AA80" s="66"/>
      <c r="AB80" s="66">
        <f>IF(Z73,Z87,IF(AB73,AB87,Y80))</f>
        <v>1746.5994767135785</v>
      </c>
      <c r="AC80" s="66"/>
      <c r="AD80" s="66"/>
      <c r="AE80" s="66">
        <f>IF(AC73,AC87,IF(AE73,AE87,AB80))</f>
        <v>1757.7047526785418</v>
      </c>
      <c r="AF80" s="4"/>
      <c r="AG80" s="4"/>
      <c r="AJ80" s="4"/>
      <c r="AL80" s="4"/>
      <c r="AM80" s="4"/>
      <c r="AN80" s="4"/>
      <c r="AO80" s="4"/>
      <c r="AT80" s="61" t="str">
        <f>B80</f>
        <v>Foothills 13 May</v>
      </c>
      <c r="AU80" s="61">
        <f>AE80</f>
        <v>1757.7047526785418</v>
      </c>
      <c r="AW80" s="65"/>
      <c r="BB80" s="65"/>
    </row>
    <row r="81" spans="1:54" s="61" customFormat="1" hidden="1" x14ac:dyDescent="0.2">
      <c r="A81" s="66">
        <v>3</v>
      </c>
      <c r="B81" s="66" t="str">
        <f>E12</f>
        <v>C1VB 13 State Royal Grvl</v>
      </c>
      <c r="C81" s="66">
        <f>VLOOKUP(B81,AU$3:BB$33,3,FALSE)</f>
        <v>1559.0584600733771</v>
      </c>
      <c r="D81" s="66">
        <f>IF(B74,B87,IF(D74,D87,C81))</f>
        <v>1559.0584600733771</v>
      </c>
      <c r="E81" s="66"/>
      <c r="F81" s="66"/>
      <c r="G81" s="66">
        <f>IF(E74,E87,IF(G74,G87,D81))</f>
        <v>1559.0584600733771</v>
      </c>
      <c r="H81" s="66"/>
      <c r="I81" s="66"/>
      <c r="J81" s="66">
        <f>IF(H74,H87,IF(J74,J87,G81))</f>
        <v>1554.063564447157</v>
      </c>
      <c r="K81" s="66"/>
      <c r="L81" s="66"/>
      <c r="M81" s="66">
        <f>IF(K74,K87,IF(M74,M87,J81))</f>
        <v>1554.063564447157</v>
      </c>
      <c r="N81" s="66"/>
      <c r="O81" s="66"/>
      <c r="P81" s="66">
        <f>IF(N74,N87,IF(P74,P87,M81))</f>
        <v>1544.2276575470516</v>
      </c>
      <c r="Q81" s="66"/>
      <c r="R81" s="66"/>
      <c r="S81" s="66">
        <f>IF(Q74,Q87,IF(S74,S87,P81))</f>
        <v>1544.2276575470516</v>
      </c>
      <c r="T81" s="66"/>
      <c r="U81" s="66"/>
      <c r="V81" s="66">
        <f>IF(T74,T87,IF(V74,V87,S81))</f>
        <v>1527.8930066414046</v>
      </c>
      <c r="W81" s="66"/>
      <c r="X81" s="66"/>
      <c r="Y81" s="66">
        <f>IF(W74,W87,IF(Y74,Y87,V81))</f>
        <v>1527.8930066414046</v>
      </c>
      <c r="Z81" s="66"/>
      <c r="AA81" s="66"/>
      <c r="AB81" s="66">
        <f>IF(Z74,Z87,IF(AB74,AB87,Y81))</f>
        <v>1524.91900289658</v>
      </c>
      <c r="AC81" s="66"/>
      <c r="AD81" s="66"/>
      <c r="AE81" s="66">
        <f>IF(AC74,AC87,IF(AE74,AE87,AB81))</f>
        <v>1524.91900289658</v>
      </c>
      <c r="AF81" s="4"/>
      <c r="AG81" s="4"/>
      <c r="AJ81" s="4"/>
      <c r="AL81" s="4"/>
      <c r="AM81" s="4"/>
      <c r="AN81" s="4"/>
      <c r="AO81" s="4"/>
      <c r="AT81" s="61" t="str">
        <f>B81</f>
        <v>C1VB 13 State Royal Grvl</v>
      </c>
      <c r="AU81" s="61">
        <f>AE81</f>
        <v>1524.91900289658</v>
      </c>
      <c r="AW81" s="65"/>
      <c r="BB81" s="65"/>
    </row>
    <row r="82" spans="1:54" s="61" customFormat="1" hidden="1" x14ac:dyDescent="0.2">
      <c r="A82" s="66">
        <v>4</v>
      </c>
      <c r="B82" s="66" t="str">
        <f>E14</f>
        <v>Extreme 13-1</v>
      </c>
      <c r="C82" s="66">
        <f>VLOOKUP(B82,AU$3:BB$33,3,FALSE)</f>
        <v>2031.5626982129445</v>
      </c>
      <c r="D82" s="66">
        <f>IF(B75,B87,IF(D75,D87,C82))</f>
        <v>2031.5626982129445</v>
      </c>
      <c r="E82" s="66"/>
      <c r="F82" s="66"/>
      <c r="G82" s="66">
        <f>IF(E75,E87,IF(G75,G87,D82))</f>
        <v>2049.5509383622993</v>
      </c>
      <c r="H82" s="66"/>
      <c r="I82" s="66"/>
      <c r="J82" s="66">
        <f>IF(H75,H87,IF(J75,J87,G82))</f>
        <v>2049.5509383622993</v>
      </c>
      <c r="K82" s="66"/>
      <c r="L82" s="66"/>
      <c r="M82" s="66">
        <f>IF(K75,K87,IF(M75,M87,J82))</f>
        <v>2058.7467107083394</v>
      </c>
      <c r="N82" s="66"/>
      <c r="O82" s="66"/>
      <c r="P82" s="66">
        <f>IF(N75,N87,IF(P75,P87,M82))</f>
        <v>2058.7467107083394</v>
      </c>
      <c r="Q82" s="66"/>
      <c r="R82" s="66"/>
      <c r="S82" s="66">
        <f>IF(Q75,Q87,IF(S75,S87,P82))</f>
        <v>2052.7623534421109</v>
      </c>
      <c r="T82" s="66"/>
      <c r="U82" s="66"/>
      <c r="V82" s="66">
        <f>IF(T75,T87,IF(V75,V87,S82))</f>
        <v>2052.7623534421109</v>
      </c>
      <c r="W82" s="66"/>
      <c r="X82" s="66"/>
      <c r="Y82" s="66">
        <f>IF(W75,W87,IF(Y75,Y87,V82))</f>
        <v>2052.7623534421109</v>
      </c>
      <c r="Z82" s="66"/>
      <c r="AA82" s="66"/>
      <c r="AB82" s="66">
        <f>IF(Z75,Z87,IF(AB75,AB87,Y82))</f>
        <v>2055.7363571869355</v>
      </c>
      <c r="AC82" s="66"/>
      <c r="AD82" s="66"/>
      <c r="AE82" s="66">
        <f>IF(AC75,AC87,IF(AE75,AE87,AB82))</f>
        <v>2055.7363571869355</v>
      </c>
      <c r="AF82" s="4"/>
      <c r="AG82" s="4"/>
      <c r="AJ82" s="4"/>
      <c r="AL82" s="4"/>
      <c r="AM82" s="4"/>
      <c r="AN82" s="4"/>
      <c r="AO82" s="4"/>
      <c r="AT82" s="61" t="str">
        <f>B82</f>
        <v>Extreme 13-1</v>
      </c>
      <c r="AU82" s="61">
        <f>AE82</f>
        <v>2055.7363571869355</v>
      </c>
      <c r="AW82" s="65"/>
      <c r="BB82" s="65"/>
    </row>
    <row r="83" spans="1:54" s="61" customFormat="1" hidden="1" x14ac:dyDescent="0.2">
      <c r="A83" s="66">
        <v>5</v>
      </c>
      <c r="B83" s="66" t="str">
        <f>E16</f>
        <v>BVA 13 Black</v>
      </c>
      <c r="C83" s="66">
        <f>VLOOKUP(B83,AU$3:BB$33,3,FALSE)</f>
        <v>1973.9609100736691</v>
      </c>
      <c r="D83" s="66">
        <f>IF(B76,B87,IF(D76,D87,C83))</f>
        <v>1988.0037262015621</v>
      </c>
      <c r="E83" s="66"/>
      <c r="F83" s="66"/>
      <c r="G83" s="66">
        <f>IF(E76,E87,IF(G76,G87,D83))</f>
        <v>1988.0037262015621</v>
      </c>
      <c r="H83" s="66"/>
      <c r="I83" s="66"/>
      <c r="J83" s="66">
        <f>IF(H76,H87,IF(J76,J87,G83))</f>
        <v>1992.9986218277822</v>
      </c>
      <c r="K83" s="66"/>
      <c r="L83" s="66"/>
      <c r="M83" s="66">
        <f>IF(K76,K87,IF(M76,M87,J83))</f>
        <v>1992.9986218277822</v>
      </c>
      <c r="N83" s="66"/>
      <c r="O83" s="66"/>
      <c r="P83" s="66">
        <f>IF(N76,N87,IF(P76,P87,M83))</f>
        <v>1992.9986218277822</v>
      </c>
      <c r="Q83" s="66"/>
      <c r="R83" s="66"/>
      <c r="S83" s="66">
        <f>IF(Q76,Q87,IF(S76,S87,P83))</f>
        <v>1998.9829790940107</v>
      </c>
      <c r="T83" s="66"/>
      <c r="U83" s="66"/>
      <c r="V83" s="66">
        <f>IF(T76,T87,IF(V76,V87,S83))</f>
        <v>1998.9829790940107</v>
      </c>
      <c r="W83" s="66"/>
      <c r="X83" s="66"/>
      <c r="Y83" s="66">
        <f>IF(W76,W87,IF(Y76,Y87,V83))</f>
        <v>1986.8442842578486</v>
      </c>
      <c r="Z83" s="66"/>
      <c r="AA83" s="66"/>
      <c r="AB83" s="66">
        <f>IF(Z76,Z87,IF(AB76,AB87,Y83))</f>
        <v>1986.8442842578486</v>
      </c>
      <c r="AC83" s="66"/>
      <c r="AD83" s="66"/>
      <c r="AE83" s="66">
        <f>IF(AC76,AC87,IF(AE76,AE87,AB83))</f>
        <v>1986.8442842578486</v>
      </c>
      <c r="AF83" s="4"/>
      <c r="AG83" s="4"/>
      <c r="AJ83" s="4"/>
      <c r="AL83" s="4"/>
      <c r="AM83" s="4"/>
      <c r="AN83" s="4"/>
      <c r="AO83" s="4"/>
      <c r="AT83" s="61" t="str">
        <f>B83</f>
        <v>BVA 13 Black</v>
      </c>
      <c r="AU83" s="61">
        <f>AE83</f>
        <v>1986.8442842578486</v>
      </c>
      <c r="AW83" s="65"/>
      <c r="BB83" s="65"/>
    </row>
    <row r="84" spans="1:54" s="61" customFormat="1" hidden="1" x14ac:dyDescent="0.2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4"/>
      <c r="AG84" s="4"/>
      <c r="AJ84" s="4"/>
      <c r="AL84" s="4"/>
      <c r="AM84" s="4"/>
      <c r="AN84" s="4"/>
      <c r="AO84" s="4"/>
      <c r="AW84" s="65"/>
      <c r="BB84" s="65"/>
    </row>
    <row r="85" spans="1:54" s="61" customFormat="1" hidden="1" x14ac:dyDescent="0.2">
      <c r="A85" s="66" t="s">
        <v>89</v>
      </c>
      <c r="B85" s="66">
        <f>VLOOKUP(B24,$A79:$AE83,3,FALSE)</f>
        <v>1753.5034142818647</v>
      </c>
      <c r="C85" s="66">
        <v>1</v>
      </c>
      <c r="D85" s="66">
        <f>VLOOKUP(D24,$A79:$AE83,3,FALSE)</f>
        <v>1973.9609100736691</v>
      </c>
      <c r="E85" s="66">
        <f>VLOOKUP(E24,$A79:$AE83,4,FALSE)</f>
        <v>1868.4106312164884</v>
      </c>
      <c r="F85" s="66">
        <v>2</v>
      </c>
      <c r="G85" s="66">
        <f>VLOOKUP(G24,$A79:$AE83,4,FALSE)</f>
        <v>2031.5626982129445</v>
      </c>
      <c r="H85" s="66">
        <f>VLOOKUP(H24,$A79:$AE83,7,FALSE)</f>
        <v>1559.0584600733771</v>
      </c>
      <c r="I85" s="66">
        <v>3</v>
      </c>
      <c r="J85" s="66">
        <f>VLOOKUP(J24,$A79:$AE83,7,FALSE)</f>
        <v>1988.0037262015621</v>
      </c>
      <c r="K85" s="66">
        <f>VLOOKUP(K24,$A79:$AE83,10,FALSE)</f>
        <v>1739.4605981539717</v>
      </c>
      <c r="L85" s="66">
        <v>4</v>
      </c>
      <c r="M85" s="66">
        <f>VLOOKUP(M24,$A79:$AE83,10,FALSE)</f>
        <v>2049.5509383622993</v>
      </c>
      <c r="N85" s="66">
        <f>VLOOKUP(N24,$A79:$AE83,13,FALSE)</f>
        <v>1850.4223910671335</v>
      </c>
      <c r="O85" s="66">
        <v>5</v>
      </c>
      <c r="P85" s="66">
        <f>VLOOKUP(P24,$A79:$AE83,13,FALSE)</f>
        <v>1554.063564447157</v>
      </c>
      <c r="Q85" s="66">
        <f>VLOOKUP(Q24,$A79:$AE83,16,FALSE)</f>
        <v>2058.7467107083394</v>
      </c>
      <c r="R85" s="66">
        <v>6</v>
      </c>
      <c r="S85" s="66">
        <f>VLOOKUP(S24,$A79:$AE83,16,FALSE)</f>
        <v>1992.9986218277822</v>
      </c>
      <c r="T85" s="66">
        <f>VLOOKUP(T24,$A79:$AE83,19,FALSE)</f>
        <v>1730.2648258079314</v>
      </c>
      <c r="U85" s="66">
        <v>7</v>
      </c>
      <c r="V85" s="66">
        <f>VLOOKUP(V24,$A79:$AE83,19,FALSE)</f>
        <v>1544.2276575470516</v>
      </c>
      <c r="W85" s="66">
        <f>VLOOKUP(W24,$A79:$AE83,22,FALSE)</f>
        <v>1860.2582979672388</v>
      </c>
      <c r="X85" s="66">
        <v>8</v>
      </c>
      <c r="Y85" s="66">
        <f>VLOOKUP(Y24,$A79:$AE83,22,FALSE)</f>
        <v>1998.9829790940107</v>
      </c>
      <c r="Z85" s="66">
        <f>VLOOKUP(Z24,$A79:$AE83,25,FALSE)</f>
        <v>1527.8930066414046</v>
      </c>
      <c r="AA85" s="66">
        <v>9</v>
      </c>
      <c r="AB85" s="66">
        <f>VLOOKUP(AB24,$A79:$AE83,25,FALSE)</f>
        <v>2052.7623534421109</v>
      </c>
      <c r="AC85" s="66">
        <f>VLOOKUP(AC24,$A79:$AE83,28,FALSE)</f>
        <v>1872.396992803401</v>
      </c>
      <c r="AD85" s="66">
        <v>10</v>
      </c>
      <c r="AE85" s="66">
        <f>VLOOKUP(AE24,$A79:$AE83,28,FALSE)</f>
        <v>1746.5994767135785</v>
      </c>
      <c r="AF85" s="4"/>
      <c r="AG85" s="59"/>
      <c r="AH85" s="59"/>
      <c r="AI85" s="59"/>
      <c r="AJ85" s="59"/>
      <c r="AK85" s="59"/>
      <c r="AL85" s="59"/>
      <c r="AM85" s="59"/>
      <c r="AN85" s="60"/>
      <c r="AO85" s="60"/>
      <c r="AP85" s="60"/>
      <c r="AQ85" s="60"/>
      <c r="AW85" s="65"/>
      <c r="BB85" s="65"/>
    </row>
    <row r="86" spans="1:54" s="71" customFormat="1" hidden="1" x14ac:dyDescent="0.2">
      <c r="A86" s="67" t="s">
        <v>90</v>
      </c>
      <c r="B86" s="67">
        <f>1/(1+(10^-((B85-D85)/400)))*(B36+D36)</f>
        <v>0.43883800399665657</v>
      </c>
      <c r="C86" s="67"/>
      <c r="D86" s="67">
        <f>1/(1+(10^-((D85-B85)/400)))*(B36+D36)</f>
        <v>1.5611619960033434</v>
      </c>
      <c r="E86" s="67">
        <f>1/(1+(10^-((E85-G85)/400)))*(E36+G36)</f>
        <v>0.56213250466734221</v>
      </c>
      <c r="F86" s="67"/>
      <c r="G86" s="67">
        <f>1/(1+(10^-((G85-E85)/400)))*(E36+G36)</f>
        <v>1.4378674953326578</v>
      </c>
      <c r="H86" s="67">
        <f>1/(1+(10^-((H85-J85)/400)))*(H36+J36)</f>
        <v>0.15609048831937569</v>
      </c>
      <c r="I86" s="67"/>
      <c r="J86" s="67">
        <f>1/(1+(10^-((J85-H85)/400)))*(H36+J36)</f>
        <v>1.8439095116806241</v>
      </c>
      <c r="K86" s="67">
        <f>1/(1+(10^-((K85-M85)/400)))*(K36+M36)</f>
        <v>0.28736788581375461</v>
      </c>
      <c r="L86" s="67"/>
      <c r="M86" s="67">
        <f>1/(1+(10^-((M85-K85)/400)))*(K36+M36)</f>
        <v>1.7126321141862453</v>
      </c>
      <c r="N86" s="67">
        <f>1/(1+(10^-((N85-P85)/400)))*(N36+P36)</f>
        <v>1.6926279093717074</v>
      </c>
      <c r="O86" s="67"/>
      <c r="P86" s="67">
        <f>1/(1+(10^-((P85-N85)/400)))*(N36+P36)</f>
        <v>0.30737209062829246</v>
      </c>
      <c r="Q86" s="67">
        <f>1/(1+(10^-((Q85-S85)/400)))*(Q36+S36)</f>
        <v>1.187011164569638</v>
      </c>
      <c r="R86" s="67"/>
      <c r="S86" s="67">
        <f>1/(1+(10^-((S85-Q85)/400)))*(Q36+S36)</f>
        <v>0.81298883543036182</v>
      </c>
      <c r="T86" s="67">
        <f>1/(1+(10^-((T85-V85)/400)))*(T36+V36)</f>
        <v>1.4895421591985261</v>
      </c>
      <c r="U86" s="67"/>
      <c r="V86" s="67">
        <f>1/(1+(10^-((V85-T85)/400)))*(T36+V36)</f>
        <v>0.51045784080147405</v>
      </c>
      <c r="W86" s="67">
        <f>1/(1+(10^-((W85-Y85)/400)))*(W36+Y36)</f>
        <v>0.62066578636993663</v>
      </c>
      <c r="X86" s="67"/>
      <c r="Y86" s="67">
        <f>1/(1+(10^-((Y85-W85)/400)))*(W36+Y36)</f>
        <v>1.3793342136300635</v>
      </c>
      <c r="Z86" s="67">
        <f>1/(1+(10^-((Z85-AB85)/400)))*(Z36+AB36)</f>
        <v>9.2937617025771441E-2</v>
      </c>
      <c r="AA86" s="67"/>
      <c r="AB86" s="67">
        <f>1/(1+(10^-((AB85-Z85)/400)))*(Z36+AB36)</f>
        <v>1.9070623829742284</v>
      </c>
      <c r="AC86" s="67">
        <f>1/(1+(10^-((AC85-AE85)/400)))*(AC36+AE36)</f>
        <v>1.3470398739051046</v>
      </c>
      <c r="AD86" s="67"/>
      <c r="AE86" s="67">
        <f>1/(1+(10^-((AE85-AC85)/400)))*(AC36+AE36)</f>
        <v>0.65296012609489529</v>
      </c>
      <c r="AF86" s="68"/>
      <c r="AG86" s="69"/>
      <c r="AH86" s="69"/>
      <c r="AI86" s="69"/>
      <c r="AJ86" s="69"/>
      <c r="AK86" s="69"/>
      <c r="AL86" s="69"/>
      <c r="AM86" s="69"/>
      <c r="AN86" s="70"/>
      <c r="AO86" s="70"/>
      <c r="AP86" s="70"/>
      <c r="AQ86" s="70"/>
      <c r="AW86" s="72"/>
      <c r="BB86" s="72"/>
    </row>
    <row r="87" spans="1:54" s="77" customFormat="1" hidden="1" x14ac:dyDescent="0.2">
      <c r="A87" s="73" t="s">
        <v>91</v>
      </c>
      <c r="B87" s="73">
        <f>B85+(B36-B86)*$BA$1</f>
        <v>1739.4605981539717</v>
      </c>
      <c r="C87" s="73"/>
      <c r="D87" s="73">
        <f>D85+(D36-D86)*$BA$1</f>
        <v>1988.0037262015621</v>
      </c>
      <c r="E87" s="73">
        <f>E85+(E36-E86)*$BA$1</f>
        <v>1850.4223910671335</v>
      </c>
      <c r="F87" s="73"/>
      <c r="G87" s="73">
        <f>G85+(G36-G86)*$BA$1</f>
        <v>2049.5509383622993</v>
      </c>
      <c r="H87" s="73">
        <f>H85+(H36-H86)*$BA$1</f>
        <v>1554.063564447157</v>
      </c>
      <c r="I87" s="73"/>
      <c r="J87" s="73">
        <f>J85+(J36-J86)*$BA$1</f>
        <v>1992.9986218277822</v>
      </c>
      <c r="K87" s="73">
        <f>K85+(K36-K86)*$BA$1</f>
        <v>1730.2648258079314</v>
      </c>
      <c r="L87" s="73"/>
      <c r="M87" s="73">
        <f>M85+(M36-M86)*$BA$1</f>
        <v>2058.7467107083394</v>
      </c>
      <c r="N87" s="73">
        <f>N85+(N36-N86)*$BA$1</f>
        <v>1860.2582979672388</v>
      </c>
      <c r="O87" s="73"/>
      <c r="P87" s="73">
        <f>P85+(P36-P86)*$BA$1</f>
        <v>1544.2276575470516</v>
      </c>
      <c r="Q87" s="73">
        <f>Q85+(Q36-Q86)*$BA$1</f>
        <v>2052.7623534421109</v>
      </c>
      <c r="R87" s="73"/>
      <c r="S87" s="73">
        <f>S85+(S36-S86)*$BA$1</f>
        <v>1998.9829790940107</v>
      </c>
      <c r="T87" s="73">
        <f>T85+(T36-T86)*$BA$1</f>
        <v>1746.5994767135785</v>
      </c>
      <c r="U87" s="73"/>
      <c r="V87" s="73">
        <f>V85+(V36-V86)*$BA$1</f>
        <v>1527.8930066414046</v>
      </c>
      <c r="W87" s="73">
        <f>W85+(W36-W86)*$BA$1</f>
        <v>1872.396992803401</v>
      </c>
      <c r="X87" s="73"/>
      <c r="Y87" s="73">
        <f>Y85+(Y36-Y86)*$BA$1</f>
        <v>1986.8442842578486</v>
      </c>
      <c r="Z87" s="73">
        <f>Z85+(Z36-Z86)*$BA$1</f>
        <v>1524.91900289658</v>
      </c>
      <c r="AA87" s="73"/>
      <c r="AB87" s="73">
        <f>AB85+(AB36-AB86)*$BA$1</f>
        <v>2055.7363571869355</v>
      </c>
      <c r="AC87" s="73">
        <f>AC85+(AC36-AC86)*$BA$1</f>
        <v>1861.2917168384377</v>
      </c>
      <c r="AD87" s="73"/>
      <c r="AE87" s="73">
        <f>AE85+(AE36-AE86)*$BA$1</f>
        <v>1757.7047526785418</v>
      </c>
      <c r="AF87" s="74"/>
      <c r="AG87" s="75"/>
      <c r="AH87" s="75"/>
      <c r="AI87" s="75"/>
      <c r="AJ87" s="75"/>
      <c r="AK87" s="75"/>
      <c r="AL87" s="75"/>
      <c r="AM87" s="75"/>
      <c r="AN87" s="76"/>
      <c r="AO87" s="76"/>
      <c r="AP87" s="76"/>
      <c r="AQ87" s="76"/>
      <c r="AW87" s="78"/>
      <c r="BB87" s="78"/>
    </row>
    <row r="88" spans="1:54" s="77" customFormat="1" hidden="1" x14ac:dyDescent="0.2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4"/>
      <c r="AG88" s="75"/>
      <c r="AH88" s="75"/>
      <c r="AI88" s="75"/>
      <c r="AJ88" s="75"/>
      <c r="AK88" s="75"/>
      <c r="AL88" s="75"/>
      <c r="AM88" s="75"/>
      <c r="AN88" s="76"/>
      <c r="AO88" s="76"/>
      <c r="AP88" s="76"/>
      <c r="AQ88" s="76"/>
      <c r="AW88" s="78"/>
      <c r="BB88" s="78"/>
    </row>
    <row r="89" spans="1:54" s="61" customFormat="1" x14ac:dyDescent="0.2">
      <c r="A89" s="790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790"/>
      <c r="C89" s="790"/>
      <c r="D89" s="790"/>
      <c r="E89" s="790"/>
      <c r="F89" s="790"/>
      <c r="G89" s="790"/>
      <c r="H89" s="790"/>
      <c r="I89" s="790"/>
      <c r="J89" s="790"/>
      <c r="K89" s="790"/>
      <c r="L89" s="790"/>
      <c r="M89" s="790"/>
      <c r="N89" s="790"/>
      <c r="O89" s="790"/>
      <c r="P89" s="790"/>
      <c r="Q89" s="790"/>
      <c r="R89" s="790"/>
      <c r="S89" s="790"/>
      <c r="T89" s="790"/>
      <c r="U89" s="790"/>
      <c r="V89" s="790"/>
      <c r="W89" s="790"/>
      <c r="X89" s="790"/>
      <c r="Y89" s="790"/>
      <c r="Z89" s="790"/>
      <c r="AA89" s="790"/>
      <c r="AB89" s="790"/>
      <c r="AC89" s="790"/>
      <c r="AD89" s="790"/>
      <c r="AE89" s="790"/>
      <c r="AF89" s="790"/>
      <c r="AG89" s="790"/>
      <c r="AH89" s="790"/>
      <c r="AI89" s="790"/>
      <c r="AJ89" s="790"/>
      <c r="AK89" s="790"/>
      <c r="AL89" s="790"/>
      <c r="AM89" s="790"/>
      <c r="AN89" s="768"/>
      <c r="AO89" s="768"/>
      <c r="AP89" s="768"/>
      <c r="AQ89" s="768"/>
      <c r="AW89" s="65"/>
    </row>
    <row r="90" spans="1:54" s="61" customFormat="1" ht="13.5" thickBot="1" x14ac:dyDescent="0.25">
      <c r="A90" s="791"/>
      <c r="B90" s="791"/>
      <c r="C90" s="791"/>
      <c r="D90" s="791"/>
      <c r="E90" s="791"/>
      <c r="F90" s="791"/>
      <c r="G90" s="791"/>
      <c r="H90" s="791"/>
      <c r="I90" s="791"/>
      <c r="J90" s="791"/>
      <c r="K90" s="791"/>
      <c r="L90" s="791"/>
      <c r="M90" s="791"/>
      <c r="N90" s="791"/>
      <c r="O90" s="791"/>
      <c r="P90" s="791"/>
      <c r="Q90" s="791"/>
      <c r="R90" s="791"/>
      <c r="S90" s="791"/>
      <c r="T90" s="791"/>
      <c r="U90" s="791"/>
      <c r="V90" s="791"/>
      <c r="W90" s="791"/>
      <c r="X90" s="791"/>
      <c r="Y90" s="791"/>
      <c r="Z90" s="791"/>
      <c r="AA90" s="791"/>
      <c r="AB90" s="791"/>
      <c r="AC90" s="791"/>
      <c r="AD90" s="791"/>
      <c r="AE90" s="791"/>
      <c r="AF90" s="791"/>
      <c r="AG90" s="791"/>
      <c r="AH90" s="791"/>
      <c r="AI90" s="791"/>
      <c r="AJ90" s="791"/>
      <c r="AK90" s="791"/>
      <c r="AL90" s="791"/>
      <c r="AM90" s="791"/>
      <c r="AN90" s="791"/>
      <c r="AO90" s="791"/>
      <c r="AP90" s="791"/>
      <c r="AQ90" s="791"/>
      <c r="AT90" s="4"/>
      <c r="AU90" s="4"/>
      <c r="AV90" s="4"/>
      <c r="AW90" s="65"/>
    </row>
    <row r="91" spans="1:54" ht="24" customHeight="1" thickBot="1" x14ac:dyDescent="0.25">
      <c r="A91" s="22" t="s">
        <v>22</v>
      </c>
      <c r="B91" s="23" t="s">
        <v>92</v>
      </c>
      <c r="C91" s="862" t="s">
        <v>1183</v>
      </c>
      <c r="D91" s="863"/>
      <c r="E91" s="863"/>
      <c r="F91" s="863"/>
      <c r="G91" s="863"/>
      <c r="H91" s="864"/>
      <c r="I91" s="865">
        <v>2</v>
      </c>
      <c r="J91" s="866"/>
      <c r="K91" s="867" t="str">
        <f>"Pool "&amp;B91&amp;" - Round 1 - Court "&amp;I91</f>
        <v>Pool B - Round 1 - Court 2</v>
      </c>
      <c r="L91" s="868"/>
      <c r="M91" s="868"/>
      <c r="N91" s="868"/>
      <c r="O91" s="868"/>
      <c r="P91" s="868"/>
      <c r="Q91" s="868"/>
      <c r="R91" s="868"/>
      <c r="S91" s="868"/>
      <c r="T91" s="868"/>
      <c r="U91" s="868"/>
      <c r="V91" s="868"/>
      <c r="W91" s="868"/>
      <c r="X91" s="868"/>
      <c r="Y91" s="868"/>
      <c r="Z91" s="868"/>
      <c r="AA91" s="868"/>
      <c r="AB91" s="868"/>
      <c r="AC91" s="868"/>
      <c r="AD91" s="868"/>
      <c r="AE91" s="868"/>
      <c r="AF91" s="868"/>
      <c r="AG91" s="868"/>
      <c r="AH91" s="868"/>
      <c r="AI91" s="869"/>
      <c r="AJ91" s="11"/>
      <c r="AK91" s="11"/>
      <c r="AL91" s="11"/>
      <c r="AM91" s="11"/>
      <c r="AN91" s="11"/>
      <c r="AO91" s="11"/>
      <c r="AP91" s="11"/>
      <c r="AQ91" s="11"/>
    </row>
    <row r="92" spans="1:54" ht="27" customHeight="1" thickBot="1" x14ac:dyDescent="0.25">
      <c r="A92" s="24" t="s">
        <v>25</v>
      </c>
      <c r="B92" s="870" t="s">
        <v>7</v>
      </c>
      <c r="C92" s="871"/>
      <c r="D92" s="871"/>
      <c r="E92" s="871"/>
      <c r="F92" s="871"/>
      <c r="G92" s="871"/>
      <c r="H92" s="871"/>
      <c r="I92" s="871"/>
      <c r="J92" s="871"/>
      <c r="K92" s="871"/>
      <c r="L92" s="870" t="str">
        <f>IF($AK95=0,"Games Won","Matches Won")</f>
        <v>Games Won</v>
      </c>
      <c r="M92" s="871"/>
      <c r="N92" s="871"/>
      <c r="O92" s="871"/>
      <c r="P92" s="871"/>
      <c r="Q92" s="872"/>
      <c r="R92" s="870" t="str">
        <f>IF($AK95=0,"Games Lost","Matches Lost")</f>
        <v>Games Lost</v>
      </c>
      <c r="S92" s="873"/>
      <c r="T92" s="873"/>
      <c r="U92" s="873"/>
      <c r="V92" s="874"/>
      <c r="W92" s="875" t="s">
        <v>26</v>
      </c>
      <c r="X92" s="876"/>
      <c r="Y92" s="877"/>
      <c r="Z92" s="875" t="s">
        <v>27</v>
      </c>
      <c r="AA92" s="876"/>
      <c r="AB92" s="877"/>
      <c r="AC92" s="878" t="s">
        <v>28</v>
      </c>
      <c r="AD92" s="879"/>
      <c r="AE92" s="880"/>
      <c r="AF92" s="25" t="s">
        <v>29</v>
      </c>
      <c r="AG92" s="26" t="s">
        <v>6</v>
      </c>
      <c r="AH92" s="860" t="s">
        <v>30</v>
      </c>
      <c r="AI92" s="861"/>
      <c r="AJ92" s="27"/>
      <c r="AK92" s="28">
        <v>2</v>
      </c>
      <c r="AL92" s="29" t="s">
        <v>31</v>
      </c>
      <c r="AM92" s="29"/>
      <c r="AN92" s="29"/>
      <c r="AO92" s="29"/>
      <c r="AP92" s="29"/>
      <c r="AQ92" s="29"/>
      <c r="AR92" s="30"/>
    </row>
    <row r="93" spans="1:54" ht="18.75" customHeight="1" x14ac:dyDescent="0.2">
      <c r="A93" s="829" t="str">
        <f>IF($AK94&gt;0,"1","")</f>
        <v>1</v>
      </c>
      <c r="B93" s="857" t="s">
        <v>7</v>
      </c>
      <c r="C93" s="858"/>
      <c r="D93" s="859"/>
      <c r="E93" s="833" t="str">
        <f>AU4</f>
        <v>Chas Jrs 13 Blue</v>
      </c>
      <c r="F93" s="834"/>
      <c r="G93" s="834"/>
      <c r="H93" s="834"/>
      <c r="I93" s="834"/>
      <c r="J93" s="834"/>
      <c r="K93" s="835"/>
      <c r="L93" s="836">
        <f>IF($AK95=0,AF149,AF131)</f>
        <v>5</v>
      </c>
      <c r="M93" s="837"/>
      <c r="N93" s="837"/>
      <c r="O93" s="837"/>
      <c r="P93" s="837"/>
      <c r="Q93" s="872"/>
      <c r="R93" s="836">
        <f>IF($AK95=0,AG149,AG131)</f>
        <v>3</v>
      </c>
      <c r="S93" s="837"/>
      <c r="T93" s="837"/>
      <c r="U93" s="837"/>
      <c r="V93" s="837"/>
      <c r="W93" s="836">
        <f>AQ109</f>
        <v>8</v>
      </c>
      <c r="X93" s="837"/>
      <c r="Y93" s="837"/>
      <c r="Z93" s="809">
        <f>IF(AF143&gt;0,(AQ109/AF143),0)</f>
        <v>0.04</v>
      </c>
      <c r="AA93" s="810"/>
      <c r="AB93" s="810"/>
      <c r="AC93" s="813">
        <f>IF(AF157=0,0,(AF149/AF157))</f>
        <v>0.625</v>
      </c>
      <c r="AD93" s="814"/>
      <c r="AE93" s="815"/>
      <c r="AF93" s="819">
        <v>2</v>
      </c>
      <c r="AG93" s="819">
        <v>1</v>
      </c>
      <c r="AH93" s="821">
        <v>5</v>
      </c>
      <c r="AI93" s="822"/>
      <c r="AJ93" s="27"/>
      <c r="AK93" s="28">
        <v>10</v>
      </c>
      <c r="AL93" s="29" t="s">
        <v>32</v>
      </c>
      <c r="AM93" s="29"/>
      <c r="AN93" s="29"/>
      <c r="AO93" s="29"/>
      <c r="AP93" s="29"/>
      <c r="AQ93" s="29"/>
      <c r="AR93" s="30"/>
    </row>
    <row r="94" spans="1:54" ht="18.75" customHeight="1" thickBot="1" x14ac:dyDescent="0.25">
      <c r="A94" s="830"/>
      <c r="B94" s="854" t="s">
        <v>8</v>
      </c>
      <c r="C94" s="855"/>
      <c r="D94" s="856"/>
      <c r="E94" s="850" t="str">
        <f>AV4</f>
        <v>fj3charl2pm</v>
      </c>
      <c r="F94" s="851"/>
      <c r="G94" s="851"/>
      <c r="H94" s="851"/>
      <c r="I94" s="851"/>
      <c r="J94" s="851"/>
      <c r="K94" s="851"/>
      <c r="L94" s="852"/>
      <c r="M94" s="853"/>
      <c r="N94" s="853"/>
      <c r="O94" s="853"/>
      <c r="P94" s="853"/>
      <c r="Q94" s="872"/>
      <c r="R94" s="852"/>
      <c r="S94" s="853"/>
      <c r="T94" s="853"/>
      <c r="U94" s="853"/>
      <c r="V94" s="853"/>
      <c r="W94" s="852"/>
      <c r="X94" s="853"/>
      <c r="Y94" s="853"/>
      <c r="Z94" s="840"/>
      <c r="AA94" s="841"/>
      <c r="AB94" s="841"/>
      <c r="AC94" s="842"/>
      <c r="AD94" s="843"/>
      <c r="AE94" s="844"/>
      <c r="AF94" s="845"/>
      <c r="AG94" s="845"/>
      <c r="AH94" s="846"/>
      <c r="AI94" s="847"/>
      <c r="AJ94" s="27"/>
      <c r="AK94" s="28">
        <v>5</v>
      </c>
      <c r="AL94" s="29" t="s">
        <v>33</v>
      </c>
      <c r="AM94" s="27"/>
      <c r="AN94" s="27"/>
      <c r="AO94" s="27"/>
      <c r="AP94" s="27"/>
      <c r="AQ94" s="27"/>
      <c r="AR94" s="3"/>
    </row>
    <row r="95" spans="1:54" ht="18.75" customHeight="1" x14ac:dyDescent="0.2">
      <c r="A95" s="829" t="str">
        <f>IF($AK94&gt;1,"2","")</f>
        <v>2</v>
      </c>
      <c r="B95" s="857" t="s">
        <v>7</v>
      </c>
      <c r="C95" s="858"/>
      <c r="D95" s="859"/>
      <c r="E95" s="833" t="str">
        <f>AU9</f>
        <v>CSRA Heat 13 Black</v>
      </c>
      <c r="F95" s="834"/>
      <c r="G95" s="834"/>
      <c r="H95" s="834"/>
      <c r="I95" s="834"/>
      <c r="J95" s="834"/>
      <c r="K95" s="835"/>
      <c r="L95" s="836">
        <f>IF($AK95=0,AF150,AF132)</f>
        <v>1</v>
      </c>
      <c r="M95" s="837"/>
      <c r="N95" s="837"/>
      <c r="O95" s="837"/>
      <c r="P95" s="837"/>
      <c r="Q95" s="872"/>
      <c r="R95" s="836">
        <f>IF($AK95=0,AG150,AG132)</f>
        <v>7</v>
      </c>
      <c r="S95" s="837"/>
      <c r="T95" s="837"/>
      <c r="U95" s="837"/>
      <c r="V95" s="837"/>
      <c r="W95" s="836">
        <f>AQ110</f>
        <v>-47</v>
      </c>
      <c r="X95" s="837"/>
      <c r="Y95" s="837"/>
      <c r="Z95" s="809">
        <f>IF(AF144&gt;0,(AQ110/AF144),0)</f>
        <v>-0.23267326732673269</v>
      </c>
      <c r="AA95" s="810"/>
      <c r="AB95" s="810"/>
      <c r="AC95" s="813">
        <f>IF(AF158=0,0,(AF150/AF158))</f>
        <v>0.125</v>
      </c>
      <c r="AD95" s="814"/>
      <c r="AE95" s="815"/>
      <c r="AF95" s="819">
        <v>5</v>
      </c>
      <c r="AG95" s="819">
        <v>1</v>
      </c>
      <c r="AH95" s="821">
        <v>17</v>
      </c>
      <c r="AI95" s="822"/>
      <c r="AJ95" s="27"/>
      <c r="AK95" s="28">
        <v>0</v>
      </c>
      <c r="AL95" s="29" t="s">
        <v>34</v>
      </c>
      <c r="AM95" s="29"/>
      <c r="AN95" s="29"/>
      <c r="AO95" s="29"/>
      <c r="AP95" s="29"/>
      <c r="AQ95" s="29"/>
      <c r="AR95" s="30"/>
    </row>
    <row r="96" spans="1:54" ht="18.75" customHeight="1" thickBot="1" x14ac:dyDescent="0.25">
      <c r="A96" s="830"/>
      <c r="B96" s="848" t="s">
        <v>8</v>
      </c>
      <c r="C96" s="849"/>
      <c r="D96" s="849"/>
      <c r="E96" s="850" t="str">
        <f>AV9</f>
        <v>fj3csrah2pm</v>
      </c>
      <c r="F96" s="851"/>
      <c r="G96" s="851"/>
      <c r="H96" s="851"/>
      <c r="I96" s="851"/>
      <c r="J96" s="851"/>
      <c r="K96" s="851"/>
      <c r="L96" s="852"/>
      <c r="M96" s="853"/>
      <c r="N96" s="853"/>
      <c r="O96" s="853"/>
      <c r="P96" s="853"/>
      <c r="Q96" s="872"/>
      <c r="R96" s="852"/>
      <c r="S96" s="853"/>
      <c r="T96" s="853"/>
      <c r="U96" s="853"/>
      <c r="V96" s="853"/>
      <c r="W96" s="852"/>
      <c r="X96" s="853"/>
      <c r="Y96" s="853"/>
      <c r="Z96" s="840"/>
      <c r="AA96" s="841"/>
      <c r="AB96" s="841"/>
      <c r="AC96" s="842"/>
      <c r="AD96" s="843"/>
      <c r="AE96" s="844"/>
      <c r="AF96" s="845"/>
      <c r="AG96" s="845"/>
      <c r="AH96" s="846"/>
      <c r="AI96" s="847"/>
      <c r="AJ96" s="27"/>
      <c r="AK96" s="28">
        <v>1</v>
      </c>
      <c r="AL96" s="29" t="s">
        <v>35</v>
      </c>
      <c r="AM96" s="27"/>
      <c r="AN96" s="27"/>
      <c r="AO96" s="27"/>
      <c r="AP96" s="27"/>
      <c r="AQ96" s="27"/>
      <c r="AR96" s="3"/>
    </row>
    <row r="97" spans="1:44" ht="18.75" customHeight="1" x14ac:dyDescent="0.2">
      <c r="A97" s="829" t="str">
        <f>IF($AK94&gt;2,"3","")</f>
        <v>3</v>
      </c>
      <c r="B97" s="831" t="s">
        <v>7</v>
      </c>
      <c r="C97" s="832"/>
      <c r="D97" s="832"/>
      <c r="E97" s="833" t="str">
        <f>AU12</f>
        <v>SOAR WINGS 13U</v>
      </c>
      <c r="F97" s="834"/>
      <c r="G97" s="834"/>
      <c r="H97" s="834"/>
      <c r="I97" s="834"/>
      <c r="J97" s="834"/>
      <c r="K97" s="835"/>
      <c r="L97" s="836">
        <f>IF($AK95=0,AF151,AF133)</f>
        <v>3</v>
      </c>
      <c r="M97" s="837"/>
      <c r="N97" s="837"/>
      <c r="O97" s="837"/>
      <c r="P97" s="837"/>
      <c r="Q97" s="872"/>
      <c r="R97" s="836">
        <f>IF($AK95=0,AG151,AG133)</f>
        <v>5</v>
      </c>
      <c r="S97" s="837"/>
      <c r="T97" s="837"/>
      <c r="U97" s="837"/>
      <c r="V97" s="837"/>
      <c r="W97" s="836">
        <f>AQ111</f>
        <v>-8</v>
      </c>
      <c r="X97" s="837"/>
      <c r="Y97" s="837"/>
      <c r="Z97" s="809">
        <f>IF(AF145&gt;0,(AQ111/AF145),0)</f>
        <v>-0.04</v>
      </c>
      <c r="AA97" s="810"/>
      <c r="AB97" s="810"/>
      <c r="AC97" s="813">
        <f>IF(AF159=0,0,(AF151/AF159))</f>
        <v>0.375</v>
      </c>
      <c r="AD97" s="814"/>
      <c r="AE97" s="815"/>
      <c r="AF97" s="819">
        <v>4</v>
      </c>
      <c r="AG97" s="819">
        <v>3</v>
      </c>
      <c r="AH97" s="821">
        <v>13</v>
      </c>
      <c r="AI97" s="822"/>
      <c r="AJ97" s="36"/>
      <c r="AK97" s="28">
        <v>8</v>
      </c>
      <c r="AL97" s="37" t="s">
        <v>36</v>
      </c>
      <c r="AM97" s="29"/>
      <c r="AN97" s="29"/>
      <c r="AO97" s="29"/>
      <c r="AP97" s="29"/>
      <c r="AQ97" s="29"/>
      <c r="AR97" s="30"/>
    </row>
    <row r="98" spans="1:44" ht="18.75" customHeight="1" thickBot="1" x14ac:dyDescent="0.25">
      <c r="A98" s="830"/>
      <c r="B98" s="848" t="s">
        <v>8</v>
      </c>
      <c r="C98" s="849"/>
      <c r="D98" s="849"/>
      <c r="E98" s="850" t="str">
        <f>AV12</f>
        <v>fj3soarj1pm</v>
      </c>
      <c r="F98" s="851"/>
      <c r="G98" s="851"/>
      <c r="H98" s="851"/>
      <c r="I98" s="851"/>
      <c r="J98" s="851"/>
      <c r="K98" s="851"/>
      <c r="L98" s="852"/>
      <c r="M98" s="853"/>
      <c r="N98" s="853"/>
      <c r="O98" s="853"/>
      <c r="P98" s="853"/>
      <c r="Q98" s="872"/>
      <c r="R98" s="852"/>
      <c r="S98" s="853"/>
      <c r="T98" s="853"/>
      <c r="U98" s="853"/>
      <c r="V98" s="853"/>
      <c r="W98" s="852"/>
      <c r="X98" s="853"/>
      <c r="Y98" s="853"/>
      <c r="Z98" s="840"/>
      <c r="AA98" s="841"/>
      <c r="AB98" s="841"/>
      <c r="AC98" s="842"/>
      <c r="AD98" s="843"/>
      <c r="AE98" s="844"/>
      <c r="AF98" s="845"/>
      <c r="AG98" s="845"/>
      <c r="AH98" s="846"/>
      <c r="AI98" s="847"/>
      <c r="AJ98" s="36"/>
      <c r="AK98" s="38"/>
      <c r="AL98" s="39"/>
      <c r="AM98" s="39"/>
      <c r="AN98" s="39"/>
      <c r="AO98" s="39"/>
      <c r="AP98" s="39"/>
      <c r="AQ98" s="27"/>
      <c r="AR98" s="3"/>
    </row>
    <row r="99" spans="1:44" ht="18.75" customHeight="1" x14ac:dyDescent="0.2">
      <c r="A99" s="829" t="str">
        <f>IF($AK94&gt;3,"4","")</f>
        <v>4</v>
      </c>
      <c r="B99" s="831" t="s">
        <v>7</v>
      </c>
      <c r="C99" s="832"/>
      <c r="D99" s="832"/>
      <c r="E99" s="833" t="str">
        <f>AU17</f>
        <v>MBVC 14 Black</v>
      </c>
      <c r="F99" s="834"/>
      <c r="G99" s="834"/>
      <c r="H99" s="834"/>
      <c r="I99" s="834"/>
      <c r="J99" s="834"/>
      <c r="K99" s="835"/>
      <c r="L99" s="836">
        <f>IF($AK95=0,AF152,AF134)</f>
        <v>3</v>
      </c>
      <c r="M99" s="837"/>
      <c r="N99" s="837"/>
      <c r="O99" s="837"/>
      <c r="P99" s="837"/>
      <c r="Q99" s="872"/>
      <c r="R99" s="836">
        <f>IF($AK95=0,AG152,AG134)</f>
        <v>5</v>
      </c>
      <c r="S99" s="837"/>
      <c r="T99" s="837"/>
      <c r="U99" s="837"/>
      <c r="V99" s="837"/>
      <c r="W99" s="836">
        <f>AQ112</f>
        <v>-15</v>
      </c>
      <c r="X99" s="837"/>
      <c r="Y99" s="837"/>
      <c r="Z99" s="809">
        <f>IF(AF146&gt;0,(AQ112/AF146),0)</f>
        <v>-7.4257425742574254E-2</v>
      </c>
      <c r="AA99" s="810"/>
      <c r="AB99" s="810"/>
      <c r="AC99" s="813">
        <f>IF(AF160=0,0,(AF152/AF160))</f>
        <v>0.375</v>
      </c>
      <c r="AD99" s="814"/>
      <c r="AE99" s="815"/>
      <c r="AF99" s="819">
        <v>3</v>
      </c>
      <c r="AG99" s="819">
        <v>3</v>
      </c>
      <c r="AH99" s="821">
        <v>10</v>
      </c>
      <c r="AI99" s="822"/>
      <c r="AJ99" s="11"/>
      <c r="AK99" s="39"/>
      <c r="AL99" s="39"/>
      <c r="AM99" s="39"/>
      <c r="AN99" s="39"/>
      <c r="AO99" s="39"/>
      <c r="AP99" s="39"/>
      <c r="AQ99" s="29"/>
      <c r="AR99" s="30"/>
    </row>
    <row r="100" spans="1:44" ht="18.75" customHeight="1" thickBot="1" x14ac:dyDescent="0.25">
      <c r="A100" s="830"/>
      <c r="B100" s="848" t="s">
        <v>8</v>
      </c>
      <c r="C100" s="849"/>
      <c r="D100" s="849"/>
      <c r="E100" s="850" t="str">
        <f>AV17</f>
        <v>fj4mbeac1pm</v>
      </c>
      <c r="F100" s="851"/>
      <c r="G100" s="851"/>
      <c r="H100" s="851"/>
      <c r="I100" s="851"/>
      <c r="J100" s="851"/>
      <c r="K100" s="851"/>
      <c r="L100" s="852"/>
      <c r="M100" s="853"/>
      <c r="N100" s="853"/>
      <c r="O100" s="853"/>
      <c r="P100" s="853"/>
      <c r="Q100" s="872"/>
      <c r="R100" s="852"/>
      <c r="S100" s="853"/>
      <c r="T100" s="853"/>
      <c r="U100" s="853"/>
      <c r="V100" s="853"/>
      <c r="W100" s="852"/>
      <c r="X100" s="853"/>
      <c r="Y100" s="853"/>
      <c r="Z100" s="840"/>
      <c r="AA100" s="841"/>
      <c r="AB100" s="841"/>
      <c r="AC100" s="842"/>
      <c r="AD100" s="843"/>
      <c r="AE100" s="844"/>
      <c r="AF100" s="845"/>
      <c r="AG100" s="845"/>
      <c r="AH100" s="846"/>
      <c r="AI100" s="847"/>
      <c r="AJ100" s="11"/>
      <c r="AK100" s="39"/>
      <c r="AL100" s="39"/>
      <c r="AM100" s="39"/>
      <c r="AN100" s="39"/>
      <c r="AO100" s="39"/>
      <c r="AP100" s="39"/>
      <c r="AQ100" s="11"/>
      <c r="AR100" s="3"/>
    </row>
    <row r="101" spans="1:44" ht="18.75" customHeight="1" x14ac:dyDescent="0.2">
      <c r="A101" s="829" t="str">
        <f>IF($AK94&gt;4,"5","")</f>
        <v>5</v>
      </c>
      <c r="B101" s="831" t="s">
        <v>7</v>
      </c>
      <c r="C101" s="832"/>
      <c r="D101" s="832"/>
      <c r="E101" s="833" t="str">
        <f>AU20</f>
        <v>C1VB 12 Reg Black Pickens</v>
      </c>
      <c r="F101" s="834"/>
      <c r="G101" s="834"/>
      <c r="H101" s="834"/>
      <c r="I101" s="834"/>
      <c r="J101" s="834"/>
      <c r="K101" s="835"/>
      <c r="L101" s="836">
        <f>IF($AK95=0,AF153,AF135)</f>
        <v>8</v>
      </c>
      <c r="M101" s="837"/>
      <c r="N101" s="837"/>
      <c r="O101" s="837"/>
      <c r="P101" s="837"/>
      <c r="Q101" s="872"/>
      <c r="R101" s="836">
        <f>IF($AK95=0,AG153,AG135)</f>
        <v>0</v>
      </c>
      <c r="S101" s="837"/>
      <c r="T101" s="837"/>
      <c r="U101" s="837"/>
      <c r="V101" s="837"/>
      <c r="W101" s="836">
        <f>AQ113</f>
        <v>62</v>
      </c>
      <c r="X101" s="837"/>
      <c r="Y101" s="837"/>
      <c r="Z101" s="809">
        <f>IF(AF147&gt;0,(AQ113/AF147),0)</f>
        <v>0.31</v>
      </c>
      <c r="AA101" s="810"/>
      <c r="AB101" s="810"/>
      <c r="AC101" s="813">
        <f>IF(AF161=0,0,(AF153/AF161))</f>
        <v>1</v>
      </c>
      <c r="AD101" s="814"/>
      <c r="AE101" s="815"/>
      <c r="AF101" s="819">
        <v>1</v>
      </c>
      <c r="AG101" s="819">
        <v>1</v>
      </c>
      <c r="AH101" s="821">
        <v>1</v>
      </c>
      <c r="AI101" s="822"/>
      <c r="AJ101" s="11"/>
      <c r="AK101" s="39"/>
      <c r="AL101" s="39"/>
      <c r="AM101" s="39"/>
      <c r="AN101" s="39"/>
      <c r="AO101" s="39"/>
      <c r="AP101" s="39"/>
      <c r="AQ101" s="11"/>
      <c r="AR101" s="3"/>
    </row>
    <row r="102" spans="1:44" ht="18.75" customHeight="1" thickBot="1" x14ac:dyDescent="0.25">
      <c r="A102" s="830"/>
      <c r="B102" s="825" t="s">
        <v>8</v>
      </c>
      <c r="C102" s="826"/>
      <c r="D102" s="826"/>
      <c r="E102" s="827" t="str">
        <f>AV20</f>
        <v>fj2crone2pm</v>
      </c>
      <c r="F102" s="828"/>
      <c r="G102" s="828"/>
      <c r="H102" s="828"/>
      <c r="I102" s="828"/>
      <c r="J102" s="828"/>
      <c r="K102" s="828"/>
      <c r="L102" s="838"/>
      <c r="M102" s="839"/>
      <c r="N102" s="839"/>
      <c r="O102" s="839"/>
      <c r="P102" s="839"/>
      <c r="Q102" s="872"/>
      <c r="R102" s="838"/>
      <c r="S102" s="839"/>
      <c r="T102" s="839"/>
      <c r="U102" s="839"/>
      <c r="V102" s="839"/>
      <c r="W102" s="838"/>
      <c r="X102" s="839"/>
      <c r="Y102" s="839"/>
      <c r="Z102" s="811"/>
      <c r="AA102" s="812"/>
      <c r="AB102" s="812"/>
      <c r="AC102" s="816"/>
      <c r="AD102" s="817"/>
      <c r="AE102" s="818"/>
      <c r="AF102" s="820"/>
      <c r="AG102" s="820"/>
      <c r="AH102" s="823"/>
      <c r="AI102" s="824"/>
      <c r="AJ102" s="11"/>
      <c r="AK102" s="39"/>
      <c r="AL102" s="39"/>
      <c r="AM102" s="39"/>
      <c r="AN102" s="39"/>
      <c r="AO102" s="39"/>
      <c r="AP102" s="39"/>
      <c r="AQ102" s="11"/>
      <c r="AR102" s="3"/>
    </row>
    <row r="103" spans="1:44" ht="21" customHeight="1" thickTop="1" thickBot="1" x14ac:dyDescent="0.25">
      <c r="A103" s="40"/>
      <c r="B103" s="806" t="s">
        <v>38</v>
      </c>
      <c r="C103" s="807"/>
      <c r="D103" s="807"/>
      <c r="E103" s="807"/>
      <c r="F103" s="807"/>
      <c r="G103" s="807"/>
      <c r="H103" s="807"/>
      <c r="I103" s="807"/>
      <c r="J103" s="807"/>
      <c r="K103" s="807"/>
      <c r="L103" s="807"/>
      <c r="M103" s="807"/>
      <c r="N103" s="807"/>
      <c r="O103" s="807"/>
      <c r="P103" s="807"/>
      <c r="Q103" s="807"/>
      <c r="R103" s="807"/>
      <c r="S103" s="807"/>
      <c r="T103" s="807"/>
      <c r="U103" s="807"/>
      <c r="V103" s="807"/>
      <c r="W103" s="807"/>
      <c r="X103" s="807"/>
      <c r="Y103" s="807"/>
      <c r="Z103" s="807"/>
      <c r="AA103" s="807"/>
      <c r="AB103" s="807"/>
      <c r="AC103" s="807"/>
      <c r="AD103" s="807"/>
      <c r="AE103" s="807"/>
      <c r="AF103" s="807"/>
      <c r="AG103" s="807"/>
      <c r="AH103" s="807"/>
      <c r="AI103" s="808"/>
      <c r="AJ103" s="11"/>
      <c r="AK103" s="39"/>
      <c r="AL103" s="39"/>
      <c r="AM103" s="39"/>
      <c r="AN103" s="39"/>
      <c r="AO103" s="39"/>
      <c r="AP103" s="39"/>
      <c r="AQ103" s="11"/>
      <c r="AR103" s="3"/>
    </row>
    <row r="104" spans="1:44" ht="13.5" thickTop="1" x14ac:dyDescent="0.2">
      <c r="A104" s="4" t="s">
        <v>39</v>
      </c>
      <c r="B104" s="795">
        <v>0.35416666666666669</v>
      </c>
      <c r="C104" s="796"/>
      <c r="D104" s="797"/>
      <c r="E104" s="795">
        <v>0.38194444444444442</v>
      </c>
      <c r="F104" s="796"/>
      <c r="G104" s="797"/>
      <c r="H104" s="795">
        <v>0.40972222222222227</v>
      </c>
      <c r="I104" s="796"/>
      <c r="J104" s="797"/>
      <c r="K104" s="795">
        <v>0.4375</v>
      </c>
      <c r="L104" s="796"/>
      <c r="M104" s="797"/>
      <c r="N104" s="795">
        <v>0.46527777777777773</v>
      </c>
      <c r="O104" s="796"/>
      <c r="P104" s="797"/>
      <c r="Q104" s="795">
        <v>0.49305555555555558</v>
      </c>
      <c r="R104" s="796"/>
      <c r="S104" s="797"/>
      <c r="T104" s="795">
        <v>0.52083333333333337</v>
      </c>
      <c r="U104" s="796"/>
      <c r="V104" s="797"/>
      <c r="W104" s="795">
        <v>4.8611111111111112E-2</v>
      </c>
      <c r="X104" s="796"/>
      <c r="Y104" s="797"/>
      <c r="Z104" s="795">
        <v>7.6388888888888895E-2</v>
      </c>
      <c r="AA104" s="796"/>
      <c r="AB104" s="797"/>
      <c r="AC104" s="795">
        <v>0.10416666666666667</v>
      </c>
      <c r="AD104" s="796"/>
      <c r="AE104" s="797"/>
      <c r="AF104" s="798" t="s">
        <v>40</v>
      </c>
      <c r="AG104" s="799"/>
      <c r="AH104" s="799"/>
      <c r="AI104" s="799"/>
      <c r="AJ104" s="800"/>
      <c r="AK104" s="800"/>
      <c r="AL104" s="800"/>
      <c r="AM104" s="800"/>
      <c r="AN104" s="800"/>
      <c r="AO104" s="800"/>
      <c r="AP104" s="800"/>
      <c r="AQ104" s="801"/>
    </row>
    <row r="105" spans="1:44" x14ac:dyDescent="0.2">
      <c r="A105" s="41" t="s">
        <v>41</v>
      </c>
      <c r="B105" s="792"/>
      <c r="C105" s="793"/>
      <c r="D105" s="794"/>
      <c r="E105" s="792"/>
      <c r="F105" s="793"/>
      <c r="G105" s="794"/>
      <c r="H105" s="792"/>
      <c r="I105" s="793"/>
      <c r="J105" s="794"/>
      <c r="K105" s="792"/>
      <c r="L105" s="793"/>
      <c r="M105" s="794"/>
      <c r="N105" s="792"/>
      <c r="O105" s="793"/>
      <c r="P105" s="794"/>
      <c r="Q105" s="792"/>
      <c r="R105" s="793"/>
      <c r="S105" s="794"/>
      <c r="T105" s="792"/>
      <c r="U105" s="793"/>
      <c r="V105" s="794"/>
      <c r="W105" s="792"/>
      <c r="X105" s="793"/>
      <c r="Y105" s="794"/>
      <c r="Z105" s="792"/>
      <c r="AA105" s="793"/>
      <c r="AB105" s="794"/>
      <c r="AC105" s="792"/>
      <c r="AD105" s="793"/>
      <c r="AE105" s="794"/>
      <c r="AF105" s="798"/>
      <c r="AG105" s="799"/>
      <c r="AH105" s="799"/>
      <c r="AI105" s="799"/>
      <c r="AJ105" s="799"/>
      <c r="AK105" s="799"/>
      <c r="AL105" s="799"/>
      <c r="AM105" s="799"/>
      <c r="AN105" s="799"/>
      <c r="AO105" s="799"/>
      <c r="AP105" s="799"/>
      <c r="AQ105" s="802"/>
    </row>
    <row r="106" spans="1:44" x14ac:dyDescent="0.2">
      <c r="A106" s="41" t="s">
        <v>42</v>
      </c>
      <c r="B106" s="792"/>
      <c r="C106" s="793"/>
      <c r="D106" s="794"/>
      <c r="E106" s="792"/>
      <c r="F106" s="793"/>
      <c r="G106" s="794"/>
      <c r="H106" s="792"/>
      <c r="I106" s="793"/>
      <c r="J106" s="794"/>
      <c r="K106" s="792"/>
      <c r="L106" s="793"/>
      <c r="M106" s="794"/>
      <c r="N106" s="792"/>
      <c r="O106" s="793"/>
      <c r="P106" s="794"/>
      <c r="Q106" s="792"/>
      <c r="R106" s="793"/>
      <c r="S106" s="794"/>
      <c r="T106" s="792"/>
      <c r="U106" s="793"/>
      <c r="V106" s="794"/>
      <c r="W106" s="792"/>
      <c r="X106" s="793"/>
      <c r="Y106" s="794"/>
      <c r="Z106" s="792"/>
      <c r="AA106" s="793"/>
      <c r="AB106" s="794"/>
      <c r="AC106" s="792"/>
      <c r="AD106" s="793"/>
      <c r="AE106" s="794"/>
      <c r="AF106" s="798"/>
      <c r="AG106" s="799"/>
      <c r="AH106" s="799"/>
      <c r="AI106" s="799"/>
      <c r="AJ106" s="799"/>
      <c r="AK106" s="799"/>
      <c r="AL106" s="799"/>
      <c r="AM106" s="799"/>
      <c r="AN106" s="799"/>
      <c r="AO106" s="799"/>
      <c r="AP106" s="799"/>
      <c r="AQ106" s="802"/>
    </row>
    <row r="107" spans="1:44" ht="13.5" thickBot="1" x14ac:dyDescent="0.25">
      <c r="A107" s="11"/>
      <c r="B107" s="684" t="s">
        <v>43</v>
      </c>
      <c r="C107" s="685"/>
      <c r="D107" s="691"/>
      <c r="E107" s="684" t="str">
        <f>IF(AK93&gt;1,"Match 2","")</f>
        <v>Match 2</v>
      </c>
      <c r="F107" s="685"/>
      <c r="G107" s="691"/>
      <c r="H107" s="684" t="str">
        <f>IF(AK93&gt;2,"Match 3","")</f>
        <v>Match 3</v>
      </c>
      <c r="I107" s="685"/>
      <c r="J107" s="691"/>
      <c r="K107" s="684" t="str">
        <f>IF(AK93&gt;3,"Match 4","")</f>
        <v>Match 4</v>
      </c>
      <c r="L107" s="685"/>
      <c r="M107" s="691"/>
      <c r="N107" s="684" t="str">
        <f>IF(AK93&gt;4,"Match 5","")</f>
        <v>Match 5</v>
      </c>
      <c r="O107" s="685"/>
      <c r="P107" s="691"/>
      <c r="Q107" s="684" t="str">
        <f>IF(AK93&gt;5,"Match 6","")</f>
        <v>Match 6</v>
      </c>
      <c r="R107" s="685"/>
      <c r="S107" s="691"/>
      <c r="T107" s="684" t="str">
        <f>IF(AK93&gt;6,"Match 7","")</f>
        <v>Match 7</v>
      </c>
      <c r="U107" s="685"/>
      <c r="V107" s="691"/>
      <c r="W107" s="684" t="str">
        <f>IF(AK93&gt;7,"Match 8","")</f>
        <v>Match 8</v>
      </c>
      <c r="X107" s="685"/>
      <c r="Y107" s="691"/>
      <c r="Z107" s="684" t="str">
        <f>IF(AK93&gt;8,"Match 9","")</f>
        <v>Match 9</v>
      </c>
      <c r="AA107" s="685"/>
      <c r="AB107" s="691"/>
      <c r="AC107" s="684" t="str">
        <f>IF(AK93&gt;9,"Match 10","")</f>
        <v>Match 10</v>
      </c>
      <c r="AD107" s="685"/>
      <c r="AE107" s="691"/>
      <c r="AF107" s="803"/>
      <c r="AG107" s="804"/>
      <c r="AH107" s="804"/>
      <c r="AI107" s="804"/>
      <c r="AJ107" s="804"/>
      <c r="AK107" s="804"/>
      <c r="AL107" s="804"/>
      <c r="AM107" s="804"/>
      <c r="AN107" s="804"/>
      <c r="AO107" s="804"/>
      <c r="AP107" s="804"/>
      <c r="AQ107" s="805"/>
    </row>
    <row r="108" spans="1:44" ht="15.75" x14ac:dyDescent="0.25">
      <c r="A108" s="11"/>
      <c r="B108" s="786" t="s">
        <v>44</v>
      </c>
      <c r="C108" s="787"/>
      <c r="D108" s="788"/>
      <c r="E108" s="786" t="s">
        <v>45</v>
      </c>
      <c r="F108" s="787"/>
      <c r="G108" s="788"/>
      <c r="H108" s="786" t="s">
        <v>46</v>
      </c>
      <c r="I108" s="787"/>
      <c r="J108" s="788"/>
      <c r="K108" s="786" t="s">
        <v>47</v>
      </c>
      <c r="L108" s="787"/>
      <c r="M108" s="788"/>
      <c r="N108" s="786" t="s">
        <v>48</v>
      </c>
      <c r="O108" s="787"/>
      <c r="P108" s="788"/>
      <c r="Q108" s="786" t="s">
        <v>46</v>
      </c>
      <c r="R108" s="787"/>
      <c r="S108" s="788"/>
      <c r="T108" s="786" t="s">
        <v>44</v>
      </c>
      <c r="U108" s="787"/>
      <c r="V108" s="788"/>
      <c r="W108" s="786" t="s">
        <v>48</v>
      </c>
      <c r="X108" s="787"/>
      <c r="Y108" s="788"/>
      <c r="Z108" s="786" t="s">
        <v>47</v>
      </c>
      <c r="AA108" s="787"/>
      <c r="AB108" s="788"/>
      <c r="AC108" s="786" t="s">
        <v>45</v>
      </c>
      <c r="AD108" s="787"/>
      <c r="AE108" s="788"/>
      <c r="AF108" s="42" t="s">
        <v>49</v>
      </c>
      <c r="AG108" s="43">
        <v>1</v>
      </c>
      <c r="AH108" s="43">
        <v>2</v>
      </c>
      <c r="AI108" s="43">
        <v>3</v>
      </c>
      <c r="AJ108" s="43">
        <v>4</v>
      </c>
      <c r="AK108" s="43">
        <v>5</v>
      </c>
      <c r="AL108" s="43">
        <v>6</v>
      </c>
      <c r="AM108" s="43">
        <v>7</v>
      </c>
      <c r="AN108" s="43">
        <v>8</v>
      </c>
      <c r="AO108" s="43">
        <v>9</v>
      </c>
      <c r="AP108" s="43">
        <v>10</v>
      </c>
      <c r="AQ108" s="44" t="s">
        <v>50</v>
      </c>
    </row>
    <row r="109" spans="1:44" ht="15.75" x14ac:dyDescent="0.25">
      <c r="A109" s="11"/>
      <c r="B109" s="45">
        <v>2</v>
      </c>
      <c r="C109" s="46" t="s">
        <v>51</v>
      </c>
      <c r="D109" s="47">
        <v>5</v>
      </c>
      <c r="E109" s="45">
        <v>1</v>
      </c>
      <c r="F109" s="46" t="str">
        <f>IF(AK93&gt;1,"v","")</f>
        <v>v</v>
      </c>
      <c r="G109" s="47">
        <v>4</v>
      </c>
      <c r="H109" s="45">
        <v>3</v>
      </c>
      <c r="I109" s="46" t="str">
        <f>IF(AK93&gt;2,"v","")</f>
        <v>v</v>
      </c>
      <c r="J109" s="47">
        <v>5</v>
      </c>
      <c r="K109" s="45">
        <v>2</v>
      </c>
      <c r="L109" s="46" t="str">
        <f>IF(AK93&gt;3,"v","")</f>
        <v>v</v>
      </c>
      <c r="M109" s="47">
        <v>4</v>
      </c>
      <c r="N109" s="45">
        <v>1</v>
      </c>
      <c r="O109" s="46" t="str">
        <f>IF(AK93&gt;4,"v","")</f>
        <v>v</v>
      </c>
      <c r="P109" s="47">
        <v>3</v>
      </c>
      <c r="Q109" s="45">
        <v>4</v>
      </c>
      <c r="R109" s="46" t="str">
        <f>IF(AK93&gt;5,"v","")</f>
        <v>v</v>
      </c>
      <c r="S109" s="47">
        <v>5</v>
      </c>
      <c r="T109" s="45">
        <v>2</v>
      </c>
      <c r="U109" s="46" t="str">
        <f>IF(AK93&gt;6,"v","")</f>
        <v>v</v>
      </c>
      <c r="V109" s="47">
        <v>3</v>
      </c>
      <c r="W109" s="45">
        <v>1</v>
      </c>
      <c r="X109" s="46" t="str">
        <f>IF(AK93&gt;7,"v","")</f>
        <v>v</v>
      </c>
      <c r="Y109" s="47">
        <v>5</v>
      </c>
      <c r="Z109" s="45">
        <v>3</v>
      </c>
      <c r="AA109" s="46" t="str">
        <f>IF(AK93&gt;8,"v","")</f>
        <v>v</v>
      </c>
      <c r="AB109" s="47">
        <v>4</v>
      </c>
      <c r="AC109" s="45">
        <v>1</v>
      </c>
      <c r="AD109" s="46" t="str">
        <f>IF(AK93&gt;9,"v","")</f>
        <v>v</v>
      </c>
      <c r="AE109" s="47">
        <v>2</v>
      </c>
      <c r="AF109" s="42" t="str">
        <f>IF(AK94&gt;0,"Team 1","")</f>
        <v>Team 1</v>
      </c>
      <c r="AG109" s="48" t="str">
        <f>IF(AK94&lt;1,"",IF(AK93&lt;1,"",IF(B109=1,B115-D115,IF(D109=1,D115-B115,""))))</f>
        <v/>
      </c>
      <c r="AH109" s="48">
        <f>IF(AK94&lt;1,"",IF(AK93&lt;2,"",IF(E109=1,E115-G115,IF(G109=1,G115-E115,""))))</f>
        <v>1</v>
      </c>
      <c r="AI109" s="48" t="str">
        <f>IF(AK94&lt;1,"",IF(AK93&lt;3,"",IF(H109=1,H115-J115,IF(J109=1,J115-H115,""))))</f>
        <v/>
      </c>
      <c r="AJ109" s="48" t="str">
        <f>IF(AK94&lt;1,"",IF(AK93&lt;4,"",IF(K109=1,K115-M115,IF(M109=1,M115-K115,""))))</f>
        <v/>
      </c>
      <c r="AK109" s="48">
        <f>IF(AK94&lt;1,"",IF(AK93&lt;5,"",IF(N109=1,N115-P115,IF(P109=1,P115-N115,""))))</f>
        <v>5</v>
      </c>
      <c r="AL109" s="48" t="str">
        <f>IF(AK94&lt;1,"",IF(AK93&lt;6,"",IF(Q109=1,Q115-S115,IF(S109=1,S115-Q115,""))))</f>
        <v/>
      </c>
      <c r="AM109" s="48" t="str">
        <f>IF(AK94&lt;1,"",IF(AK93&lt;7,"",IF(T109=1,T115-V115,IF(V109=1,V115-T115,""))))</f>
        <v/>
      </c>
      <c r="AN109" s="48">
        <f>IF(AK94&lt;1,"",IF(AK93&lt;8,"",IF(W109=1,W115-Y115,IF(Y109=1,Y115-W115,""))))</f>
        <v>-13</v>
      </c>
      <c r="AO109" s="48" t="str">
        <f>IF(AK94&lt;1,"",IF(AK93&lt;9,"",IF(Z109=1,Z115-AB115,IF(AB109=1,AB115-Z115,""))))</f>
        <v/>
      </c>
      <c r="AP109" s="48">
        <f>IF(AK94&lt;1,"",IF(AK93&lt;10,"",IF(AC109=1,AC115-AE115,IF(AE109=1,AE115-AC115,""))))</f>
        <v>15</v>
      </c>
      <c r="AQ109" s="44">
        <f>SUM(AG109:AP109)</f>
        <v>8</v>
      </c>
    </row>
    <row r="110" spans="1:44" ht="15" x14ac:dyDescent="0.2">
      <c r="A110" s="4" t="s">
        <v>52</v>
      </c>
      <c r="B110" s="49">
        <v>17</v>
      </c>
      <c r="C110" s="50" t="s">
        <v>53</v>
      </c>
      <c r="D110" s="51">
        <v>25</v>
      </c>
      <c r="E110" s="49">
        <v>25</v>
      </c>
      <c r="F110" s="50" t="str">
        <f>IF(AK93&gt;1,"/","")</f>
        <v>/</v>
      </c>
      <c r="G110" s="51">
        <v>18</v>
      </c>
      <c r="H110" s="49">
        <v>21</v>
      </c>
      <c r="I110" s="50" t="str">
        <f>IF(AK93&gt;2,"/","")</f>
        <v>/</v>
      </c>
      <c r="J110" s="51">
        <v>25</v>
      </c>
      <c r="K110" s="49">
        <v>27</v>
      </c>
      <c r="L110" s="50" t="str">
        <f>IF(AK93&gt;3,"/","")</f>
        <v>/</v>
      </c>
      <c r="M110" s="51">
        <v>25</v>
      </c>
      <c r="N110" s="49">
        <v>25</v>
      </c>
      <c r="O110" s="50" t="str">
        <f>IF(AK93&gt;4,"/","")</f>
        <v>/</v>
      </c>
      <c r="P110" s="51">
        <v>22</v>
      </c>
      <c r="Q110" s="49">
        <v>12</v>
      </c>
      <c r="R110" s="50" t="str">
        <f>IF(AK93&gt;5,"/","")</f>
        <v>/</v>
      </c>
      <c r="S110" s="51">
        <v>25</v>
      </c>
      <c r="T110" s="49">
        <v>15</v>
      </c>
      <c r="U110" s="50" t="str">
        <f>IF(AK93&gt;6,"/","")</f>
        <v>/</v>
      </c>
      <c r="V110" s="51">
        <v>25</v>
      </c>
      <c r="W110" s="49">
        <v>16</v>
      </c>
      <c r="X110" s="50" t="str">
        <f>IF(AK93&gt;7,"/","")</f>
        <v>/</v>
      </c>
      <c r="Y110" s="51">
        <v>25</v>
      </c>
      <c r="Z110" s="49">
        <v>20</v>
      </c>
      <c r="AA110" s="50" t="str">
        <f>IF(AK93&gt;8,"/","")</f>
        <v>/</v>
      </c>
      <c r="AB110" s="51">
        <v>25</v>
      </c>
      <c r="AC110" s="49">
        <v>25</v>
      </c>
      <c r="AD110" s="50" t="str">
        <f>IF(AK93&gt;9,"/","")</f>
        <v>/</v>
      </c>
      <c r="AE110" s="51">
        <v>16</v>
      </c>
      <c r="AF110" s="42" t="str">
        <f>IF(AK94&gt;1,"Team 2","")</f>
        <v>Team 2</v>
      </c>
      <c r="AG110" s="48">
        <f>IF(AK94&lt;2,"",IF(AK93&lt;1,"",IF(B109=2,B115-D115,IF(D109=2,D115-B115,""))))</f>
        <v>-16</v>
      </c>
      <c r="AH110" s="48" t="str">
        <f>IF(AK94&lt;2,"",IF(AK93&lt;2,"",IF(E109=2,E115-G115,IF(G109=2,G115-E115,""))))</f>
        <v/>
      </c>
      <c r="AI110" s="48" t="str">
        <f>IF(AK94&lt;2,"",IF(AK93&lt;3,"",IF(H109=2,H115-J115,IF(J109=2,J115-H115,""))))</f>
        <v/>
      </c>
      <c r="AJ110" s="48">
        <f>IF(AK94&lt;2,"",IF(AK93&lt;4,"",IF(K109=2,K115-M115,IF(M109=2,M115-K115,""))))</f>
        <v>-4</v>
      </c>
      <c r="AK110" s="48" t="str">
        <f>IF(AK94&lt;2,"",IF(AK93&lt;5,"",IF(N109=2,N115-P115,IF(P109=2,P115-N115,""))))</f>
        <v/>
      </c>
      <c r="AL110" s="48" t="str">
        <f>IF(AK94&lt;2,"",IF(AK93&lt;6,"",IF(Q109=2,Q115-S115,IF(S109=2,S115-Q115,""))))</f>
        <v/>
      </c>
      <c r="AM110" s="48">
        <f>IF(AK94&lt;2,"",IF(AK93&lt;7,"",IF(T109=2,T115-V115,IF(V109=2,V115-T115,""))))</f>
        <v>-12</v>
      </c>
      <c r="AN110" s="48" t="str">
        <f>IF(AK94&lt;2,"",IF(AK93&lt;8,"",IF(W109=2,W115-Y115,IF(Y109=2,Y115-W115,""))))</f>
        <v/>
      </c>
      <c r="AO110" s="48" t="str">
        <f>IF(AK94&lt;2,"",IF(AK93&lt;9,"",IF(Z109=2,Z115-AB115,IF(AB109=2,AB115-Z115,""))))</f>
        <v/>
      </c>
      <c r="AP110" s="48">
        <f>IF(AK94&lt;2,"",IF(AK93&lt;10,"",IF(AC109=2,AC115-AE115,IF(AE109=2,AE115-AC115,""))))</f>
        <v>-15</v>
      </c>
      <c r="AQ110" s="44">
        <f>SUM(AG110:AP110)</f>
        <v>-47</v>
      </c>
    </row>
    <row r="111" spans="1:44" ht="15" x14ac:dyDescent="0.2">
      <c r="A111" s="3" t="str">
        <f>IF(AK92&gt;1,"Game 2","")</f>
        <v>Game 2</v>
      </c>
      <c r="B111" s="49">
        <v>17</v>
      </c>
      <c r="C111" s="50" t="s">
        <v>53</v>
      </c>
      <c r="D111" s="51">
        <v>25</v>
      </c>
      <c r="E111" s="49">
        <v>19</v>
      </c>
      <c r="F111" s="50" t="str">
        <f>IF(AK93&gt;1,IF(AK92&gt;1,"/",""),"")</f>
        <v>/</v>
      </c>
      <c r="G111" s="51">
        <v>25</v>
      </c>
      <c r="H111" s="49">
        <v>15</v>
      </c>
      <c r="I111" s="50" t="str">
        <f>IF(AK93&gt;2,IF(AK92&gt;1,"/",""),"")</f>
        <v>/</v>
      </c>
      <c r="J111" s="51">
        <v>25</v>
      </c>
      <c r="K111" s="49">
        <v>19</v>
      </c>
      <c r="L111" s="50" t="str">
        <f>IF(AK93&gt;3,IF(AK92&gt;1,"/",""),"")</f>
        <v>/</v>
      </c>
      <c r="M111" s="51">
        <v>25</v>
      </c>
      <c r="N111" s="49">
        <v>25</v>
      </c>
      <c r="O111" s="50" t="str">
        <f>IF(AK93&gt;4,IF(AK92&gt;1,"/",""),"")</f>
        <v>/</v>
      </c>
      <c r="P111" s="51">
        <v>23</v>
      </c>
      <c r="Q111" s="49">
        <v>19</v>
      </c>
      <c r="R111" s="50" t="str">
        <f>IF(AK93&gt;5,IF(AK92&gt;1,"/",""),"")</f>
        <v>/</v>
      </c>
      <c r="S111" s="51">
        <v>25</v>
      </c>
      <c r="T111" s="49">
        <v>23</v>
      </c>
      <c r="U111" s="50" t="str">
        <f>IF(AK93&gt;6,IF(AK92&gt;1,"/",""),"")</f>
        <v>/</v>
      </c>
      <c r="V111" s="51">
        <v>25</v>
      </c>
      <c r="W111" s="49">
        <v>21</v>
      </c>
      <c r="X111" s="50" t="str">
        <f>IF(AK93&gt;7,IF(AK92&gt;1,"/",""),"")</f>
        <v>/</v>
      </c>
      <c r="Y111" s="51">
        <v>25</v>
      </c>
      <c r="Z111" s="49">
        <v>25</v>
      </c>
      <c r="AA111" s="50" t="str">
        <f>IF(AK93&gt;8,IF(AK92&gt;1,"/",""),"")</f>
        <v>/</v>
      </c>
      <c r="AB111" s="51">
        <v>21</v>
      </c>
      <c r="AC111" s="49">
        <v>25</v>
      </c>
      <c r="AD111" s="50" t="str">
        <f>IF(AK93&gt;9,IF(AK92&gt;1,"/",""),"")</f>
        <v>/</v>
      </c>
      <c r="AE111" s="51">
        <v>19</v>
      </c>
      <c r="AF111" s="42" t="str">
        <f>IF(AK94&gt;2,"Team 3","")</f>
        <v>Team 3</v>
      </c>
      <c r="AG111" s="48" t="str">
        <f>IF(AK94&lt;3,"",IF(AK93&lt;1,"",IF(B109=3,B115-D115,IF(D109=3,D115-B115,""))))</f>
        <v/>
      </c>
      <c r="AH111" s="48" t="str">
        <f>IF(AK94&lt;3,"",IF(AK93&lt;2,"",IF(E109=3,E115-G115,IF(G109=3,G115-E115,""))))</f>
        <v/>
      </c>
      <c r="AI111" s="48">
        <f>IF(AK94&lt;3,"",IF(AK93&lt;3,"",IF(H109=3,H115-J115,IF(J109=3,J115-H115,""))))</f>
        <v>-14</v>
      </c>
      <c r="AJ111" s="48" t="str">
        <f>IF(AK94&lt;3,"",IF(AK93&lt;4,"",IF(K109=3,K115-M115,IF(M109=3,M115-K115,""))))</f>
        <v/>
      </c>
      <c r="AK111" s="48">
        <f>IF(AK94&lt;3,"",IF(AK93&lt;5,"",IF(N109=3,N115-P115,IF(P109=3,P115-N115,""))))</f>
        <v>-5</v>
      </c>
      <c r="AL111" s="48" t="str">
        <f>IF(AK94&lt;3,"",IF(AK93&lt;6,"",IF(Q109=3,Q115-S115,IF(S109=3,S115-Q115,""))))</f>
        <v/>
      </c>
      <c r="AM111" s="48">
        <f>IF(AK94&lt;3,"",IF(AK93&lt;7,"",IF(T109=3,T115-V115,IF(V109=3,V115-T115,""))))</f>
        <v>12</v>
      </c>
      <c r="AN111" s="48" t="str">
        <f>IF(AK94&lt;3,"",IF(AK93&lt;8,"",IF(W109=3,W115-Y115,IF(Y109=3,Y115-W115,""))))</f>
        <v/>
      </c>
      <c r="AO111" s="48">
        <f>IF(AK94&lt;3,"",IF(AK93&lt;9,"",IF(Z109=3,Z115-AB115,IF(AB109=3,AB115-Z115,""))))</f>
        <v>-1</v>
      </c>
      <c r="AP111" s="48" t="str">
        <f>IF(AK94&lt;3,"",IF(AK93&lt;9,"",IF(AC109=3,AC115-AE115,IF(AE109=3,AE115-AC115,""))))</f>
        <v/>
      </c>
      <c r="AQ111" s="44">
        <f>SUM(AG111:AP111)</f>
        <v>-8</v>
      </c>
    </row>
    <row r="112" spans="1:44" ht="15" x14ac:dyDescent="0.2">
      <c r="A112" s="3" t="str">
        <f>IF(AK92&gt;2,"Game 3","")</f>
        <v/>
      </c>
      <c r="B112" s="49"/>
      <c r="C112" s="50" t="s">
        <v>53</v>
      </c>
      <c r="D112" s="51"/>
      <c r="E112" s="49"/>
      <c r="F112" s="50" t="str">
        <f>IF(AK93&gt;1,IF(AK92&gt;2,"/",""),"")</f>
        <v/>
      </c>
      <c r="G112" s="51"/>
      <c r="H112" s="49"/>
      <c r="I112" s="50" t="str">
        <f>IF(AK93&gt;2,IF(AK92&gt;2,"/",""),"")</f>
        <v/>
      </c>
      <c r="J112" s="51"/>
      <c r="K112" s="49"/>
      <c r="L112" s="50" t="str">
        <f>IF(AK93&gt;3,IF(AK92&gt;2,"/",""),"")</f>
        <v/>
      </c>
      <c r="M112" s="51"/>
      <c r="N112" s="49"/>
      <c r="O112" s="50" t="str">
        <f>IF(AK93&gt;4,IF(AK92&gt;2,"/",""),"")</f>
        <v/>
      </c>
      <c r="P112" s="51"/>
      <c r="Q112" s="49"/>
      <c r="R112" s="50" t="str">
        <f>IF(AK93&gt;5,IF(AK92&gt;2,"/",""),"")</f>
        <v/>
      </c>
      <c r="S112" s="51"/>
      <c r="T112" s="49"/>
      <c r="U112" s="50" t="str">
        <f>IF(AK93&gt;6,IF(AK92&gt;2,"/",""),"")</f>
        <v/>
      </c>
      <c r="V112" s="51"/>
      <c r="W112" s="49"/>
      <c r="X112" s="50" t="str">
        <f>IF(AK93&gt;7,IF(AK92&gt;2,"/",""),"")</f>
        <v/>
      </c>
      <c r="Y112" s="51"/>
      <c r="Z112" s="49"/>
      <c r="AA112" s="50" t="str">
        <f>IF(AK93&gt;8,IF(AK92&gt;2,"/",""),"")</f>
        <v/>
      </c>
      <c r="AB112" s="51"/>
      <c r="AC112" s="49"/>
      <c r="AD112" s="50" t="str">
        <f>IF(AK93&gt;9,IF(AK92&gt;2,"/",""),"")</f>
        <v/>
      </c>
      <c r="AE112" s="51"/>
      <c r="AF112" s="42" t="str">
        <f>IF(AK94&gt;3,"Team 4","")</f>
        <v>Team 4</v>
      </c>
      <c r="AG112" s="48" t="str">
        <f>IF(AK94&lt;4,"",IF(AK93&lt;1,"",IF(B109=4,B115-D115,IF(D109=4,D115-B115,""))))</f>
        <v/>
      </c>
      <c r="AH112" s="48">
        <f>IF(AK94&lt;4,"",IF(AK93&lt;2,"",IF(E109=4,E115-G115,IF(G109=4,G115-E115,""))))</f>
        <v>-1</v>
      </c>
      <c r="AI112" s="48" t="str">
        <f>IF(AK94&lt;4,"",IF(AK93&lt;3,"",IF(H109=4,H115-J115,IF(J109=4,J115-H115,""))))</f>
        <v/>
      </c>
      <c r="AJ112" s="48">
        <f>IF(AK94&lt;4,"",IF(AK93&lt;4,"",IF(K109=4,K115-M115,IF(M109=4,M115-K115,""))))</f>
        <v>4</v>
      </c>
      <c r="AK112" s="48" t="str">
        <f>IF(AK94&lt;4,"",IF(AK93&lt;5,"",IF(N109=4,N115-P115,IF(P109=4,P115-N115,""))))</f>
        <v/>
      </c>
      <c r="AL112" s="48">
        <f>IF(AK94&lt;4,"",IF(AK93&lt;6,"",IF(Q109=4,Q115-S115,IF(S109=4,S115-Q115,""))))</f>
        <v>-19</v>
      </c>
      <c r="AM112" s="48" t="str">
        <f>IF(AK94&lt;4,"",IF(AK93&lt;7,"",IF(T109=4,T115-V115,IF(V109=4,V115-T115,""))))</f>
        <v/>
      </c>
      <c r="AN112" s="48" t="str">
        <f>IF(AK94&lt;4,"",IF(AK93&lt;8,"",IF(W109=4,W115-Y115,IF(Y109=4,Y115-W115,""))))</f>
        <v/>
      </c>
      <c r="AO112" s="48">
        <f>IF(AK94&lt;4,"",IF(AK93&lt;9,"",IF(Z109=4,Z115-AB115,IF(AB109=4,AB115-Z115,""))))</f>
        <v>1</v>
      </c>
      <c r="AP112" s="48" t="str">
        <f>IF(AK94&lt;4,"",IF(AK93&lt;10,"",IF(AC109=4,AC115-AE115,IF(AE109=4,AE115-AC115,""))))</f>
        <v/>
      </c>
      <c r="AQ112" s="44">
        <f>SUM(AG112:AP112)</f>
        <v>-15</v>
      </c>
    </row>
    <row r="113" spans="1:49" ht="15" x14ac:dyDescent="0.2">
      <c r="A113" s="3" t="str">
        <f>IF(AK92&gt;3,"Game 4","")</f>
        <v/>
      </c>
      <c r="B113" s="49"/>
      <c r="C113" s="50" t="s">
        <v>53</v>
      </c>
      <c r="D113" s="51"/>
      <c r="E113" s="49"/>
      <c r="F113" s="50" t="str">
        <f>IF(AK93&gt;1,IF(AK92&gt;3,"/",""),"")</f>
        <v/>
      </c>
      <c r="G113" s="51"/>
      <c r="H113" s="49"/>
      <c r="I113" s="50" t="str">
        <f>IF(AK93&gt;2,IF(AK92&gt;3,"/",""),"")</f>
        <v/>
      </c>
      <c r="J113" s="51"/>
      <c r="K113" s="49"/>
      <c r="L113" s="50" t="str">
        <f>IF(AK93&gt;3,IF(AK92&gt;3,"/",""),"")</f>
        <v/>
      </c>
      <c r="M113" s="51"/>
      <c r="N113" s="49"/>
      <c r="O113" s="50" t="str">
        <f>IF(AK93&gt;4,IF(AK92&gt;3,"/",""),"")</f>
        <v/>
      </c>
      <c r="P113" s="51"/>
      <c r="Q113" s="49"/>
      <c r="R113" s="50" t="str">
        <f>IF(AK93&gt;5,IF(AK92&gt;3,"/",""),"")</f>
        <v/>
      </c>
      <c r="S113" s="51"/>
      <c r="T113" s="49"/>
      <c r="U113" s="50" t="str">
        <f>IF(AK93&gt;6,IF(AK92&gt;3,"/",""),"")</f>
        <v/>
      </c>
      <c r="V113" s="51"/>
      <c r="W113" s="49"/>
      <c r="X113" s="50" t="str">
        <f>IF(AK93&gt;7,IF(AK92&gt;3,"/",""),"")</f>
        <v/>
      </c>
      <c r="Y113" s="51"/>
      <c r="Z113" s="49"/>
      <c r="AA113" s="50" t="str">
        <f>IF(AK93&gt;8,IF(AK92&gt;3,"/",""),"")</f>
        <v/>
      </c>
      <c r="AB113" s="51"/>
      <c r="AC113" s="49"/>
      <c r="AD113" s="50" t="str">
        <f>IF(AK93&gt;9,IF(AK92&gt;3,"/",""),"")</f>
        <v/>
      </c>
      <c r="AE113" s="51"/>
      <c r="AF113" s="42" t="str">
        <f>IF(AK94&gt;4,"Team 5","")</f>
        <v>Team 5</v>
      </c>
      <c r="AG113" s="52">
        <f>IF(AK94&lt;5,"",IF(AK93&lt;1,"",IF(B109=5,B115-D115,IF(D109=5,D115-B115,""))))</f>
        <v>16</v>
      </c>
      <c r="AH113" s="48" t="str">
        <f>IF(AK94&lt;5,"",IF(AK93&lt;2,"",IF(E109=5,E115-G115,IF(G109=5,G115-E115,""))))</f>
        <v/>
      </c>
      <c r="AI113" s="48">
        <f>IF(AK94&lt;5,"",IF(AK93&lt;3,"",IF(H109=5,H115-J115,IF(J109=5,J115-H115,""))))</f>
        <v>14</v>
      </c>
      <c r="AJ113" s="48" t="str">
        <f>IF(AK94&lt;5,"",IF(AK93&lt;4,"",IF(K109=5,K115-M115,IF(M109=5,M115-K115,""))))</f>
        <v/>
      </c>
      <c r="AK113" s="48" t="str">
        <f>IF(AK94&lt;5,"",IF(AK93&lt;5,"",IF(N109=5,N115-P115,IF(P109=5,P115-N115,""))))</f>
        <v/>
      </c>
      <c r="AL113" s="48">
        <f>IF(AK94&lt;5,"",IF(AK93&lt;6,"",IF(Q109=5,Q115-S115,IF(S109=5,S115-Q115,""))))</f>
        <v>19</v>
      </c>
      <c r="AM113" s="48" t="str">
        <f>IF(AK94&lt;5,"",IF(AK93&lt;7,"",IF(T109=5,T115-V115,IF(V109=5,V115-T115,""))))</f>
        <v/>
      </c>
      <c r="AN113" s="48">
        <f>IF(AK94&lt;5,"",IF(AK93&lt;8,"",IF(W109=5,W115-Y115,IF(Y109=5,Y115-W115,""))))</f>
        <v>13</v>
      </c>
      <c r="AO113" s="48" t="str">
        <f>IF(AK94&lt;5,"",IF(AK93&lt;9,"",IF(Z109=5,Z115-AB115,IF(AB109=5,AB115-Z115,""))))</f>
        <v/>
      </c>
      <c r="AP113" s="48" t="str">
        <f>IF(AK94&lt;5,"",IF(AK93&lt;10,"",IF(AC109=5,AC115-AE115,IF(AE109=5,AE115-AC115,""))))</f>
        <v/>
      </c>
      <c r="AQ113" s="44">
        <f>SUM(AG113:AP113)</f>
        <v>62</v>
      </c>
    </row>
    <row r="114" spans="1:49" ht="15" x14ac:dyDescent="0.2">
      <c r="A114" s="3" t="str">
        <f>IF(AK92&gt;4,"Game 5","")</f>
        <v/>
      </c>
      <c r="B114" s="49"/>
      <c r="C114" s="50" t="s">
        <v>53</v>
      </c>
      <c r="D114" s="51"/>
      <c r="E114" s="49"/>
      <c r="F114" s="50" t="str">
        <f>IF(AK93&gt;1,IF(AK92&gt;4,"/",""),"")</f>
        <v/>
      </c>
      <c r="G114" s="51"/>
      <c r="H114" s="49"/>
      <c r="I114" s="50" t="str">
        <f>IF(AK93&gt;2,IF(AK92&gt;4,"/",""),"")</f>
        <v/>
      </c>
      <c r="J114" s="51"/>
      <c r="K114" s="49"/>
      <c r="L114" s="50" t="str">
        <f>IF(AK93&gt;3,IF(AK92&gt;4,"/",""),"")</f>
        <v/>
      </c>
      <c r="M114" s="51"/>
      <c r="N114" s="49"/>
      <c r="O114" s="50" t="str">
        <f>IF(AK93&gt;4,IF(AK92&gt;4,"/",""),"")</f>
        <v/>
      </c>
      <c r="P114" s="51"/>
      <c r="Q114" s="49"/>
      <c r="R114" s="50" t="str">
        <f>IF(AK93&gt;5,IF(AK92&gt;4,"/",""),"")</f>
        <v/>
      </c>
      <c r="S114" s="51"/>
      <c r="T114" s="49"/>
      <c r="U114" s="50" t="str">
        <f>IF(AK93&gt;6,IF(AK92&gt;4,"/",""),"")</f>
        <v/>
      </c>
      <c r="V114" s="51"/>
      <c r="W114" s="49"/>
      <c r="X114" s="50" t="str">
        <f>IF(AK93&gt;7,IF(AK92&gt;4,"/",""),"")</f>
        <v/>
      </c>
      <c r="Y114" s="51"/>
      <c r="Z114" s="49"/>
      <c r="AA114" s="50" t="str">
        <f>IF(AK93&gt;8,IF(AK92&gt;4,"/",""),"")</f>
        <v/>
      </c>
      <c r="AB114" s="51"/>
      <c r="AC114" s="49"/>
      <c r="AD114" s="50" t="str">
        <f>IF(AK93&gt;9,IF(AK92&gt;4,"/",""),"")</f>
        <v/>
      </c>
      <c r="AE114" s="5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</row>
    <row r="115" spans="1:49" hidden="1" x14ac:dyDescent="0.2">
      <c r="A115" s="53"/>
      <c r="B115" s="53">
        <f>IF($AK92=5,SUM(B110:B114),IF($AK92=4,SUM(B110:B113),IF($AK92=3,SUM(B110:B112),IF($AK92=2,SUM(B110:B111),B110))))</f>
        <v>34</v>
      </c>
      <c r="C115" s="53"/>
      <c r="D115" s="53">
        <f>IF($AK92=5,SUM(D110:D114),IF($AK92=4,SUM(D110:D113),IF($AK92=3,SUM(D110:D112),IF($AK92=2,SUM(D110:D111),D110))))</f>
        <v>50</v>
      </c>
      <c r="E115" s="53">
        <f>IF($AK92=5,SUM(E110:E114),IF($AK92=4,SUM(E110:E113),IF($AK92=3,SUM(E110:E112),IF($AK92=2,SUM(E110:E111),E110))))</f>
        <v>44</v>
      </c>
      <c r="F115" s="53"/>
      <c r="G115" s="53">
        <f>IF($AK92=5,SUM(G110:G114),IF($AK92=4,SUM(G110:G113),IF($AK92=3,SUM(G110:G112),IF($AK92=2,SUM(G110:G111),G110))))</f>
        <v>43</v>
      </c>
      <c r="H115" s="53">
        <f>IF($AK92=5,SUM(H110:H114),IF($AK92=4,SUM(H110:H113),IF($AK92=3,SUM(H110:H112),IF($AK92=2,SUM(H110:H111),H110))))</f>
        <v>36</v>
      </c>
      <c r="I115" s="53"/>
      <c r="J115" s="53">
        <f>IF($AK92=5,SUM(J110:J114),IF($AK92=4,SUM(J110:J113),IF($AK92=3,SUM(J110:J112),IF($AK92=2,SUM(J110:J111),J110))))</f>
        <v>50</v>
      </c>
      <c r="K115" s="53">
        <f>IF($AK92=5,SUM(K110:K114),IF($AK92=4,SUM(K110:K113),IF($AK92=3,SUM(K110:K112),IF($AK92=2,SUM(K110:K111),K110))))</f>
        <v>46</v>
      </c>
      <c r="L115" s="53"/>
      <c r="M115" s="53">
        <f>IF($AK92=5,SUM(M110:M114),IF($AK92=4,SUM(M110:M113),IF($AK92=3,SUM(M110:M112),IF($AK92=2,SUM(M110:M111),M110))))</f>
        <v>50</v>
      </c>
      <c r="N115" s="53">
        <f>IF($AK92=5,SUM(N110:N114),IF($AK92=4,SUM(N110:N113),IF($AK92=3,SUM(N110:N112),IF($AK92=2,SUM(N110:N111),N110))))</f>
        <v>50</v>
      </c>
      <c r="O115" s="53"/>
      <c r="P115" s="53">
        <f>IF($AK92=5,SUM(P110:P114),IF($AK92=4,SUM(P110:P113),IF($AK92=3,SUM(P110:P112),IF($AK92=2,SUM(P110:P111),P110))))</f>
        <v>45</v>
      </c>
      <c r="Q115" s="53">
        <f>IF($AK92=5,SUM(Q110:Q114),IF($AK92=4,SUM(Q110:Q113),IF($AK92=3,SUM(Q110:Q112),IF($AK92=2,SUM(Q110:Q111),Q110))))</f>
        <v>31</v>
      </c>
      <c r="R115" s="53"/>
      <c r="S115" s="53">
        <f>IF($AK92=5,SUM(S110:S114),IF($AK92=4,SUM(S110:S113),IF($AK92=3,SUM(S110:S112),IF($AK92=2,SUM(S110:S111),S110))))</f>
        <v>50</v>
      </c>
      <c r="T115" s="53">
        <f>IF($AK92=5,SUM(T110:T114),IF($AK92=4,SUM(T110:T113),IF($AK92=3,SUM(T110:T112),IF($AK92=2,SUM(T110:T111),T110))))</f>
        <v>38</v>
      </c>
      <c r="U115" s="53"/>
      <c r="V115" s="53">
        <f>IF($AK92=5,SUM(V110:V114),IF($AK92=4,SUM(V110:V113),IF($AK92=3,SUM(V110:V112),IF($AK92=2,SUM(V110:V111),V110))))</f>
        <v>50</v>
      </c>
      <c r="W115" s="53">
        <f>IF($AK92=5,SUM(W110:W114),IF($AK92=4,SUM(W110:W113),IF($AK92=3,SUM(W110:W112),IF($AK92=2,SUM(W110:W111),W110))))</f>
        <v>37</v>
      </c>
      <c r="X115" s="53"/>
      <c r="Y115" s="53">
        <f>IF($AK92=5,SUM(Y110:Y114),IF($AK92=4,SUM(Y110:Y113),IF($AK92=3,SUM(Y110:Y112),IF($AK92=2,SUM(Y110:Y111),Y110))))</f>
        <v>50</v>
      </c>
      <c r="Z115" s="53">
        <f>IF($AK92=5,SUM(Z110:Z114),IF($AK92=4,SUM(Z110:Z113),IF($AK92=3,SUM(Z110:Z112),IF($AK92=2,SUM(Z110:Z111),Z110))))</f>
        <v>45</v>
      </c>
      <c r="AA115" s="53"/>
      <c r="AB115" s="53">
        <f>IF($AK92=5,SUM(AB110:AB114),IF($AK92=4,SUM(AB110:AB113),IF($AK92=3,SUM(AB110:AB112),IF($AK92=2,SUM(AB110:AB111),AB110))))</f>
        <v>46</v>
      </c>
      <c r="AC115" s="53">
        <f>IF($AK92=5,SUM(AC110:AC114),IF($AK92=4,SUM(AC110:AC113),IF($AK92=3,SUM(AC110:AC112),IF($AK92=2,SUM(AC110:AC111),AC110))))</f>
        <v>50</v>
      </c>
      <c r="AD115" s="53"/>
      <c r="AE115" s="53">
        <f>IF($AK92=5,SUM(AE110:AE114),IF($AK92=4,SUM(AE110:AE113),IF($AK92=3,SUM(AE110:AE112),IF($AK92=2,SUM(AE110:AE111),AE110))))</f>
        <v>35</v>
      </c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T115" s="54"/>
      <c r="AU115" s="54"/>
      <c r="AV115" s="54"/>
    </row>
    <row r="116" spans="1:49" s="54" customFormat="1" ht="12.75" hidden="1" customHeight="1" x14ac:dyDescent="0.2">
      <c r="A116" s="54" t="s">
        <v>54</v>
      </c>
      <c r="B116" s="55">
        <f>IF(AND(B110&gt;D110,$AK93&gt;0,ISNUMBER(B110),ISNUMBER(D110)),1,0)</f>
        <v>0</v>
      </c>
      <c r="C116" s="55"/>
      <c r="D116" s="56">
        <f>IF(AND(D110&gt;B110,$AK93&gt;0,ISNUMBER(B110),ISNUMBER(D110)),1,0)</f>
        <v>1</v>
      </c>
      <c r="E116" s="55">
        <f>IF(AND(E110&gt;G110,$AK93&gt;1,ISNUMBER(E110),ISNUMBER(G110)),1,0)</f>
        <v>1</v>
      </c>
      <c r="F116" s="55"/>
      <c r="G116" s="56">
        <f>IF(AND(G110&gt;E110,$AK93&gt;1,ISNUMBER(E110),ISNUMBER(G110)),1,0)</f>
        <v>0</v>
      </c>
      <c r="H116" s="55">
        <f>IF(AND(H110&gt;J110,$AK93&gt;2,ISNUMBER(H110),ISNUMBER(J110)),1,0)</f>
        <v>0</v>
      </c>
      <c r="I116" s="55"/>
      <c r="J116" s="56">
        <f>IF(AND(J110&gt;H110,$AK93&gt;2,ISNUMBER(H110),ISNUMBER(J110)),1,0)</f>
        <v>1</v>
      </c>
      <c r="K116" s="55">
        <f>IF(AND(K110&gt;M110,$AK93&gt;3,ISNUMBER(K110),ISNUMBER(M110)),1,0)</f>
        <v>1</v>
      </c>
      <c r="L116" s="55"/>
      <c r="M116" s="56">
        <f>IF(AND(M110&gt;K110,$AK93&gt;3,ISNUMBER(K110),ISNUMBER(M110)),1,0)</f>
        <v>0</v>
      </c>
      <c r="N116" s="55">
        <f>IF(AND(N110&gt;P110,$AK93&gt;4,ISNUMBER(N110),ISNUMBER(P110)),1,0)</f>
        <v>1</v>
      </c>
      <c r="O116" s="55"/>
      <c r="P116" s="56">
        <f>IF(AND(P110&gt;N110,$AK93&gt;4,ISNUMBER(N110),ISNUMBER(P110)),1,0)</f>
        <v>0</v>
      </c>
      <c r="Q116" s="55">
        <f>IF(AND(Q110&gt;S110,$AK93&gt;5,ISNUMBER(Q110),ISNUMBER(S110)),1,0)</f>
        <v>0</v>
      </c>
      <c r="R116" s="55"/>
      <c r="S116" s="56">
        <f>IF(AND(S110&gt;Q110,$AK93&gt;5,ISNUMBER(Q110),ISNUMBER(S110)),1,0)</f>
        <v>1</v>
      </c>
      <c r="T116" s="55">
        <f>IF(AND(T110&gt;V110,$AK93&gt;6,ISNUMBER(T110),ISNUMBER(V110)),1,0)</f>
        <v>0</v>
      </c>
      <c r="U116" s="55"/>
      <c r="V116" s="56">
        <f>IF(AND(V110&gt;T110,$AK93&gt;6,ISNUMBER(T110),ISNUMBER(V110)),1,0)</f>
        <v>1</v>
      </c>
      <c r="W116" s="55">
        <f>IF(AND(W110&gt;Y110,$AK93&gt;7,ISNUMBER(W110),ISNUMBER(Y110)),1,0)</f>
        <v>0</v>
      </c>
      <c r="X116" s="55"/>
      <c r="Y116" s="56">
        <f>IF(AND(Y110&gt;W110,$AK93&gt;7,ISNUMBER(W110),ISNUMBER(Y110)),1,0)</f>
        <v>1</v>
      </c>
      <c r="Z116" s="55">
        <f>IF(AND(Z110&gt;AB110,$AK93&gt;8,ISNUMBER(Z110),ISNUMBER(AB110)),1,0)</f>
        <v>0</v>
      </c>
      <c r="AA116" s="55"/>
      <c r="AB116" s="56">
        <f>IF(AND(AB110&gt;Z110,$AK93&gt;8,ISNUMBER(Z110),ISNUMBER(AB110)),1,0)</f>
        <v>1</v>
      </c>
      <c r="AC116" s="55">
        <f>IF(AND(AC110&gt;AE110,$AK93&gt;9,ISNUMBER(AC110),ISNUMBER(AE110)),1,0)</f>
        <v>1</v>
      </c>
      <c r="AD116" s="55"/>
      <c r="AE116" s="56">
        <f>IF(AND(AE110&gt;AC110,$AK93&gt;9,ISNUMBER(AC110),ISNUMBER(AE110)),1,0)</f>
        <v>0</v>
      </c>
      <c r="AW116" s="146"/>
    </row>
    <row r="117" spans="1:49" s="54" customFormat="1" ht="12.75" hidden="1" customHeight="1" x14ac:dyDescent="0.2">
      <c r="A117" s="54" t="s">
        <v>55</v>
      </c>
      <c r="B117" s="55">
        <f>IF(AND(B111&gt;D111,$AK93&gt;0,$AK92&gt;1,ISNUMBER(B111),ISNUMBER(D111)),1,0)</f>
        <v>0</v>
      </c>
      <c r="C117" s="55"/>
      <c r="D117" s="56">
        <f>IF(AND(D111&gt;B111,$AK93&gt;0,$AK92&gt;1,ISNUMBER(B111),ISNUMBER(D111)),1,0)</f>
        <v>1</v>
      </c>
      <c r="E117" s="55">
        <f>IF(AND(E111&gt;G111,$AK93&gt;1,$AK92&gt;1,ISNUMBER(E111),ISNUMBER(G111)),1,0)</f>
        <v>0</v>
      </c>
      <c r="F117" s="55"/>
      <c r="G117" s="56">
        <f>IF(AND(G111&gt;E111,$AK93&gt;1,$AK92&gt;1,ISNUMBER(E111),ISNUMBER(G111)),1,0)</f>
        <v>1</v>
      </c>
      <c r="H117" s="55">
        <f>IF(AND(H111&gt;J111,$AK93&gt;2,$AK92&gt;1,ISNUMBER(H111),ISNUMBER(J111)),1,0)</f>
        <v>0</v>
      </c>
      <c r="I117" s="55"/>
      <c r="J117" s="56">
        <f>IF(AND(J111&gt;H111,$AK93&gt;2,$AK92&gt;1,ISNUMBER(H111),ISNUMBER(J111)),1,0)</f>
        <v>1</v>
      </c>
      <c r="K117" s="55">
        <f>IF(AND(K111&gt;M111,$AK93&gt;3,$AK92&gt;1,ISNUMBER(K111),ISNUMBER(M111)),1,0)</f>
        <v>0</v>
      </c>
      <c r="L117" s="55"/>
      <c r="M117" s="56">
        <f>IF(AND(M111&gt;K111,$AK93&gt;3,$AK92&gt;1,ISNUMBER(K111),ISNUMBER(M111)),1,0)</f>
        <v>1</v>
      </c>
      <c r="N117" s="55">
        <f>IF(AND(N111&gt;P111,$AK93&gt;4,$AK92&gt;1,ISNUMBER(N111),ISNUMBER(P111)),1,0)</f>
        <v>1</v>
      </c>
      <c r="O117" s="55"/>
      <c r="P117" s="56">
        <f>IF(AND(P111&gt;N111,$AK93&gt;4,$AK92&gt;1,ISNUMBER(N111),ISNUMBER(P111)),1,0)</f>
        <v>0</v>
      </c>
      <c r="Q117" s="55">
        <f>IF(AND(Q111&gt;S111,$AK93&gt;5,$AK92&gt;1,ISNUMBER(Q111),ISNUMBER(S111)),1,0)</f>
        <v>0</v>
      </c>
      <c r="R117" s="55"/>
      <c r="S117" s="56">
        <f>IF(AND(S111&gt;Q111,$AK93&gt;5,$AK92&gt;1,ISNUMBER(Q111),ISNUMBER(S111)),1,0)</f>
        <v>1</v>
      </c>
      <c r="T117" s="55">
        <f>IF(AND(T111&gt;V111,$AK93&gt;6,$AK92&gt;1,ISNUMBER(T111),ISNUMBER(V111)),1,0)</f>
        <v>0</v>
      </c>
      <c r="U117" s="55"/>
      <c r="V117" s="56">
        <f>IF(AND(V111&gt;T111,$AK93&gt;6,$AK92&gt;1,ISNUMBER(T111),ISNUMBER(V111)),1,0)</f>
        <v>1</v>
      </c>
      <c r="W117" s="55">
        <f>IF(AND(W111&gt;Y111,$AK93&gt;7,$AK92&gt;1,ISNUMBER(W111),ISNUMBER(Y111)),1,0)</f>
        <v>0</v>
      </c>
      <c r="X117" s="55"/>
      <c r="Y117" s="56">
        <f>IF(AND(Y111&gt;W111,$AK93&gt;7,$AK92&gt;1,ISNUMBER(W111),ISNUMBER(Y111)),1,0)</f>
        <v>1</v>
      </c>
      <c r="Z117" s="55">
        <f>IF(AND(Z111&gt;AB111,$AK93&gt;8,$AK92&gt;1,ISNUMBER(Z111),ISNUMBER(AB111)),1,0)</f>
        <v>1</v>
      </c>
      <c r="AA117" s="55"/>
      <c r="AB117" s="56">
        <f>IF(AND(AB111&gt;Z111,$AK93&gt;8,$AK92&gt;1,ISNUMBER(Z111),ISNUMBER(AB111)),1,0)</f>
        <v>0</v>
      </c>
      <c r="AC117" s="55">
        <f>IF(AND(AC111&gt;AE111,$AK93&gt;9,$AK92&gt;1,ISNUMBER(AC111),ISNUMBER(AE111)),1,0)</f>
        <v>1</v>
      </c>
      <c r="AD117" s="55"/>
      <c r="AE117" s="56">
        <f>IF(AND(AE111&gt;AC111,$AK93&gt;9,$AK92&gt;1,ISNUMBER(AC111),ISNUMBER(AE111)),1,0)</f>
        <v>0</v>
      </c>
      <c r="AW117" s="146"/>
    </row>
    <row r="118" spans="1:49" s="54" customFormat="1" ht="12.75" hidden="1" customHeight="1" x14ac:dyDescent="0.2">
      <c r="A118" s="54" t="s">
        <v>56</v>
      </c>
      <c r="B118" s="55">
        <f>IF(AND(B112&gt;D112,$AK93&gt;0,$AK92&gt;2,ISNUMBER(B112),ISNUMBER(D112)),1,0)</f>
        <v>0</v>
      </c>
      <c r="C118" s="55"/>
      <c r="D118" s="56">
        <f>IF(AND(D112&gt;B112,$AK93&gt;0,$AK92&gt;2,ISNUMBER(B112),ISNUMBER(D112)),1,0)</f>
        <v>0</v>
      </c>
      <c r="E118" s="55">
        <f>IF(AND(E112&gt;G112,$AK93&gt;1,$AK92&gt;2,ISNUMBER(E112),ISNUMBER(G112)),1,0)</f>
        <v>0</v>
      </c>
      <c r="F118" s="55"/>
      <c r="G118" s="56">
        <f>IF(AND(G112&gt;E112,$AK93&gt;1,$AK92&gt;2,ISNUMBER(E112),ISNUMBER(G112)),1,0)</f>
        <v>0</v>
      </c>
      <c r="H118" s="55">
        <f>IF(AND(H112&gt;J112,$AK93&gt;2,$AK92&gt;2,ISNUMBER(H112),ISNUMBER(J112)),1,0)</f>
        <v>0</v>
      </c>
      <c r="I118" s="55"/>
      <c r="J118" s="56">
        <f>IF(AND(J112&gt;H112,$AK93&gt;2,$AK92&gt;2,ISNUMBER(H112),ISNUMBER(J112)),1,0)</f>
        <v>0</v>
      </c>
      <c r="K118" s="55">
        <f>IF(AND(K112&gt;M112,$AK93&gt;3,$AK92&gt;2,ISNUMBER(K112),ISNUMBER(M112)),1,0)</f>
        <v>0</v>
      </c>
      <c r="L118" s="55"/>
      <c r="M118" s="56">
        <f>IF(AND(M112&gt;K112,$AK93&gt;3,$AK92&gt;2,ISNUMBER(K112),ISNUMBER(M112)),1,0)</f>
        <v>0</v>
      </c>
      <c r="N118" s="55">
        <f>IF(AND(N112&gt;P112,$AK93&gt;4,$AK92&gt;2,ISNUMBER(N112),ISNUMBER(P112)),1,0)</f>
        <v>0</v>
      </c>
      <c r="O118" s="55"/>
      <c r="P118" s="56">
        <f>IF(AND(P112&gt;N112,$AK93&gt;4,$AK92&gt;2,ISNUMBER(N112),ISNUMBER(P112)),1,0)</f>
        <v>0</v>
      </c>
      <c r="Q118" s="55">
        <f>IF(AND(Q112&gt;S112,$AK93&gt;5,$AK92&gt;2,ISNUMBER(Q112),ISNUMBER(S112)),1,0)</f>
        <v>0</v>
      </c>
      <c r="R118" s="55"/>
      <c r="S118" s="56">
        <f>IF(AND(S112&gt;Q112,$AK93&gt;5,$AK92&gt;2,ISNUMBER(Q112),ISNUMBER(S112)),1,0)</f>
        <v>0</v>
      </c>
      <c r="T118" s="55">
        <f>IF(AND(T112&gt;V112,$AK93&gt;6,$AK92&gt;2,ISNUMBER(T112),ISNUMBER(V112)),1,0)</f>
        <v>0</v>
      </c>
      <c r="U118" s="55"/>
      <c r="V118" s="56">
        <f>IF(AND(V112&gt;T112,$AK93&gt;6,$AK92&gt;2,ISNUMBER(T112),ISNUMBER(V112)),1,0)</f>
        <v>0</v>
      </c>
      <c r="W118" s="55">
        <f>IF(AND(W112&gt;Y112,$AK93&gt;7,$AK92&gt;2,ISNUMBER(W112),ISNUMBER(Y112)),1,0)</f>
        <v>0</v>
      </c>
      <c r="X118" s="55"/>
      <c r="Y118" s="56">
        <f>IF(AND(Y112&gt;W112,$AK93&gt;7,$AK92&gt;2,ISNUMBER(W112),ISNUMBER(Y112)),1,0)</f>
        <v>0</v>
      </c>
      <c r="Z118" s="55">
        <f>IF(AND(Z112&gt;AB112,$AK93&gt;8,$AK92&gt;2,ISNUMBER(Z112),ISNUMBER(AB112)),1,0)</f>
        <v>0</v>
      </c>
      <c r="AA118" s="55"/>
      <c r="AB118" s="56">
        <f>IF(AND(AB112&gt;Z112,$AK93&gt;8,$AK92&gt;2,ISNUMBER(Z112),ISNUMBER(AB112)),1,0)</f>
        <v>0</v>
      </c>
      <c r="AC118" s="55">
        <f>IF(AND(AC112&gt;AE112,$AK93&gt;9,$AK92&gt;2,ISNUMBER(AC112),ISNUMBER(AE112)),1,0)</f>
        <v>0</v>
      </c>
      <c r="AD118" s="55"/>
      <c r="AE118" s="56">
        <f>IF(AND(AE112&gt;AC112,$AK93&gt;9,$AK92&gt;2,ISNUMBER(AC112),ISNUMBER(AE112)),1,0)</f>
        <v>0</v>
      </c>
      <c r="AW118" s="146"/>
    </row>
    <row r="119" spans="1:49" s="54" customFormat="1" ht="12.75" hidden="1" customHeight="1" x14ac:dyDescent="0.2">
      <c r="A119" s="54" t="s">
        <v>57</v>
      </c>
      <c r="B119" s="55">
        <f>IF(AND(B113&gt;D113,$AK93&gt;0,$AK92&gt;3,ISNUMBER(B113),ISNUMBER(D113)),1,0)</f>
        <v>0</v>
      </c>
      <c r="C119" s="55"/>
      <c r="D119" s="56">
        <f>IF(AND(D113&gt;B113,$AK93&gt;0,$AK92&gt;3,ISNUMBER(B113),ISNUMBER(D113)),1,0)</f>
        <v>0</v>
      </c>
      <c r="E119" s="55">
        <f>IF(AND(E113&gt;G113,$AK93&gt;1,$AK92&gt;3,ISNUMBER(E113),ISNUMBER(G113)),1,0)</f>
        <v>0</v>
      </c>
      <c r="F119" s="55"/>
      <c r="G119" s="56">
        <f>IF(AND(G113&gt;E113,$AK93&gt;1,$AK92&gt;3,ISNUMBER(E113),ISNUMBER(G113)),1,0)</f>
        <v>0</v>
      </c>
      <c r="H119" s="55">
        <f>IF(AND(H113&gt;J113,$AK93&gt;2,$AK92&gt;3,ISNUMBER(H113),ISNUMBER(J113)),1,0)</f>
        <v>0</v>
      </c>
      <c r="I119" s="55"/>
      <c r="J119" s="56">
        <f>IF(AND(J113&gt;H113,$AK93&gt;2,$AK92&gt;3,ISNUMBER(H113),ISNUMBER(J113)),1,0)</f>
        <v>0</v>
      </c>
      <c r="K119" s="55">
        <f>IF(AND(K113&gt;M113,$AK93&gt;3,$AK92&gt;3,ISNUMBER(K113),ISNUMBER(M113)),1,0)</f>
        <v>0</v>
      </c>
      <c r="L119" s="55"/>
      <c r="M119" s="56">
        <f>IF(AND(M113&gt;K113,$AK93&gt;3,$AK92&gt;3,ISNUMBER(K113),ISNUMBER(M113)),1,0)</f>
        <v>0</v>
      </c>
      <c r="N119" s="55">
        <f>IF(AND(N113&gt;P113,$AK93&gt;4,$AK92&gt;3,ISNUMBER(N113),ISNUMBER(P113)),1,0)</f>
        <v>0</v>
      </c>
      <c r="O119" s="55"/>
      <c r="P119" s="56">
        <f>IF(AND(P113&gt;N113,$AK93&gt;4,$AK92&gt;3,ISNUMBER(N113),ISNUMBER(P113)),1,0)</f>
        <v>0</v>
      </c>
      <c r="Q119" s="55">
        <f>IF(AND(Q113&gt;S113,$AK93&gt;5,$AK92&gt;3,ISNUMBER(Q113),ISNUMBER(S113)),1,0)</f>
        <v>0</v>
      </c>
      <c r="R119" s="55"/>
      <c r="S119" s="56">
        <f>IF(AND(S113&gt;Q113,$AK93&gt;5,$AK92&gt;3,ISNUMBER(Q113),ISNUMBER(S113)),1,0)</f>
        <v>0</v>
      </c>
      <c r="T119" s="55">
        <f>IF(AND(T113&gt;V113,$AK93&gt;6,$AK92&gt;3,ISNUMBER(T113),ISNUMBER(V113)),1,0)</f>
        <v>0</v>
      </c>
      <c r="U119" s="55"/>
      <c r="V119" s="56">
        <f>IF(AND(V113&gt;T113,$AK93&gt;6,$AK92&gt;3,ISNUMBER(T113),ISNUMBER(V113)),1,0)</f>
        <v>0</v>
      </c>
      <c r="W119" s="55">
        <f>IF(AND(W113&gt;Y113,$AK93&gt;7,$AK92&gt;3,ISNUMBER(W113),ISNUMBER(Y113)),1,0)</f>
        <v>0</v>
      </c>
      <c r="X119" s="55"/>
      <c r="Y119" s="56">
        <f>IF(AND(Y113&gt;W113,$AK93&gt;7,$AK92&gt;3,ISNUMBER(W113),ISNUMBER(Y113)),1,0)</f>
        <v>0</v>
      </c>
      <c r="Z119" s="55">
        <f>IF(AND(Z113&gt;AB113,$AK93&gt;8,$AK92&gt;3,ISNUMBER(Z113),ISNUMBER(AB113)),1,0)</f>
        <v>0</v>
      </c>
      <c r="AA119" s="55"/>
      <c r="AB119" s="56">
        <f>IF(AND(AB113&gt;Z113,$AK93&gt;8,$AK92&gt;3,ISNUMBER(Z113),ISNUMBER(AB113)),1,0)</f>
        <v>0</v>
      </c>
      <c r="AC119" s="55">
        <f>IF(AND(AC113&gt;AE113,$AK93&gt;9,$AK92&gt;3,ISNUMBER(AC113),ISNUMBER(AE113)),1,0)</f>
        <v>0</v>
      </c>
      <c r="AD119" s="55"/>
      <c r="AE119" s="56">
        <f>IF(AND(AE113&gt;AC113,$AK93&gt;9,$AK92&gt;3,ISNUMBER(AC113),ISNUMBER(AE113)),1,0)</f>
        <v>0</v>
      </c>
      <c r="AW119" s="146"/>
    </row>
    <row r="120" spans="1:49" s="54" customFormat="1" ht="12.75" hidden="1" customHeight="1" x14ac:dyDescent="0.2">
      <c r="A120" s="54" t="s">
        <v>58</v>
      </c>
      <c r="B120" s="55">
        <f>IF(AND(B114&gt;D114,$AK93&gt;0,$AK92&gt;4,ISNUMBER(B114),ISNUMBER(D114)),1,0)</f>
        <v>0</v>
      </c>
      <c r="C120" s="55"/>
      <c r="D120" s="56">
        <f>IF(AND(D114&gt;B114,$AK93&gt;0,$AK92&gt;4,ISNUMBER(B114),ISNUMBER(D114)),1,0)</f>
        <v>0</v>
      </c>
      <c r="E120" s="55">
        <f>IF(AND(E114&gt;G114,$AK93&gt;1,$AK92&gt;4,ISNUMBER(E114),ISNUMBER(G114)),1,0)</f>
        <v>0</v>
      </c>
      <c r="F120" s="55"/>
      <c r="G120" s="56">
        <f>IF(AND(G114&gt;E114,$AK93&gt;1,$AK92&gt;4,ISNUMBER(E114),ISNUMBER(G114)),1,0)</f>
        <v>0</v>
      </c>
      <c r="H120" s="55">
        <f>IF(AND(H114&gt;J114,$AK93&gt;2,$AK92&gt;4,ISNUMBER(H114),ISNUMBER(J114)),1,0)</f>
        <v>0</v>
      </c>
      <c r="I120" s="55"/>
      <c r="J120" s="56">
        <f>IF(AND(J114&gt;H114,$AK93&gt;2,$AK92&gt;4,ISNUMBER(H114),ISNUMBER(J114)),1,0)</f>
        <v>0</v>
      </c>
      <c r="K120" s="55">
        <f>IF(AND(K114&gt;M114,$AK93&gt;3,$AK92&gt;4,ISNUMBER(K114),ISNUMBER(M114)),1,0)</f>
        <v>0</v>
      </c>
      <c r="L120" s="55"/>
      <c r="M120" s="56">
        <f>IF(AND(M114&gt;K114,$AK93&gt;3,$AK92&gt;4,ISNUMBER(K114),ISNUMBER(M114)),1,0)</f>
        <v>0</v>
      </c>
      <c r="N120" s="55">
        <f>IF(AND(N114&gt;P114,$AK93&gt;4,$AK92&gt;4,ISNUMBER(N114),ISNUMBER(P114)),1,0)</f>
        <v>0</v>
      </c>
      <c r="O120" s="55"/>
      <c r="P120" s="56">
        <f>IF(AND(P114&gt;N114,$AK93&gt;4,$AK92&gt;4,ISNUMBER(N114),ISNUMBER(P114)),1,0)</f>
        <v>0</v>
      </c>
      <c r="Q120" s="55">
        <f>IF(AND(Q114&gt;S114,$AK93&gt;5,$AK92&gt;4,ISNUMBER(Q114),ISNUMBER(S114)),1,0)</f>
        <v>0</v>
      </c>
      <c r="R120" s="55"/>
      <c r="S120" s="56">
        <f>IF(AND(S114&gt;Q114,$AK93&gt;5,$AK92&gt;4,ISNUMBER(Q114),ISNUMBER(S114)),1,0)</f>
        <v>0</v>
      </c>
      <c r="T120" s="55">
        <f>IF(AND(T114&gt;V114,$AK93&gt;6,$AK92&gt;4,ISNUMBER(T114),ISNUMBER(V114)),1,0)</f>
        <v>0</v>
      </c>
      <c r="U120" s="55"/>
      <c r="V120" s="56">
        <f>IF(AND(V114&gt;T114,$AK93&gt;6,$AK92&gt;4,ISNUMBER(T114),ISNUMBER(V114)),1,0)</f>
        <v>0</v>
      </c>
      <c r="W120" s="55">
        <f>IF(AND(W114&gt;Y114,$AK93&gt;7,$AK92&gt;4,ISNUMBER(W114),ISNUMBER(Y114)),1,0)</f>
        <v>0</v>
      </c>
      <c r="X120" s="55"/>
      <c r="Y120" s="56">
        <f>IF(AND(Y114&gt;W114,$AK93&gt;7,$AK92&gt;4,ISNUMBER(W114),ISNUMBER(Y114)),1,0)</f>
        <v>0</v>
      </c>
      <c r="Z120" s="55">
        <f>IF(AND(Z114&gt;AB114,$AK93&gt;8,$AK92&gt;4,ISNUMBER(Z114),ISNUMBER(AB114)),1,0)</f>
        <v>0</v>
      </c>
      <c r="AA120" s="55"/>
      <c r="AB120" s="56">
        <f>IF(AND(AB114&gt;Z114,$AK93&gt;8,$AK92&gt;4,ISNUMBER(Z114),ISNUMBER(AB114)),1,0)</f>
        <v>0</v>
      </c>
      <c r="AC120" s="55">
        <f>IF(AND(AC114&gt;AE114,$AK93&gt;9,$AK92&gt;4,ISNUMBER(AC114),ISNUMBER(AE114)),1,0)</f>
        <v>0</v>
      </c>
      <c r="AD120" s="55"/>
      <c r="AE120" s="56">
        <f>IF(AND(AE114&gt;AC114,$AK93&gt;9,$AK92&gt;4,ISNUMBER(AC114),ISNUMBER(AE114)),1,0)</f>
        <v>0</v>
      </c>
      <c r="AW120" s="146"/>
    </row>
    <row r="121" spans="1:49" s="54" customFormat="1" ht="38.25" hidden="1" customHeight="1" x14ac:dyDescent="0.2">
      <c r="A121" s="57" t="s">
        <v>59</v>
      </c>
      <c r="B121" s="54">
        <f>SUM(B116:B120)</f>
        <v>0</v>
      </c>
      <c r="D121" s="58">
        <f>SUM(D116:D120)</f>
        <v>2</v>
      </c>
      <c r="E121" s="54">
        <f>SUM(E116:E120)</f>
        <v>1</v>
      </c>
      <c r="G121" s="58">
        <f>SUM(G116:G120)</f>
        <v>1</v>
      </c>
      <c r="H121" s="54">
        <f>SUM(H116:H120)</f>
        <v>0</v>
      </c>
      <c r="J121" s="58">
        <f>SUM(J116:J120)</f>
        <v>2</v>
      </c>
      <c r="K121" s="54">
        <f>SUM(K116:K120)</f>
        <v>1</v>
      </c>
      <c r="M121" s="58">
        <f>SUM(M116:M120)</f>
        <v>1</v>
      </c>
      <c r="N121" s="54">
        <f>SUM(N116:N120)</f>
        <v>2</v>
      </c>
      <c r="P121" s="58">
        <f>SUM(P116:P120)</f>
        <v>0</v>
      </c>
      <c r="Q121" s="54">
        <f>SUM(Q116:Q120)</f>
        <v>0</v>
      </c>
      <c r="S121" s="58">
        <f>SUM(S116:S120)</f>
        <v>2</v>
      </c>
      <c r="T121" s="54">
        <f>SUM(T116:T120)</f>
        <v>0</v>
      </c>
      <c r="V121" s="58">
        <f>SUM(V116:V120)</f>
        <v>2</v>
      </c>
      <c r="W121" s="54">
        <f>SUM(W116:W120)</f>
        <v>0</v>
      </c>
      <c r="Y121" s="58">
        <f>SUM(Y116:Y120)</f>
        <v>2</v>
      </c>
      <c r="Z121" s="54">
        <f>SUM(Z116:Z120)</f>
        <v>1</v>
      </c>
      <c r="AB121" s="58">
        <f>SUM(AB116:AB120)</f>
        <v>1</v>
      </c>
      <c r="AC121" s="54">
        <f>SUM(AC116:AC120)</f>
        <v>2</v>
      </c>
      <c r="AE121" s="58">
        <f>SUM(AE116:AE120)</f>
        <v>0</v>
      </c>
      <c r="AW121" s="146"/>
    </row>
    <row r="122" spans="1:49" s="54" customFormat="1" ht="25.5" hidden="1" customHeight="1" x14ac:dyDescent="0.2">
      <c r="A122" s="57" t="s">
        <v>60</v>
      </c>
      <c r="B122" s="54">
        <f>IF(B121&gt;D121,IF(C156=AK92,1,IF(C156=AK92-1,1,0)),0)</f>
        <v>0</v>
      </c>
      <c r="C122" s="54">
        <f>B122+D122</f>
        <v>1</v>
      </c>
      <c r="D122" s="58">
        <f>IF(D121&gt;B121,IF(C156=AK92,1,IF(C156=AK92-1,1,0)),0)</f>
        <v>1</v>
      </c>
      <c r="E122" s="54">
        <f>IF(E121&gt;G121,IF(F156=AK92,1,IF(F156=AK92-1,1,0)),0)</f>
        <v>0</v>
      </c>
      <c r="F122" s="54">
        <f>E122+G122</f>
        <v>0</v>
      </c>
      <c r="G122" s="58">
        <f>IF(G121&gt;E121,IF(F156=AK92,1,IF(F156=AK92-1,1,0)),0)</f>
        <v>0</v>
      </c>
      <c r="H122" s="54">
        <f>IF(H121&gt;J121,IF(I156=AK92,1,IF(I156=AK92-1,1,0)),0)</f>
        <v>0</v>
      </c>
      <c r="I122" s="54">
        <f>H122+J122</f>
        <v>1</v>
      </c>
      <c r="J122" s="58">
        <f>IF(J121&gt;H121,IF(I156=AK92,1,IF(I156=AK92-1,1,0)),0)</f>
        <v>1</v>
      </c>
      <c r="K122" s="54">
        <f>IF(K121&gt;M121,IF(L156=AK92,1,IF(L156=AK92-1,1,0)),0)</f>
        <v>0</v>
      </c>
      <c r="L122" s="54">
        <f>K122+M122</f>
        <v>0</v>
      </c>
      <c r="M122" s="58">
        <f>IF(M121&gt;K121,IF(L156=AK92,1,IF(L156=AK92-1,1,0)),0)</f>
        <v>0</v>
      </c>
      <c r="N122" s="54">
        <f>IF(N121&gt;P121,IF(O156=AK92,1,IF(O156=AK92-1,1,0)),0)</f>
        <v>1</v>
      </c>
      <c r="O122" s="54">
        <f>N122+P122</f>
        <v>1</v>
      </c>
      <c r="P122" s="58">
        <f>IF(P121&gt;N121,IF(O156=AK92,1,IF(O156=AK92-1,1,0)),0)</f>
        <v>0</v>
      </c>
      <c r="Q122" s="54">
        <f>IF(Q121&gt;S121,IF(R156=AK92,1,IF(R156=AK92-1,1,0)),0)</f>
        <v>0</v>
      </c>
      <c r="R122" s="54">
        <f>Q122+S122</f>
        <v>1</v>
      </c>
      <c r="S122" s="58">
        <f>IF(S121&gt;Q121,IF(R156=AK92,1,IF(R156=AK92-1,1,0)),0)</f>
        <v>1</v>
      </c>
      <c r="T122" s="54">
        <f>IF(T121&gt;V121,IF(U156=AK92,1,IF(U156=AK92-1,1,0)),0)</f>
        <v>0</v>
      </c>
      <c r="U122" s="54">
        <f>T122+V122</f>
        <v>1</v>
      </c>
      <c r="V122" s="58">
        <f>IF(V121&gt;T121,IF(U156=AK92,1,IF(U156=AK92-1,1,0)),0)</f>
        <v>1</v>
      </c>
      <c r="W122" s="54">
        <f>IF(W121&gt;Y121,IF(X156=AK92,1,IF(X156=AK92-1,1,0)),0)</f>
        <v>0</v>
      </c>
      <c r="X122" s="54">
        <f>W122+Y122</f>
        <v>1</v>
      </c>
      <c r="Y122" s="58">
        <f>IF(Y121&gt;W121,IF(X156=AK92,1,IF(X156=AK92-1,1,0)),0)</f>
        <v>1</v>
      </c>
      <c r="Z122" s="54">
        <f>IF(Z121&gt;AB121,IF(AA156=AK92,1,IF(AA156=AK92-1,1,0)),0)</f>
        <v>0</v>
      </c>
      <c r="AA122" s="54">
        <f>Z122+AB122</f>
        <v>0</v>
      </c>
      <c r="AB122" s="58">
        <f>IF(AB121&gt;Z121,IF(AA156=AK92,1,IF(AA156=AK92-1,1,0)),0)</f>
        <v>0</v>
      </c>
      <c r="AC122" s="54">
        <f>IF(AC121&gt;AE121,IF(AD156=AK92,1,IF(AD156=AK92-1,1,0)),0)</f>
        <v>1</v>
      </c>
      <c r="AD122" s="54">
        <f>AC122+AE122</f>
        <v>1</v>
      </c>
      <c r="AE122" s="58">
        <f>IF(AE121&gt;AC121,IF(AD156=AK92,1,IF(AD156=AK92-1,1,0)),0)</f>
        <v>0</v>
      </c>
      <c r="AW122" s="146"/>
    </row>
    <row r="123" spans="1:49" s="54" customFormat="1" ht="25.5" hidden="1" customHeight="1" x14ac:dyDescent="0.2">
      <c r="A123" s="57"/>
      <c r="D123" s="58"/>
      <c r="G123" s="58"/>
      <c r="J123" s="58"/>
      <c r="M123" s="58"/>
      <c r="P123" s="58"/>
      <c r="S123" s="58"/>
      <c r="V123" s="58"/>
      <c r="Y123" s="58"/>
      <c r="AB123" s="58"/>
      <c r="AE123" s="58"/>
      <c r="AW123" s="146"/>
    </row>
    <row r="124" spans="1:49" s="54" customFormat="1" ht="12.75" hidden="1" customHeight="1" x14ac:dyDescent="0.2">
      <c r="A124" s="54" t="s">
        <v>61</v>
      </c>
      <c r="B124" s="54">
        <f>IF(B116=1,B110,0)</f>
        <v>0</v>
      </c>
      <c r="D124" s="58">
        <f t="shared" ref="D124:E128" si="12">IF(D116=1,D110,0)</f>
        <v>25</v>
      </c>
      <c r="E124" s="54">
        <f t="shared" si="12"/>
        <v>25</v>
      </c>
      <c r="G124" s="58">
        <f t="shared" ref="G124:H128" si="13">IF(G116=1,G110,0)</f>
        <v>0</v>
      </c>
      <c r="H124" s="54">
        <f t="shared" si="13"/>
        <v>0</v>
      </c>
      <c r="J124" s="58">
        <f t="shared" ref="J124:K128" si="14">IF(J116=1,J110,0)</f>
        <v>25</v>
      </c>
      <c r="K124" s="54">
        <f t="shared" si="14"/>
        <v>27</v>
      </c>
      <c r="M124" s="58">
        <f t="shared" ref="M124:N128" si="15">IF(M116=1,M110,0)</f>
        <v>0</v>
      </c>
      <c r="N124" s="54">
        <f t="shared" si="15"/>
        <v>25</v>
      </c>
      <c r="P124" s="58">
        <f t="shared" ref="P124:Q128" si="16">IF(P116=1,P110,0)</f>
        <v>0</v>
      </c>
      <c r="Q124" s="54">
        <f t="shared" si="16"/>
        <v>0</v>
      </c>
      <c r="S124" s="58">
        <f t="shared" ref="S124:T128" si="17">IF(S116=1,S110,0)</f>
        <v>25</v>
      </c>
      <c r="T124" s="54">
        <f t="shared" si="17"/>
        <v>0</v>
      </c>
      <c r="V124" s="58">
        <f t="shared" ref="V124:W128" si="18">IF(V116=1,V110,0)</f>
        <v>25</v>
      </c>
      <c r="W124" s="54">
        <f t="shared" si="18"/>
        <v>0</v>
      </c>
      <c r="Y124" s="58">
        <f t="shared" ref="Y124:Z128" si="19">IF(Y116=1,Y110,0)</f>
        <v>25</v>
      </c>
      <c r="Z124" s="54">
        <f t="shared" si="19"/>
        <v>0</v>
      </c>
      <c r="AB124" s="58">
        <f t="shared" ref="AB124:AC128" si="20">IF(AB116=1,AB110,0)</f>
        <v>25</v>
      </c>
      <c r="AC124" s="54">
        <f t="shared" si="20"/>
        <v>25</v>
      </c>
      <c r="AE124" s="58">
        <f>IF(AE116=1,AE110,0)</f>
        <v>0</v>
      </c>
      <c r="AW124" s="146"/>
    </row>
    <row r="125" spans="1:49" s="54" customFormat="1" ht="12.75" hidden="1" customHeight="1" x14ac:dyDescent="0.2">
      <c r="A125" s="54" t="s">
        <v>62</v>
      </c>
      <c r="B125" s="54">
        <f>IF(B117=1,B111,0)</f>
        <v>0</v>
      </c>
      <c r="D125" s="58">
        <f t="shared" si="12"/>
        <v>25</v>
      </c>
      <c r="E125" s="54">
        <f t="shared" si="12"/>
        <v>0</v>
      </c>
      <c r="G125" s="58">
        <f t="shared" si="13"/>
        <v>25</v>
      </c>
      <c r="H125" s="54">
        <f t="shared" si="13"/>
        <v>0</v>
      </c>
      <c r="J125" s="58">
        <f t="shared" si="14"/>
        <v>25</v>
      </c>
      <c r="K125" s="54">
        <f t="shared" si="14"/>
        <v>0</v>
      </c>
      <c r="M125" s="58">
        <f t="shared" si="15"/>
        <v>25</v>
      </c>
      <c r="N125" s="54">
        <f t="shared" si="15"/>
        <v>25</v>
      </c>
      <c r="P125" s="58">
        <f t="shared" si="16"/>
        <v>0</v>
      </c>
      <c r="Q125" s="54">
        <f t="shared" si="16"/>
        <v>0</v>
      </c>
      <c r="S125" s="58">
        <f t="shared" si="17"/>
        <v>25</v>
      </c>
      <c r="T125" s="54">
        <f t="shared" si="17"/>
        <v>0</v>
      </c>
      <c r="V125" s="58">
        <f t="shared" si="18"/>
        <v>25</v>
      </c>
      <c r="W125" s="54">
        <f t="shared" si="18"/>
        <v>0</v>
      </c>
      <c r="Y125" s="58">
        <f t="shared" si="19"/>
        <v>25</v>
      </c>
      <c r="Z125" s="54">
        <f t="shared" si="19"/>
        <v>25</v>
      </c>
      <c r="AB125" s="58">
        <f t="shared" si="20"/>
        <v>0</v>
      </c>
      <c r="AC125" s="54">
        <f t="shared" si="20"/>
        <v>25</v>
      </c>
      <c r="AE125" s="58">
        <f>IF(AE117=1,AE111,0)</f>
        <v>0</v>
      </c>
      <c r="AW125" s="146"/>
    </row>
    <row r="126" spans="1:49" s="54" customFormat="1" ht="12.75" hidden="1" customHeight="1" x14ac:dyDescent="0.2">
      <c r="A126" s="54" t="s">
        <v>63</v>
      </c>
      <c r="B126" s="54">
        <f>IF(B118=1,B112,0)</f>
        <v>0</v>
      </c>
      <c r="D126" s="58">
        <f t="shared" si="12"/>
        <v>0</v>
      </c>
      <c r="E126" s="54">
        <f t="shared" si="12"/>
        <v>0</v>
      </c>
      <c r="G126" s="58">
        <f t="shared" si="13"/>
        <v>0</v>
      </c>
      <c r="H126" s="54">
        <f t="shared" si="13"/>
        <v>0</v>
      </c>
      <c r="J126" s="58">
        <f t="shared" si="14"/>
        <v>0</v>
      </c>
      <c r="K126" s="54">
        <f t="shared" si="14"/>
        <v>0</v>
      </c>
      <c r="M126" s="58">
        <f t="shared" si="15"/>
        <v>0</v>
      </c>
      <c r="N126" s="54">
        <f t="shared" si="15"/>
        <v>0</v>
      </c>
      <c r="P126" s="58">
        <f t="shared" si="16"/>
        <v>0</v>
      </c>
      <c r="Q126" s="54">
        <f t="shared" si="16"/>
        <v>0</v>
      </c>
      <c r="S126" s="58">
        <f t="shared" si="17"/>
        <v>0</v>
      </c>
      <c r="T126" s="54">
        <f t="shared" si="17"/>
        <v>0</v>
      </c>
      <c r="V126" s="58">
        <f t="shared" si="18"/>
        <v>0</v>
      </c>
      <c r="W126" s="54">
        <f t="shared" si="18"/>
        <v>0</v>
      </c>
      <c r="Y126" s="58">
        <f t="shared" si="19"/>
        <v>0</v>
      </c>
      <c r="Z126" s="54">
        <f t="shared" si="19"/>
        <v>0</v>
      </c>
      <c r="AB126" s="58">
        <f t="shared" si="20"/>
        <v>0</v>
      </c>
      <c r="AC126" s="54">
        <f t="shared" si="20"/>
        <v>0</v>
      </c>
      <c r="AE126" s="58">
        <f>IF(AE118=1,AE112,0)</f>
        <v>0</v>
      </c>
      <c r="AW126" s="146"/>
    </row>
    <row r="127" spans="1:49" s="54" customFormat="1" ht="12.75" hidden="1" customHeight="1" x14ac:dyDescent="0.2">
      <c r="A127" s="54" t="s">
        <v>64</v>
      </c>
      <c r="B127" s="54">
        <f>IF(B119=1,B113,0)</f>
        <v>0</v>
      </c>
      <c r="D127" s="58">
        <f t="shared" si="12"/>
        <v>0</v>
      </c>
      <c r="E127" s="54">
        <f t="shared" si="12"/>
        <v>0</v>
      </c>
      <c r="G127" s="58">
        <f t="shared" si="13"/>
        <v>0</v>
      </c>
      <c r="H127" s="54">
        <f t="shared" si="13"/>
        <v>0</v>
      </c>
      <c r="J127" s="58">
        <f t="shared" si="14"/>
        <v>0</v>
      </c>
      <c r="K127" s="54">
        <f t="shared" si="14"/>
        <v>0</v>
      </c>
      <c r="M127" s="58">
        <f t="shared" si="15"/>
        <v>0</v>
      </c>
      <c r="N127" s="54">
        <f t="shared" si="15"/>
        <v>0</v>
      </c>
      <c r="P127" s="58">
        <f t="shared" si="16"/>
        <v>0</v>
      </c>
      <c r="Q127" s="54">
        <f t="shared" si="16"/>
        <v>0</v>
      </c>
      <c r="S127" s="58">
        <f t="shared" si="17"/>
        <v>0</v>
      </c>
      <c r="T127" s="54">
        <f t="shared" si="17"/>
        <v>0</v>
      </c>
      <c r="V127" s="58">
        <f t="shared" si="18"/>
        <v>0</v>
      </c>
      <c r="W127" s="54">
        <f t="shared" si="18"/>
        <v>0</v>
      </c>
      <c r="Y127" s="58">
        <f t="shared" si="19"/>
        <v>0</v>
      </c>
      <c r="Z127" s="54">
        <f t="shared" si="19"/>
        <v>0</v>
      </c>
      <c r="AB127" s="58">
        <f t="shared" si="20"/>
        <v>0</v>
      </c>
      <c r="AC127" s="54">
        <f t="shared" si="20"/>
        <v>0</v>
      </c>
      <c r="AE127" s="58">
        <f>IF(AE119=1,AE113,0)</f>
        <v>0</v>
      </c>
      <c r="AW127" s="146"/>
    </row>
    <row r="128" spans="1:49" s="54" customFormat="1" ht="12.75" hidden="1" customHeight="1" x14ac:dyDescent="0.2">
      <c r="A128" s="54" t="s">
        <v>65</v>
      </c>
      <c r="B128" s="54">
        <f>IF(B120=1,B114,0)</f>
        <v>0</v>
      </c>
      <c r="D128" s="58">
        <f t="shared" si="12"/>
        <v>0</v>
      </c>
      <c r="E128" s="54">
        <f t="shared" si="12"/>
        <v>0</v>
      </c>
      <c r="G128" s="58">
        <f t="shared" si="13"/>
        <v>0</v>
      </c>
      <c r="H128" s="54">
        <f t="shared" si="13"/>
        <v>0</v>
      </c>
      <c r="J128" s="58">
        <f t="shared" si="14"/>
        <v>0</v>
      </c>
      <c r="K128" s="54">
        <f t="shared" si="14"/>
        <v>0</v>
      </c>
      <c r="M128" s="58">
        <f t="shared" si="15"/>
        <v>0</v>
      </c>
      <c r="N128" s="54">
        <f t="shared" si="15"/>
        <v>0</v>
      </c>
      <c r="P128" s="58">
        <f t="shared" si="16"/>
        <v>0</v>
      </c>
      <c r="Q128" s="54">
        <f t="shared" si="16"/>
        <v>0</v>
      </c>
      <c r="S128" s="58">
        <f t="shared" si="17"/>
        <v>0</v>
      </c>
      <c r="T128" s="54">
        <f t="shared" si="17"/>
        <v>0</v>
      </c>
      <c r="V128" s="58">
        <f t="shared" si="18"/>
        <v>0</v>
      </c>
      <c r="W128" s="54">
        <f t="shared" si="18"/>
        <v>0</v>
      </c>
      <c r="Y128" s="58">
        <f t="shared" si="19"/>
        <v>0</v>
      </c>
      <c r="Z128" s="54">
        <f t="shared" si="19"/>
        <v>0</v>
      </c>
      <c r="AB128" s="58">
        <f t="shared" si="20"/>
        <v>0</v>
      </c>
      <c r="AC128" s="54">
        <f t="shared" si="20"/>
        <v>0</v>
      </c>
      <c r="AE128" s="58">
        <f>IF(AE120=1,AE114,0)</f>
        <v>0</v>
      </c>
      <c r="AW128" s="146"/>
    </row>
    <row r="129" spans="1:49" s="54" customFormat="1" ht="38.25" hidden="1" customHeight="1" x14ac:dyDescent="0.2">
      <c r="A129" s="57" t="s">
        <v>66</v>
      </c>
      <c r="B129" s="54">
        <f>SUM(B124:D128)</f>
        <v>50</v>
      </c>
      <c r="D129" s="58"/>
      <c r="E129" s="54">
        <f>SUM(E124:G128)</f>
        <v>50</v>
      </c>
      <c r="G129" s="58"/>
      <c r="H129" s="54">
        <f>SUM(H124:J128)</f>
        <v>50</v>
      </c>
      <c r="J129" s="58"/>
      <c r="K129" s="54">
        <f>SUM(K124:M128)</f>
        <v>52</v>
      </c>
      <c r="M129" s="58"/>
      <c r="N129" s="54">
        <f>SUM(N124:P128)</f>
        <v>50</v>
      </c>
      <c r="P129" s="58"/>
      <c r="Q129" s="54">
        <f>SUM(Q124:S128)</f>
        <v>50</v>
      </c>
      <c r="S129" s="58"/>
      <c r="T129" s="54">
        <f>SUM(T124:V128)</f>
        <v>50</v>
      </c>
      <c r="V129" s="58"/>
      <c r="W129" s="54">
        <f>SUM(W124:Y128)</f>
        <v>50</v>
      </c>
      <c r="Y129" s="58"/>
      <c r="Z129" s="54">
        <f>SUM(Z124:AB128)</f>
        <v>50</v>
      </c>
      <c r="AB129" s="58"/>
      <c r="AC129" s="54">
        <f>SUM(AC124:AE128)</f>
        <v>50</v>
      </c>
      <c r="AE129" s="58"/>
      <c r="AW129" s="146"/>
    </row>
    <row r="130" spans="1:49" s="54" customFormat="1" ht="38.25" hidden="1" customHeight="1" x14ac:dyDescent="0.2">
      <c r="A130" s="54" t="s">
        <v>67</v>
      </c>
      <c r="D130" s="58"/>
      <c r="G130" s="58"/>
      <c r="J130" s="58"/>
      <c r="M130" s="58"/>
      <c r="P130" s="58"/>
      <c r="S130" s="58"/>
      <c r="V130" s="58"/>
      <c r="Y130" s="58"/>
      <c r="AB130" s="58"/>
      <c r="AE130" s="58"/>
      <c r="AF130" s="57" t="s">
        <v>68</v>
      </c>
      <c r="AG130" s="54" t="s">
        <v>69</v>
      </c>
      <c r="AW130" s="146"/>
    </row>
    <row r="131" spans="1:49" s="54" customFormat="1" ht="12.75" hidden="1" customHeight="1" x14ac:dyDescent="0.2">
      <c r="A131" s="54" t="s">
        <v>70</v>
      </c>
      <c r="B131" s="54">
        <f>IF(B109=1,IF(B122=1,1,0),0)</f>
        <v>0</v>
      </c>
      <c r="D131" s="58">
        <f>IF(D109=1,IF(D122=1,1,0),0)</f>
        <v>0</v>
      </c>
      <c r="E131" s="54">
        <f>IF(E109=1,IF(E122=1,1,0),0)</f>
        <v>0</v>
      </c>
      <c r="G131" s="58">
        <f>IF(G109=1,IF(G122=1,1,0),0)</f>
        <v>0</v>
      </c>
      <c r="H131" s="54">
        <f>IF(H109=1,IF(H122=1,1,0),0)</f>
        <v>0</v>
      </c>
      <c r="J131" s="58">
        <f>IF(J109=1,IF(J122=1,1,0),0)</f>
        <v>0</v>
      </c>
      <c r="K131" s="54">
        <f>IF(K109=1,IF(K122=1,1,0),0)</f>
        <v>0</v>
      </c>
      <c r="M131" s="58">
        <f>IF(M109=1,IF(M122=1,1,0),0)</f>
        <v>0</v>
      </c>
      <c r="N131" s="54">
        <f>IF(N109=1,IF(N122=1,1,0),0)</f>
        <v>1</v>
      </c>
      <c r="P131" s="58">
        <f>IF(P109=1,IF(P122=1,1,0),0)</f>
        <v>0</v>
      </c>
      <c r="Q131" s="54">
        <f>IF(Q109=1,IF(Q122=1,1,0),0)</f>
        <v>0</v>
      </c>
      <c r="S131" s="58">
        <f>IF(S109=1,IF(S122=1,1,0),0)</f>
        <v>0</v>
      </c>
      <c r="T131" s="54">
        <f>IF(T109=1,IF(T122=1,1,0),0)</f>
        <v>0</v>
      </c>
      <c r="V131" s="58">
        <f>IF(V109=1,IF(V122=1,1,0),0)</f>
        <v>0</v>
      </c>
      <c r="W131" s="54">
        <f>IF(W109=1,IF(W122=1,1,0),0)</f>
        <v>0</v>
      </c>
      <c r="Y131" s="58">
        <f>IF(Y109=1,IF(Y122=1,1,0),0)</f>
        <v>0</v>
      </c>
      <c r="Z131" s="54">
        <f>IF(Z109=1,IF(Z122=1,1,0),0)</f>
        <v>0</v>
      </c>
      <c r="AB131" s="58">
        <f>IF(AB109=1,IF(AB122=1,1,0),0)</f>
        <v>0</v>
      </c>
      <c r="AC131" s="54">
        <f>IF(AC109=1,IF(AC122=1,1,0),0)</f>
        <v>1</v>
      </c>
      <c r="AE131" s="58">
        <f>IF(AE109=1,IF(AE122=1,1,0),0)</f>
        <v>0</v>
      </c>
      <c r="AF131" s="54">
        <f>SUM(B131:AE131)</f>
        <v>2</v>
      </c>
      <c r="AG131" s="54">
        <f>AF137-AF131</f>
        <v>1</v>
      </c>
      <c r="AW131" s="146"/>
    </row>
    <row r="132" spans="1:49" s="54" customFormat="1" ht="12.75" hidden="1" customHeight="1" x14ac:dyDescent="0.2">
      <c r="A132" s="54" t="s">
        <v>71</v>
      </c>
      <c r="B132" s="54">
        <f>IF(B109=2,IF(B122=1,1,0),0)</f>
        <v>0</v>
      </c>
      <c r="D132" s="58">
        <f>IF(D109=2,IF(D122=1,1,0),0)</f>
        <v>0</v>
      </c>
      <c r="E132" s="54">
        <f>IF(E109=2,IF(E122=1,1,0),0)</f>
        <v>0</v>
      </c>
      <c r="G132" s="58">
        <f>IF(G109=2,IF(G122=1,1,0),0)</f>
        <v>0</v>
      </c>
      <c r="H132" s="54">
        <f>IF(H109=2,IF(H122=1,1,0),0)</f>
        <v>0</v>
      </c>
      <c r="J132" s="58">
        <f>IF(J109=2,IF(J122=1,1,0),0)</f>
        <v>0</v>
      </c>
      <c r="K132" s="54">
        <f>IF(K109=2,IF(K122=1,1,0),0)</f>
        <v>0</v>
      </c>
      <c r="M132" s="58">
        <f>IF(M109=2,IF(M122=1,1,0),0)</f>
        <v>0</v>
      </c>
      <c r="N132" s="54">
        <f>IF(N109=2,IF(N122=1,1,0),0)</f>
        <v>0</v>
      </c>
      <c r="P132" s="58">
        <f>IF(P109=2,IF(P122=1,1,0),0)</f>
        <v>0</v>
      </c>
      <c r="Q132" s="54">
        <f>IF(Q109=2,IF(Q122=1,1,0),0)</f>
        <v>0</v>
      </c>
      <c r="S132" s="58">
        <f>IF(S109=2,IF(S122=1,1,0),0)</f>
        <v>0</v>
      </c>
      <c r="T132" s="54">
        <f>IF(T109=2,IF(T122=1,1,0),0)</f>
        <v>0</v>
      </c>
      <c r="V132" s="58">
        <f>IF(V109=2,IF(V122=1,1,0),0)</f>
        <v>0</v>
      </c>
      <c r="W132" s="54">
        <f>IF(W109=2,IF(W122=1,1,0),0)</f>
        <v>0</v>
      </c>
      <c r="Y132" s="58">
        <f>IF(Y109=2,IF(Y122=1,1,0),0)</f>
        <v>0</v>
      </c>
      <c r="Z132" s="54">
        <f>IF(Z109=2,IF(Z122=1,1,0),0)</f>
        <v>0</v>
      </c>
      <c r="AB132" s="58">
        <f>IF(AB109=2,IF(AB122=1,1,0),0)</f>
        <v>0</v>
      </c>
      <c r="AC132" s="54">
        <f>IF(AC109=2,IF(AC122=1,1,0),0)</f>
        <v>0</v>
      </c>
      <c r="AE132" s="58">
        <f>IF(AE109=2,IF(AE122=1,1,0),0)</f>
        <v>0</v>
      </c>
      <c r="AF132" s="54">
        <f>SUM(B132:AE132)</f>
        <v>0</v>
      </c>
      <c r="AG132" s="54">
        <f>AF138-AF132</f>
        <v>3</v>
      </c>
      <c r="AW132" s="146"/>
    </row>
    <row r="133" spans="1:49" s="54" customFormat="1" ht="12.75" hidden="1" customHeight="1" x14ac:dyDescent="0.2">
      <c r="A133" s="54" t="s">
        <v>72</v>
      </c>
      <c r="B133" s="54">
        <f>IF(B109=3,IF(B122=1,1,0),0)</f>
        <v>0</v>
      </c>
      <c r="D133" s="58">
        <f>IF(D109=3,IF(D122=1,1,0),0)</f>
        <v>0</v>
      </c>
      <c r="E133" s="54">
        <f>IF(E109=3,IF(E122=1,1,0),0)</f>
        <v>0</v>
      </c>
      <c r="G133" s="58">
        <f>IF(G109=3,IF(G122=1,1,0),0)</f>
        <v>0</v>
      </c>
      <c r="H133" s="54">
        <f>IF(H109=3,IF(H122=1,1,0),0)</f>
        <v>0</v>
      </c>
      <c r="J133" s="58">
        <f>IF(J109=3,IF(J122=1,1,0),0)</f>
        <v>0</v>
      </c>
      <c r="K133" s="54">
        <f>IF(K109=3,IF(K122=1,1,0),0)</f>
        <v>0</v>
      </c>
      <c r="M133" s="58">
        <f>IF(M109=3,IF(M122=1,1,0),0)</f>
        <v>0</v>
      </c>
      <c r="N133" s="54">
        <f>IF(N109=3,IF(N122=1,1,0),0)</f>
        <v>0</v>
      </c>
      <c r="P133" s="58">
        <f>IF(P109=3,IF(P122=1,1,0),0)</f>
        <v>0</v>
      </c>
      <c r="Q133" s="54">
        <f>IF(Q109=3,IF(Q122=1,1,0),0)</f>
        <v>0</v>
      </c>
      <c r="S133" s="58">
        <f>IF(S109=3,IF(S122=1,1,0),0)</f>
        <v>0</v>
      </c>
      <c r="T133" s="54">
        <f>IF(T109=3,IF(T122=1,1,0),0)</f>
        <v>0</v>
      </c>
      <c r="V133" s="58">
        <f>IF(V109=3,IF(V122=1,1,0),0)</f>
        <v>1</v>
      </c>
      <c r="W133" s="54">
        <f>IF(W109=3,IF(W122=1,1,0),0)</f>
        <v>0</v>
      </c>
      <c r="Y133" s="58">
        <f>IF(Y109=3,IF(Y122=1,1,0),0)</f>
        <v>0</v>
      </c>
      <c r="Z133" s="54">
        <f>IF(Z109=3,IF(Z122=1,1,0),0)</f>
        <v>0</v>
      </c>
      <c r="AB133" s="58">
        <f>IF(AB109=3,IF(AB122=1,1,0),0)</f>
        <v>0</v>
      </c>
      <c r="AC133" s="54">
        <f>IF(AC109=3,IF(AC122=1,1,0),0)</f>
        <v>0</v>
      </c>
      <c r="AE133" s="58">
        <f>IF(AE109=3,IF(AE122=1,1,0),0)</f>
        <v>0</v>
      </c>
      <c r="AF133" s="54">
        <f>SUM(B133:AE133)</f>
        <v>1</v>
      </c>
      <c r="AG133" s="54">
        <f>AF139-AF133</f>
        <v>2</v>
      </c>
      <c r="AW133" s="146"/>
    </row>
    <row r="134" spans="1:49" s="54" customFormat="1" ht="12.75" hidden="1" customHeight="1" x14ac:dyDescent="0.2">
      <c r="A134" s="54" t="s">
        <v>73</v>
      </c>
      <c r="B134" s="54">
        <f>IF(B109=4,IF(B122=1,1,0),0)</f>
        <v>0</v>
      </c>
      <c r="D134" s="58">
        <f>IF(D109=4,IF(D122=1,1,0),0)</f>
        <v>0</v>
      </c>
      <c r="E134" s="54">
        <f>IF(E109=4,IF(E122=1,1,0),0)</f>
        <v>0</v>
      </c>
      <c r="G134" s="58">
        <f>IF(G109=4,IF(G122=1,1,0),0)</f>
        <v>0</v>
      </c>
      <c r="H134" s="54">
        <f>IF(H109=4,IF(H122=1,1,0),0)</f>
        <v>0</v>
      </c>
      <c r="J134" s="58">
        <f>IF(J109=4,IF(J122=1,1,0),0)</f>
        <v>0</v>
      </c>
      <c r="K134" s="54">
        <f>IF(K109=4,IF(K122=1,1,0),0)</f>
        <v>0</v>
      </c>
      <c r="M134" s="58">
        <f>IF(M109=4,IF(M122=1,1,0),0)</f>
        <v>0</v>
      </c>
      <c r="N134" s="54">
        <f>IF(N109=4,IF(N122=1,1,0),0)</f>
        <v>0</v>
      </c>
      <c r="P134" s="58">
        <f>IF(P109=4,IF(P122=1,1,0),0)</f>
        <v>0</v>
      </c>
      <c r="Q134" s="54">
        <f>IF(Q109=4,IF(Q122=1,1,0),0)</f>
        <v>0</v>
      </c>
      <c r="S134" s="58">
        <f>IF(S109=4,IF(S122=1,1,0),0)</f>
        <v>0</v>
      </c>
      <c r="T134" s="54">
        <f>IF(T109=4,IF(T122=1,1,0),0)</f>
        <v>0</v>
      </c>
      <c r="V134" s="58">
        <f>IF(V109=4,IF(V122=1,1,0),0)</f>
        <v>0</v>
      </c>
      <c r="W134" s="54">
        <f>IF(W109=4,IF(W122=1,1,0),0)</f>
        <v>0</v>
      </c>
      <c r="Y134" s="58">
        <f>IF(Y109=4,IF(Y122=1,1,0),0)</f>
        <v>0</v>
      </c>
      <c r="Z134" s="54">
        <f>IF(Z109=4,IF(Z122=1,1,0),0)</f>
        <v>0</v>
      </c>
      <c r="AB134" s="58">
        <f>IF(AB109=4,IF(AB122=1,1,0),0)</f>
        <v>0</v>
      </c>
      <c r="AC134" s="54">
        <f>IF(AC109=4,IF(AC122=1,1,0),0)</f>
        <v>0</v>
      </c>
      <c r="AE134" s="58">
        <f>IF(AE109=4,IF(AE122=1,1,0),0)</f>
        <v>0</v>
      </c>
      <c r="AF134" s="54">
        <f>SUM(B134:AE134)</f>
        <v>0</v>
      </c>
      <c r="AG134" s="54">
        <f>AF140-AF134</f>
        <v>1</v>
      </c>
      <c r="AW134" s="146"/>
    </row>
    <row r="135" spans="1:49" s="54" customFormat="1" ht="12.75" hidden="1" customHeight="1" x14ac:dyDescent="0.2">
      <c r="A135" s="54" t="s">
        <v>74</v>
      </c>
      <c r="B135" s="54">
        <f>IF(B109=5,IF(B122=1,1,0),0)</f>
        <v>0</v>
      </c>
      <c r="D135" s="58">
        <f>IF(D109=5,IF(D122=1,1,0),0)</f>
        <v>1</v>
      </c>
      <c r="E135" s="54">
        <f>IF(E109=5,IF(E122=1,1,0),0)</f>
        <v>0</v>
      </c>
      <c r="G135" s="58">
        <f>IF(G109=5,IF(G122=1,1,0),0)</f>
        <v>0</v>
      </c>
      <c r="H135" s="54">
        <f>IF(H109=5,IF(H122=1,1,0),0)</f>
        <v>0</v>
      </c>
      <c r="J135" s="58">
        <f>IF(J109=5,IF(J122=1,1,0),0)</f>
        <v>1</v>
      </c>
      <c r="K135" s="54">
        <f>IF(K109=5,IF(K122=1,1,0),0)</f>
        <v>0</v>
      </c>
      <c r="M135" s="58">
        <f>IF(M109=5,IF(M122=1,1,0),0)</f>
        <v>0</v>
      </c>
      <c r="N135" s="54">
        <f>IF(N109=5,IF(N122=1,1,0),0)</f>
        <v>0</v>
      </c>
      <c r="P135" s="58">
        <f>IF(P109=5,IF(P122=1,1,0),0)</f>
        <v>0</v>
      </c>
      <c r="Q135" s="54">
        <f>IF(Q109=5,IF(Q122=1,1,0),0)</f>
        <v>0</v>
      </c>
      <c r="S135" s="58">
        <f>IF(S109=5,IF(S122=1,1,0),0)</f>
        <v>1</v>
      </c>
      <c r="T135" s="54">
        <f>IF(T109=5,IF(T122=1,1,0),0)</f>
        <v>0</v>
      </c>
      <c r="V135" s="58">
        <f>IF(V109=5,IF(V122=1,1,0),0)</f>
        <v>0</v>
      </c>
      <c r="W135" s="54">
        <f>IF(W109=5,IF(W122=1,1,0),0)</f>
        <v>0</v>
      </c>
      <c r="Y135" s="58">
        <f>IF(Y109=5,IF(Y122=1,1,0),0)</f>
        <v>1</v>
      </c>
      <c r="Z135" s="54">
        <f>IF(Z109=5,IF(Z122=1,1,0),0)</f>
        <v>0</v>
      </c>
      <c r="AB135" s="58">
        <f>IF(AB109=5,IF(AB122=1,1,0),0)</f>
        <v>0</v>
      </c>
      <c r="AC135" s="54">
        <f>IF(AC109=5,IF(AC122=1,1,0),0)</f>
        <v>0</v>
      </c>
      <c r="AE135" s="58">
        <f>IF(AE109=5,IF(AE122=1,1,0),0)</f>
        <v>0</v>
      </c>
      <c r="AF135" s="54">
        <f>SUM(B135:AE135)</f>
        <v>4</v>
      </c>
      <c r="AG135" s="54">
        <f>AF141-AF135</f>
        <v>0</v>
      </c>
      <c r="AW135" s="146"/>
    </row>
    <row r="136" spans="1:49" s="54" customFormat="1" ht="38.25" hidden="1" customHeight="1" x14ac:dyDescent="0.2">
      <c r="A136" s="57"/>
      <c r="D136" s="58"/>
      <c r="G136" s="58"/>
      <c r="J136" s="58"/>
      <c r="M136" s="58"/>
      <c r="P136" s="58"/>
      <c r="S136" s="58"/>
      <c r="V136" s="58"/>
      <c r="Y136" s="58"/>
      <c r="AB136" s="58"/>
      <c r="AE136" s="58"/>
      <c r="AF136" s="57" t="s">
        <v>75</v>
      </c>
      <c r="AW136" s="146"/>
    </row>
    <row r="137" spans="1:49" s="54" customFormat="1" ht="12.75" hidden="1" customHeight="1" x14ac:dyDescent="0.2">
      <c r="A137" s="54" t="s">
        <v>76</v>
      </c>
      <c r="B137" s="54">
        <f>IF(B109=1,IF(C122=1,1,0),0)</f>
        <v>0</v>
      </c>
      <c r="D137" s="58">
        <f>IF(D109=1,IF(C122=1,1,0),0)</f>
        <v>0</v>
      </c>
      <c r="E137" s="54">
        <f>IF(E109=1,IF(F122=1,1,0),0)</f>
        <v>0</v>
      </c>
      <c r="G137" s="58">
        <f>IF(G109=1,IF(F122=1,1,0),0)</f>
        <v>0</v>
      </c>
      <c r="H137" s="54">
        <f>IF(H109=1,IF(I122=1,1,0),0)</f>
        <v>0</v>
      </c>
      <c r="J137" s="58">
        <f>IF(J109=1,IF(I122=1,1,0),0)</f>
        <v>0</v>
      </c>
      <c r="K137" s="54">
        <f>IF(K109=1,IF(L122=1,1,0),0)</f>
        <v>0</v>
      </c>
      <c r="M137" s="58">
        <f>IF(M109=1,IF(L122=1,1,0),0)</f>
        <v>0</v>
      </c>
      <c r="N137" s="54">
        <f>IF(N109=1,IF(O122=1,1,0),0)</f>
        <v>1</v>
      </c>
      <c r="P137" s="58">
        <f>IF(P109=1,IF(O122=1,1,0),0)</f>
        <v>0</v>
      </c>
      <c r="Q137" s="54">
        <f>IF(Q109=1,IF(R122=1,1,0),0)</f>
        <v>0</v>
      </c>
      <c r="S137" s="58">
        <f>IF(S109=1,IF(R122=1,1,0),0)</f>
        <v>0</v>
      </c>
      <c r="T137" s="54">
        <f>IF(T109=1,IF(U122=1,1,0),0)</f>
        <v>0</v>
      </c>
      <c r="V137" s="58">
        <f>IF(V109=1,IF(U122=1,1,0),0)</f>
        <v>0</v>
      </c>
      <c r="W137" s="54">
        <f>IF(W109=1,IF(X122=1,1,0),0)</f>
        <v>1</v>
      </c>
      <c r="Y137" s="58">
        <f>IF(Y109=1,IF(X122=1,1,0),0)</f>
        <v>0</v>
      </c>
      <c r="Z137" s="54">
        <f>IF(Z109=1,IF(AA122=1,1,0),0)</f>
        <v>0</v>
      </c>
      <c r="AB137" s="58">
        <f>IF(AB109=1,IF(AA122=1,1,0),0)</f>
        <v>0</v>
      </c>
      <c r="AC137" s="54">
        <f>IF(AC109=1,IF(AD122=1,1,0),0)</f>
        <v>1</v>
      </c>
      <c r="AE137" s="58">
        <f>IF(AE109=1,IF(AD122=1,1,0),0)</f>
        <v>0</v>
      </c>
      <c r="AF137" s="54">
        <f>SUM(B137:AE137)</f>
        <v>3</v>
      </c>
      <c r="AW137" s="146"/>
    </row>
    <row r="138" spans="1:49" s="54" customFormat="1" ht="12.75" hidden="1" customHeight="1" x14ac:dyDescent="0.2">
      <c r="A138" s="54" t="s">
        <v>77</v>
      </c>
      <c r="B138" s="54">
        <f>IF(B109=2,IF(C122=1,1,0),0)</f>
        <v>1</v>
      </c>
      <c r="D138" s="58">
        <f>IF(D109=2,IF(C122=1,1,0),0)</f>
        <v>0</v>
      </c>
      <c r="E138" s="54">
        <f>IF(E109=2,IF(F122=1,1,0),0)</f>
        <v>0</v>
      </c>
      <c r="G138" s="58">
        <f>IF(G109=2,IF(F122=1,1,0),0)</f>
        <v>0</v>
      </c>
      <c r="H138" s="54">
        <f>IF(H109=2,IF(I122=1,1,0),0)</f>
        <v>0</v>
      </c>
      <c r="J138" s="58">
        <f>IF(J109=2,IF(I122=1,1,0),0)</f>
        <v>0</v>
      </c>
      <c r="K138" s="54">
        <f>IF(K109=2,IF(L122=1,1,0),0)</f>
        <v>0</v>
      </c>
      <c r="M138" s="58">
        <f>IF(M109=2,IF(L122=1,1,0),0)</f>
        <v>0</v>
      </c>
      <c r="N138" s="54">
        <f>IF(N109=2,IF(O122=1,1,0),0)</f>
        <v>0</v>
      </c>
      <c r="P138" s="58">
        <f>IF(P109=2,IF(O122=1,1,0),0)</f>
        <v>0</v>
      </c>
      <c r="Q138" s="54">
        <f>IF(Q109=2,IF(R122=1,1,0),0)</f>
        <v>0</v>
      </c>
      <c r="S138" s="58">
        <f>IF(S109=2,IF(R122=1,1,0),0)</f>
        <v>0</v>
      </c>
      <c r="T138" s="54">
        <f>IF(T109=2,IF(U122=1,1,0),0)</f>
        <v>1</v>
      </c>
      <c r="V138" s="58">
        <f>IF(V109=2,IF(U122=1,1,0),0)</f>
        <v>0</v>
      </c>
      <c r="W138" s="54">
        <f>IF(W109=2,IF(X122=1,1,0),0)</f>
        <v>0</v>
      </c>
      <c r="Y138" s="58">
        <f>IF(Y109=2,IF(X122=1,1,0),0)</f>
        <v>0</v>
      </c>
      <c r="Z138" s="54">
        <f>IF(Z109=2,IF(AA122=1,1,0),0)</f>
        <v>0</v>
      </c>
      <c r="AB138" s="58">
        <f>IF(AB109=2,IF(AA122=1,1,0),0)</f>
        <v>0</v>
      </c>
      <c r="AC138" s="54">
        <f>IF(AC109=2,IF(AD122=1,1,0),0)</f>
        <v>0</v>
      </c>
      <c r="AE138" s="58">
        <f>IF(AE109=2,IF(AD122=1,1,0),0)</f>
        <v>1</v>
      </c>
      <c r="AF138" s="54">
        <f>SUM(B138:AE138)</f>
        <v>3</v>
      </c>
      <c r="AW138" s="146"/>
    </row>
    <row r="139" spans="1:49" s="54" customFormat="1" ht="12.75" hidden="1" customHeight="1" x14ac:dyDescent="0.2">
      <c r="A139" s="54" t="s">
        <v>78</v>
      </c>
      <c r="B139" s="54">
        <f>IF(B109=3,IF(C122=1,1,0),0)</f>
        <v>0</v>
      </c>
      <c r="D139" s="58">
        <f>IF(D109=3,IF(C122=1,1,0),0)</f>
        <v>0</v>
      </c>
      <c r="E139" s="54">
        <f>IF(E109=3,IF(F122=1,1,0),0)</f>
        <v>0</v>
      </c>
      <c r="G139" s="58">
        <f>IF(G109=3,IF(F122=1,1,0),0)</f>
        <v>0</v>
      </c>
      <c r="H139" s="54">
        <f>IF(H109=3,IF(I122=1,1,0),0)</f>
        <v>1</v>
      </c>
      <c r="J139" s="58">
        <f>IF(J109=3,IF(I122=1,1,0),0)</f>
        <v>0</v>
      </c>
      <c r="K139" s="54">
        <f>IF(K109=3,IF(L122=1,1,0),0)</f>
        <v>0</v>
      </c>
      <c r="M139" s="58">
        <f>IF(M109=3,IF(L122=1,1,0),0)</f>
        <v>0</v>
      </c>
      <c r="N139" s="54">
        <f>IF(N109=3,IF(O122=1,1,0),0)</f>
        <v>0</v>
      </c>
      <c r="P139" s="58">
        <f>IF(P109=3,IF(O122=1,1,0),0)</f>
        <v>1</v>
      </c>
      <c r="Q139" s="54">
        <f>IF(Q109=3,IF(R122=1,1,0),0)</f>
        <v>0</v>
      </c>
      <c r="S139" s="58">
        <f>IF(S109=3,IF(R122=1,1,0),0)</f>
        <v>0</v>
      </c>
      <c r="T139" s="54">
        <f>IF(T109=3,IF(U122=1,1,0),0)</f>
        <v>0</v>
      </c>
      <c r="V139" s="58">
        <f>IF(V109=3,IF(U122=1,1,0),0)</f>
        <v>1</v>
      </c>
      <c r="W139" s="54">
        <f>IF(W109=3,IF(X122=1,1,0),0)</f>
        <v>0</v>
      </c>
      <c r="Y139" s="58">
        <f>IF(Y109=3,IF(X122=1,1,0),0)</f>
        <v>0</v>
      </c>
      <c r="Z139" s="54">
        <f>IF(Z109=3,IF(AA122=1,1,0),0)</f>
        <v>0</v>
      </c>
      <c r="AB139" s="58">
        <f>IF(AB109=3,IF(AA122=1,1,0),0)</f>
        <v>0</v>
      </c>
      <c r="AC139" s="54">
        <f>IF(AC109=3,IF(AD122=1,1,0),0)</f>
        <v>0</v>
      </c>
      <c r="AE139" s="58">
        <f>IF(AE109=3,IF(AD122=1,1,0),0)</f>
        <v>0</v>
      </c>
      <c r="AF139" s="54">
        <f>SUM(B139:AE139)</f>
        <v>3</v>
      </c>
      <c r="AW139" s="146"/>
    </row>
    <row r="140" spans="1:49" s="54" customFormat="1" ht="12.75" hidden="1" customHeight="1" x14ac:dyDescent="0.2">
      <c r="A140" s="54" t="s">
        <v>79</v>
      </c>
      <c r="B140" s="54">
        <f>IF(B109=4,IF(C122=1,1,0),0)</f>
        <v>0</v>
      </c>
      <c r="D140" s="58">
        <f>IF(D109=4,IF(C122=1,1,0),0)</f>
        <v>0</v>
      </c>
      <c r="E140" s="54">
        <f>IF(E109=4,IF(F122=1,1,0),0)</f>
        <v>0</v>
      </c>
      <c r="G140" s="58">
        <f>IF(G109=4,IF(F122=1,1,0),0)</f>
        <v>0</v>
      </c>
      <c r="H140" s="54">
        <f>IF(H109=4,IF(I122=1,1,0),0)</f>
        <v>0</v>
      </c>
      <c r="J140" s="58">
        <f>IF(J109=4,IF(I122=1,1,0),0)</f>
        <v>0</v>
      </c>
      <c r="K140" s="54">
        <f>IF(K109=4,IF(L122=1,1,0),0)</f>
        <v>0</v>
      </c>
      <c r="M140" s="58">
        <f>IF(M109=4,IF(L122=1,1,0),0)</f>
        <v>0</v>
      </c>
      <c r="N140" s="54">
        <f>IF(N109=4,IF(O122=1,1,0),0)</f>
        <v>0</v>
      </c>
      <c r="P140" s="58">
        <f>IF(P109=4,IF(O122=1,1,0),0)</f>
        <v>0</v>
      </c>
      <c r="Q140" s="54">
        <f>IF(Q109=4,IF(R122=1,1,0),0)</f>
        <v>1</v>
      </c>
      <c r="S140" s="58">
        <f>IF(S109=4,IF(R122=1,1,0),0)</f>
        <v>0</v>
      </c>
      <c r="T140" s="54">
        <f>IF(T109=4,IF(U122=1,1,0),0)</f>
        <v>0</v>
      </c>
      <c r="V140" s="58">
        <f>IF(V109=4,IF(U122=1,1,0),0)</f>
        <v>0</v>
      </c>
      <c r="W140" s="54">
        <f>IF(W109=4,IF(X122=1,1,0),0)</f>
        <v>0</v>
      </c>
      <c r="Y140" s="58">
        <f>IF(Y109=4,IF(X122=1,1,0),0)</f>
        <v>0</v>
      </c>
      <c r="Z140" s="54">
        <f>IF(Z109=4,IF(AA122=1,1,0),0)</f>
        <v>0</v>
      </c>
      <c r="AB140" s="58">
        <f>IF(AB109=4,IF(AA122=1,1,0),0)</f>
        <v>0</v>
      </c>
      <c r="AC140" s="54">
        <f>IF(AC109=4,IF(AD122=1,1,0),0)</f>
        <v>0</v>
      </c>
      <c r="AE140" s="58">
        <f>IF(AE109=4,IF(AD122=1,1,0),0)</f>
        <v>0</v>
      </c>
      <c r="AF140" s="54">
        <f>SUM(B140:AE140)</f>
        <v>1</v>
      </c>
      <c r="AW140" s="146"/>
    </row>
    <row r="141" spans="1:49" s="54" customFormat="1" ht="12.75" hidden="1" customHeight="1" x14ac:dyDescent="0.2">
      <c r="A141" s="54" t="s">
        <v>80</v>
      </c>
      <c r="B141" s="54">
        <f>IF(B109=5,IF(C122=1,1,0),0)</f>
        <v>0</v>
      </c>
      <c r="D141" s="58">
        <f>IF(D109=5,IF(C122=1,1,0),0)</f>
        <v>1</v>
      </c>
      <c r="E141" s="54">
        <f>IF(E109=5,IF(F122=1,1,0),0)</f>
        <v>0</v>
      </c>
      <c r="G141" s="58">
        <f>IF(G109=5,IF(F122=1,1,0),0)</f>
        <v>0</v>
      </c>
      <c r="H141" s="54">
        <f>IF(H109=5,IF(I122=1,1,0),0)</f>
        <v>0</v>
      </c>
      <c r="J141" s="58">
        <f>IF(J109=5,IF(I122=1,1,0),0)</f>
        <v>1</v>
      </c>
      <c r="K141" s="54">
        <f>IF(K109=5,IF(L122=1,1,0),0)</f>
        <v>0</v>
      </c>
      <c r="M141" s="58">
        <f>IF(M109=5,IF(L122=1,1,0),0)</f>
        <v>0</v>
      </c>
      <c r="N141" s="54">
        <f>IF(N109=5,IF(O122=1,1,0),0)</f>
        <v>0</v>
      </c>
      <c r="P141" s="58">
        <f>IF(P109=5,IF(O122=1,1,0),0)</f>
        <v>0</v>
      </c>
      <c r="Q141" s="54">
        <f>IF(Q109=5,IF(R122=1,1,0),0)</f>
        <v>0</v>
      </c>
      <c r="S141" s="58">
        <f>IF(S109=5,IF(R122=1,1,0),0)</f>
        <v>1</v>
      </c>
      <c r="T141" s="54">
        <f>IF(T109=5,IF(U122=1,1,0),0)</f>
        <v>0</v>
      </c>
      <c r="V141" s="58">
        <f>IF(V109=5,IF(U122=1,1,0),0)</f>
        <v>0</v>
      </c>
      <c r="W141" s="54">
        <f>IF(W109=5,IF(X122=1,1,0),0)</f>
        <v>0</v>
      </c>
      <c r="Y141" s="58">
        <f>IF(Y109=5,IF(X122=1,1,0),0)</f>
        <v>1</v>
      </c>
      <c r="Z141" s="54">
        <f>IF(Z109=5,IF(AA122=1,1,0),0)</f>
        <v>0</v>
      </c>
      <c r="AB141" s="58">
        <f>IF(AB109=5,IF(AA122=1,1,0),0)</f>
        <v>0</v>
      </c>
      <c r="AC141" s="54">
        <f>IF(AC109=5,IF(AD122=1,1,0),0)</f>
        <v>0</v>
      </c>
      <c r="AE141" s="58">
        <f>IF(AE109=5,IF(AD122=1,1,0),0)</f>
        <v>0</v>
      </c>
      <c r="AF141" s="54">
        <f>SUM(B141:AE141)</f>
        <v>4</v>
      </c>
      <c r="AW141" s="146"/>
    </row>
    <row r="142" spans="1:49" s="54" customFormat="1" ht="38.25" hidden="1" customHeight="1" x14ac:dyDescent="0.2">
      <c r="A142" s="57"/>
      <c r="D142" s="58"/>
      <c r="G142" s="58"/>
      <c r="J142" s="58"/>
      <c r="M142" s="58"/>
      <c r="P142" s="58"/>
      <c r="S142" s="58"/>
      <c r="V142" s="58"/>
      <c r="Y142" s="58"/>
      <c r="AB142" s="58"/>
      <c r="AE142" s="58"/>
      <c r="AF142" s="57" t="s">
        <v>81</v>
      </c>
      <c r="AG142" s="789"/>
      <c r="AH142" s="789"/>
      <c r="AI142" s="789"/>
      <c r="AJ142" s="789"/>
      <c r="AK142" s="789"/>
      <c r="AW142" s="146"/>
    </row>
    <row r="143" spans="1:49" s="54" customFormat="1" ht="12.75" hidden="1" customHeight="1" x14ac:dyDescent="0.2">
      <c r="A143" s="54" t="s">
        <v>76</v>
      </c>
      <c r="B143" s="54">
        <f>IF(B109=1,B129,0)</f>
        <v>0</v>
      </c>
      <c r="D143" s="58">
        <f>IF(D109=1,B129,0)</f>
        <v>0</v>
      </c>
      <c r="E143" s="54">
        <f>IF(E109=1,E129,0)</f>
        <v>50</v>
      </c>
      <c r="G143" s="58">
        <f>IF(G109=1,E129,0)</f>
        <v>0</v>
      </c>
      <c r="H143" s="54">
        <f>IF(H109=1,H129,0)</f>
        <v>0</v>
      </c>
      <c r="J143" s="58">
        <f>IF(J109=1,H129,0)</f>
        <v>0</v>
      </c>
      <c r="K143" s="54">
        <f>IF(K109=1,K129,0)</f>
        <v>0</v>
      </c>
      <c r="M143" s="58">
        <f>IF(M109=1,K129,0)</f>
        <v>0</v>
      </c>
      <c r="N143" s="54">
        <f>IF(N109=1,N129,0)</f>
        <v>50</v>
      </c>
      <c r="P143" s="58">
        <f>IF(P109=1,N129,0)</f>
        <v>0</v>
      </c>
      <c r="Q143" s="54">
        <f>IF(Q109=1,Q129,0)</f>
        <v>0</v>
      </c>
      <c r="S143" s="58">
        <f>IF(S109=1,Q129,0)</f>
        <v>0</v>
      </c>
      <c r="T143" s="54">
        <f>IF(T109=1,T129,0)</f>
        <v>0</v>
      </c>
      <c r="V143" s="58">
        <f>IF(V109=1,T129,0)</f>
        <v>0</v>
      </c>
      <c r="W143" s="54">
        <f>IF(W109=1,W129,0)</f>
        <v>50</v>
      </c>
      <c r="Y143" s="58">
        <f>IF(Y109=1,W129,0)</f>
        <v>0</v>
      </c>
      <c r="Z143" s="54">
        <f>IF(Z109=1,Z129,0)</f>
        <v>0</v>
      </c>
      <c r="AB143" s="58">
        <f>IF(AB109=1,Z129,0)</f>
        <v>0</v>
      </c>
      <c r="AC143" s="54">
        <f>IF(AC109=1,AC129,0)</f>
        <v>50</v>
      </c>
      <c r="AE143" s="58">
        <f>IF(AE109=1,AC129,0)</f>
        <v>0</v>
      </c>
      <c r="AF143" s="54">
        <f>SUM(B143:AE143)</f>
        <v>200</v>
      </c>
      <c r="AW143" s="146"/>
    </row>
    <row r="144" spans="1:49" s="54" customFormat="1" ht="12.75" hidden="1" customHeight="1" x14ac:dyDescent="0.2">
      <c r="A144" s="54" t="s">
        <v>77</v>
      </c>
      <c r="B144" s="54">
        <f>IF(B109=2,B129,0)</f>
        <v>50</v>
      </c>
      <c r="D144" s="58">
        <f>IF(D109=2,B129,0)</f>
        <v>0</v>
      </c>
      <c r="E144" s="54">
        <f>IF(E109=2,E129,0)</f>
        <v>0</v>
      </c>
      <c r="G144" s="58">
        <f>IF(G109=2,E129,0)</f>
        <v>0</v>
      </c>
      <c r="H144" s="54">
        <f>IF(H109=2,H129,0)</f>
        <v>0</v>
      </c>
      <c r="J144" s="58">
        <f>IF(J109=2,H129,0)</f>
        <v>0</v>
      </c>
      <c r="K144" s="54">
        <f>IF(K109=2,K129,0)</f>
        <v>52</v>
      </c>
      <c r="M144" s="58">
        <f>IF(M109=2,K129,0)</f>
        <v>0</v>
      </c>
      <c r="N144" s="54">
        <f>IF(N109=2,N129,0)</f>
        <v>0</v>
      </c>
      <c r="P144" s="58">
        <f>IF(P109=2,N129,0)</f>
        <v>0</v>
      </c>
      <c r="Q144" s="54">
        <f>IF(Q109=2,Q129,0)</f>
        <v>0</v>
      </c>
      <c r="S144" s="58">
        <f>IF(S109=2,Q129,0)</f>
        <v>0</v>
      </c>
      <c r="T144" s="54">
        <f>IF(T109=2,T129,0)</f>
        <v>50</v>
      </c>
      <c r="V144" s="58">
        <f>IF(V109=2,T129,0)</f>
        <v>0</v>
      </c>
      <c r="W144" s="54">
        <f>IF(W109=2,W129,0)</f>
        <v>0</v>
      </c>
      <c r="Y144" s="58">
        <f>IF(Y109=2,W129,0)</f>
        <v>0</v>
      </c>
      <c r="Z144" s="54">
        <f>IF(Z109=2,Z129,0)</f>
        <v>0</v>
      </c>
      <c r="AB144" s="58">
        <f>IF(AB109=2,Z129,0)</f>
        <v>0</v>
      </c>
      <c r="AC144" s="54">
        <f>IF(AC109=2,AC129,0)</f>
        <v>0</v>
      </c>
      <c r="AE144" s="58">
        <f>IF(AE109=2,AC129,0)</f>
        <v>50</v>
      </c>
      <c r="AF144" s="54">
        <f>SUM(B144:AE144)</f>
        <v>202</v>
      </c>
      <c r="AW144" s="146"/>
    </row>
    <row r="145" spans="1:49" s="54" customFormat="1" ht="12.75" hidden="1" customHeight="1" x14ac:dyDescent="0.2">
      <c r="A145" s="54" t="s">
        <v>78</v>
      </c>
      <c r="B145" s="54">
        <f>IF(B109=3,B129,0)</f>
        <v>0</v>
      </c>
      <c r="D145" s="58">
        <f>IF(D109=3,B129,0)</f>
        <v>0</v>
      </c>
      <c r="E145" s="54">
        <f>IF(E109=3,E129,0)</f>
        <v>0</v>
      </c>
      <c r="G145" s="58">
        <f>IF(G109=3,E129,0)</f>
        <v>0</v>
      </c>
      <c r="H145" s="54">
        <f>IF(H109=3,H129,0)</f>
        <v>50</v>
      </c>
      <c r="J145" s="58">
        <f>IF(J109=3,H129,0)</f>
        <v>0</v>
      </c>
      <c r="K145" s="54">
        <f>IF(K109=3,K129,0)</f>
        <v>0</v>
      </c>
      <c r="M145" s="58">
        <f>IF(M109=3,K129,0)</f>
        <v>0</v>
      </c>
      <c r="N145" s="54">
        <f>IF(N109=3,N129,0)</f>
        <v>0</v>
      </c>
      <c r="P145" s="58">
        <f>IF(P109=3,N129,0)</f>
        <v>50</v>
      </c>
      <c r="Q145" s="54">
        <f>IF(Q109=3,Q129,0)</f>
        <v>0</v>
      </c>
      <c r="S145" s="58">
        <f>IF(S109=3,Q129,0)</f>
        <v>0</v>
      </c>
      <c r="T145" s="54">
        <f>IF(T109=3,T129,0)</f>
        <v>0</v>
      </c>
      <c r="V145" s="58">
        <f>IF(V109=3,T129,0)</f>
        <v>50</v>
      </c>
      <c r="W145" s="54">
        <f>IF(W109=3,W129,0)</f>
        <v>0</v>
      </c>
      <c r="Y145" s="58">
        <f>IF(Y109=3,W129,0)</f>
        <v>0</v>
      </c>
      <c r="Z145" s="54">
        <f>IF(Z109=3,Z129,0)</f>
        <v>50</v>
      </c>
      <c r="AB145" s="58">
        <f>IF(AB109=3,Z129,0)</f>
        <v>0</v>
      </c>
      <c r="AC145" s="54">
        <f>IF(AC109=3,AC129,0)</f>
        <v>0</v>
      </c>
      <c r="AE145" s="58">
        <f>IF(AE109=3,AC129,0)</f>
        <v>0</v>
      </c>
      <c r="AF145" s="54">
        <f>SUM(B145:AE145)</f>
        <v>200</v>
      </c>
      <c r="AW145" s="146"/>
    </row>
    <row r="146" spans="1:49" s="54" customFormat="1" ht="12.75" hidden="1" customHeight="1" x14ac:dyDescent="0.2">
      <c r="A146" s="54" t="s">
        <v>79</v>
      </c>
      <c r="B146" s="54">
        <f>IF(B109=4,B129,0)</f>
        <v>0</v>
      </c>
      <c r="D146" s="58">
        <f>IF(D109=4,B129,0)</f>
        <v>0</v>
      </c>
      <c r="E146" s="54">
        <f>IF(E109=4,E129,0)</f>
        <v>0</v>
      </c>
      <c r="G146" s="58">
        <f>IF(G109=4,E129,0)</f>
        <v>50</v>
      </c>
      <c r="H146" s="54">
        <f>IF(H109=4,H129,0)</f>
        <v>0</v>
      </c>
      <c r="J146" s="58">
        <f>IF(J109=4,H129,0)</f>
        <v>0</v>
      </c>
      <c r="K146" s="54">
        <f>IF(K109=4,K129,0)</f>
        <v>0</v>
      </c>
      <c r="M146" s="58">
        <f>IF(M109=4,K129,0)</f>
        <v>52</v>
      </c>
      <c r="N146" s="54">
        <f>IF(N109=4,N129,0)</f>
        <v>0</v>
      </c>
      <c r="P146" s="58">
        <f>IF(P109=4,N129,0)</f>
        <v>0</v>
      </c>
      <c r="Q146" s="54">
        <f>IF(Q109=4,Q129,0)</f>
        <v>50</v>
      </c>
      <c r="S146" s="58">
        <f>IF(S109=4,Q129,0)</f>
        <v>0</v>
      </c>
      <c r="T146" s="54">
        <f>IF(T109=4,T129,0)</f>
        <v>0</v>
      </c>
      <c r="V146" s="58">
        <f>IF(V109=4,T129,0)</f>
        <v>0</v>
      </c>
      <c r="W146" s="54">
        <f>IF(W109=4,W129,0)</f>
        <v>0</v>
      </c>
      <c r="Y146" s="58">
        <f>IF(Y109=4,W129,0)</f>
        <v>0</v>
      </c>
      <c r="Z146" s="54">
        <f>IF(Z109=4,Z129,0)</f>
        <v>0</v>
      </c>
      <c r="AB146" s="58">
        <f>IF(AB109=4,Z129,0)</f>
        <v>50</v>
      </c>
      <c r="AC146" s="54">
        <f>IF(AC109=4,AC129,0)</f>
        <v>0</v>
      </c>
      <c r="AE146" s="58">
        <f>IF(AE109=4,AC129,0)</f>
        <v>0</v>
      </c>
      <c r="AF146" s="54">
        <f>SUM(B146:AE146)</f>
        <v>202</v>
      </c>
      <c r="AW146" s="146"/>
    </row>
    <row r="147" spans="1:49" s="54" customFormat="1" ht="12.75" hidden="1" customHeight="1" x14ac:dyDescent="0.2">
      <c r="A147" s="54" t="s">
        <v>80</v>
      </c>
      <c r="B147" s="54">
        <f>IF(B109=5,B129,0)</f>
        <v>0</v>
      </c>
      <c r="D147" s="58">
        <f>IF(D109=5,B129,0)</f>
        <v>50</v>
      </c>
      <c r="E147" s="54">
        <f>IF(E109=5,E129,0)</f>
        <v>0</v>
      </c>
      <c r="G147" s="58">
        <f>IF(G109=5,E129,0)</f>
        <v>0</v>
      </c>
      <c r="H147" s="54">
        <f>IF(H109=5,H129,0)</f>
        <v>0</v>
      </c>
      <c r="J147" s="58">
        <f>IF(J109=5,H129,0)</f>
        <v>50</v>
      </c>
      <c r="K147" s="54">
        <f>IF(K109=5,K129,0)</f>
        <v>0</v>
      </c>
      <c r="M147" s="58">
        <f>IF(M109=5,K129,0)</f>
        <v>0</v>
      </c>
      <c r="N147" s="54">
        <f>IF(N109=5,N129,0)</f>
        <v>0</v>
      </c>
      <c r="P147" s="58">
        <f>IF(P109=5,N129,0)</f>
        <v>0</v>
      </c>
      <c r="Q147" s="54">
        <f>IF(Q109=5,Q129,0)</f>
        <v>0</v>
      </c>
      <c r="S147" s="58">
        <f>IF(S109=5,Q129,0)</f>
        <v>50</v>
      </c>
      <c r="T147" s="54">
        <f>IF(T109=5,T129,0)</f>
        <v>0</v>
      </c>
      <c r="V147" s="58">
        <f>IF(V109=5,T129,0)</f>
        <v>0</v>
      </c>
      <c r="W147" s="54">
        <f>IF(W109=5,W129,0)</f>
        <v>0</v>
      </c>
      <c r="Y147" s="58">
        <f>IF(Y109=5,W129,0)</f>
        <v>50</v>
      </c>
      <c r="Z147" s="54">
        <f>IF(Z109=5,Z129,0)</f>
        <v>0</v>
      </c>
      <c r="AB147" s="58">
        <f>IF(AB109=5,Z129,0)</f>
        <v>0</v>
      </c>
      <c r="AC147" s="54">
        <f>IF(AC109=5,AC129,0)</f>
        <v>0</v>
      </c>
      <c r="AE147" s="58">
        <f>IF(AE109=5,AC129,0)</f>
        <v>0</v>
      </c>
      <c r="AF147" s="54">
        <f>SUM(B147:AE147)</f>
        <v>200</v>
      </c>
      <c r="AW147" s="146"/>
    </row>
    <row r="148" spans="1:49" s="54" customFormat="1" ht="38.25" hidden="1" customHeight="1" x14ac:dyDescent="0.2">
      <c r="A148" s="54" t="s">
        <v>82</v>
      </c>
      <c r="D148" s="58"/>
      <c r="G148" s="58"/>
      <c r="J148" s="58"/>
      <c r="M148" s="58"/>
      <c r="P148" s="58"/>
      <c r="S148" s="58"/>
      <c r="V148" s="58"/>
      <c r="Y148" s="58"/>
      <c r="AB148" s="58"/>
      <c r="AE148" s="58"/>
      <c r="AF148" s="57" t="s">
        <v>83</v>
      </c>
      <c r="AG148" s="54" t="s">
        <v>84</v>
      </c>
      <c r="AW148" s="146"/>
    </row>
    <row r="149" spans="1:49" s="54" customFormat="1" ht="12.75" hidden="1" customHeight="1" x14ac:dyDescent="0.2">
      <c r="A149" s="54" t="s">
        <v>70</v>
      </c>
      <c r="B149" s="54">
        <f>IF(B109=1,SUMIF(B116:B120,"&gt;0"),0)</f>
        <v>0</v>
      </c>
      <c r="D149" s="58">
        <f>IF(D109=1,SUMIF(D116:D120,"&gt;0"),0)</f>
        <v>0</v>
      </c>
      <c r="E149" s="54">
        <f>IF(E109=1,SUMIF(E116:E120,"&gt;0"),0)</f>
        <v>1</v>
      </c>
      <c r="G149" s="58">
        <f>IF(G109=1,SUMIF(G116:G120,"&gt;0"),0)</f>
        <v>0</v>
      </c>
      <c r="H149" s="54">
        <f>IF(H109=1,SUMIF(H116:H120,"&gt;0"),0)</f>
        <v>0</v>
      </c>
      <c r="J149" s="58">
        <f>IF(J109=1,SUMIF(J116:J120,"&gt;0"),0)</f>
        <v>0</v>
      </c>
      <c r="K149" s="54">
        <f>IF(K109=1,SUMIF(K116:K120,"&gt;0"),0)</f>
        <v>0</v>
      </c>
      <c r="M149" s="58">
        <f>IF(M109=1,SUMIF(M116:M120,"&gt;0"),0)</f>
        <v>0</v>
      </c>
      <c r="N149" s="54">
        <f>IF(N109=1,SUMIF(N116:N120,"&gt;0"),0)</f>
        <v>2</v>
      </c>
      <c r="P149" s="58">
        <f>IF(P109=1,SUMIF(P116:P120,"&gt;0"),0)</f>
        <v>0</v>
      </c>
      <c r="Q149" s="54">
        <f>IF(Q109=1,SUMIF(Q116:Q120,"&gt;0"),0)</f>
        <v>0</v>
      </c>
      <c r="S149" s="58">
        <f>IF(S109=1,SUMIF(S116:S120,"&gt;0"),0)</f>
        <v>0</v>
      </c>
      <c r="T149" s="54">
        <f>IF(T109=1,SUMIF(T116:T120,"&gt;0"),0)</f>
        <v>0</v>
      </c>
      <c r="V149" s="58">
        <f>IF(V109=1,SUMIF(V116:V120,"&gt;0"),0)</f>
        <v>0</v>
      </c>
      <c r="W149" s="54">
        <f>IF(W109=1,SUMIF(W116:W120,"&gt;0"),0)</f>
        <v>0</v>
      </c>
      <c r="Y149" s="58">
        <f>IF(Y109=1,SUMIF(Y116:Y120,"&gt;0"),0)</f>
        <v>0</v>
      </c>
      <c r="Z149" s="54">
        <f>IF(Z109=1,SUMIF(Z116:Z120,"&gt;0"),0)</f>
        <v>0</v>
      </c>
      <c r="AB149" s="58">
        <f>IF(AB109=1,SUMIF(AB116:AB120,"&gt;0"),0)</f>
        <v>0</v>
      </c>
      <c r="AC149" s="54">
        <f>IF(AC109=1,SUMIF(AC116:AC120,"&gt;0"),0)</f>
        <v>2</v>
      </c>
      <c r="AE149" s="58">
        <f>IF(AE109=1,SUMIF(AE116:AE120,"&gt;0"),0)</f>
        <v>0</v>
      </c>
      <c r="AF149" s="54">
        <f>SUM(B149:AE149)</f>
        <v>5</v>
      </c>
      <c r="AG149" s="54">
        <f>AF157-AF149</f>
        <v>3</v>
      </c>
      <c r="AW149" s="146"/>
    </row>
    <row r="150" spans="1:49" s="54" customFormat="1" ht="12.75" hidden="1" customHeight="1" x14ac:dyDescent="0.2">
      <c r="A150" s="54" t="s">
        <v>71</v>
      </c>
      <c r="B150" s="54">
        <f>IF(B109=2,SUMIF(B116:B120,"&gt;0"),0)</f>
        <v>0</v>
      </c>
      <c r="D150" s="58">
        <f>IF(D109=2,SUMIF(D116:D120,"&gt;0"),0)</f>
        <v>0</v>
      </c>
      <c r="E150" s="54">
        <f>IF(E109=2,SUMIF(E116:E120,"&gt;0"),0)</f>
        <v>0</v>
      </c>
      <c r="G150" s="58">
        <f>IF(G109=2,SUMIF(G116:G120,"&gt;0"),0)</f>
        <v>0</v>
      </c>
      <c r="H150" s="54">
        <f>IF(H109=2,SUMIF(H116:H120,"&gt;0"),0)</f>
        <v>0</v>
      </c>
      <c r="J150" s="58">
        <f>IF(J109=2,SUMIF(J116:J120,"&gt;0"),0)</f>
        <v>0</v>
      </c>
      <c r="K150" s="54">
        <f>IF(K109=2,SUMIF(K116:K120,"&gt;0"),0)</f>
        <v>1</v>
      </c>
      <c r="M150" s="58">
        <f>IF(M109=2,SUMIF(M116:M120,"&gt;0"),0)</f>
        <v>0</v>
      </c>
      <c r="N150" s="54">
        <f>IF(N109=2,SUMIF(N116:N120,"&gt;0"),0)</f>
        <v>0</v>
      </c>
      <c r="P150" s="58">
        <f>IF(P109=2,SUMIF(P116:P120,"&gt;0"),0)</f>
        <v>0</v>
      </c>
      <c r="Q150" s="54">
        <f>IF(Q109=2,SUMIF(Q116:Q120,"&gt;0"),0)</f>
        <v>0</v>
      </c>
      <c r="S150" s="58">
        <f>IF(S109=2,SUMIF(S116:S120,"&gt;0"),0)</f>
        <v>0</v>
      </c>
      <c r="T150" s="54">
        <f>IF(T109=2,SUMIF(T116:T120,"&gt;0"),0)</f>
        <v>0</v>
      </c>
      <c r="V150" s="58">
        <f>IF(V109=2,SUMIF(V116:V120,"&gt;0"),0)</f>
        <v>0</v>
      </c>
      <c r="W150" s="54">
        <f>IF(W109=2,SUMIF(W116:W120,"&gt;0"),0)</f>
        <v>0</v>
      </c>
      <c r="Y150" s="58">
        <f>IF(Y109=2,SUMIF(Y116:Y120,"&gt;0"),0)</f>
        <v>0</v>
      </c>
      <c r="Z150" s="54">
        <f>IF(Z109=2,SUMIF(Z116:Z120,"&gt;0"),0)</f>
        <v>0</v>
      </c>
      <c r="AB150" s="58">
        <f>IF(AB109=2,SUMIF(AB116:AB120,"&gt;0"),0)</f>
        <v>0</v>
      </c>
      <c r="AC150" s="54">
        <f>IF(AC109=2,SUMIF(AC116:AC120,"&gt;0"),0)</f>
        <v>0</v>
      </c>
      <c r="AE150" s="58">
        <f>IF(AE109=2,SUMIF(AE116:AE120,"&gt;0"),0)</f>
        <v>0</v>
      </c>
      <c r="AF150" s="54">
        <f>SUM(B150:AE150)</f>
        <v>1</v>
      </c>
      <c r="AG150" s="54">
        <f>AF158-AF150</f>
        <v>7</v>
      </c>
      <c r="AW150" s="146"/>
    </row>
    <row r="151" spans="1:49" s="54" customFormat="1" ht="12.75" hidden="1" customHeight="1" x14ac:dyDescent="0.2">
      <c r="A151" s="54" t="s">
        <v>72</v>
      </c>
      <c r="B151" s="54">
        <f>IF(B109=3,SUMIF(B116:B120,"&gt;0"),0)</f>
        <v>0</v>
      </c>
      <c r="D151" s="58">
        <f>IF(D109=3,SUMIF(D116:D120,"&gt;0"),0)</f>
        <v>0</v>
      </c>
      <c r="E151" s="54">
        <f>IF(E109=3,SUMIF(E116:E120,"&gt;0"),0)</f>
        <v>0</v>
      </c>
      <c r="G151" s="58">
        <f>IF(G109=3,SUMIF(G116:G120,"&gt;0"),0)</f>
        <v>0</v>
      </c>
      <c r="H151" s="54">
        <f>IF(H109=3,SUMIF(H116:H120,"&gt;0"),0)</f>
        <v>0</v>
      </c>
      <c r="J151" s="58">
        <f>IF(J109=3,SUMIF(J116:J120,"&gt;0"),0)</f>
        <v>0</v>
      </c>
      <c r="K151" s="54">
        <f>IF(K109=3,SUMIF(K116:K120,"&gt;0"),0)</f>
        <v>0</v>
      </c>
      <c r="M151" s="58">
        <f>IF(M109=3,SUMIF(M116:M120,"&gt;0"),0)</f>
        <v>0</v>
      </c>
      <c r="N151" s="54">
        <f>IF(N109=3,SUMIF(N116:N120,"&gt;0"),0)</f>
        <v>0</v>
      </c>
      <c r="P151" s="58">
        <f>IF(P109=3,SUMIF(P116:P120,"&gt;0"),0)</f>
        <v>0</v>
      </c>
      <c r="Q151" s="54">
        <f>IF(Q109=3,SUMIF(Q116:Q120,"&gt;0"),0)</f>
        <v>0</v>
      </c>
      <c r="S151" s="58">
        <f>IF(S109=3,SUMIF(S116:S120,"&gt;0"),0)</f>
        <v>0</v>
      </c>
      <c r="T151" s="54">
        <f>IF(T109=3,SUMIF(T116:T120,"&gt;0"),0)</f>
        <v>0</v>
      </c>
      <c r="V151" s="58">
        <f>IF(V109=3,SUMIF(V116:V120,"&gt;0"),0)</f>
        <v>2</v>
      </c>
      <c r="W151" s="54">
        <f>IF(W109=3,SUMIF(W116:W120,"&gt;0"),0)</f>
        <v>0</v>
      </c>
      <c r="Y151" s="58">
        <f>IF(Y109=3,SUMIF(Y116:Y120,"&gt;0"),0)</f>
        <v>0</v>
      </c>
      <c r="Z151" s="54">
        <f>IF(Z109=3,SUMIF(Z116:Z120,"&gt;0"),0)</f>
        <v>1</v>
      </c>
      <c r="AB151" s="58">
        <f>IF(AB109=3,SUMIF(AB116:AB120,"&gt;0"),0)</f>
        <v>0</v>
      </c>
      <c r="AC151" s="54">
        <f>IF(AC109=3,SUMIF(AC116:AC120,"&gt;0"),0)</f>
        <v>0</v>
      </c>
      <c r="AE151" s="58">
        <f>IF(AE109=3,SUMIF(AE116:AE120,"&gt;0"),0)</f>
        <v>0</v>
      </c>
      <c r="AF151" s="54">
        <f>SUM(B151:AE151)</f>
        <v>3</v>
      </c>
      <c r="AG151" s="54">
        <f>AF159-AF151</f>
        <v>5</v>
      </c>
      <c r="AW151" s="146"/>
    </row>
    <row r="152" spans="1:49" s="54" customFormat="1" ht="12.75" hidden="1" customHeight="1" x14ac:dyDescent="0.2">
      <c r="A152" s="54" t="s">
        <v>73</v>
      </c>
      <c r="B152" s="54">
        <f>IF(B109=4,SUMIF(B116:B120,"&gt;0"),0)</f>
        <v>0</v>
      </c>
      <c r="D152" s="58">
        <f>IF(D109=4,SUMIF(D116:D120,"&gt;0"),0)</f>
        <v>0</v>
      </c>
      <c r="E152" s="54">
        <f>IF(E109=4,SUMIF(E116:E120,"&gt;0"),0)</f>
        <v>0</v>
      </c>
      <c r="G152" s="58">
        <f>IF(G109=4,SUMIF(G116:G120,"&gt;0"),0)</f>
        <v>1</v>
      </c>
      <c r="H152" s="54">
        <f>IF(H109=4,SUMIF(H116:H120,"&gt;0"),0)</f>
        <v>0</v>
      </c>
      <c r="J152" s="58">
        <f>IF(J109=4,SUMIF(J116:J120,"&gt;0"),0)</f>
        <v>0</v>
      </c>
      <c r="K152" s="54">
        <f>IF(K109=4,SUMIF(K116:K120,"&gt;0"),0)</f>
        <v>0</v>
      </c>
      <c r="M152" s="58">
        <f>IF(M109=4,SUMIF(M116:M120,"&gt;0"),0)</f>
        <v>1</v>
      </c>
      <c r="N152" s="54">
        <f>IF(N109=4,SUMIF(N116:N120,"&gt;0"),0)</f>
        <v>0</v>
      </c>
      <c r="P152" s="58">
        <f>IF(P109=4,SUMIF(P116:P120,"&gt;0"),0)</f>
        <v>0</v>
      </c>
      <c r="Q152" s="54">
        <f>IF(Q109=4,SUMIF(Q116:Q120,"&gt;0"),0)</f>
        <v>0</v>
      </c>
      <c r="S152" s="58">
        <f>IF(S109=4,SUMIF(S116:S120,"&gt;0"),0)</f>
        <v>0</v>
      </c>
      <c r="T152" s="54">
        <f>IF(T109=4,SUMIF(T116:T120,"&gt;0"),0)</f>
        <v>0</v>
      </c>
      <c r="V152" s="58">
        <f>IF(V109=4,SUMIF(V116:V120,"&gt;0"),0)</f>
        <v>0</v>
      </c>
      <c r="W152" s="54">
        <f>IF(W109=4,SUMIF(W116:W120,"&gt;0"),0)</f>
        <v>0</v>
      </c>
      <c r="Y152" s="58">
        <f>IF(Y109=4,SUMIF(Y116:Y120,"&gt;0"),0)</f>
        <v>0</v>
      </c>
      <c r="Z152" s="54">
        <f>IF(Z109=4,SUMIF(Z116:Z120,"&gt;0"),0)</f>
        <v>0</v>
      </c>
      <c r="AB152" s="58">
        <f>IF(AB109=4,SUMIF(AB116:AB120,"&gt;0"),0)</f>
        <v>1</v>
      </c>
      <c r="AC152" s="54">
        <f>IF(AC109=4,SUMIF(AC116:AC120,"&gt;0"),0)</f>
        <v>0</v>
      </c>
      <c r="AE152" s="58">
        <f>IF(AE109=4,SUMIF(AE116:AE120,"&gt;0"),0)</f>
        <v>0</v>
      </c>
      <c r="AF152" s="54">
        <f>SUM(B152:AE152)</f>
        <v>3</v>
      </c>
      <c r="AG152" s="54">
        <f>AF160-AF152</f>
        <v>5</v>
      </c>
      <c r="AW152" s="146"/>
    </row>
    <row r="153" spans="1:49" s="54" customFormat="1" ht="12.75" hidden="1" customHeight="1" x14ac:dyDescent="0.2">
      <c r="A153" s="54" t="s">
        <v>74</v>
      </c>
      <c r="B153" s="54">
        <f>IF(B109=5,SUMIF(B116:B120,"&gt;0"),0)</f>
        <v>0</v>
      </c>
      <c r="D153" s="58">
        <f>IF(D109=5,SUMIF(D116:D120,"&gt;0"),0)</f>
        <v>2</v>
      </c>
      <c r="E153" s="54">
        <f>IF(E109=5,SUMIF(E116:E120,"&gt;0"),0)</f>
        <v>0</v>
      </c>
      <c r="G153" s="58">
        <f>IF(G109=5,SUMIF(G116:G120,"&gt;0"),0)</f>
        <v>0</v>
      </c>
      <c r="H153" s="54">
        <f>IF(H109=5,SUMIF(H116:H120,"&gt;0"),0)</f>
        <v>0</v>
      </c>
      <c r="J153" s="58">
        <f>IF(J109=5,SUMIF(J116:J120,"&gt;0"),0)</f>
        <v>2</v>
      </c>
      <c r="K153" s="54">
        <f>IF(K109=5,SUMIF(K116:K120,"&gt;0"),0)</f>
        <v>0</v>
      </c>
      <c r="M153" s="58">
        <f>IF(M109=5,SUMIF(M116:M120,"&gt;0"),0)</f>
        <v>0</v>
      </c>
      <c r="N153" s="54">
        <f>IF(N109=5,SUMIF(N116:N120,"&gt;0"),0)</f>
        <v>0</v>
      </c>
      <c r="P153" s="58">
        <f>IF(P109=5,SUMIF(P116:P120,"&gt;0"),0)</f>
        <v>0</v>
      </c>
      <c r="Q153" s="54">
        <f>IF(Q109=5,SUMIF(Q116:Q120,"&gt;0"),0)</f>
        <v>0</v>
      </c>
      <c r="S153" s="58">
        <f>IF(S109=5,SUMIF(S116:S120,"&gt;0"),0)</f>
        <v>2</v>
      </c>
      <c r="T153" s="54">
        <f>IF(T109=5,SUMIF(T116:T120,"&gt;0"),0)</f>
        <v>0</v>
      </c>
      <c r="V153" s="58">
        <f>IF(V109=5,SUMIF(V116:V120,"&gt;0"),0)</f>
        <v>0</v>
      </c>
      <c r="W153" s="54">
        <f>IF(W109=5,SUMIF(W116:W120,"&gt;0"),0)</f>
        <v>0</v>
      </c>
      <c r="Y153" s="58">
        <f>IF(Y109=5,SUMIF(Y116:Y120,"&gt;0"),0)</f>
        <v>2</v>
      </c>
      <c r="Z153" s="54">
        <f>IF(Z109=5,SUMIF(Z116:Z120,"&gt;0"),0)</f>
        <v>0</v>
      </c>
      <c r="AB153" s="58">
        <f>IF(AB109=5,SUMIF(AB116:AB120,"&gt;0"),0)</f>
        <v>0</v>
      </c>
      <c r="AC153" s="54">
        <f>IF(AC109=5,SUMIF(AC116:AC120,"&gt;0"),0)</f>
        <v>0</v>
      </c>
      <c r="AE153" s="58">
        <f>IF(AE109=5,SUMIF(AE116:AE120,"&gt;0"),0)</f>
        <v>0</v>
      </c>
      <c r="AF153" s="54">
        <f>SUM(B153:AE153)</f>
        <v>8</v>
      </c>
      <c r="AG153" s="54">
        <f>AF161-AF153</f>
        <v>0</v>
      </c>
      <c r="AW153" s="146"/>
    </row>
    <row r="154" spans="1:49" s="54" customFormat="1" ht="12.75" hidden="1" customHeight="1" x14ac:dyDescent="0.2">
      <c r="D154" s="58"/>
      <c r="G154" s="58"/>
      <c r="J154" s="58"/>
      <c r="M154" s="58"/>
      <c r="P154" s="58"/>
      <c r="S154" s="58"/>
      <c r="V154" s="58"/>
      <c r="Y154" s="58"/>
      <c r="AB154" s="58"/>
      <c r="AE154" s="58"/>
      <c r="AW154" s="146"/>
    </row>
    <row r="155" spans="1:49" s="54" customFormat="1" ht="12.75" hidden="1" customHeight="1" x14ac:dyDescent="0.2">
      <c r="D155" s="58"/>
      <c r="G155" s="58"/>
      <c r="J155" s="58"/>
      <c r="M155" s="58"/>
      <c r="P155" s="58"/>
      <c r="S155" s="58"/>
      <c r="V155" s="58"/>
      <c r="Y155" s="58"/>
      <c r="AB155" s="58"/>
      <c r="AE155" s="58"/>
      <c r="AW155" s="146"/>
    </row>
    <row r="156" spans="1:49" s="54" customFormat="1" ht="51" hidden="1" customHeight="1" x14ac:dyDescent="0.2">
      <c r="A156" s="57" t="s">
        <v>85</v>
      </c>
      <c r="C156" s="54">
        <f>SUMIF(B149:D153,"&gt;0")</f>
        <v>2</v>
      </c>
      <c r="D156" s="58"/>
      <c r="F156" s="54">
        <f>SUMIF(E149:G153,"&gt;0")</f>
        <v>2</v>
      </c>
      <c r="G156" s="58"/>
      <c r="I156" s="54">
        <f>SUMIF(H149:J153,"&gt;0")</f>
        <v>2</v>
      </c>
      <c r="J156" s="58"/>
      <c r="L156" s="54">
        <f>SUMIF(K149:M153,"&gt;0")</f>
        <v>2</v>
      </c>
      <c r="M156" s="58"/>
      <c r="O156" s="54">
        <f>SUMIF(N149:P153,"&gt;0")</f>
        <v>2</v>
      </c>
      <c r="P156" s="58"/>
      <c r="R156" s="54">
        <f>SUMIF(Q149:S153,"&gt;0")</f>
        <v>2</v>
      </c>
      <c r="S156" s="58"/>
      <c r="U156" s="54">
        <f>SUMIF(T149:V153,"&gt;0")</f>
        <v>2</v>
      </c>
      <c r="V156" s="58"/>
      <c r="X156" s="54">
        <f>SUMIF(W149:Y153,"&gt;0")</f>
        <v>2</v>
      </c>
      <c r="Y156" s="58"/>
      <c r="AA156" s="54">
        <f>SUMIF(Z149:AB153,"&gt;0")</f>
        <v>2</v>
      </c>
      <c r="AB156" s="58"/>
      <c r="AD156" s="54">
        <f>SUMIF(AC149:AE153,"&gt;0")</f>
        <v>2</v>
      </c>
      <c r="AE156" s="58"/>
      <c r="AF156" s="57" t="s">
        <v>86</v>
      </c>
      <c r="AW156" s="146"/>
    </row>
    <row r="157" spans="1:49" s="54" customFormat="1" ht="12.75" hidden="1" customHeight="1" x14ac:dyDescent="0.2">
      <c r="A157" s="54" t="s">
        <v>76</v>
      </c>
      <c r="B157" s="54">
        <f>IF(B109=1,C156,0)</f>
        <v>0</v>
      </c>
      <c r="D157" s="58">
        <f>IF(D109=1,C156,0)</f>
        <v>0</v>
      </c>
      <c r="E157" s="54">
        <f>IF(E109=1,F156,0)</f>
        <v>2</v>
      </c>
      <c r="G157" s="58">
        <f>IF(G109=1,F156,0)</f>
        <v>0</v>
      </c>
      <c r="H157" s="54">
        <f>IF(H109=1,I156,0)</f>
        <v>0</v>
      </c>
      <c r="J157" s="58">
        <f>IF(J109=1,I156,0)</f>
        <v>0</v>
      </c>
      <c r="K157" s="54">
        <f>IF(K109=1,L156,0)</f>
        <v>0</v>
      </c>
      <c r="M157" s="58">
        <f>IF(M109=1,L156,0)</f>
        <v>0</v>
      </c>
      <c r="N157" s="54">
        <f>IF(N109=1,O156,0)</f>
        <v>2</v>
      </c>
      <c r="P157" s="58">
        <f>IF(P109=1,O156,0)</f>
        <v>0</v>
      </c>
      <c r="Q157" s="54">
        <f>IF(Q109=1,R156,0)</f>
        <v>0</v>
      </c>
      <c r="S157" s="58">
        <f>IF(S109=1,R156,0)</f>
        <v>0</v>
      </c>
      <c r="T157" s="54">
        <f>IF(T109=1,U156,0)</f>
        <v>0</v>
      </c>
      <c r="V157" s="58">
        <f>IF(V109=1,U156,0)</f>
        <v>0</v>
      </c>
      <c r="W157" s="54">
        <f>IF(W109=1,X156,0)</f>
        <v>2</v>
      </c>
      <c r="Y157" s="58">
        <f>IF(Y109=1,X156,0)</f>
        <v>0</v>
      </c>
      <c r="Z157" s="54">
        <f>IF(Z109=1,AA156,0)</f>
        <v>0</v>
      </c>
      <c r="AB157" s="58">
        <f>IF(AB109=1,AA156,0)</f>
        <v>0</v>
      </c>
      <c r="AC157" s="54">
        <f>IF(AC109=1,AD156,0)</f>
        <v>2</v>
      </c>
      <c r="AE157" s="58">
        <f>IF(AE109=1,AD156,0)</f>
        <v>0</v>
      </c>
      <c r="AF157" s="54">
        <f>SUM(B157:AE157)</f>
        <v>8</v>
      </c>
      <c r="AW157" s="146"/>
    </row>
    <row r="158" spans="1:49" s="54" customFormat="1" ht="12.75" hidden="1" customHeight="1" x14ac:dyDescent="0.2">
      <c r="A158" s="54" t="s">
        <v>77</v>
      </c>
      <c r="B158" s="54">
        <f>IF(B109=2,C156,0)</f>
        <v>2</v>
      </c>
      <c r="D158" s="58">
        <f>IF(D109=2,C156,0)</f>
        <v>0</v>
      </c>
      <c r="E158" s="54">
        <f>IF(E109=2,F156,0)</f>
        <v>0</v>
      </c>
      <c r="G158" s="58">
        <f>IF(G109=2,F156,0)</f>
        <v>0</v>
      </c>
      <c r="H158" s="54">
        <f>IF(H109=2,I156,0)</f>
        <v>0</v>
      </c>
      <c r="J158" s="58">
        <f>IF(J109=2,I156,0)</f>
        <v>0</v>
      </c>
      <c r="K158" s="54">
        <f>IF(K109=2,L156,0)</f>
        <v>2</v>
      </c>
      <c r="M158" s="58">
        <f>IF(M109=2,L156,0)</f>
        <v>0</v>
      </c>
      <c r="N158" s="54">
        <f>IF(N109=2,O156,0)</f>
        <v>0</v>
      </c>
      <c r="P158" s="58">
        <f>IF(P109=2,O156,0)</f>
        <v>0</v>
      </c>
      <c r="Q158" s="54">
        <f>IF(Q109=2,R156,0)</f>
        <v>0</v>
      </c>
      <c r="S158" s="58">
        <f>IF(S109=2,R156,0)</f>
        <v>0</v>
      </c>
      <c r="T158" s="54">
        <f>IF(T109=2,U156,0)</f>
        <v>2</v>
      </c>
      <c r="V158" s="58">
        <f>IF(V109=2,U156,0)</f>
        <v>0</v>
      </c>
      <c r="W158" s="54">
        <f>IF(W109=2,X156,0)</f>
        <v>0</v>
      </c>
      <c r="Y158" s="58">
        <f>IF(Y109=2,X156,0)</f>
        <v>0</v>
      </c>
      <c r="Z158" s="54">
        <f>IF(Z109=2,AA156,0)</f>
        <v>0</v>
      </c>
      <c r="AB158" s="58">
        <f>IF(AB109=2,AA156,0)</f>
        <v>0</v>
      </c>
      <c r="AC158" s="54">
        <f>IF(AC109=2,AD156,0)</f>
        <v>0</v>
      </c>
      <c r="AE158" s="58">
        <f>IF(AE109=2,AD156,0)</f>
        <v>2</v>
      </c>
      <c r="AF158" s="54">
        <f>SUM(B158:AE158)</f>
        <v>8</v>
      </c>
      <c r="AW158" s="146"/>
    </row>
    <row r="159" spans="1:49" s="54" customFormat="1" ht="12.75" hidden="1" customHeight="1" x14ac:dyDescent="0.2">
      <c r="A159" s="54" t="s">
        <v>78</v>
      </c>
      <c r="B159" s="54">
        <f>IF(B109=3,C156,0)</f>
        <v>0</v>
      </c>
      <c r="D159" s="58">
        <f>IF(D109=3,C156,0)</f>
        <v>0</v>
      </c>
      <c r="E159" s="54">
        <f>IF(E109=3,F156,0)</f>
        <v>0</v>
      </c>
      <c r="G159" s="58">
        <f>IF(G109=3,F156,0)</f>
        <v>0</v>
      </c>
      <c r="H159" s="54">
        <f>IF(H109=3,I156,0)</f>
        <v>2</v>
      </c>
      <c r="J159" s="58">
        <f>IF(J109=3,I156,0)</f>
        <v>0</v>
      </c>
      <c r="K159" s="54">
        <f>IF(K109=3,L156,0)</f>
        <v>0</v>
      </c>
      <c r="M159" s="58">
        <f>IF(M109=3,L156,0)</f>
        <v>0</v>
      </c>
      <c r="N159" s="54">
        <f>IF(N109=3,O156,0)</f>
        <v>0</v>
      </c>
      <c r="P159" s="58">
        <f>IF(P109=3,O156,0)</f>
        <v>2</v>
      </c>
      <c r="Q159" s="54">
        <f>IF(Q109=3,R156,0)</f>
        <v>0</v>
      </c>
      <c r="S159" s="58">
        <f>IF(S109=3,R156,0)</f>
        <v>0</v>
      </c>
      <c r="T159" s="54">
        <f>IF(T109=3,U156,0)</f>
        <v>0</v>
      </c>
      <c r="V159" s="58">
        <f>IF(V109=3,U156,0)</f>
        <v>2</v>
      </c>
      <c r="W159" s="54">
        <f>IF(W109=3,X156,0)</f>
        <v>0</v>
      </c>
      <c r="Y159" s="58">
        <f>IF(Y109=3,X156,0)</f>
        <v>0</v>
      </c>
      <c r="Z159" s="54">
        <f>IF(Z109=3,AA156,0)</f>
        <v>2</v>
      </c>
      <c r="AB159" s="58">
        <f>IF(AB109=3,AA156,0)</f>
        <v>0</v>
      </c>
      <c r="AC159" s="54">
        <f>IF(AC109=3,AD156,0)</f>
        <v>0</v>
      </c>
      <c r="AE159" s="58">
        <f>IF(AE109=3,AD156,0)</f>
        <v>0</v>
      </c>
      <c r="AF159" s="54">
        <f>SUM(B159:AE159)</f>
        <v>8</v>
      </c>
      <c r="AW159" s="146"/>
    </row>
    <row r="160" spans="1:49" s="54" customFormat="1" ht="12.75" hidden="1" customHeight="1" x14ac:dyDescent="0.2">
      <c r="A160" s="54" t="s">
        <v>79</v>
      </c>
      <c r="B160" s="54">
        <f>IF(B109=4,C156,0)</f>
        <v>0</v>
      </c>
      <c r="D160" s="58">
        <f>IF(D109=4,C156,0)</f>
        <v>0</v>
      </c>
      <c r="E160" s="54">
        <f>IF(E109=4,F156,0)</f>
        <v>0</v>
      </c>
      <c r="G160" s="58">
        <f>IF(G109=4,F156,0)</f>
        <v>2</v>
      </c>
      <c r="H160" s="54">
        <f>IF(H109=4,I156,0)</f>
        <v>0</v>
      </c>
      <c r="J160" s="58">
        <f>IF(J109=4,I156,0)</f>
        <v>0</v>
      </c>
      <c r="K160" s="54">
        <f>IF(K109=4,L156,0)</f>
        <v>0</v>
      </c>
      <c r="M160" s="58">
        <f>IF(M109=4,L156,0)</f>
        <v>2</v>
      </c>
      <c r="N160" s="54">
        <f>IF(N109=4,O156,0)</f>
        <v>0</v>
      </c>
      <c r="P160" s="58">
        <f>IF(P109=4,O156,0)</f>
        <v>0</v>
      </c>
      <c r="Q160" s="54">
        <f>IF(Q109=4,R156,0)</f>
        <v>2</v>
      </c>
      <c r="S160" s="58">
        <f>IF(S109=4,R156,0)</f>
        <v>0</v>
      </c>
      <c r="T160" s="54">
        <f>IF(T109=4,U156,0)</f>
        <v>0</v>
      </c>
      <c r="V160" s="58">
        <f>IF(V109=4,U156,0)</f>
        <v>0</v>
      </c>
      <c r="W160" s="54">
        <f>IF(W109=4,X156,0)</f>
        <v>0</v>
      </c>
      <c r="Y160" s="58">
        <f>IF(Y109=4,X156,0)</f>
        <v>0</v>
      </c>
      <c r="Z160" s="54">
        <f>IF(Z109=4,AA156,0)</f>
        <v>0</v>
      </c>
      <c r="AB160" s="58">
        <f>IF(AB109=4,AA156,0)</f>
        <v>2</v>
      </c>
      <c r="AC160" s="54">
        <f>IF(AC109=4,AD156,0)</f>
        <v>0</v>
      </c>
      <c r="AE160" s="58">
        <f>IF(AE109=4,AD156,0)</f>
        <v>0</v>
      </c>
      <c r="AF160" s="54">
        <f>SUM(B160:AE160)</f>
        <v>8</v>
      </c>
      <c r="AW160" s="146"/>
    </row>
    <row r="161" spans="1:54" s="54" customFormat="1" ht="12.75" hidden="1" customHeight="1" x14ac:dyDescent="0.2">
      <c r="A161" s="54" t="s">
        <v>80</v>
      </c>
      <c r="B161" s="54">
        <f>IF(B109=5,C156,0)</f>
        <v>0</v>
      </c>
      <c r="D161" s="58">
        <f>IF(D109=5,C156,0)</f>
        <v>2</v>
      </c>
      <c r="E161" s="54">
        <f>IF(E109=5,F156,0)</f>
        <v>0</v>
      </c>
      <c r="G161" s="58">
        <f>IF(G109=5,F156,0)</f>
        <v>0</v>
      </c>
      <c r="H161" s="54">
        <f>IF(H109=5,I156,0)</f>
        <v>0</v>
      </c>
      <c r="J161" s="58">
        <f>IF(J109=5,I156,0)</f>
        <v>2</v>
      </c>
      <c r="K161" s="54">
        <f>IF(K109=5,L156,0)</f>
        <v>0</v>
      </c>
      <c r="M161" s="58">
        <f>IF(M109=5,L156,0)</f>
        <v>0</v>
      </c>
      <c r="N161" s="54">
        <f>IF(N109=5,O156,0)</f>
        <v>0</v>
      </c>
      <c r="P161" s="58">
        <f>IF(P109=5,O156,0)</f>
        <v>0</v>
      </c>
      <c r="Q161" s="54">
        <f>IF(Q109=5,R156,0)</f>
        <v>0</v>
      </c>
      <c r="S161" s="58">
        <f>IF(S109=5,R156,0)</f>
        <v>2</v>
      </c>
      <c r="T161" s="54">
        <f>IF(T109=5,U156,0)</f>
        <v>0</v>
      </c>
      <c r="V161" s="58">
        <f>IF(V109=5,U156,0)</f>
        <v>0</v>
      </c>
      <c r="W161" s="54">
        <f>IF(W109=5,X156,0)</f>
        <v>0</v>
      </c>
      <c r="Y161" s="58">
        <f>IF(Y109=5,X156,0)</f>
        <v>2</v>
      </c>
      <c r="Z161" s="54">
        <f>IF(Z109=5,AA156,0)</f>
        <v>0</v>
      </c>
      <c r="AB161" s="58">
        <f>IF(AB109=5,AA156,0)</f>
        <v>0</v>
      </c>
      <c r="AC161" s="54">
        <f>IF(AC109=5,AD156,0)</f>
        <v>0</v>
      </c>
      <c r="AE161" s="58">
        <f>IF(AE109=5,AD156,0)</f>
        <v>0</v>
      </c>
      <c r="AF161" s="54">
        <f>SUM(B161:AE161)</f>
        <v>8</v>
      </c>
      <c r="AT161" s="61"/>
      <c r="AU161" s="61"/>
      <c r="AV161" s="61"/>
      <c r="AW161" s="146"/>
    </row>
    <row r="162" spans="1:54" hidden="1" x14ac:dyDescent="0.2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60"/>
      <c r="AO162" s="60"/>
      <c r="AP162" s="60"/>
      <c r="AQ162" s="60"/>
      <c r="AR162" s="61"/>
      <c r="AS162" s="61"/>
      <c r="AT162" s="61"/>
      <c r="AU162" s="61"/>
      <c r="AV162" s="61"/>
      <c r="BB162" s="62"/>
    </row>
    <row r="163" spans="1:54" s="61" customFormat="1" hidden="1" x14ac:dyDescent="0.2">
      <c r="A163" s="63"/>
      <c r="B163" s="63"/>
      <c r="C163" s="63" t="s">
        <v>87</v>
      </c>
      <c r="D163" s="63">
        <v>1</v>
      </c>
      <c r="E163" s="63"/>
      <c r="F163" s="63"/>
      <c r="G163" s="63">
        <v>2</v>
      </c>
      <c r="H163" s="63"/>
      <c r="I163" s="63"/>
      <c r="J163" s="63">
        <v>3</v>
      </c>
      <c r="K163" s="63"/>
      <c r="L163" s="63"/>
      <c r="M163" s="63">
        <v>4</v>
      </c>
      <c r="N163" s="63"/>
      <c r="O163" s="63"/>
      <c r="P163" s="63">
        <v>5</v>
      </c>
      <c r="Q163" s="63"/>
      <c r="R163" s="63"/>
      <c r="S163" s="63">
        <v>6</v>
      </c>
      <c r="T163" s="63"/>
      <c r="U163" s="63"/>
      <c r="V163" s="63">
        <v>7</v>
      </c>
      <c r="W163" s="63"/>
      <c r="X163" s="63"/>
      <c r="Y163" s="63">
        <v>8</v>
      </c>
      <c r="Z163" s="63"/>
      <c r="AA163" s="63"/>
      <c r="AB163" s="63">
        <v>9</v>
      </c>
      <c r="AC163" s="63"/>
      <c r="AD163" s="63"/>
      <c r="AE163" s="63">
        <v>10</v>
      </c>
      <c r="AF163" s="4"/>
      <c r="AG163" s="63"/>
      <c r="AI163" s="64"/>
      <c r="AJ163" s="4"/>
      <c r="AK163" s="4"/>
      <c r="AL163" s="4"/>
      <c r="AM163" s="4"/>
      <c r="AN163" s="4"/>
      <c r="AO163" s="4"/>
      <c r="AT163" s="64" t="s">
        <v>88</v>
      </c>
      <c r="AW163" s="65"/>
      <c r="BB163" s="65"/>
    </row>
    <row r="164" spans="1:54" s="61" customFormat="1" hidden="1" x14ac:dyDescent="0.2">
      <c r="A164" s="66">
        <v>1</v>
      </c>
      <c r="B164" s="66" t="str">
        <f>E93</f>
        <v>Chas Jrs 13 Blue</v>
      </c>
      <c r="C164" s="66">
        <f>VLOOKUP(B164,AU$3:BB$33,3,FALSE)</f>
        <v>1855.4692952764783</v>
      </c>
      <c r="D164" s="66">
        <f>IF(B157,B172,IF(D157,D172,C164))</f>
        <v>1855.4692952764783</v>
      </c>
      <c r="E164" s="66"/>
      <c r="F164" s="66"/>
      <c r="G164" s="66">
        <f>IF(E157,E172,IF(G157,G172,D164))</f>
        <v>1836.9255642774644</v>
      </c>
      <c r="H164" s="66"/>
      <c r="I164" s="66"/>
      <c r="J164" s="66">
        <f>IF(H157,H172,IF(J157,J172,G164))</f>
        <v>1836.9255642774644</v>
      </c>
      <c r="K164" s="66"/>
      <c r="L164" s="66"/>
      <c r="M164" s="66">
        <f>IF(K157,K172,IF(M157,M172,J164))</f>
        <v>1836.9255642774644</v>
      </c>
      <c r="N164" s="66"/>
      <c r="O164" s="66"/>
      <c r="P164" s="66">
        <f>IF(N157,N172,IF(P157,P172,M164))</f>
        <v>1852.3277738916438</v>
      </c>
      <c r="Q164" s="66"/>
      <c r="R164" s="66"/>
      <c r="S164" s="66">
        <f>IF(Q157,Q172,IF(S157,S172,P164))</f>
        <v>1852.3277738916438</v>
      </c>
      <c r="T164" s="66"/>
      <c r="U164" s="66"/>
      <c r="V164" s="66">
        <f>IF(T157,T172,IF(V157,V172,S164))</f>
        <v>1852.3277738916438</v>
      </c>
      <c r="W164" s="66"/>
      <c r="X164" s="66"/>
      <c r="Y164" s="66">
        <f>IF(W157,W172,IF(Y157,Y172,V164))</f>
        <v>1807.0444199324138</v>
      </c>
      <c r="Z164" s="66"/>
      <c r="AA164" s="66"/>
      <c r="AB164" s="66">
        <f>IF(Z157,Z172,IF(AB157,AB172,Y164))</f>
        <v>1807.0444199324138</v>
      </c>
      <c r="AC164" s="66"/>
      <c r="AD164" s="66"/>
      <c r="AE164" s="66">
        <f>IF(AC157,AC172,IF(AE157,AE172,AB164))</f>
        <v>1820.9197353686502</v>
      </c>
      <c r="AF164" s="4"/>
      <c r="AG164" s="4"/>
      <c r="AJ164" s="4"/>
      <c r="AK164" s="4"/>
      <c r="AL164" s="4"/>
      <c r="AM164" s="4"/>
      <c r="AN164" s="4"/>
      <c r="AO164" s="4"/>
      <c r="AT164" s="61" t="str">
        <f>B164</f>
        <v>Chas Jrs 13 Blue</v>
      </c>
      <c r="AU164" s="61">
        <f>AE164</f>
        <v>1820.9197353686502</v>
      </c>
      <c r="AW164" s="65"/>
      <c r="BB164" s="65"/>
    </row>
    <row r="165" spans="1:54" s="61" customFormat="1" hidden="1" x14ac:dyDescent="0.2">
      <c r="A165" s="66">
        <v>2</v>
      </c>
      <c r="B165" s="66" t="str">
        <f>E95</f>
        <v>CSRA Heat 13 Black</v>
      </c>
      <c r="C165" s="66">
        <f>VLOOKUP(B165,AU$3:BB$33,3,FALSE)</f>
        <v>1649.1598067006576</v>
      </c>
      <c r="D165" s="66">
        <f>IF(B158,B172,IF(D158,D172,C165))</f>
        <v>1612.4003873764957</v>
      </c>
      <c r="E165" s="66"/>
      <c r="F165" s="66"/>
      <c r="G165" s="66">
        <f>IF(E158,E172,IF(G158,G172,D165))</f>
        <v>1612.4003873764957</v>
      </c>
      <c r="H165" s="66"/>
      <c r="I165" s="66"/>
      <c r="J165" s="66">
        <f>IF(H158,H172,IF(J158,J172,G165))</f>
        <v>1612.4003873764957</v>
      </c>
      <c r="K165" s="66"/>
      <c r="L165" s="66"/>
      <c r="M165" s="66">
        <f>IF(K158,K172,IF(M158,M172,J165))</f>
        <v>1615.3134137910436</v>
      </c>
      <c r="N165" s="66"/>
      <c r="O165" s="66"/>
      <c r="P165" s="66">
        <f>IF(N158,N172,IF(P158,P172,M165))</f>
        <v>1615.3134137910436</v>
      </c>
      <c r="Q165" s="66"/>
      <c r="R165" s="66"/>
      <c r="S165" s="66">
        <f>IF(Q158,Q172,IF(S158,S172,P165))</f>
        <v>1615.3134137910436</v>
      </c>
      <c r="T165" s="66"/>
      <c r="U165" s="66"/>
      <c r="V165" s="66">
        <f>IF(T158,T172,IF(V158,V172,S165))</f>
        <v>1583.9209048874454</v>
      </c>
      <c r="W165" s="66"/>
      <c r="X165" s="66"/>
      <c r="Y165" s="66">
        <f>IF(W158,W172,IF(Y158,Y172,V165))</f>
        <v>1583.9209048874454</v>
      </c>
      <c r="Z165" s="66"/>
      <c r="AA165" s="66"/>
      <c r="AB165" s="66">
        <f>IF(Z158,Z172,IF(AB158,AB172,Y165))</f>
        <v>1583.9209048874454</v>
      </c>
      <c r="AC165" s="66"/>
      <c r="AD165" s="66"/>
      <c r="AE165" s="66">
        <f>IF(AC158,AC172,IF(AE158,AE172,AB165))</f>
        <v>1570.045589451209</v>
      </c>
      <c r="AF165" s="4"/>
      <c r="AG165" s="4"/>
      <c r="AJ165" s="4"/>
      <c r="AL165" s="4"/>
      <c r="AM165" s="4"/>
      <c r="AN165" s="4"/>
      <c r="AO165" s="4"/>
      <c r="AT165" s="61" t="str">
        <f>B165</f>
        <v>CSRA Heat 13 Black</v>
      </c>
      <c r="AU165" s="61">
        <f>AE165</f>
        <v>1570.045589451209</v>
      </c>
      <c r="AW165" s="65"/>
      <c r="BB165" s="65"/>
    </row>
    <row r="166" spans="1:54" s="61" customFormat="1" hidden="1" x14ac:dyDescent="0.2">
      <c r="A166" s="66">
        <v>3</v>
      </c>
      <c r="B166" s="66" t="str">
        <f>E97</f>
        <v>SOAR WINGS 13U</v>
      </c>
      <c r="C166" s="66">
        <f>VLOOKUP(B166,AU$3:BB$33,3,FALSE)</f>
        <v>1672.8922772837741</v>
      </c>
      <c r="D166" s="66">
        <f>IF(B159,B172,IF(D159,D172,C166))</f>
        <v>1672.8922772837741</v>
      </c>
      <c r="E166" s="66"/>
      <c r="F166" s="66"/>
      <c r="G166" s="66">
        <f>IF(E159,E172,IF(G159,G172,D166))</f>
        <v>1672.8922772837741</v>
      </c>
      <c r="H166" s="66"/>
      <c r="I166" s="66"/>
      <c r="J166" s="66">
        <f>IF(H159,H172,IF(J159,J172,G166))</f>
        <v>1637.3121667114992</v>
      </c>
      <c r="K166" s="66"/>
      <c r="L166" s="66"/>
      <c r="M166" s="66">
        <f>IF(K159,K172,IF(M159,M172,J166))</f>
        <v>1637.3121667114992</v>
      </c>
      <c r="N166" s="66"/>
      <c r="O166" s="66"/>
      <c r="P166" s="66">
        <f>IF(N159,N172,IF(P159,P172,M166))</f>
        <v>1621.9099570973199</v>
      </c>
      <c r="Q166" s="66"/>
      <c r="R166" s="66"/>
      <c r="S166" s="66">
        <f>IF(Q159,Q172,IF(S159,S172,P166))</f>
        <v>1621.9099570973199</v>
      </c>
      <c r="T166" s="66"/>
      <c r="U166" s="66"/>
      <c r="V166" s="66">
        <f>IF(T159,T172,IF(V159,V172,S166))</f>
        <v>1653.302466000918</v>
      </c>
      <c r="W166" s="66"/>
      <c r="X166" s="66"/>
      <c r="Y166" s="66">
        <f>IF(W159,W172,IF(Y159,Y172,V166))</f>
        <v>1653.302466000918</v>
      </c>
      <c r="Z166" s="66"/>
      <c r="AA166" s="66"/>
      <c r="AB166" s="66">
        <f>IF(Z159,Z172,IF(AB159,AB172,Y166))</f>
        <v>1649.4978277891198</v>
      </c>
      <c r="AC166" s="66"/>
      <c r="AD166" s="66"/>
      <c r="AE166" s="66">
        <f>IF(AC159,AC172,IF(AE159,AE172,AB166))</f>
        <v>1649.4978277891198</v>
      </c>
      <c r="AF166" s="4"/>
      <c r="AG166" s="4"/>
      <c r="AJ166" s="4"/>
      <c r="AL166" s="4"/>
      <c r="AM166" s="4"/>
      <c r="AN166" s="4"/>
      <c r="AO166" s="4"/>
      <c r="AT166" s="61" t="str">
        <f>B166</f>
        <v>SOAR WINGS 13U</v>
      </c>
      <c r="AU166" s="61">
        <f>AE166</f>
        <v>1649.4978277891198</v>
      </c>
      <c r="AW166" s="65"/>
      <c r="BB166" s="65"/>
    </row>
    <row r="167" spans="1:54" s="61" customFormat="1" hidden="1" x14ac:dyDescent="0.2">
      <c r="A167" s="66">
        <v>4</v>
      </c>
      <c r="B167" s="66" t="str">
        <f>E99</f>
        <v>MBVC 14 Black</v>
      </c>
      <c r="C167" s="66">
        <f>VLOOKUP(B167,AU$3:BB$33,3,FALSE)</f>
        <v>1625.5722405667989</v>
      </c>
      <c r="D167" s="66">
        <f>IF(B160,B172,IF(D160,D172,C167))</f>
        <v>1625.5722405667989</v>
      </c>
      <c r="E167" s="66"/>
      <c r="F167" s="66"/>
      <c r="G167" s="66">
        <f>IF(E160,E172,IF(G160,G172,D167))</f>
        <v>1644.1159715658127</v>
      </c>
      <c r="H167" s="66"/>
      <c r="I167" s="66"/>
      <c r="J167" s="66">
        <f>IF(H160,H172,IF(J160,J172,G167))</f>
        <v>1644.1159715658127</v>
      </c>
      <c r="K167" s="66"/>
      <c r="L167" s="66"/>
      <c r="M167" s="66">
        <f>IF(K160,K172,IF(M160,M172,J167))</f>
        <v>1641.2029451512649</v>
      </c>
      <c r="N167" s="66"/>
      <c r="O167" s="66"/>
      <c r="P167" s="66">
        <f>IF(N160,N172,IF(P160,P172,M167))</f>
        <v>1641.2029451512649</v>
      </c>
      <c r="Q167" s="66"/>
      <c r="R167" s="66"/>
      <c r="S167" s="66">
        <f>IF(Q160,Q172,IF(S160,S172,P167))</f>
        <v>1611.7978187399692</v>
      </c>
      <c r="T167" s="66"/>
      <c r="U167" s="66"/>
      <c r="V167" s="66">
        <f>IF(T160,T172,IF(V160,V172,S167))</f>
        <v>1611.7978187399692</v>
      </c>
      <c r="W167" s="66"/>
      <c r="X167" s="66"/>
      <c r="Y167" s="66">
        <f>IF(W160,W172,IF(Y160,Y172,V167))</f>
        <v>1611.7978187399692</v>
      </c>
      <c r="Z167" s="66"/>
      <c r="AA167" s="66"/>
      <c r="AB167" s="66">
        <f>IF(Z160,Z172,IF(AB160,AB172,Y167))</f>
        <v>1615.6024569517674</v>
      </c>
      <c r="AC167" s="66"/>
      <c r="AD167" s="66"/>
      <c r="AE167" s="66">
        <f>IF(AC160,AC172,IF(AE160,AE172,AB167))</f>
        <v>1615.6024569517674</v>
      </c>
      <c r="AF167" s="4"/>
      <c r="AG167" s="4"/>
      <c r="AJ167" s="4"/>
      <c r="AL167" s="4"/>
      <c r="AM167" s="4"/>
      <c r="AN167" s="4"/>
      <c r="AO167" s="4"/>
      <c r="AT167" s="61" t="str">
        <f>B167</f>
        <v>MBVC 14 Black</v>
      </c>
      <c r="AU167" s="61">
        <f>AE167</f>
        <v>1615.6024569517674</v>
      </c>
      <c r="AW167" s="65"/>
      <c r="BB167" s="65"/>
    </row>
    <row r="168" spans="1:54" s="61" customFormat="1" hidden="1" x14ac:dyDescent="0.2">
      <c r="A168" s="66">
        <v>5</v>
      </c>
      <c r="B168" s="66" t="str">
        <f>E101</f>
        <v>C1VB 12 Reg Black Pickens</v>
      </c>
      <c r="C168" s="66">
        <f>VLOOKUP(B168,AU$3:BB$33,3,FALSE)</f>
        <v>1597.0988941571195</v>
      </c>
      <c r="D168" s="66">
        <f>IF(B161,B172,IF(D161,D172,C168))</f>
        <v>1633.8583134812814</v>
      </c>
      <c r="E168" s="66"/>
      <c r="F168" s="66"/>
      <c r="G168" s="66">
        <f>IF(E161,E172,IF(G161,G172,D168))</f>
        <v>1633.8583134812814</v>
      </c>
      <c r="H168" s="66"/>
      <c r="I168" s="66"/>
      <c r="J168" s="66">
        <f>IF(H161,H172,IF(J161,J172,G168))</f>
        <v>1669.4384240535562</v>
      </c>
      <c r="K168" s="66"/>
      <c r="L168" s="66"/>
      <c r="M168" s="66">
        <f>IF(K161,K172,IF(M161,M172,J168))</f>
        <v>1669.4384240535562</v>
      </c>
      <c r="N168" s="66"/>
      <c r="O168" s="66"/>
      <c r="P168" s="66">
        <f>IF(N161,N172,IF(P161,P172,M168))</f>
        <v>1669.4384240535562</v>
      </c>
      <c r="Q168" s="66"/>
      <c r="R168" s="66"/>
      <c r="S168" s="66">
        <f>IF(Q161,Q172,IF(S161,S172,P168))</f>
        <v>1698.8435504648519</v>
      </c>
      <c r="T168" s="66"/>
      <c r="U168" s="66"/>
      <c r="V168" s="66">
        <f>IF(T161,T172,IF(V161,V172,S168))</f>
        <v>1698.8435504648519</v>
      </c>
      <c r="W168" s="66"/>
      <c r="X168" s="66"/>
      <c r="Y168" s="66">
        <f>IF(W161,W172,IF(Y161,Y172,V168))</f>
        <v>1744.1269044240819</v>
      </c>
      <c r="Z168" s="66"/>
      <c r="AA168" s="66"/>
      <c r="AB168" s="66">
        <f>IF(Z161,Z172,IF(AB161,AB172,Y168))</f>
        <v>1744.1269044240819</v>
      </c>
      <c r="AC168" s="66"/>
      <c r="AD168" s="66"/>
      <c r="AE168" s="66">
        <f>IF(AC161,AC172,IF(AE161,AE172,AB168))</f>
        <v>1744.1269044240819</v>
      </c>
      <c r="AF168" s="4"/>
      <c r="AG168" s="4"/>
      <c r="AJ168" s="4"/>
      <c r="AL168" s="4"/>
      <c r="AM168" s="4"/>
      <c r="AN168" s="4"/>
      <c r="AO168" s="4"/>
      <c r="AT168" s="61" t="str">
        <f>B168</f>
        <v>C1VB 12 Reg Black Pickens</v>
      </c>
      <c r="AU168" s="61">
        <f>AE168</f>
        <v>1744.1269044240819</v>
      </c>
      <c r="AW168" s="65"/>
      <c r="BB168" s="65"/>
    </row>
    <row r="169" spans="1:54" s="61" customFormat="1" hidden="1" x14ac:dyDescent="0.2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4"/>
      <c r="AG169" s="4"/>
      <c r="AJ169" s="4"/>
      <c r="AL169" s="4"/>
      <c r="AM169" s="4"/>
      <c r="AN169" s="4"/>
      <c r="AO169" s="4"/>
      <c r="AW169" s="65"/>
      <c r="BB169" s="65"/>
    </row>
    <row r="170" spans="1:54" s="61" customFormat="1" hidden="1" x14ac:dyDescent="0.2">
      <c r="A170" s="66" t="s">
        <v>89</v>
      </c>
      <c r="B170" s="66">
        <f>VLOOKUP(B109,$A164:$AE168,3*C170,FALSE)</f>
        <v>1649.1598067006576</v>
      </c>
      <c r="C170" s="66">
        <v>1</v>
      </c>
      <c r="D170" s="66">
        <f>VLOOKUP(D109,$A164:$AE168,2+C170,FALSE)</f>
        <v>1597.0988941571195</v>
      </c>
      <c r="E170" s="66">
        <f>VLOOKUP(E109,$A164:$AE168,3*F170-2,FALSE)</f>
        <v>1855.4692952764783</v>
      </c>
      <c r="F170" s="66">
        <v>2</v>
      </c>
      <c r="G170" s="66">
        <f>VLOOKUP(G109,$A164:$AE168,3*F170-2,FALSE)</f>
        <v>1625.5722405667989</v>
      </c>
      <c r="H170" s="66">
        <f>VLOOKUP(H109,$A164:$AE168,3*I170-2,FALSE)</f>
        <v>1672.8922772837741</v>
      </c>
      <c r="I170" s="66">
        <v>3</v>
      </c>
      <c r="J170" s="66">
        <f>VLOOKUP(J109,$A164:$AE168,3*I170-2,FALSE)</f>
        <v>1633.8583134812814</v>
      </c>
      <c r="K170" s="66">
        <f>VLOOKUP(K109,$A164:$AE168,3*L170-2,FALSE)</f>
        <v>1612.4003873764957</v>
      </c>
      <c r="L170" s="66">
        <v>4</v>
      </c>
      <c r="M170" s="66">
        <f>VLOOKUP(M109,$A164:$AE168,3*L170-2,FALSE)</f>
        <v>1644.1159715658127</v>
      </c>
      <c r="N170" s="66">
        <f>VLOOKUP(N109,$A164:$AE168,3*O170-2,FALSE)</f>
        <v>1836.9255642774644</v>
      </c>
      <c r="O170" s="66">
        <v>5</v>
      </c>
      <c r="P170" s="66">
        <f>VLOOKUP(P109,$A164:$AE168,3*O170-2,FALSE)</f>
        <v>1637.3121667114992</v>
      </c>
      <c r="Q170" s="66">
        <f>VLOOKUP(Q109,$A164:$AE168,3*R170-2,FALSE)</f>
        <v>1641.2029451512649</v>
      </c>
      <c r="R170" s="66">
        <v>6</v>
      </c>
      <c r="S170" s="66">
        <f>VLOOKUP(S109,$A164:$AE168,3*R170-2,FALSE)</f>
        <v>1669.4384240535562</v>
      </c>
      <c r="T170" s="66">
        <f>VLOOKUP(T109,$A164:$AE168,3*U170-2,FALSE)</f>
        <v>1615.3134137910436</v>
      </c>
      <c r="U170" s="66">
        <v>7</v>
      </c>
      <c r="V170" s="66">
        <f>VLOOKUP(V109,$A164:$AE168,3*U170-2,FALSE)</f>
        <v>1621.9099570973199</v>
      </c>
      <c r="W170" s="66">
        <f>VLOOKUP(W109,$A164:$AE168,3*X170-2,FALSE)</f>
        <v>1852.3277738916438</v>
      </c>
      <c r="X170" s="66">
        <v>8</v>
      </c>
      <c r="Y170" s="66">
        <f>VLOOKUP(Y109,$A164:$AE168,3*X170-2,FALSE)</f>
        <v>1698.8435504648519</v>
      </c>
      <c r="Z170" s="66">
        <f>VLOOKUP(Z109,$A164:$AE168,3*AA170-2,FALSE)</f>
        <v>1653.302466000918</v>
      </c>
      <c r="AA170" s="66">
        <v>9</v>
      </c>
      <c r="AB170" s="66">
        <f>VLOOKUP(AB109,$A164:$AE168,3*AA170-2,FALSE)</f>
        <v>1611.7978187399692</v>
      </c>
      <c r="AC170" s="66">
        <f>VLOOKUP(AC109,$A164:$AE168,3*AD170-2,FALSE)</f>
        <v>1807.0444199324138</v>
      </c>
      <c r="AD170" s="66">
        <v>10</v>
      </c>
      <c r="AE170" s="66">
        <f>VLOOKUP(AE109,$A164:$AE168,3*AD170-2,FALSE)</f>
        <v>1583.9209048874454</v>
      </c>
      <c r="AF170" s="4"/>
      <c r="AG170" s="59"/>
      <c r="AH170" s="59"/>
      <c r="AI170" s="59"/>
      <c r="AJ170" s="59"/>
      <c r="AK170" s="59"/>
      <c r="AL170" s="59"/>
      <c r="AM170" s="59"/>
      <c r="AN170" s="60"/>
      <c r="AO170" s="60"/>
      <c r="AP170" s="60"/>
      <c r="AQ170" s="60"/>
      <c r="AW170" s="65"/>
      <c r="BB170" s="65"/>
    </row>
    <row r="171" spans="1:54" s="71" customFormat="1" hidden="1" x14ac:dyDescent="0.2">
      <c r="A171" s="67" t="s">
        <v>90</v>
      </c>
      <c r="B171" s="67">
        <f>1/(1+(10^-((B170-D170)/400)))*(B121+D121)</f>
        <v>1.1487318538800571</v>
      </c>
      <c r="C171" s="67"/>
      <c r="D171" s="67">
        <f>1/(1+(10^-((D170-B170)/400)))*(B121+D121)</f>
        <v>0.85126814611994284</v>
      </c>
      <c r="E171" s="67">
        <f>1/(1+(10^-((E170-G170)/400)))*(E121+G121)</f>
        <v>1.5794915937191856</v>
      </c>
      <c r="F171" s="67"/>
      <c r="G171" s="67">
        <f>1/(1+(10^-((G170-E170)/400)))*(E121+G121)</f>
        <v>0.42050840628081432</v>
      </c>
      <c r="H171" s="67">
        <f>1/(1+(10^-((H170-J170)/400)))*(H121+J121)</f>
        <v>1.1118784553835903</v>
      </c>
      <c r="I171" s="67"/>
      <c r="J171" s="67">
        <f>1/(1+(10^-((J170-H170)/400)))*(H121+J121)</f>
        <v>0.88812154461640969</v>
      </c>
      <c r="K171" s="67">
        <f>1/(1+(10^-((K170-M170)/400)))*(K121+M121)</f>
        <v>0.90896792454538222</v>
      </c>
      <c r="L171" s="67"/>
      <c r="M171" s="67">
        <f>1/(1+(10^-((M170-K170)/400)))*(K121+M121)</f>
        <v>1.0910320754546177</v>
      </c>
      <c r="N171" s="67">
        <f>1/(1+(10^-((N170-P170)/400)))*(N121+P121)</f>
        <v>1.5186809495568954</v>
      </c>
      <c r="O171" s="67"/>
      <c r="P171" s="67">
        <f>1/(1+(10^-((P170-N170)/400)))*(N121+P121)</f>
        <v>0.48131905044310469</v>
      </c>
      <c r="Q171" s="67">
        <f>1/(1+(10^-((Q170-S170)/400)))*(Q121+S121)</f>
        <v>0.91891020035298887</v>
      </c>
      <c r="R171" s="67"/>
      <c r="S171" s="67">
        <f>1/(1+(10^-((S170-Q170)/400)))*(Q121+S121)</f>
        <v>1.081089799647011</v>
      </c>
      <c r="T171" s="67">
        <f>1/(1+(10^-((T170-V170)/400)))*(T121+V121)</f>
        <v>0.98101590323744448</v>
      </c>
      <c r="U171" s="67"/>
      <c r="V171" s="67">
        <f>1/(1+(10^-((V170-T170)/400)))*(T121+V121)</f>
        <v>1.0189840967625556</v>
      </c>
      <c r="W171" s="67">
        <f>1/(1+(10^-((W170-Y170)/400)))*(W121+Y121)</f>
        <v>1.4151048112259392</v>
      </c>
      <c r="X171" s="67"/>
      <c r="Y171" s="67">
        <f>1/(1+(10^-((Y170-W170)/400)))*(W121+Y121)</f>
        <v>0.58489518877406066</v>
      </c>
      <c r="Z171" s="67">
        <f>1/(1+(10^-((Z170-AB170)/400)))*(Z121+AB121)</f>
        <v>1.1188949441186913</v>
      </c>
      <c r="AA171" s="67"/>
      <c r="AB171" s="67">
        <f>1/(1+(10^-((AB170-Z170)/400)))*(Z121+AB121)</f>
        <v>0.88110505588130883</v>
      </c>
      <c r="AC171" s="67">
        <f>1/(1+(10^-((AC170-AE170)/400)))*(AC121+AE121)</f>
        <v>1.5663963926176137</v>
      </c>
      <c r="AD171" s="67"/>
      <c r="AE171" s="67">
        <f>1/(1+(10^-((AE170-AC170)/400)))*(AC121+AE121)</f>
        <v>0.43360360738238662</v>
      </c>
      <c r="AF171" s="68"/>
      <c r="AG171" s="69"/>
      <c r="AH171" s="69"/>
      <c r="AI171" s="69"/>
      <c r="AJ171" s="69"/>
      <c r="AK171" s="69"/>
      <c r="AL171" s="69"/>
      <c r="AM171" s="69"/>
      <c r="AN171" s="70"/>
      <c r="AO171" s="70"/>
      <c r="AP171" s="70"/>
      <c r="AQ171" s="70"/>
      <c r="AW171" s="72"/>
      <c r="BB171" s="72"/>
    </row>
    <row r="172" spans="1:54" s="77" customFormat="1" hidden="1" x14ac:dyDescent="0.2">
      <c r="A172" s="73" t="s">
        <v>91</v>
      </c>
      <c r="B172" s="73">
        <f>B170+(B121-B171)*$BA$1</f>
        <v>1612.4003873764957</v>
      </c>
      <c r="C172" s="73"/>
      <c r="D172" s="73">
        <f>D170+(D121-D171)*$BA$1</f>
        <v>1633.8583134812814</v>
      </c>
      <c r="E172" s="73">
        <f>E170+(E121-E171)*$BA$1</f>
        <v>1836.9255642774644</v>
      </c>
      <c r="F172" s="73"/>
      <c r="G172" s="73">
        <f>G170+(G121-G171)*$BA$1</f>
        <v>1644.1159715658127</v>
      </c>
      <c r="H172" s="73">
        <f>H170+(H121-H171)*$BA$1</f>
        <v>1637.3121667114992</v>
      </c>
      <c r="I172" s="73"/>
      <c r="J172" s="73">
        <f>J170+(J121-J171)*$BA$1</f>
        <v>1669.4384240535562</v>
      </c>
      <c r="K172" s="73">
        <f>K170+(K121-K171)*$BA$1</f>
        <v>1615.3134137910436</v>
      </c>
      <c r="L172" s="73"/>
      <c r="M172" s="73">
        <f>M170+(M121-M171)*$BA$1</f>
        <v>1641.2029451512649</v>
      </c>
      <c r="N172" s="73">
        <f>N170+(N121-N171)*$BA$1</f>
        <v>1852.3277738916438</v>
      </c>
      <c r="O172" s="73"/>
      <c r="P172" s="73">
        <f>P170+(P121-P171)*$BA$1</f>
        <v>1621.9099570973199</v>
      </c>
      <c r="Q172" s="73">
        <f>Q170+(Q121-Q171)*$BA$1</f>
        <v>1611.7978187399692</v>
      </c>
      <c r="R172" s="73"/>
      <c r="S172" s="73">
        <f>S170+(S121-S171)*$BA$1</f>
        <v>1698.8435504648519</v>
      </c>
      <c r="T172" s="73">
        <f>T170+(T121-T171)*$BA$1</f>
        <v>1583.9209048874454</v>
      </c>
      <c r="U172" s="73"/>
      <c r="V172" s="73">
        <f>V170+(V121-V171)*$BA$1</f>
        <v>1653.302466000918</v>
      </c>
      <c r="W172" s="73">
        <f>W170+(W121-W171)*$BA$1</f>
        <v>1807.0444199324138</v>
      </c>
      <c r="X172" s="73"/>
      <c r="Y172" s="73">
        <f>Y170+(Y121-Y171)*$BA$1</f>
        <v>1744.1269044240819</v>
      </c>
      <c r="Z172" s="73">
        <f>Z170+(Z121-Z171)*$BA$1</f>
        <v>1649.4978277891198</v>
      </c>
      <c r="AA172" s="73"/>
      <c r="AB172" s="73">
        <f>AB170+(AB121-AB171)*$BA$1</f>
        <v>1615.6024569517674</v>
      </c>
      <c r="AC172" s="73">
        <f>AC170+(AC121-AC171)*$BA$1</f>
        <v>1820.9197353686502</v>
      </c>
      <c r="AD172" s="73"/>
      <c r="AE172" s="73">
        <f>AE170+(AE121-AE171)*$BA$1</f>
        <v>1570.045589451209</v>
      </c>
      <c r="AF172" s="74"/>
      <c r="AG172" s="75"/>
      <c r="AH172" s="75"/>
      <c r="AI172" s="75"/>
      <c r="AJ172" s="75"/>
      <c r="AK172" s="75"/>
      <c r="AL172" s="75"/>
      <c r="AM172" s="75"/>
      <c r="AN172" s="76"/>
      <c r="AO172" s="76"/>
      <c r="AP172" s="76"/>
      <c r="AQ172" s="76"/>
      <c r="AW172" s="78"/>
      <c r="BB172" s="78"/>
    </row>
    <row r="173" spans="1:54" s="77" customFormat="1" hidden="1" x14ac:dyDescent="0.2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  <c r="AD173" s="73"/>
      <c r="AE173" s="73"/>
      <c r="AF173" s="74"/>
      <c r="AG173" s="75"/>
      <c r="AH173" s="75"/>
      <c r="AI173" s="75"/>
      <c r="AJ173" s="75"/>
      <c r="AK173" s="75"/>
      <c r="AL173" s="75"/>
      <c r="AM173" s="75"/>
      <c r="AN173" s="76"/>
      <c r="AO173" s="76"/>
      <c r="AP173" s="76"/>
      <c r="AQ173" s="76"/>
      <c r="AW173" s="78"/>
      <c r="BB173" s="78"/>
    </row>
    <row r="174" spans="1:54" s="61" customFormat="1" x14ac:dyDescent="0.2">
      <c r="A174" s="790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790"/>
      <c r="C174" s="790"/>
      <c r="D174" s="790"/>
      <c r="E174" s="790"/>
      <c r="F174" s="790"/>
      <c r="G174" s="790"/>
      <c r="H174" s="790"/>
      <c r="I174" s="790"/>
      <c r="J174" s="790"/>
      <c r="K174" s="790"/>
      <c r="L174" s="790"/>
      <c r="M174" s="790"/>
      <c r="N174" s="790"/>
      <c r="O174" s="790"/>
      <c r="P174" s="790"/>
      <c r="Q174" s="790"/>
      <c r="R174" s="790"/>
      <c r="S174" s="790"/>
      <c r="T174" s="790"/>
      <c r="U174" s="790"/>
      <c r="V174" s="790"/>
      <c r="W174" s="790"/>
      <c r="X174" s="790"/>
      <c r="Y174" s="790"/>
      <c r="Z174" s="790"/>
      <c r="AA174" s="790"/>
      <c r="AB174" s="790"/>
      <c r="AC174" s="790"/>
      <c r="AD174" s="790"/>
      <c r="AE174" s="790"/>
      <c r="AF174" s="790"/>
      <c r="AG174" s="790"/>
      <c r="AH174" s="790"/>
      <c r="AI174" s="790"/>
      <c r="AJ174" s="790"/>
      <c r="AK174" s="790"/>
      <c r="AL174" s="790"/>
      <c r="AM174" s="790"/>
      <c r="AN174" s="768"/>
      <c r="AO174" s="768"/>
      <c r="AP174" s="768"/>
      <c r="AQ174" s="768"/>
      <c r="AW174" s="65"/>
    </row>
    <row r="175" spans="1:54" s="61" customFormat="1" ht="13.5" thickBot="1" x14ac:dyDescent="0.25">
      <c r="A175" s="791"/>
      <c r="B175" s="791"/>
      <c r="C175" s="791"/>
      <c r="D175" s="791"/>
      <c r="E175" s="791"/>
      <c r="F175" s="791"/>
      <c r="G175" s="791"/>
      <c r="H175" s="791"/>
      <c r="I175" s="791"/>
      <c r="J175" s="791"/>
      <c r="K175" s="791"/>
      <c r="L175" s="791"/>
      <c r="M175" s="791"/>
      <c r="N175" s="791"/>
      <c r="O175" s="791"/>
      <c r="P175" s="791"/>
      <c r="Q175" s="791"/>
      <c r="R175" s="791"/>
      <c r="S175" s="791"/>
      <c r="T175" s="791"/>
      <c r="U175" s="791"/>
      <c r="V175" s="791"/>
      <c r="W175" s="791"/>
      <c r="X175" s="791"/>
      <c r="Y175" s="791"/>
      <c r="Z175" s="791"/>
      <c r="AA175" s="791"/>
      <c r="AB175" s="791"/>
      <c r="AC175" s="791"/>
      <c r="AD175" s="791"/>
      <c r="AE175" s="791"/>
      <c r="AF175" s="791"/>
      <c r="AG175" s="791"/>
      <c r="AH175" s="791"/>
      <c r="AI175" s="791"/>
      <c r="AJ175" s="791"/>
      <c r="AK175" s="791"/>
      <c r="AL175" s="791"/>
      <c r="AM175" s="791"/>
      <c r="AN175" s="791"/>
      <c r="AO175" s="791"/>
      <c r="AP175" s="791"/>
      <c r="AQ175" s="791"/>
      <c r="AT175" s="4"/>
      <c r="AU175" s="4"/>
      <c r="AV175" s="4"/>
      <c r="AW175" s="65"/>
    </row>
    <row r="176" spans="1:54" ht="24" customHeight="1" thickBot="1" x14ac:dyDescent="0.25">
      <c r="A176" s="22" t="s">
        <v>22</v>
      </c>
      <c r="B176" s="23" t="s">
        <v>142</v>
      </c>
      <c r="C176" s="862" t="s">
        <v>1182</v>
      </c>
      <c r="D176" s="863"/>
      <c r="E176" s="863"/>
      <c r="F176" s="863"/>
      <c r="G176" s="863"/>
      <c r="H176" s="864"/>
      <c r="I176" s="865">
        <v>3</v>
      </c>
      <c r="J176" s="866"/>
      <c r="K176" s="867" t="str">
        <f>"Pool "&amp;B176&amp;" - Round 1 - Court "&amp;I176</f>
        <v>Pool C - Round 1 - Court 3</v>
      </c>
      <c r="L176" s="868"/>
      <c r="M176" s="868"/>
      <c r="N176" s="868"/>
      <c r="O176" s="868"/>
      <c r="P176" s="868"/>
      <c r="Q176" s="868"/>
      <c r="R176" s="868"/>
      <c r="S176" s="868"/>
      <c r="T176" s="868"/>
      <c r="U176" s="868"/>
      <c r="V176" s="868"/>
      <c r="W176" s="868"/>
      <c r="X176" s="868"/>
      <c r="Y176" s="868"/>
      <c r="Z176" s="868"/>
      <c r="AA176" s="868"/>
      <c r="AB176" s="868"/>
      <c r="AC176" s="868"/>
      <c r="AD176" s="868"/>
      <c r="AE176" s="868"/>
      <c r="AF176" s="868"/>
      <c r="AG176" s="868"/>
      <c r="AH176" s="868"/>
      <c r="AI176" s="869"/>
      <c r="AJ176" s="11"/>
      <c r="AK176" s="11"/>
      <c r="AL176" s="11"/>
      <c r="AM176" s="11"/>
      <c r="AN176" s="11"/>
      <c r="AO176" s="11"/>
      <c r="AP176" s="11"/>
      <c r="AQ176" s="11"/>
    </row>
    <row r="177" spans="1:44" ht="27" customHeight="1" thickBot="1" x14ac:dyDescent="0.25">
      <c r="A177" s="24" t="s">
        <v>25</v>
      </c>
      <c r="B177" s="870" t="s">
        <v>7</v>
      </c>
      <c r="C177" s="871"/>
      <c r="D177" s="871"/>
      <c r="E177" s="871"/>
      <c r="F177" s="871"/>
      <c r="G177" s="871"/>
      <c r="H177" s="871"/>
      <c r="I177" s="871"/>
      <c r="J177" s="871"/>
      <c r="K177" s="871"/>
      <c r="L177" s="870" t="str">
        <f>IF($AK180=0,"Games Won","Matches Won")</f>
        <v>Games Won</v>
      </c>
      <c r="M177" s="871"/>
      <c r="N177" s="871"/>
      <c r="O177" s="871"/>
      <c r="P177" s="871"/>
      <c r="Q177" s="872"/>
      <c r="R177" s="870" t="str">
        <f>IF($AK180=0,"Games Lost","Matches Lost")</f>
        <v>Games Lost</v>
      </c>
      <c r="S177" s="873"/>
      <c r="T177" s="873"/>
      <c r="U177" s="873"/>
      <c r="V177" s="874"/>
      <c r="W177" s="875" t="s">
        <v>26</v>
      </c>
      <c r="X177" s="876"/>
      <c r="Y177" s="877"/>
      <c r="Z177" s="875" t="s">
        <v>27</v>
      </c>
      <c r="AA177" s="876"/>
      <c r="AB177" s="877"/>
      <c r="AC177" s="878" t="s">
        <v>28</v>
      </c>
      <c r="AD177" s="879"/>
      <c r="AE177" s="880"/>
      <c r="AF177" s="25" t="s">
        <v>29</v>
      </c>
      <c r="AG177" s="26" t="s">
        <v>6</v>
      </c>
      <c r="AH177" s="860" t="s">
        <v>30</v>
      </c>
      <c r="AI177" s="861"/>
      <c r="AJ177" s="27"/>
      <c r="AK177" s="28">
        <v>2</v>
      </c>
      <c r="AL177" s="29" t="s">
        <v>31</v>
      </c>
      <c r="AM177" s="29"/>
      <c r="AN177" s="29"/>
      <c r="AO177" s="29"/>
      <c r="AP177" s="29"/>
      <c r="AQ177" s="29"/>
      <c r="AR177" s="30"/>
    </row>
    <row r="178" spans="1:44" ht="18.75" customHeight="1" x14ac:dyDescent="0.2">
      <c r="A178" s="829" t="str">
        <f>IF($AK179&gt;0,"1","")</f>
        <v>1</v>
      </c>
      <c r="B178" s="857" t="s">
        <v>7</v>
      </c>
      <c r="C178" s="858"/>
      <c r="D178" s="859"/>
      <c r="E178" s="833" t="str">
        <f>AU5</f>
        <v>MOTO 13-1 IGNITE</v>
      </c>
      <c r="F178" s="834"/>
      <c r="G178" s="834"/>
      <c r="H178" s="834"/>
      <c r="I178" s="834"/>
      <c r="J178" s="834"/>
      <c r="K178" s="835"/>
      <c r="L178" s="836">
        <f>IF($AK180=0,AF234,AF216)</f>
        <v>5</v>
      </c>
      <c r="M178" s="837"/>
      <c r="N178" s="837"/>
      <c r="O178" s="837"/>
      <c r="P178" s="837"/>
      <c r="Q178" s="872"/>
      <c r="R178" s="836">
        <f>IF($AK180=0,AG234,AG216)</f>
        <v>3</v>
      </c>
      <c r="S178" s="837"/>
      <c r="T178" s="837"/>
      <c r="U178" s="837"/>
      <c r="V178" s="837"/>
      <c r="W178" s="836">
        <f>AQ194</f>
        <v>16</v>
      </c>
      <c r="X178" s="837"/>
      <c r="Y178" s="837"/>
      <c r="Z178" s="809">
        <f>IF(AF228&gt;0,(AQ194/AF228),0)</f>
        <v>0.08</v>
      </c>
      <c r="AA178" s="810"/>
      <c r="AB178" s="810"/>
      <c r="AC178" s="813">
        <f>IF(AF242=0,0,(AF234/AF242))</f>
        <v>0.625</v>
      </c>
      <c r="AD178" s="814"/>
      <c r="AE178" s="815"/>
      <c r="AF178" s="819">
        <v>3</v>
      </c>
      <c r="AG178" s="819">
        <v>1</v>
      </c>
      <c r="AH178" s="821">
        <v>11</v>
      </c>
      <c r="AI178" s="822"/>
      <c r="AJ178" s="27"/>
      <c r="AK178" s="28">
        <v>10</v>
      </c>
      <c r="AL178" s="29" t="s">
        <v>32</v>
      </c>
      <c r="AM178" s="29"/>
      <c r="AN178" s="29"/>
      <c r="AO178" s="29"/>
      <c r="AP178" s="29"/>
      <c r="AQ178" s="29"/>
      <c r="AR178" s="30"/>
    </row>
    <row r="179" spans="1:44" ht="18.75" customHeight="1" thickBot="1" x14ac:dyDescent="0.25">
      <c r="A179" s="830"/>
      <c r="B179" s="854" t="s">
        <v>8</v>
      </c>
      <c r="C179" s="855"/>
      <c r="D179" s="856"/>
      <c r="E179" s="850" t="str">
        <f>AV5</f>
        <v>fj3motojapm</v>
      </c>
      <c r="F179" s="851"/>
      <c r="G179" s="851"/>
      <c r="H179" s="851"/>
      <c r="I179" s="851"/>
      <c r="J179" s="851"/>
      <c r="K179" s="851"/>
      <c r="L179" s="852"/>
      <c r="M179" s="853"/>
      <c r="N179" s="853"/>
      <c r="O179" s="853"/>
      <c r="P179" s="853"/>
      <c r="Q179" s="872"/>
      <c r="R179" s="852"/>
      <c r="S179" s="853"/>
      <c r="T179" s="853"/>
      <c r="U179" s="853"/>
      <c r="V179" s="853"/>
      <c r="W179" s="852"/>
      <c r="X179" s="853"/>
      <c r="Y179" s="853"/>
      <c r="Z179" s="840"/>
      <c r="AA179" s="841"/>
      <c r="AB179" s="841"/>
      <c r="AC179" s="842"/>
      <c r="AD179" s="843"/>
      <c r="AE179" s="844"/>
      <c r="AF179" s="845"/>
      <c r="AG179" s="845"/>
      <c r="AH179" s="846"/>
      <c r="AI179" s="847"/>
      <c r="AJ179" s="27"/>
      <c r="AK179" s="28">
        <v>5</v>
      </c>
      <c r="AL179" s="29" t="s">
        <v>33</v>
      </c>
      <c r="AM179" s="27"/>
      <c r="AN179" s="27"/>
      <c r="AO179" s="27"/>
      <c r="AP179" s="27"/>
      <c r="AQ179" s="27"/>
      <c r="AR179" s="3"/>
    </row>
    <row r="180" spans="1:44" ht="18.75" customHeight="1" x14ac:dyDescent="0.2">
      <c r="A180" s="829" t="str">
        <f>IF($AK179&gt;1,"2","")</f>
        <v>2</v>
      </c>
      <c r="B180" s="857" t="s">
        <v>7</v>
      </c>
      <c r="C180" s="858"/>
      <c r="D180" s="859"/>
      <c r="E180" s="833" t="str">
        <f>AU8</f>
        <v>Lake Murray 13 Black</v>
      </c>
      <c r="F180" s="834"/>
      <c r="G180" s="834"/>
      <c r="H180" s="834"/>
      <c r="I180" s="834"/>
      <c r="J180" s="834"/>
      <c r="K180" s="835"/>
      <c r="L180" s="836">
        <f>IF($AK180=0,AF235,AF217)</f>
        <v>6</v>
      </c>
      <c r="M180" s="837"/>
      <c r="N180" s="837"/>
      <c r="O180" s="837"/>
      <c r="P180" s="837"/>
      <c r="Q180" s="872"/>
      <c r="R180" s="836">
        <f>IF($AK180=0,AG235,AG217)</f>
        <v>2</v>
      </c>
      <c r="S180" s="837"/>
      <c r="T180" s="837"/>
      <c r="U180" s="837"/>
      <c r="V180" s="837"/>
      <c r="W180" s="836">
        <f>AQ195</f>
        <v>30</v>
      </c>
      <c r="X180" s="837"/>
      <c r="Y180" s="837"/>
      <c r="Z180" s="809">
        <f>IF(AF229&gt;0,(AQ195/AF229),0)</f>
        <v>0.15</v>
      </c>
      <c r="AA180" s="810"/>
      <c r="AB180" s="810"/>
      <c r="AC180" s="813">
        <f>IF(AF243=0,0,(AF235/AF243))</f>
        <v>0.75</v>
      </c>
      <c r="AD180" s="814"/>
      <c r="AE180" s="815"/>
      <c r="AF180" s="819">
        <v>2</v>
      </c>
      <c r="AG180" s="819">
        <v>1</v>
      </c>
      <c r="AH180" s="821">
        <v>7</v>
      </c>
      <c r="AI180" s="822"/>
      <c r="AJ180" s="27"/>
      <c r="AK180" s="28">
        <v>0</v>
      </c>
      <c r="AL180" s="29" t="s">
        <v>34</v>
      </c>
      <c r="AM180" s="29"/>
      <c r="AN180" s="29"/>
      <c r="AO180" s="29"/>
      <c r="AP180" s="29"/>
      <c r="AQ180" s="29"/>
      <c r="AR180" s="30"/>
    </row>
    <row r="181" spans="1:44" ht="18.75" customHeight="1" thickBot="1" x14ac:dyDescent="0.25">
      <c r="A181" s="830"/>
      <c r="B181" s="848" t="s">
        <v>8</v>
      </c>
      <c r="C181" s="849"/>
      <c r="D181" s="849"/>
      <c r="E181" s="850" t="str">
        <f>AV8</f>
        <v>fj3lakem2pm</v>
      </c>
      <c r="F181" s="851"/>
      <c r="G181" s="851"/>
      <c r="H181" s="851"/>
      <c r="I181" s="851"/>
      <c r="J181" s="851"/>
      <c r="K181" s="851"/>
      <c r="L181" s="852"/>
      <c r="M181" s="853"/>
      <c r="N181" s="853"/>
      <c r="O181" s="853"/>
      <c r="P181" s="853"/>
      <c r="Q181" s="872"/>
      <c r="R181" s="852"/>
      <c r="S181" s="853"/>
      <c r="T181" s="853"/>
      <c r="U181" s="853"/>
      <c r="V181" s="853"/>
      <c r="W181" s="852"/>
      <c r="X181" s="853"/>
      <c r="Y181" s="853"/>
      <c r="Z181" s="840"/>
      <c r="AA181" s="841"/>
      <c r="AB181" s="841"/>
      <c r="AC181" s="842"/>
      <c r="AD181" s="843"/>
      <c r="AE181" s="844"/>
      <c r="AF181" s="845"/>
      <c r="AG181" s="845"/>
      <c r="AH181" s="846"/>
      <c r="AI181" s="847"/>
      <c r="AJ181" s="27"/>
      <c r="AK181" s="28">
        <v>1</v>
      </c>
      <c r="AL181" s="29" t="s">
        <v>35</v>
      </c>
      <c r="AM181" s="27"/>
      <c r="AN181" s="27"/>
      <c r="AO181" s="27"/>
      <c r="AP181" s="27"/>
      <c r="AQ181" s="27"/>
      <c r="AR181" s="3"/>
    </row>
    <row r="182" spans="1:44" ht="18.75" customHeight="1" x14ac:dyDescent="0.2">
      <c r="A182" s="829" t="str">
        <f>IF($AK179&gt;2,"3","")</f>
        <v>3</v>
      </c>
      <c r="B182" s="831" t="s">
        <v>7</v>
      </c>
      <c r="C182" s="832"/>
      <c r="D182" s="832"/>
      <c r="E182" s="833" t="str">
        <f>AU13</f>
        <v>Vision 13 Regional</v>
      </c>
      <c r="F182" s="834"/>
      <c r="G182" s="834"/>
      <c r="H182" s="834"/>
      <c r="I182" s="834"/>
      <c r="J182" s="834"/>
      <c r="K182" s="835"/>
      <c r="L182" s="836">
        <f>IF($AK180=0,AF236,AF218)</f>
        <v>1</v>
      </c>
      <c r="M182" s="837"/>
      <c r="N182" s="837"/>
      <c r="O182" s="837"/>
      <c r="P182" s="837"/>
      <c r="Q182" s="872"/>
      <c r="R182" s="836">
        <f>IF($AK180=0,AG236,AG218)</f>
        <v>7</v>
      </c>
      <c r="S182" s="837"/>
      <c r="T182" s="837"/>
      <c r="U182" s="837"/>
      <c r="V182" s="837"/>
      <c r="W182" s="836">
        <f>AQ196</f>
        <v>-48</v>
      </c>
      <c r="X182" s="837"/>
      <c r="Y182" s="837"/>
      <c r="Z182" s="809">
        <f>IF(AF230&gt;0,(AQ196/AF230),0)</f>
        <v>-0.23880597014925373</v>
      </c>
      <c r="AA182" s="810"/>
      <c r="AB182" s="810"/>
      <c r="AC182" s="813">
        <f>IF(AF244=0,0,(AF236/AF244))</f>
        <v>0.125</v>
      </c>
      <c r="AD182" s="814"/>
      <c r="AE182" s="815"/>
      <c r="AF182" s="819">
        <v>4</v>
      </c>
      <c r="AG182" s="819">
        <v>3</v>
      </c>
      <c r="AH182" s="821">
        <v>15</v>
      </c>
      <c r="AI182" s="822"/>
      <c r="AJ182" s="36"/>
      <c r="AK182" s="28">
        <v>8</v>
      </c>
      <c r="AL182" s="37" t="s">
        <v>36</v>
      </c>
      <c r="AM182" s="29"/>
      <c r="AN182" s="29"/>
      <c r="AO182" s="29"/>
      <c r="AP182" s="29"/>
      <c r="AQ182" s="29"/>
      <c r="AR182" s="30"/>
    </row>
    <row r="183" spans="1:44" ht="18.75" customHeight="1" thickBot="1" x14ac:dyDescent="0.25">
      <c r="A183" s="830"/>
      <c r="B183" s="848" t="s">
        <v>8</v>
      </c>
      <c r="C183" s="849"/>
      <c r="D183" s="849"/>
      <c r="E183" s="850" t="str">
        <f>AV13</f>
        <v>fj3vison3pm</v>
      </c>
      <c r="F183" s="851"/>
      <c r="G183" s="851"/>
      <c r="H183" s="851"/>
      <c r="I183" s="851"/>
      <c r="J183" s="851"/>
      <c r="K183" s="851"/>
      <c r="L183" s="852"/>
      <c r="M183" s="853"/>
      <c r="N183" s="853"/>
      <c r="O183" s="853"/>
      <c r="P183" s="853"/>
      <c r="Q183" s="872"/>
      <c r="R183" s="852"/>
      <c r="S183" s="853"/>
      <c r="T183" s="853"/>
      <c r="U183" s="853"/>
      <c r="V183" s="853"/>
      <c r="W183" s="852"/>
      <c r="X183" s="853"/>
      <c r="Y183" s="853"/>
      <c r="Z183" s="840"/>
      <c r="AA183" s="841"/>
      <c r="AB183" s="841"/>
      <c r="AC183" s="842"/>
      <c r="AD183" s="843"/>
      <c r="AE183" s="844"/>
      <c r="AF183" s="845"/>
      <c r="AG183" s="845"/>
      <c r="AH183" s="846"/>
      <c r="AI183" s="847"/>
      <c r="AJ183" s="36"/>
      <c r="AK183" s="38"/>
      <c r="AL183" s="39"/>
      <c r="AM183" s="39"/>
      <c r="AN183" s="39"/>
      <c r="AO183" s="39"/>
      <c r="AP183" s="39"/>
      <c r="AQ183" s="27"/>
      <c r="AR183" s="3"/>
    </row>
    <row r="184" spans="1:44" ht="18.75" customHeight="1" x14ac:dyDescent="0.2">
      <c r="A184" s="829" t="str">
        <f>IF($AK179&gt;3,"4","")</f>
        <v>4</v>
      </c>
      <c r="B184" s="831" t="s">
        <v>7</v>
      </c>
      <c r="C184" s="832"/>
      <c r="D184" s="832"/>
      <c r="E184" s="833" t="str">
        <f>AU16</f>
        <v>KVC 13-1</v>
      </c>
      <c r="F184" s="834"/>
      <c r="G184" s="834"/>
      <c r="H184" s="834"/>
      <c r="I184" s="834"/>
      <c r="J184" s="834"/>
      <c r="K184" s="835"/>
      <c r="L184" s="836">
        <f>IF($AK180=0,AF237,AF219)</f>
        <v>7</v>
      </c>
      <c r="M184" s="837"/>
      <c r="N184" s="837"/>
      <c r="O184" s="837"/>
      <c r="P184" s="837"/>
      <c r="Q184" s="872"/>
      <c r="R184" s="836">
        <f>IF($AK180=0,AG237,AG219)</f>
        <v>1</v>
      </c>
      <c r="S184" s="837"/>
      <c r="T184" s="837"/>
      <c r="U184" s="837"/>
      <c r="V184" s="837"/>
      <c r="W184" s="836">
        <f>AQ197</f>
        <v>54</v>
      </c>
      <c r="X184" s="837"/>
      <c r="Y184" s="837"/>
      <c r="Z184" s="809">
        <f>IF(AF231&gt;0,(AQ197/AF231),0)</f>
        <v>0.27</v>
      </c>
      <c r="AA184" s="810"/>
      <c r="AB184" s="810"/>
      <c r="AC184" s="813">
        <f>IF(AF245=0,0,(AF237/AF245))</f>
        <v>0.875</v>
      </c>
      <c r="AD184" s="814"/>
      <c r="AE184" s="815"/>
      <c r="AF184" s="819">
        <v>1</v>
      </c>
      <c r="AG184" s="819">
        <v>1</v>
      </c>
      <c r="AH184" s="821">
        <v>3</v>
      </c>
      <c r="AI184" s="822"/>
      <c r="AJ184" s="11"/>
      <c r="AK184" s="39"/>
      <c r="AL184" s="39"/>
      <c r="AM184" s="39"/>
      <c r="AN184" s="39"/>
      <c r="AO184" s="39"/>
      <c r="AP184" s="39"/>
      <c r="AQ184" s="29"/>
      <c r="AR184" s="30"/>
    </row>
    <row r="185" spans="1:44" ht="18.75" customHeight="1" thickBot="1" x14ac:dyDescent="0.25">
      <c r="A185" s="830"/>
      <c r="B185" s="848" t="s">
        <v>8</v>
      </c>
      <c r="C185" s="849"/>
      <c r="D185" s="849"/>
      <c r="E185" s="850" t="str">
        <f>AV16</f>
        <v>fj3kvctn1so</v>
      </c>
      <c r="F185" s="851"/>
      <c r="G185" s="851"/>
      <c r="H185" s="851"/>
      <c r="I185" s="851"/>
      <c r="J185" s="851"/>
      <c r="K185" s="851"/>
      <c r="L185" s="852"/>
      <c r="M185" s="853"/>
      <c r="N185" s="853"/>
      <c r="O185" s="853"/>
      <c r="P185" s="853"/>
      <c r="Q185" s="872"/>
      <c r="R185" s="852"/>
      <c r="S185" s="853"/>
      <c r="T185" s="853"/>
      <c r="U185" s="853"/>
      <c r="V185" s="853"/>
      <c r="W185" s="852"/>
      <c r="X185" s="853"/>
      <c r="Y185" s="853"/>
      <c r="Z185" s="840"/>
      <c r="AA185" s="841"/>
      <c r="AB185" s="841"/>
      <c r="AC185" s="842"/>
      <c r="AD185" s="843"/>
      <c r="AE185" s="844"/>
      <c r="AF185" s="845"/>
      <c r="AG185" s="845"/>
      <c r="AH185" s="846"/>
      <c r="AI185" s="847"/>
      <c r="AJ185" s="11"/>
      <c r="AK185" s="39"/>
      <c r="AL185" s="39"/>
      <c r="AM185" s="39"/>
      <c r="AN185" s="39"/>
      <c r="AO185" s="39"/>
      <c r="AP185" s="39"/>
      <c r="AQ185" s="11"/>
      <c r="AR185" s="3"/>
    </row>
    <row r="186" spans="1:44" ht="18.75" customHeight="1" x14ac:dyDescent="0.2">
      <c r="A186" s="829" t="str">
        <f>IF($AK179&gt;4,"5","")</f>
        <v>5</v>
      </c>
      <c r="B186" s="831" t="s">
        <v>7</v>
      </c>
      <c r="C186" s="832"/>
      <c r="D186" s="832"/>
      <c r="E186" s="833" t="str">
        <f>AU21</f>
        <v>C1VB 13 State Black Grvl</v>
      </c>
      <c r="F186" s="834"/>
      <c r="G186" s="834"/>
      <c r="H186" s="834"/>
      <c r="I186" s="834"/>
      <c r="J186" s="834"/>
      <c r="K186" s="835"/>
      <c r="L186" s="836">
        <f>IF($AK180=0,AF238,AF220)</f>
        <v>1</v>
      </c>
      <c r="M186" s="837"/>
      <c r="N186" s="837"/>
      <c r="O186" s="837"/>
      <c r="P186" s="837"/>
      <c r="Q186" s="872"/>
      <c r="R186" s="836">
        <f>IF($AK180=0,AG238,AG220)</f>
        <v>7</v>
      </c>
      <c r="S186" s="837"/>
      <c r="T186" s="837"/>
      <c r="U186" s="837"/>
      <c r="V186" s="837"/>
      <c r="W186" s="836">
        <f>AQ198</f>
        <v>-52</v>
      </c>
      <c r="X186" s="837"/>
      <c r="Y186" s="837"/>
      <c r="Z186" s="809">
        <f>IF(AF232&gt;0,(AQ198/AF232),0)</f>
        <v>-0.25870646766169153</v>
      </c>
      <c r="AA186" s="810"/>
      <c r="AB186" s="810"/>
      <c r="AC186" s="813">
        <f>IF(AF246=0,0,(AF238/AF246))</f>
        <v>0.125</v>
      </c>
      <c r="AD186" s="814"/>
      <c r="AE186" s="815"/>
      <c r="AF186" s="819">
        <v>5</v>
      </c>
      <c r="AG186" s="819">
        <v>3</v>
      </c>
      <c r="AH186" s="821">
        <v>17</v>
      </c>
      <c r="AI186" s="822"/>
      <c r="AJ186" s="11"/>
      <c r="AK186" s="39"/>
      <c r="AL186" s="39"/>
      <c r="AM186" s="39"/>
      <c r="AN186" s="39"/>
      <c r="AO186" s="39"/>
      <c r="AP186" s="39"/>
      <c r="AQ186" s="11"/>
      <c r="AR186" s="3"/>
    </row>
    <row r="187" spans="1:44" ht="18.75" customHeight="1" thickBot="1" x14ac:dyDescent="0.25">
      <c r="A187" s="830"/>
      <c r="B187" s="825" t="s">
        <v>8</v>
      </c>
      <c r="C187" s="826"/>
      <c r="D187" s="826"/>
      <c r="E187" s="827" t="str">
        <f>AV21</f>
        <v>fj3crone3pm</v>
      </c>
      <c r="F187" s="828"/>
      <c r="G187" s="828"/>
      <c r="H187" s="828"/>
      <c r="I187" s="828"/>
      <c r="J187" s="828"/>
      <c r="K187" s="828"/>
      <c r="L187" s="838"/>
      <c r="M187" s="839"/>
      <c r="N187" s="839"/>
      <c r="O187" s="839"/>
      <c r="P187" s="839"/>
      <c r="Q187" s="872"/>
      <c r="R187" s="838"/>
      <c r="S187" s="839"/>
      <c r="T187" s="839"/>
      <c r="U187" s="839"/>
      <c r="V187" s="839"/>
      <c r="W187" s="838"/>
      <c r="X187" s="839"/>
      <c r="Y187" s="839"/>
      <c r="Z187" s="811"/>
      <c r="AA187" s="812"/>
      <c r="AB187" s="812"/>
      <c r="AC187" s="816"/>
      <c r="AD187" s="817"/>
      <c r="AE187" s="818"/>
      <c r="AF187" s="820"/>
      <c r="AG187" s="820"/>
      <c r="AH187" s="823"/>
      <c r="AI187" s="824"/>
      <c r="AJ187" s="11"/>
      <c r="AK187" s="39"/>
      <c r="AL187" s="39"/>
      <c r="AM187" s="39"/>
      <c r="AN187" s="39"/>
      <c r="AO187" s="39"/>
      <c r="AP187" s="39"/>
      <c r="AQ187" s="11"/>
      <c r="AR187" s="3"/>
    </row>
    <row r="188" spans="1:44" ht="21" customHeight="1" thickTop="1" thickBot="1" x14ac:dyDescent="0.25">
      <c r="A188" s="40"/>
      <c r="B188" s="806" t="s">
        <v>38</v>
      </c>
      <c r="C188" s="807"/>
      <c r="D188" s="807"/>
      <c r="E188" s="807"/>
      <c r="F188" s="807"/>
      <c r="G188" s="807"/>
      <c r="H188" s="807"/>
      <c r="I188" s="807"/>
      <c r="J188" s="807"/>
      <c r="K188" s="807"/>
      <c r="L188" s="807"/>
      <c r="M188" s="807"/>
      <c r="N188" s="807"/>
      <c r="O188" s="807"/>
      <c r="P188" s="807"/>
      <c r="Q188" s="807"/>
      <c r="R188" s="807"/>
      <c r="S188" s="807"/>
      <c r="T188" s="807"/>
      <c r="U188" s="807"/>
      <c r="V188" s="807"/>
      <c r="W188" s="807"/>
      <c r="X188" s="807"/>
      <c r="Y188" s="807"/>
      <c r="Z188" s="807"/>
      <c r="AA188" s="807"/>
      <c r="AB188" s="807"/>
      <c r="AC188" s="807"/>
      <c r="AD188" s="807"/>
      <c r="AE188" s="807"/>
      <c r="AF188" s="807"/>
      <c r="AG188" s="807"/>
      <c r="AH188" s="807"/>
      <c r="AI188" s="808"/>
      <c r="AJ188" s="11"/>
      <c r="AK188" s="39"/>
      <c r="AL188" s="39"/>
      <c r="AM188" s="39"/>
      <c r="AN188" s="39"/>
      <c r="AO188" s="39"/>
      <c r="AP188" s="39"/>
      <c r="AQ188" s="11"/>
      <c r="AR188" s="3"/>
    </row>
    <row r="189" spans="1:44" ht="13.5" thickTop="1" x14ac:dyDescent="0.2">
      <c r="A189" s="4" t="s">
        <v>39</v>
      </c>
      <c r="B189" s="795">
        <v>0.35416666666666669</v>
      </c>
      <c r="C189" s="796"/>
      <c r="D189" s="797"/>
      <c r="E189" s="795">
        <v>0.38194444444444442</v>
      </c>
      <c r="F189" s="796"/>
      <c r="G189" s="797"/>
      <c r="H189" s="795">
        <v>0.40972222222222227</v>
      </c>
      <c r="I189" s="796"/>
      <c r="J189" s="797"/>
      <c r="K189" s="795">
        <v>0.4375</v>
      </c>
      <c r="L189" s="796"/>
      <c r="M189" s="797"/>
      <c r="N189" s="795">
        <v>0.46527777777777773</v>
      </c>
      <c r="O189" s="796"/>
      <c r="P189" s="797"/>
      <c r="Q189" s="795">
        <v>0.49305555555555558</v>
      </c>
      <c r="R189" s="796"/>
      <c r="S189" s="797"/>
      <c r="T189" s="795">
        <v>0.52083333333333337</v>
      </c>
      <c r="U189" s="796"/>
      <c r="V189" s="797"/>
      <c r="W189" s="795">
        <v>4.8611111111111112E-2</v>
      </c>
      <c r="X189" s="796"/>
      <c r="Y189" s="797"/>
      <c r="Z189" s="795">
        <v>7.6388888888888895E-2</v>
      </c>
      <c r="AA189" s="796"/>
      <c r="AB189" s="797"/>
      <c r="AC189" s="795">
        <v>0.10416666666666667</v>
      </c>
      <c r="AD189" s="796"/>
      <c r="AE189" s="797"/>
      <c r="AF189" s="798" t="s">
        <v>40</v>
      </c>
      <c r="AG189" s="799"/>
      <c r="AH189" s="799"/>
      <c r="AI189" s="799"/>
      <c r="AJ189" s="800"/>
      <c r="AK189" s="800"/>
      <c r="AL189" s="800"/>
      <c r="AM189" s="800"/>
      <c r="AN189" s="800"/>
      <c r="AO189" s="800"/>
      <c r="AP189" s="800"/>
      <c r="AQ189" s="801"/>
    </row>
    <row r="190" spans="1:44" x14ac:dyDescent="0.2">
      <c r="A190" s="41" t="s">
        <v>41</v>
      </c>
      <c r="B190" s="792"/>
      <c r="C190" s="793"/>
      <c r="D190" s="794"/>
      <c r="E190" s="792"/>
      <c r="F190" s="793"/>
      <c r="G190" s="794"/>
      <c r="H190" s="792"/>
      <c r="I190" s="793"/>
      <c r="J190" s="794"/>
      <c r="K190" s="792"/>
      <c r="L190" s="793"/>
      <c r="M190" s="794"/>
      <c r="N190" s="792"/>
      <c r="O190" s="793"/>
      <c r="P190" s="794"/>
      <c r="Q190" s="792"/>
      <c r="R190" s="793"/>
      <c r="S190" s="794"/>
      <c r="T190" s="792"/>
      <c r="U190" s="793"/>
      <c r="V190" s="794"/>
      <c r="W190" s="792"/>
      <c r="X190" s="793"/>
      <c r="Y190" s="794"/>
      <c r="Z190" s="792"/>
      <c r="AA190" s="793"/>
      <c r="AB190" s="794"/>
      <c r="AC190" s="792"/>
      <c r="AD190" s="793"/>
      <c r="AE190" s="794"/>
      <c r="AF190" s="798"/>
      <c r="AG190" s="799"/>
      <c r="AH190" s="799"/>
      <c r="AI190" s="799"/>
      <c r="AJ190" s="799"/>
      <c r="AK190" s="799"/>
      <c r="AL190" s="799"/>
      <c r="AM190" s="799"/>
      <c r="AN190" s="799"/>
      <c r="AO190" s="799"/>
      <c r="AP190" s="799"/>
      <c r="AQ190" s="802"/>
    </row>
    <row r="191" spans="1:44" x14ac:dyDescent="0.2">
      <c r="A191" s="41" t="s">
        <v>42</v>
      </c>
      <c r="B191" s="792"/>
      <c r="C191" s="793"/>
      <c r="D191" s="794"/>
      <c r="E191" s="792"/>
      <c r="F191" s="793"/>
      <c r="G191" s="794"/>
      <c r="H191" s="792"/>
      <c r="I191" s="793"/>
      <c r="J191" s="794"/>
      <c r="K191" s="792"/>
      <c r="L191" s="793"/>
      <c r="M191" s="794"/>
      <c r="N191" s="792"/>
      <c r="O191" s="793"/>
      <c r="P191" s="794"/>
      <c r="Q191" s="792"/>
      <c r="R191" s="793"/>
      <c r="S191" s="794"/>
      <c r="T191" s="792"/>
      <c r="U191" s="793"/>
      <c r="V191" s="794"/>
      <c r="W191" s="792"/>
      <c r="X191" s="793"/>
      <c r="Y191" s="794"/>
      <c r="Z191" s="792"/>
      <c r="AA191" s="793"/>
      <c r="AB191" s="794"/>
      <c r="AC191" s="792"/>
      <c r="AD191" s="793"/>
      <c r="AE191" s="794"/>
      <c r="AF191" s="798"/>
      <c r="AG191" s="799"/>
      <c r="AH191" s="799"/>
      <c r="AI191" s="799"/>
      <c r="AJ191" s="799"/>
      <c r="AK191" s="799"/>
      <c r="AL191" s="799"/>
      <c r="AM191" s="799"/>
      <c r="AN191" s="799"/>
      <c r="AO191" s="799"/>
      <c r="AP191" s="799"/>
      <c r="AQ191" s="802"/>
    </row>
    <row r="192" spans="1:44" ht="13.5" thickBot="1" x14ac:dyDescent="0.25">
      <c r="A192" s="11"/>
      <c r="B192" s="684" t="s">
        <v>43</v>
      </c>
      <c r="C192" s="685"/>
      <c r="D192" s="691"/>
      <c r="E192" s="684" t="str">
        <f>IF(AK178&gt;1,"Match 2","")</f>
        <v>Match 2</v>
      </c>
      <c r="F192" s="685"/>
      <c r="G192" s="691"/>
      <c r="H192" s="684" t="str">
        <f>IF(AK178&gt;2,"Match 3","")</f>
        <v>Match 3</v>
      </c>
      <c r="I192" s="685"/>
      <c r="J192" s="691"/>
      <c r="K192" s="684" t="str">
        <f>IF(AK178&gt;3,"Match 4","")</f>
        <v>Match 4</v>
      </c>
      <c r="L192" s="685"/>
      <c r="M192" s="691"/>
      <c r="N192" s="684" t="str">
        <f>IF(AK178&gt;4,"Match 5","")</f>
        <v>Match 5</v>
      </c>
      <c r="O192" s="685"/>
      <c r="P192" s="691"/>
      <c r="Q192" s="684" t="str">
        <f>IF(AK178&gt;5,"Match 6","")</f>
        <v>Match 6</v>
      </c>
      <c r="R192" s="685"/>
      <c r="S192" s="691"/>
      <c r="T192" s="684" t="str">
        <f>IF(AK178&gt;6,"Match 7","")</f>
        <v>Match 7</v>
      </c>
      <c r="U192" s="685"/>
      <c r="V192" s="691"/>
      <c r="W192" s="684" t="str">
        <f>IF(AK178&gt;7,"Match 8","")</f>
        <v>Match 8</v>
      </c>
      <c r="X192" s="685"/>
      <c r="Y192" s="691"/>
      <c r="Z192" s="684" t="str">
        <f>IF(AK178&gt;8,"Match 9","")</f>
        <v>Match 9</v>
      </c>
      <c r="AA192" s="685"/>
      <c r="AB192" s="691"/>
      <c r="AC192" s="684" t="str">
        <f>IF(AK178&gt;9,"Match 10","")</f>
        <v>Match 10</v>
      </c>
      <c r="AD192" s="685"/>
      <c r="AE192" s="691"/>
      <c r="AF192" s="803"/>
      <c r="AG192" s="804"/>
      <c r="AH192" s="804"/>
      <c r="AI192" s="804"/>
      <c r="AJ192" s="804"/>
      <c r="AK192" s="804"/>
      <c r="AL192" s="804"/>
      <c r="AM192" s="804"/>
      <c r="AN192" s="804"/>
      <c r="AO192" s="804"/>
      <c r="AP192" s="804"/>
      <c r="AQ192" s="805"/>
    </row>
    <row r="193" spans="1:49" ht="15.75" x14ac:dyDescent="0.25">
      <c r="A193" s="11"/>
      <c r="B193" s="786" t="s">
        <v>44</v>
      </c>
      <c r="C193" s="787"/>
      <c r="D193" s="788"/>
      <c r="E193" s="786" t="s">
        <v>45</v>
      </c>
      <c r="F193" s="787"/>
      <c r="G193" s="788"/>
      <c r="H193" s="786" t="s">
        <v>46</v>
      </c>
      <c r="I193" s="787"/>
      <c r="J193" s="788"/>
      <c r="K193" s="786" t="s">
        <v>47</v>
      </c>
      <c r="L193" s="787"/>
      <c r="M193" s="788"/>
      <c r="N193" s="786" t="s">
        <v>48</v>
      </c>
      <c r="O193" s="787"/>
      <c r="P193" s="788"/>
      <c r="Q193" s="786" t="s">
        <v>46</v>
      </c>
      <c r="R193" s="787"/>
      <c r="S193" s="788"/>
      <c r="T193" s="786" t="s">
        <v>44</v>
      </c>
      <c r="U193" s="787"/>
      <c r="V193" s="788"/>
      <c r="W193" s="786" t="s">
        <v>48</v>
      </c>
      <c r="X193" s="787"/>
      <c r="Y193" s="788"/>
      <c r="Z193" s="786" t="s">
        <v>47</v>
      </c>
      <c r="AA193" s="787"/>
      <c r="AB193" s="788"/>
      <c r="AC193" s="786" t="s">
        <v>45</v>
      </c>
      <c r="AD193" s="787"/>
      <c r="AE193" s="788"/>
      <c r="AF193" s="42" t="s">
        <v>49</v>
      </c>
      <c r="AG193" s="43">
        <v>1</v>
      </c>
      <c r="AH193" s="43">
        <v>2</v>
      </c>
      <c r="AI193" s="43">
        <v>3</v>
      </c>
      <c r="AJ193" s="43">
        <v>4</v>
      </c>
      <c r="AK193" s="43">
        <v>5</v>
      </c>
      <c r="AL193" s="43">
        <v>6</v>
      </c>
      <c r="AM193" s="43">
        <v>7</v>
      </c>
      <c r="AN193" s="43">
        <v>8</v>
      </c>
      <c r="AO193" s="43">
        <v>9</v>
      </c>
      <c r="AP193" s="43">
        <v>10</v>
      </c>
      <c r="AQ193" s="44" t="s">
        <v>50</v>
      </c>
    </row>
    <row r="194" spans="1:49" ht="15.75" x14ac:dyDescent="0.25">
      <c r="A194" s="11"/>
      <c r="B194" s="45">
        <v>2</v>
      </c>
      <c r="C194" s="46" t="s">
        <v>51</v>
      </c>
      <c r="D194" s="47">
        <v>5</v>
      </c>
      <c r="E194" s="45">
        <v>1</v>
      </c>
      <c r="F194" s="46" t="str">
        <f>IF(AK178&gt;1,"v","")</f>
        <v>v</v>
      </c>
      <c r="G194" s="47">
        <v>4</v>
      </c>
      <c r="H194" s="45">
        <v>3</v>
      </c>
      <c r="I194" s="46" t="str">
        <f>IF(AK178&gt;2,"v","")</f>
        <v>v</v>
      </c>
      <c r="J194" s="47">
        <v>5</v>
      </c>
      <c r="K194" s="45">
        <v>2</v>
      </c>
      <c r="L194" s="46" t="str">
        <f>IF(AK178&gt;3,"v","")</f>
        <v>v</v>
      </c>
      <c r="M194" s="47">
        <v>4</v>
      </c>
      <c r="N194" s="45">
        <v>1</v>
      </c>
      <c r="O194" s="46" t="str">
        <f>IF(AK178&gt;4,"v","")</f>
        <v>v</v>
      </c>
      <c r="P194" s="47">
        <v>3</v>
      </c>
      <c r="Q194" s="45">
        <v>4</v>
      </c>
      <c r="R194" s="46" t="str">
        <f>IF(AK178&gt;5,"v","")</f>
        <v>v</v>
      </c>
      <c r="S194" s="47">
        <v>5</v>
      </c>
      <c r="T194" s="45">
        <v>2</v>
      </c>
      <c r="U194" s="46" t="str">
        <f>IF(AK178&gt;6,"v","")</f>
        <v>v</v>
      </c>
      <c r="V194" s="47">
        <v>3</v>
      </c>
      <c r="W194" s="45">
        <v>1</v>
      </c>
      <c r="X194" s="46" t="str">
        <f>IF(AK178&gt;7,"v","")</f>
        <v>v</v>
      </c>
      <c r="Y194" s="47">
        <v>5</v>
      </c>
      <c r="Z194" s="45">
        <v>3</v>
      </c>
      <c r="AA194" s="46" t="str">
        <f>IF(AK178&gt;8,"v","")</f>
        <v>v</v>
      </c>
      <c r="AB194" s="47">
        <v>4</v>
      </c>
      <c r="AC194" s="45">
        <v>1</v>
      </c>
      <c r="AD194" s="46" t="str">
        <f>IF(AK178&gt;9,"v","")</f>
        <v>v</v>
      </c>
      <c r="AE194" s="47">
        <v>2</v>
      </c>
      <c r="AF194" s="42" t="str">
        <f>IF(AK179&gt;0,"Team 1","")</f>
        <v>Team 1</v>
      </c>
      <c r="AG194" s="48" t="str">
        <f>IF(AK179&lt;1,"",IF(AK178&lt;1,"",IF(B194=1,B200-D200,IF(D194=1,D200-B200,""))))</f>
        <v/>
      </c>
      <c r="AH194" s="48">
        <f>IF(AK179&lt;1,"",IF(AK178&lt;2,"",IF(E194=1,E200-G200,IF(G194=1,G200-E200,""))))</f>
        <v>-15</v>
      </c>
      <c r="AI194" s="48" t="str">
        <f>IF(AK179&lt;1,"",IF(AK178&lt;3,"",IF(H194=1,H200-J200,IF(J194=1,J200-H200,""))))</f>
        <v/>
      </c>
      <c r="AJ194" s="48" t="str">
        <f>IF(AK179&lt;1,"",IF(AK178&lt;4,"",IF(K194=1,K200-M200,IF(M194=1,M200-K200,""))))</f>
        <v/>
      </c>
      <c r="AK194" s="48">
        <f>IF(AK179&lt;1,"",IF(AK178&lt;5,"",IF(N194=1,N200-P200,IF(P194=1,P200-N200,""))))</f>
        <v>14</v>
      </c>
      <c r="AL194" s="48" t="str">
        <f>IF(AK179&lt;1,"",IF(AK178&lt;6,"",IF(Q194=1,Q200-S200,IF(S194=1,S200-Q200,""))))</f>
        <v/>
      </c>
      <c r="AM194" s="48" t="str">
        <f>IF(AK179&lt;1,"",IF(AK178&lt;7,"",IF(T194=1,T200-V200,IF(V194=1,V200-T200,""))))</f>
        <v/>
      </c>
      <c r="AN194" s="48">
        <f>IF(AK179&lt;1,"",IF(AK178&lt;8,"",IF(W194=1,W200-Y200,IF(Y194=1,Y200-W200,""))))</f>
        <v>15</v>
      </c>
      <c r="AO194" s="48" t="str">
        <f>IF(AK179&lt;1,"",IF(AK178&lt;9,"",IF(Z194=1,Z200-AB200,IF(AB194=1,AB200-Z200,""))))</f>
        <v/>
      </c>
      <c r="AP194" s="48">
        <f>IF(AK179&lt;1,"",IF(AK178&lt;10,"",IF(AC194=1,AC200-AE200,IF(AE194=1,AE200-AC200,""))))</f>
        <v>2</v>
      </c>
      <c r="AQ194" s="44">
        <f>SUM(AG194:AP194)</f>
        <v>16</v>
      </c>
    </row>
    <row r="195" spans="1:49" ht="15" x14ac:dyDescent="0.2">
      <c r="A195" s="4" t="s">
        <v>52</v>
      </c>
      <c r="B195" s="49">
        <v>25</v>
      </c>
      <c r="C195" s="50" t="s">
        <v>53</v>
      </c>
      <c r="D195" s="51">
        <v>20</v>
      </c>
      <c r="E195" s="49">
        <v>21</v>
      </c>
      <c r="F195" s="50" t="str">
        <f>IF(AK178&gt;1,"/","")</f>
        <v>/</v>
      </c>
      <c r="G195" s="51">
        <v>25</v>
      </c>
      <c r="H195" s="49">
        <v>25</v>
      </c>
      <c r="I195" s="50" t="str">
        <f>IF(AK178&gt;2,"/","")</f>
        <v>/</v>
      </c>
      <c r="J195" s="51">
        <v>18</v>
      </c>
      <c r="K195" s="49">
        <v>19</v>
      </c>
      <c r="L195" s="50" t="str">
        <f>IF(AK178&gt;3,"/","")</f>
        <v>/</v>
      </c>
      <c r="M195" s="51">
        <v>25</v>
      </c>
      <c r="N195" s="49">
        <v>25</v>
      </c>
      <c r="O195" s="50" t="str">
        <f>IF(AK178&gt;4,"/","")</f>
        <v>/</v>
      </c>
      <c r="P195" s="51">
        <v>18</v>
      </c>
      <c r="Q195" s="49">
        <v>25</v>
      </c>
      <c r="R195" s="50" t="str">
        <f>IF(AK178&gt;5,"/","")</f>
        <v>/</v>
      </c>
      <c r="S195" s="51">
        <v>16</v>
      </c>
      <c r="T195" s="49">
        <v>25</v>
      </c>
      <c r="U195" s="50" t="str">
        <f>IF(AK178&gt;6,"/","")</f>
        <v>/</v>
      </c>
      <c r="V195" s="51">
        <v>10</v>
      </c>
      <c r="W195" s="49">
        <v>25</v>
      </c>
      <c r="X195" s="50" t="str">
        <f>IF(AK178&gt;7,"/","")</f>
        <v>/</v>
      </c>
      <c r="Y195" s="51">
        <v>16</v>
      </c>
      <c r="Z195" s="49">
        <v>14</v>
      </c>
      <c r="AA195" s="50" t="str">
        <f>IF(AK178&gt;8,"/","")</f>
        <v>/</v>
      </c>
      <c r="AB195" s="51">
        <v>25</v>
      </c>
      <c r="AC195" s="49">
        <v>18</v>
      </c>
      <c r="AD195" s="50" t="str">
        <f>IF(AK178&gt;9,"/","")</f>
        <v>/</v>
      </c>
      <c r="AE195" s="51">
        <v>25</v>
      </c>
      <c r="AF195" s="42" t="str">
        <f>IF(AK179&gt;1,"Team 2","")</f>
        <v>Team 2</v>
      </c>
      <c r="AG195" s="48">
        <f>IF(AK179&lt;2,"",IF(AK178&lt;1,"",IF(B194=2,B200-D200,IF(D194=2,D200-B200,""))))</f>
        <v>16</v>
      </c>
      <c r="AH195" s="48" t="str">
        <f>IF(AK179&lt;2,"",IF(AK178&lt;2,"",IF(E194=2,E200-G200,IF(G194=2,G200-E200,""))))</f>
        <v/>
      </c>
      <c r="AI195" s="48" t="str">
        <f>IF(AK179&lt;2,"",IF(AK178&lt;3,"",IF(H194=2,H200-J200,IF(J194=2,J200-H200,""))))</f>
        <v/>
      </c>
      <c r="AJ195" s="48">
        <f>IF(AK179&lt;2,"",IF(AK178&lt;4,"",IF(K194=2,K200-M200,IF(M194=2,M200-K200,""))))</f>
        <v>-4</v>
      </c>
      <c r="AK195" s="48" t="str">
        <f>IF(AK179&lt;2,"",IF(AK178&lt;5,"",IF(N194=2,N200-P200,IF(P194=2,P200-N200,""))))</f>
        <v/>
      </c>
      <c r="AL195" s="48" t="str">
        <f>IF(AK179&lt;2,"",IF(AK178&lt;6,"",IF(Q194=2,Q200-S200,IF(S194=2,S200-Q200,""))))</f>
        <v/>
      </c>
      <c r="AM195" s="48">
        <f>IF(AK179&lt;2,"",IF(AK178&lt;7,"",IF(T194=2,T200-V200,IF(V194=2,V200-T200,""))))</f>
        <v>20</v>
      </c>
      <c r="AN195" s="48" t="str">
        <f>IF(AK179&lt;2,"",IF(AK178&lt;8,"",IF(W194=2,W200-Y200,IF(Y194=2,Y200-W200,""))))</f>
        <v/>
      </c>
      <c r="AO195" s="48" t="str">
        <f>IF(AK179&lt;2,"",IF(AK178&lt;9,"",IF(Z194=2,Z200-AB200,IF(AB194=2,AB200-Z200,""))))</f>
        <v/>
      </c>
      <c r="AP195" s="48">
        <f>IF(AK179&lt;2,"",IF(AK178&lt;10,"",IF(AC194=2,AC200-AE200,IF(AE194=2,AE200-AC200,""))))</f>
        <v>-2</v>
      </c>
      <c r="AQ195" s="44">
        <f>SUM(AG195:AP195)</f>
        <v>30</v>
      </c>
    </row>
    <row r="196" spans="1:49" ht="15" x14ac:dyDescent="0.2">
      <c r="A196" s="3" t="str">
        <f>IF(AK177&gt;1,"Game 2","")</f>
        <v>Game 2</v>
      </c>
      <c r="B196" s="49">
        <v>25</v>
      </c>
      <c r="C196" s="50" t="s">
        <v>53</v>
      </c>
      <c r="D196" s="51">
        <v>14</v>
      </c>
      <c r="E196" s="49">
        <v>14</v>
      </c>
      <c r="F196" s="50" t="str">
        <f>IF(AK178&gt;1,IF(AK177&gt;1,"/",""),"")</f>
        <v>/</v>
      </c>
      <c r="G196" s="51">
        <v>25</v>
      </c>
      <c r="H196" s="49">
        <v>24</v>
      </c>
      <c r="I196" s="50" t="str">
        <f>IF(AK178&gt;2,IF(AK177&gt;1,"/",""),"")</f>
        <v>/</v>
      </c>
      <c r="J196" s="51">
        <v>26</v>
      </c>
      <c r="K196" s="49">
        <v>25</v>
      </c>
      <c r="L196" s="50" t="str">
        <f>IF(AK178&gt;3,IF(AK177&gt;1,"/",""),"")</f>
        <v>/</v>
      </c>
      <c r="M196" s="51">
        <v>23</v>
      </c>
      <c r="N196" s="49">
        <v>25</v>
      </c>
      <c r="O196" s="50" t="str">
        <f>IF(AK178&gt;4,IF(AK177&gt;1,"/",""),"")</f>
        <v>/</v>
      </c>
      <c r="P196" s="51">
        <v>18</v>
      </c>
      <c r="Q196" s="49">
        <v>25</v>
      </c>
      <c r="R196" s="50" t="str">
        <f>IF(AK178&gt;5,IF(AK177&gt;1,"/",""),"")</f>
        <v>/</v>
      </c>
      <c r="S196" s="51">
        <v>18</v>
      </c>
      <c r="T196" s="49">
        <v>25</v>
      </c>
      <c r="U196" s="50" t="str">
        <f>IF(AK178&gt;6,IF(AK177&gt;1,"/",""),"")</f>
        <v>/</v>
      </c>
      <c r="V196" s="51">
        <v>20</v>
      </c>
      <c r="W196" s="49">
        <v>25</v>
      </c>
      <c r="X196" s="50" t="str">
        <f>IF(AK178&gt;7,IF(AK177&gt;1,"/",""),"")</f>
        <v>/</v>
      </c>
      <c r="Y196" s="51">
        <v>19</v>
      </c>
      <c r="Z196" s="49">
        <v>17</v>
      </c>
      <c r="AA196" s="50" t="str">
        <f>IF(AK178&gt;8,IF(AK177&gt;1,"/",""),"")</f>
        <v>/</v>
      </c>
      <c r="AB196" s="51">
        <v>25</v>
      </c>
      <c r="AC196" s="49">
        <v>25</v>
      </c>
      <c r="AD196" s="50" t="str">
        <f>IF(AK178&gt;9,IF(AK177&gt;1,"/",""),"")</f>
        <v>/</v>
      </c>
      <c r="AE196" s="51">
        <v>16</v>
      </c>
      <c r="AF196" s="42" t="str">
        <f>IF(AK179&gt;2,"Team 3","")</f>
        <v>Team 3</v>
      </c>
      <c r="AG196" s="48" t="str">
        <f>IF(AK179&lt;3,"",IF(AK178&lt;1,"",IF(B194=3,B200-D200,IF(D194=3,D200-B200,""))))</f>
        <v/>
      </c>
      <c r="AH196" s="48" t="str">
        <f>IF(AK179&lt;3,"",IF(AK178&lt;2,"",IF(E194=3,E200-G200,IF(G194=3,G200-E200,""))))</f>
        <v/>
      </c>
      <c r="AI196" s="48">
        <f>IF(AK179&lt;3,"",IF(AK178&lt;3,"",IF(H194=3,H200-J200,IF(J194=3,J200-H200,""))))</f>
        <v>5</v>
      </c>
      <c r="AJ196" s="48" t="str">
        <f>IF(AK179&lt;3,"",IF(AK178&lt;4,"",IF(K194=3,K200-M200,IF(M194=3,M200-K200,""))))</f>
        <v/>
      </c>
      <c r="AK196" s="48">
        <f>IF(AK179&lt;3,"",IF(AK178&lt;5,"",IF(N194=3,N200-P200,IF(P194=3,P200-N200,""))))</f>
        <v>-14</v>
      </c>
      <c r="AL196" s="48" t="str">
        <f>IF(AK179&lt;3,"",IF(AK178&lt;6,"",IF(Q194=3,Q200-S200,IF(S194=3,S200-Q200,""))))</f>
        <v/>
      </c>
      <c r="AM196" s="48">
        <f>IF(AK179&lt;3,"",IF(AK178&lt;7,"",IF(T194=3,T200-V200,IF(V194=3,V200-T200,""))))</f>
        <v>-20</v>
      </c>
      <c r="AN196" s="48" t="str">
        <f>IF(AK179&lt;3,"",IF(AK178&lt;8,"",IF(W194=3,W200-Y200,IF(Y194=3,Y200-W200,""))))</f>
        <v/>
      </c>
      <c r="AO196" s="48">
        <f>IF(AK179&lt;3,"",IF(AK178&lt;9,"",IF(Z194=3,Z200-AB200,IF(AB194=3,AB200-Z200,""))))</f>
        <v>-19</v>
      </c>
      <c r="AP196" s="48" t="str">
        <f>IF(AK179&lt;3,"",IF(AK178&lt;9,"",IF(AC194=3,AC200-AE200,IF(AE194=3,AE200-AC200,""))))</f>
        <v/>
      </c>
      <c r="AQ196" s="44">
        <f>SUM(AG196:AP196)</f>
        <v>-48</v>
      </c>
    </row>
    <row r="197" spans="1:49" ht="15" x14ac:dyDescent="0.2">
      <c r="A197" s="3" t="str">
        <f>IF(AK177&gt;2,"Game 3","")</f>
        <v/>
      </c>
      <c r="B197" s="49"/>
      <c r="C197" s="50" t="s">
        <v>53</v>
      </c>
      <c r="D197" s="51"/>
      <c r="E197" s="49"/>
      <c r="F197" s="50" t="str">
        <f>IF(AK178&gt;1,IF(AK177&gt;2,"/",""),"")</f>
        <v/>
      </c>
      <c r="G197" s="51"/>
      <c r="H197" s="49"/>
      <c r="I197" s="50" t="str">
        <f>IF(AK178&gt;2,IF(AK177&gt;2,"/",""),"")</f>
        <v/>
      </c>
      <c r="J197" s="51"/>
      <c r="K197" s="49"/>
      <c r="L197" s="50" t="str">
        <f>IF(AK178&gt;3,IF(AK177&gt;2,"/",""),"")</f>
        <v/>
      </c>
      <c r="M197" s="51"/>
      <c r="N197" s="49"/>
      <c r="O197" s="50" t="str">
        <f>IF(AK178&gt;4,IF(AK177&gt;2,"/",""),"")</f>
        <v/>
      </c>
      <c r="P197" s="51"/>
      <c r="Q197" s="49"/>
      <c r="R197" s="50" t="str">
        <f>IF(AK178&gt;5,IF(AK177&gt;2,"/",""),"")</f>
        <v/>
      </c>
      <c r="S197" s="51"/>
      <c r="T197" s="49"/>
      <c r="U197" s="50" t="str">
        <f>IF(AK178&gt;6,IF(AK177&gt;2,"/",""),"")</f>
        <v/>
      </c>
      <c r="V197" s="51"/>
      <c r="W197" s="49"/>
      <c r="X197" s="50" t="str">
        <f>IF(AK178&gt;7,IF(AK177&gt;2,"/",""),"")</f>
        <v/>
      </c>
      <c r="Y197" s="51"/>
      <c r="Z197" s="49"/>
      <c r="AA197" s="50" t="str">
        <f>IF(AK178&gt;8,IF(AK177&gt;2,"/",""),"")</f>
        <v/>
      </c>
      <c r="AB197" s="51"/>
      <c r="AC197" s="49"/>
      <c r="AD197" s="50" t="str">
        <f>IF(AK178&gt;9,IF(AK177&gt;2,"/",""),"")</f>
        <v/>
      </c>
      <c r="AE197" s="51"/>
      <c r="AF197" s="42" t="str">
        <f>IF(AK179&gt;3,"Team 4","")</f>
        <v>Team 4</v>
      </c>
      <c r="AG197" s="48" t="str">
        <f>IF(AK179&lt;4,"",IF(AK178&lt;1,"",IF(B194=4,B200-D200,IF(D194=4,D200-B200,""))))</f>
        <v/>
      </c>
      <c r="AH197" s="48">
        <f>IF(AK179&lt;4,"",IF(AK178&lt;2,"",IF(E194=4,E200-G200,IF(G194=4,G200-E200,""))))</f>
        <v>15</v>
      </c>
      <c r="AI197" s="48" t="str">
        <f>IF(AK179&lt;4,"",IF(AK178&lt;3,"",IF(H194=4,H200-J200,IF(J194=4,J200-H200,""))))</f>
        <v/>
      </c>
      <c r="AJ197" s="48">
        <f>IF(AK179&lt;4,"",IF(AK178&lt;4,"",IF(K194=4,K200-M200,IF(M194=4,M200-K200,""))))</f>
        <v>4</v>
      </c>
      <c r="AK197" s="48" t="str">
        <f>IF(AK179&lt;4,"",IF(AK178&lt;5,"",IF(N194=4,N200-P200,IF(P194=4,P200-N200,""))))</f>
        <v/>
      </c>
      <c r="AL197" s="48">
        <f>IF(AK179&lt;4,"",IF(AK178&lt;6,"",IF(Q194=4,Q200-S200,IF(S194=4,S200-Q200,""))))</f>
        <v>16</v>
      </c>
      <c r="AM197" s="48" t="str">
        <f>IF(AK179&lt;4,"",IF(AK178&lt;7,"",IF(T194=4,T200-V200,IF(V194=4,V200-T200,""))))</f>
        <v/>
      </c>
      <c r="AN197" s="48" t="str">
        <f>IF(AK179&lt;4,"",IF(AK178&lt;8,"",IF(W194=4,W200-Y200,IF(Y194=4,Y200-W200,""))))</f>
        <v/>
      </c>
      <c r="AO197" s="48">
        <f>IF(AK179&lt;4,"",IF(AK178&lt;9,"",IF(Z194=4,Z200-AB200,IF(AB194=4,AB200-Z200,""))))</f>
        <v>19</v>
      </c>
      <c r="AP197" s="48" t="str">
        <f>IF(AK179&lt;4,"",IF(AK178&lt;10,"",IF(AC194=4,AC200-AE200,IF(AE194=4,AE200-AC200,""))))</f>
        <v/>
      </c>
      <c r="AQ197" s="44">
        <f>SUM(AG197:AP197)</f>
        <v>54</v>
      </c>
    </row>
    <row r="198" spans="1:49" ht="15" x14ac:dyDescent="0.2">
      <c r="A198" s="3" t="str">
        <f>IF(AK177&gt;3,"Game 4","")</f>
        <v/>
      </c>
      <c r="B198" s="49"/>
      <c r="C198" s="50" t="s">
        <v>53</v>
      </c>
      <c r="D198" s="51"/>
      <c r="E198" s="49"/>
      <c r="F198" s="50" t="str">
        <f>IF(AK178&gt;1,IF(AK177&gt;3,"/",""),"")</f>
        <v/>
      </c>
      <c r="G198" s="51"/>
      <c r="H198" s="49"/>
      <c r="I198" s="50" t="str">
        <f>IF(AK178&gt;2,IF(AK177&gt;3,"/",""),"")</f>
        <v/>
      </c>
      <c r="J198" s="51"/>
      <c r="K198" s="49"/>
      <c r="L198" s="50" t="str">
        <f>IF(AK178&gt;3,IF(AK177&gt;3,"/",""),"")</f>
        <v/>
      </c>
      <c r="M198" s="51"/>
      <c r="N198" s="49"/>
      <c r="O198" s="50" t="str">
        <f>IF(AK178&gt;4,IF(AK177&gt;3,"/",""),"")</f>
        <v/>
      </c>
      <c r="P198" s="51"/>
      <c r="Q198" s="49"/>
      <c r="R198" s="50" t="str">
        <f>IF(AK178&gt;5,IF(AK177&gt;3,"/",""),"")</f>
        <v/>
      </c>
      <c r="S198" s="51"/>
      <c r="T198" s="49"/>
      <c r="U198" s="50" t="str">
        <f>IF(AK178&gt;6,IF(AK177&gt;3,"/",""),"")</f>
        <v/>
      </c>
      <c r="V198" s="51"/>
      <c r="W198" s="49"/>
      <c r="X198" s="50" t="str">
        <f>IF(AK178&gt;7,IF(AK177&gt;3,"/",""),"")</f>
        <v/>
      </c>
      <c r="Y198" s="51"/>
      <c r="Z198" s="49"/>
      <c r="AA198" s="50" t="str">
        <f>IF(AK178&gt;8,IF(AK177&gt;3,"/",""),"")</f>
        <v/>
      </c>
      <c r="AB198" s="51"/>
      <c r="AC198" s="49"/>
      <c r="AD198" s="50" t="str">
        <f>IF(AK178&gt;9,IF(AK177&gt;3,"/",""),"")</f>
        <v/>
      </c>
      <c r="AE198" s="51"/>
      <c r="AF198" s="42" t="str">
        <f>IF(AK179&gt;4,"Team 5","")</f>
        <v>Team 5</v>
      </c>
      <c r="AG198" s="52">
        <f>IF(AK179&lt;5,"",IF(AK178&lt;1,"",IF(B194=5,B200-D200,IF(D194=5,D200-B200,""))))</f>
        <v>-16</v>
      </c>
      <c r="AH198" s="48" t="str">
        <f>IF(AK179&lt;5,"",IF(AK178&lt;2,"",IF(E194=5,E200-G200,IF(G194=5,G200-E200,""))))</f>
        <v/>
      </c>
      <c r="AI198" s="48">
        <f>IF(AK179&lt;5,"",IF(AK178&lt;3,"",IF(H194=5,H200-J200,IF(J194=5,J200-H200,""))))</f>
        <v>-5</v>
      </c>
      <c r="AJ198" s="48" t="str">
        <f>IF(AK179&lt;5,"",IF(AK178&lt;4,"",IF(K194=5,K200-M200,IF(M194=5,M200-K200,""))))</f>
        <v/>
      </c>
      <c r="AK198" s="48" t="str">
        <f>IF(AK179&lt;5,"",IF(AK178&lt;5,"",IF(N194=5,N200-P200,IF(P194=5,P200-N200,""))))</f>
        <v/>
      </c>
      <c r="AL198" s="48">
        <f>IF(AK179&lt;5,"",IF(AK178&lt;6,"",IF(Q194=5,Q200-S200,IF(S194=5,S200-Q200,""))))</f>
        <v>-16</v>
      </c>
      <c r="AM198" s="48" t="str">
        <f>IF(AK179&lt;5,"",IF(AK178&lt;7,"",IF(T194=5,T200-V200,IF(V194=5,V200-T200,""))))</f>
        <v/>
      </c>
      <c r="AN198" s="48">
        <f>IF(AK179&lt;5,"",IF(AK178&lt;8,"",IF(W194=5,W200-Y200,IF(Y194=5,Y200-W200,""))))</f>
        <v>-15</v>
      </c>
      <c r="AO198" s="48" t="str">
        <f>IF(AK179&lt;5,"",IF(AK178&lt;9,"",IF(Z194=5,Z200-AB200,IF(AB194=5,AB200-Z200,""))))</f>
        <v/>
      </c>
      <c r="AP198" s="48" t="str">
        <f>IF(AK179&lt;5,"",IF(AK178&lt;10,"",IF(AC194=5,AC200-AE200,IF(AE194=5,AE200-AC200,""))))</f>
        <v/>
      </c>
      <c r="AQ198" s="44">
        <f>SUM(AG198:AP198)</f>
        <v>-52</v>
      </c>
    </row>
    <row r="199" spans="1:49" ht="15" x14ac:dyDescent="0.2">
      <c r="A199" s="3" t="str">
        <f>IF(AK177&gt;4,"Game 5","")</f>
        <v/>
      </c>
      <c r="B199" s="49"/>
      <c r="C199" s="50" t="s">
        <v>53</v>
      </c>
      <c r="D199" s="51"/>
      <c r="E199" s="49"/>
      <c r="F199" s="50" t="str">
        <f>IF(AK178&gt;1,IF(AK177&gt;4,"/",""),"")</f>
        <v/>
      </c>
      <c r="G199" s="51"/>
      <c r="H199" s="49"/>
      <c r="I199" s="50" t="str">
        <f>IF(AK178&gt;2,IF(AK177&gt;4,"/",""),"")</f>
        <v/>
      </c>
      <c r="J199" s="51"/>
      <c r="K199" s="49"/>
      <c r="L199" s="50" t="str">
        <f>IF(AK178&gt;3,IF(AK177&gt;4,"/",""),"")</f>
        <v/>
      </c>
      <c r="M199" s="51"/>
      <c r="N199" s="49"/>
      <c r="O199" s="50" t="str">
        <f>IF(AK178&gt;4,IF(AK177&gt;4,"/",""),"")</f>
        <v/>
      </c>
      <c r="P199" s="51"/>
      <c r="Q199" s="49"/>
      <c r="R199" s="50" t="str">
        <f>IF(AK178&gt;5,IF(AK177&gt;4,"/",""),"")</f>
        <v/>
      </c>
      <c r="S199" s="51"/>
      <c r="T199" s="49"/>
      <c r="U199" s="50" t="str">
        <f>IF(AK178&gt;6,IF(AK177&gt;4,"/",""),"")</f>
        <v/>
      </c>
      <c r="V199" s="51"/>
      <c r="W199" s="49"/>
      <c r="X199" s="50" t="str">
        <f>IF(AK178&gt;7,IF(AK177&gt;4,"/",""),"")</f>
        <v/>
      </c>
      <c r="Y199" s="51"/>
      <c r="Z199" s="49"/>
      <c r="AA199" s="50" t="str">
        <f>IF(AK178&gt;8,IF(AK177&gt;4,"/",""),"")</f>
        <v/>
      </c>
      <c r="AB199" s="51"/>
      <c r="AC199" s="49"/>
      <c r="AD199" s="50" t="str">
        <f>IF(AK178&gt;9,IF(AK177&gt;4,"/",""),"")</f>
        <v/>
      </c>
      <c r="AE199" s="5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</row>
    <row r="200" spans="1:49" hidden="1" x14ac:dyDescent="0.2">
      <c r="A200" s="53"/>
      <c r="B200" s="53">
        <f>IF($AK177=5,SUM(B195:B199),IF($AK177=4,SUM(B195:B198),IF($AK177=3,SUM(B195:B197),IF($AK177=2,SUM(B195:B196),B195))))</f>
        <v>50</v>
      </c>
      <c r="C200" s="53"/>
      <c r="D200" s="53">
        <f>IF($AK177=5,SUM(D195:D199),IF($AK177=4,SUM(D195:D198),IF($AK177=3,SUM(D195:D197),IF($AK177=2,SUM(D195:D196),D195))))</f>
        <v>34</v>
      </c>
      <c r="E200" s="53">
        <f>IF($AK177=5,SUM(E195:E199),IF($AK177=4,SUM(E195:E198),IF($AK177=3,SUM(E195:E197),IF($AK177=2,SUM(E195:E196),E195))))</f>
        <v>35</v>
      </c>
      <c r="F200" s="53"/>
      <c r="G200" s="53">
        <f>IF($AK177=5,SUM(G195:G199),IF($AK177=4,SUM(G195:G198),IF($AK177=3,SUM(G195:G197),IF($AK177=2,SUM(G195:G196),G195))))</f>
        <v>50</v>
      </c>
      <c r="H200" s="53">
        <f>IF($AK177=5,SUM(H195:H199),IF($AK177=4,SUM(H195:H198),IF($AK177=3,SUM(H195:H197),IF($AK177=2,SUM(H195:H196),H195))))</f>
        <v>49</v>
      </c>
      <c r="I200" s="53"/>
      <c r="J200" s="53">
        <f>IF($AK177=5,SUM(J195:J199),IF($AK177=4,SUM(J195:J198),IF($AK177=3,SUM(J195:J197),IF($AK177=2,SUM(J195:J196),J195))))</f>
        <v>44</v>
      </c>
      <c r="K200" s="53">
        <f>IF($AK177=5,SUM(K195:K199),IF($AK177=4,SUM(K195:K198),IF($AK177=3,SUM(K195:K197),IF($AK177=2,SUM(K195:K196),K195))))</f>
        <v>44</v>
      </c>
      <c r="L200" s="53"/>
      <c r="M200" s="53">
        <f>IF($AK177=5,SUM(M195:M199),IF($AK177=4,SUM(M195:M198),IF($AK177=3,SUM(M195:M197),IF($AK177=2,SUM(M195:M196),M195))))</f>
        <v>48</v>
      </c>
      <c r="N200" s="53">
        <f>IF($AK177=5,SUM(N195:N199),IF($AK177=4,SUM(N195:N198),IF($AK177=3,SUM(N195:N197),IF($AK177=2,SUM(N195:N196),N195))))</f>
        <v>50</v>
      </c>
      <c r="O200" s="53"/>
      <c r="P200" s="53">
        <f>IF($AK177=5,SUM(P195:P199),IF($AK177=4,SUM(P195:P198),IF($AK177=3,SUM(P195:P197),IF($AK177=2,SUM(P195:P196),P195))))</f>
        <v>36</v>
      </c>
      <c r="Q200" s="53">
        <f>IF($AK177=5,SUM(Q195:Q199),IF($AK177=4,SUM(Q195:Q198),IF($AK177=3,SUM(Q195:Q197),IF($AK177=2,SUM(Q195:Q196),Q195))))</f>
        <v>50</v>
      </c>
      <c r="R200" s="53"/>
      <c r="S200" s="53">
        <f>IF($AK177=5,SUM(S195:S199),IF($AK177=4,SUM(S195:S198),IF($AK177=3,SUM(S195:S197),IF($AK177=2,SUM(S195:S196),S195))))</f>
        <v>34</v>
      </c>
      <c r="T200" s="53">
        <f>IF($AK177=5,SUM(T195:T199),IF($AK177=4,SUM(T195:T198),IF($AK177=3,SUM(T195:T197),IF($AK177=2,SUM(T195:T196),T195))))</f>
        <v>50</v>
      </c>
      <c r="U200" s="53"/>
      <c r="V200" s="53">
        <f>IF($AK177=5,SUM(V195:V199),IF($AK177=4,SUM(V195:V198),IF($AK177=3,SUM(V195:V197),IF($AK177=2,SUM(V195:V196),V195))))</f>
        <v>30</v>
      </c>
      <c r="W200" s="53">
        <f>IF($AK177=5,SUM(W195:W199),IF($AK177=4,SUM(W195:W198),IF($AK177=3,SUM(W195:W197),IF($AK177=2,SUM(W195:W196),W195))))</f>
        <v>50</v>
      </c>
      <c r="X200" s="53"/>
      <c r="Y200" s="53">
        <f>IF($AK177=5,SUM(Y195:Y199),IF($AK177=4,SUM(Y195:Y198),IF($AK177=3,SUM(Y195:Y197),IF($AK177=2,SUM(Y195:Y196),Y195))))</f>
        <v>35</v>
      </c>
      <c r="Z200" s="53">
        <f>IF($AK177=5,SUM(Z195:Z199),IF($AK177=4,SUM(Z195:Z198),IF($AK177=3,SUM(Z195:Z197),IF($AK177=2,SUM(Z195:Z196),Z195))))</f>
        <v>31</v>
      </c>
      <c r="AA200" s="53"/>
      <c r="AB200" s="53">
        <f>IF($AK177=5,SUM(AB195:AB199),IF($AK177=4,SUM(AB195:AB198),IF($AK177=3,SUM(AB195:AB197),IF($AK177=2,SUM(AB195:AB196),AB195))))</f>
        <v>50</v>
      </c>
      <c r="AC200" s="53">
        <f>IF($AK177=5,SUM(AC195:AC199),IF($AK177=4,SUM(AC195:AC198),IF($AK177=3,SUM(AC195:AC197),IF($AK177=2,SUM(AC195:AC196),AC195))))</f>
        <v>43</v>
      </c>
      <c r="AD200" s="53"/>
      <c r="AE200" s="53">
        <f>IF($AK177=5,SUM(AE195:AE199),IF($AK177=4,SUM(AE195:AE198),IF($AK177=3,SUM(AE195:AE197),IF($AK177=2,SUM(AE195:AE196),AE195))))</f>
        <v>41</v>
      </c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T200" s="54"/>
      <c r="AU200" s="54"/>
      <c r="AV200" s="54"/>
    </row>
    <row r="201" spans="1:49" s="54" customFormat="1" ht="12.75" hidden="1" customHeight="1" x14ac:dyDescent="0.2">
      <c r="A201" s="54" t="s">
        <v>54</v>
      </c>
      <c r="B201" s="55">
        <f>IF(AND(B195&gt;D195,$AK178&gt;0,ISNUMBER(B195),ISNUMBER(D195)),1,0)</f>
        <v>1</v>
      </c>
      <c r="C201" s="55"/>
      <c r="D201" s="56">
        <f>IF(AND(D195&gt;B195,$AK178&gt;0,ISNUMBER(B195),ISNUMBER(D195)),1,0)</f>
        <v>0</v>
      </c>
      <c r="E201" s="55">
        <f>IF(AND(E195&gt;G195,$AK178&gt;1,ISNUMBER(E195),ISNUMBER(G195)),1,0)</f>
        <v>0</v>
      </c>
      <c r="F201" s="55"/>
      <c r="G201" s="56">
        <f>IF(AND(G195&gt;E195,$AK178&gt;1,ISNUMBER(E195),ISNUMBER(G195)),1,0)</f>
        <v>1</v>
      </c>
      <c r="H201" s="55">
        <f>IF(AND(H195&gt;J195,$AK178&gt;2,ISNUMBER(H195),ISNUMBER(J195)),1,0)</f>
        <v>1</v>
      </c>
      <c r="I201" s="55"/>
      <c r="J201" s="56">
        <f>IF(AND(J195&gt;H195,$AK178&gt;2,ISNUMBER(H195),ISNUMBER(J195)),1,0)</f>
        <v>0</v>
      </c>
      <c r="K201" s="55">
        <f>IF(AND(K195&gt;M195,$AK178&gt;3,ISNUMBER(K195),ISNUMBER(M195)),1,0)</f>
        <v>0</v>
      </c>
      <c r="L201" s="55"/>
      <c r="M201" s="56">
        <f>IF(AND(M195&gt;K195,$AK178&gt;3,ISNUMBER(K195),ISNUMBER(M195)),1,0)</f>
        <v>1</v>
      </c>
      <c r="N201" s="55">
        <f>IF(AND(N195&gt;P195,$AK178&gt;4,ISNUMBER(N195),ISNUMBER(P195)),1,0)</f>
        <v>1</v>
      </c>
      <c r="O201" s="55"/>
      <c r="P201" s="56">
        <f>IF(AND(P195&gt;N195,$AK178&gt;4,ISNUMBER(N195),ISNUMBER(P195)),1,0)</f>
        <v>0</v>
      </c>
      <c r="Q201" s="55">
        <f>IF(AND(Q195&gt;S195,$AK178&gt;5,ISNUMBER(Q195),ISNUMBER(S195)),1,0)</f>
        <v>1</v>
      </c>
      <c r="R201" s="55"/>
      <c r="S201" s="56">
        <f>IF(AND(S195&gt;Q195,$AK178&gt;5,ISNUMBER(Q195),ISNUMBER(S195)),1,0)</f>
        <v>0</v>
      </c>
      <c r="T201" s="55">
        <f>IF(AND(T195&gt;V195,$AK178&gt;6,ISNUMBER(T195),ISNUMBER(V195)),1,0)</f>
        <v>1</v>
      </c>
      <c r="U201" s="55"/>
      <c r="V201" s="56">
        <f>IF(AND(V195&gt;T195,$AK178&gt;6,ISNUMBER(T195),ISNUMBER(V195)),1,0)</f>
        <v>0</v>
      </c>
      <c r="W201" s="55">
        <f>IF(AND(W195&gt;Y195,$AK178&gt;7,ISNUMBER(W195),ISNUMBER(Y195)),1,0)</f>
        <v>1</v>
      </c>
      <c r="X201" s="55"/>
      <c r="Y201" s="56">
        <f>IF(AND(Y195&gt;W195,$AK178&gt;7,ISNUMBER(W195),ISNUMBER(Y195)),1,0)</f>
        <v>0</v>
      </c>
      <c r="Z201" s="55">
        <f>IF(AND(Z195&gt;AB195,$AK178&gt;8,ISNUMBER(Z195),ISNUMBER(AB195)),1,0)</f>
        <v>0</v>
      </c>
      <c r="AA201" s="55"/>
      <c r="AB201" s="56">
        <f>IF(AND(AB195&gt;Z195,$AK178&gt;8,ISNUMBER(Z195),ISNUMBER(AB195)),1,0)</f>
        <v>1</v>
      </c>
      <c r="AC201" s="55">
        <f>IF(AND(AC195&gt;AE195,$AK178&gt;9,ISNUMBER(AC195),ISNUMBER(AE195)),1,0)</f>
        <v>0</v>
      </c>
      <c r="AD201" s="55"/>
      <c r="AE201" s="56">
        <f>IF(AND(AE195&gt;AC195,$AK178&gt;9,ISNUMBER(AC195),ISNUMBER(AE195)),1,0)</f>
        <v>1</v>
      </c>
      <c r="AW201" s="146"/>
    </row>
    <row r="202" spans="1:49" s="54" customFormat="1" ht="12.75" hidden="1" customHeight="1" x14ac:dyDescent="0.2">
      <c r="A202" s="54" t="s">
        <v>55</v>
      </c>
      <c r="B202" s="55">
        <f>IF(AND(B196&gt;D196,$AK178&gt;0,$AK177&gt;1,ISNUMBER(B196),ISNUMBER(D196)),1,0)</f>
        <v>1</v>
      </c>
      <c r="C202" s="55"/>
      <c r="D202" s="56">
        <f>IF(AND(D196&gt;B196,$AK178&gt;0,$AK177&gt;1,ISNUMBER(B196),ISNUMBER(D196)),1,0)</f>
        <v>0</v>
      </c>
      <c r="E202" s="55">
        <f>IF(AND(E196&gt;G196,$AK178&gt;1,$AK177&gt;1,ISNUMBER(E196),ISNUMBER(G196)),1,0)</f>
        <v>0</v>
      </c>
      <c r="F202" s="55"/>
      <c r="G202" s="56">
        <f>IF(AND(G196&gt;E196,$AK178&gt;1,$AK177&gt;1,ISNUMBER(E196),ISNUMBER(G196)),1,0)</f>
        <v>1</v>
      </c>
      <c r="H202" s="55">
        <f>IF(AND(H196&gt;J196,$AK178&gt;2,$AK177&gt;1,ISNUMBER(H196),ISNUMBER(J196)),1,0)</f>
        <v>0</v>
      </c>
      <c r="I202" s="55"/>
      <c r="J202" s="56">
        <f>IF(AND(J196&gt;H196,$AK178&gt;2,$AK177&gt;1,ISNUMBER(H196),ISNUMBER(J196)),1,0)</f>
        <v>1</v>
      </c>
      <c r="K202" s="55">
        <f>IF(AND(K196&gt;M196,$AK178&gt;3,$AK177&gt;1,ISNUMBER(K196),ISNUMBER(M196)),1,0)</f>
        <v>1</v>
      </c>
      <c r="L202" s="55"/>
      <c r="M202" s="56">
        <f>IF(AND(M196&gt;K196,$AK178&gt;3,$AK177&gt;1,ISNUMBER(K196),ISNUMBER(M196)),1,0)</f>
        <v>0</v>
      </c>
      <c r="N202" s="55">
        <f>IF(AND(N196&gt;P196,$AK178&gt;4,$AK177&gt;1,ISNUMBER(N196),ISNUMBER(P196)),1,0)</f>
        <v>1</v>
      </c>
      <c r="O202" s="55"/>
      <c r="P202" s="56">
        <f>IF(AND(P196&gt;N196,$AK178&gt;4,$AK177&gt;1,ISNUMBER(N196),ISNUMBER(P196)),1,0)</f>
        <v>0</v>
      </c>
      <c r="Q202" s="55">
        <f>IF(AND(Q196&gt;S196,$AK178&gt;5,$AK177&gt;1,ISNUMBER(Q196),ISNUMBER(S196)),1,0)</f>
        <v>1</v>
      </c>
      <c r="R202" s="55"/>
      <c r="S202" s="56">
        <f>IF(AND(S196&gt;Q196,$AK178&gt;5,$AK177&gt;1,ISNUMBER(Q196),ISNUMBER(S196)),1,0)</f>
        <v>0</v>
      </c>
      <c r="T202" s="55">
        <f>IF(AND(T196&gt;V196,$AK178&gt;6,$AK177&gt;1,ISNUMBER(T196),ISNUMBER(V196)),1,0)</f>
        <v>1</v>
      </c>
      <c r="U202" s="55"/>
      <c r="V202" s="56">
        <f>IF(AND(V196&gt;T196,$AK178&gt;6,$AK177&gt;1,ISNUMBER(T196),ISNUMBER(V196)),1,0)</f>
        <v>0</v>
      </c>
      <c r="W202" s="55">
        <f>IF(AND(W196&gt;Y196,$AK178&gt;7,$AK177&gt;1,ISNUMBER(W196),ISNUMBER(Y196)),1,0)</f>
        <v>1</v>
      </c>
      <c r="X202" s="55"/>
      <c r="Y202" s="56">
        <f>IF(AND(Y196&gt;W196,$AK178&gt;7,$AK177&gt;1,ISNUMBER(W196),ISNUMBER(Y196)),1,0)</f>
        <v>0</v>
      </c>
      <c r="Z202" s="55">
        <f>IF(AND(Z196&gt;AB196,$AK178&gt;8,$AK177&gt;1,ISNUMBER(Z196),ISNUMBER(AB196)),1,0)</f>
        <v>0</v>
      </c>
      <c r="AA202" s="55"/>
      <c r="AB202" s="56">
        <f>IF(AND(AB196&gt;Z196,$AK178&gt;8,$AK177&gt;1,ISNUMBER(Z196),ISNUMBER(AB196)),1,0)</f>
        <v>1</v>
      </c>
      <c r="AC202" s="55">
        <f>IF(AND(AC196&gt;AE196,$AK178&gt;9,$AK177&gt;1,ISNUMBER(AC196),ISNUMBER(AE196)),1,0)</f>
        <v>1</v>
      </c>
      <c r="AD202" s="55"/>
      <c r="AE202" s="56">
        <f>IF(AND(AE196&gt;AC196,$AK178&gt;9,$AK177&gt;1,ISNUMBER(AC196),ISNUMBER(AE196)),1,0)</f>
        <v>0</v>
      </c>
      <c r="AW202" s="146"/>
    </row>
    <row r="203" spans="1:49" s="54" customFormat="1" ht="12.75" hidden="1" customHeight="1" x14ac:dyDescent="0.2">
      <c r="A203" s="54" t="s">
        <v>56</v>
      </c>
      <c r="B203" s="55">
        <f>IF(AND(B197&gt;D197,$AK178&gt;0,$AK177&gt;2,ISNUMBER(B197),ISNUMBER(D197)),1,0)</f>
        <v>0</v>
      </c>
      <c r="C203" s="55"/>
      <c r="D203" s="56">
        <f>IF(AND(D197&gt;B197,$AK178&gt;0,$AK177&gt;2,ISNUMBER(B197),ISNUMBER(D197)),1,0)</f>
        <v>0</v>
      </c>
      <c r="E203" s="55">
        <f>IF(AND(E197&gt;G197,$AK178&gt;1,$AK177&gt;2,ISNUMBER(E197),ISNUMBER(G197)),1,0)</f>
        <v>0</v>
      </c>
      <c r="F203" s="55"/>
      <c r="G203" s="56">
        <f>IF(AND(G197&gt;E197,$AK178&gt;1,$AK177&gt;2,ISNUMBER(E197),ISNUMBER(G197)),1,0)</f>
        <v>0</v>
      </c>
      <c r="H203" s="55">
        <f>IF(AND(H197&gt;J197,$AK178&gt;2,$AK177&gt;2,ISNUMBER(H197),ISNUMBER(J197)),1,0)</f>
        <v>0</v>
      </c>
      <c r="I203" s="55"/>
      <c r="J203" s="56">
        <f>IF(AND(J197&gt;H197,$AK178&gt;2,$AK177&gt;2,ISNUMBER(H197),ISNUMBER(J197)),1,0)</f>
        <v>0</v>
      </c>
      <c r="K203" s="55">
        <f>IF(AND(K197&gt;M197,$AK178&gt;3,$AK177&gt;2,ISNUMBER(K197),ISNUMBER(M197)),1,0)</f>
        <v>0</v>
      </c>
      <c r="L203" s="55"/>
      <c r="M203" s="56">
        <f>IF(AND(M197&gt;K197,$AK178&gt;3,$AK177&gt;2,ISNUMBER(K197),ISNUMBER(M197)),1,0)</f>
        <v>0</v>
      </c>
      <c r="N203" s="55">
        <f>IF(AND(N197&gt;P197,$AK178&gt;4,$AK177&gt;2,ISNUMBER(N197),ISNUMBER(P197)),1,0)</f>
        <v>0</v>
      </c>
      <c r="O203" s="55"/>
      <c r="P203" s="56">
        <f>IF(AND(P197&gt;N197,$AK178&gt;4,$AK177&gt;2,ISNUMBER(N197),ISNUMBER(P197)),1,0)</f>
        <v>0</v>
      </c>
      <c r="Q203" s="55">
        <f>IF(AND(Q197&gt;S197,$AK178&gt;5,$AK177&gt;2,ISNUMBER(Q197),ISNUMBER(S197)),1,0)</f>
        <v>0</v>
      </c>
      <c r="R203" s="55"/>
      <c r="S203" s="56">
        <f>IF(AND(S197&gt;Q197,$AK178&gt;5,$AK177&gt;2,ISNUMBER(Q197),ISNUMBER(S197)),1,0)</f>
        <v>0</v>
      </c>
      <c r="T203" s="55">
        <f>IF(AND(T197&gt;V197,$AK178&gt;6,$AK177&gt;2,ISNUMBER(T197),ISNUMBER(V197)),1,0)</f>
        <v>0</v>
      </c>
      <c r="U203" s="55"/>
      <c r="V203" s="56">
        <f>IF(AND(V197&gt;T197,$AK178&gt;6,$AK177&gt;2,ISNUMBER(T197),ISNUMBER(V197)),1,0)</f>
        <v>0</v>
      </c>
      <c r="W203" s="55">
        <f>IF(AND(W197&gt;Y197,$AK178&gt;7,$AK177&gt;2,ISNUMBER(W197),ISNUMBER(Y197)),1,0)</f>
        <v>0</v>
      </c>
      <c r="X203" s="55"/>
      <c r="Y203" s="56">
        <f>IF(AND(Y197&gt;W197,$AK178&gt;7,$AK177&gt;2,ISNUMBER(W197),ISNUMBER(Y197)),1,0)</f>
        <v>0</v>
      </c>
      <c r="Z203" s="55">
        <f>IF(AND(Z197&gt;AB197,$AK178&gt;8,$AK177&gt;2,ISNUMBER(Z197),ISNUMBER(AB197)),1,0)</f>
        <v>0</v>
      </c>
      <c r="AA203" s="55"/>
      <c r="AB203" s="56">
        <f>IF(AND(AB197&gt;Z197,$AK178&gt;8,$AK177&gt;2,ISNUMBER(Z197),ISNUMBER(AB197)),1,0)</f>
        <v>0</v>
      </c>
      <c r="AC203" s="55">
        <f>IF(AND(AC197&gt;AE197,$AK178&gt;9,$AK177&gt;2,ISNUMBER(AC197),ISNUMBER(AE197)),1,0)</f>
        <v>0</v>
      </c>
      <c r="AD203" s="55"/>
      <c r="AE203" s="56">
        <f>IF(AND(AE197&gt;AC197,$AK178&gt;9,$AK177&gt;2,ISNUMBER(AC197),ISNUMBER(AE197)),1,0)</f>
        <v>0</v>
      </c>
      <c r="AW203" s="146"/>
    </row>
    <row r="204" spans="1:49" s="54" customFormat="1" ht="12.75" hidden="1" customHeight="1" x14ac:dyDescent="0.2">
      <c r="A204" s="54" t="s">
        <v>57</v>
      </c>
      <c r="B204" s="55">
        <f>IF(AND(B198&gt;D198,$AK178&gt;0,$AK177&gt;3,ISNUMBER(B198),ISNUMBER(D198)),1,0)</f>
        <v>0</v>
      </c>
      <c r="C204" s="55"/>
      <c r="D204" s="56">
        <f>IF(AND(D198&gt;B198,$AK178&gt;0,$AK177&gt;3,ISNUMBER(B198),ISNUMBER(D198)),1,0)</f>
        <v>0</v>
      </c>
      <c r="E204" s="55">
        <f>IF(AND(E198&gt;G198,$AK178&gt;1,$AK177&gt;3,ISNUMBER(E198),ISNUMBER(G198)),1,0)</f>
        <v>0</v>
      </c>
      <c r="F204" s="55"/>
      <c r="G204" s="56">
        <f>IF(AND(G198&gt;E198,$AK178&gt;1,$AK177&gt;3,ISNUMBER(E198),ISNUMBER(G198)),1,0)</f>
        <v>0</v>
      </c>
      <c r="H204" s="55">
        <f>IF(AND(H198&gt;J198,$AK178&gt;2,$AK177&gt;3,ISNUMBER(H198),ISNUMBER(J198)),1,0)</f>
        <v>0</v>
      </c>
      <c r="I204" s="55"/>
      <c r="J204" s="56">
        <f>IF(AND(J198&gt;H198,$AK178&gt;2,$AK177&gt;3,ISNUMBER(H198),ISNUMBER(J198)),1,0)</f>
        <v>0</v>
      </c>
      <c r="K204" s="55">
        <f>IF(AND(K198&gt;M198,$AK178&gt;3,$AK177&gt;3,ISNUMBER(K198),ISNUMBER(M198)),1,0)</f>
        <v>0</v>
      </c>
      <c r="L204" s="55"/>
      <c r="M204" s="56">
        <f>IF(AND(M198&gt;K198,$AK178&gt;3,$AK177&gt;3,ISNUMBER(K198),ISNUMBER(M198)),1,0)</f>
        <v>0</v>
      </c>
      <c r="N204" s="55">
        <f>IF(AND(N198&gt;P198,$AK178&gt;4,$AK177&gt;3,ISNUMBER(N198),ISNUMBER(P198)),1,0)</f>
        <v>0</v>
      </c>
      <c r="O204" s="55"/>
      <c r="P204" s="56">
        <f>IF(AND(P198&gt;N198,$AK178&gt;4,$AK177&gt;3,ISNUMBER(N198),ISNUMBER(P198)),1,0)</f>
        <v>0</v>
      </c>
      <c r="Q204" s="55">
        <f>IF(AND(Q198&gt;S198,$AK178&gt;5,$AK177&gt;3,ISNUMBER(Q198),ISNUMBER(S198)),1,0)</f>
        <v>0</v>
      </c>
      <c r="R204" s="55"/>
      <c r="S204" s="56">
        <f>IF(AND(S198&gt;Q198,$AK178&gt;5,$AK177&gt;3,ISNUMBER(Q198),ISNUMBER(S198)),1,0)</f>
        <v>0</v>
      </c>
      <c r="T204" s="55">
        <f>IF(AND(T198&gt;V198,$AK178&gt;6,$AK177&gt;3,ISNUMBER(T198),ISNUMBER(V198)),1,0)</f>
        <v>0</v>
      </c>
      <c r="U204" s="55"/>
      <c r="V204" s="56">
        <f>IF(AND(V198&gt;T198,$AK178&gt;6,$AK177&gt;3,ISNUMBER(T198),ISNUMBER(V198)),1,0)</f>
        <v>0</v>
      </c>
      <c r="W204" s="55">
        <f>IF(AND(W198&gt;Y198,$AK178&gt;7,$AK177&gt;3,ISNUMBER(W198),ISNUMBER(Y198)),1,0)</f>
        <v>0</v>
      </c>
      <c r="X204" s="55"/>
      <c r="Y204" s="56">
        <f>IF(AND(Y198&gt;W198,$AK178&gt;7,$AK177&gt;3,ISNUMBER(W198),ISNUMBER(Y198)),1,0)</f>
        <v>0</v>
      </c>
      <c r="Z204" s="55">
        <f>IF(AND(Z198&gt;AB198,$AK178&gt;8,$AK177&gt;3,ISNUMBER(Z198),ISNUMBER(AB198)),1,0)</f>
        <v>0</v>
      </c>
      <c r="AA204" s="55"/>
      <c r="AB204" s="56">
        <f>IF(AND(AB198&gt;Z198,$AK178&gt;8,$AK177&gt;3,ISNUMBER(Z198),ISNUMBER(AB198)),1,0)</f>
        <v>0</v>
      </c>
      <c r="AC204" s="55">
        <f>IF(AND(AC198&gt;AE198,$AK178&gt;9,$AK177&gt;3,ISNUMBER(AC198),ISNUMBER(AE198)),1,0)</f>
        <v>0</v>
      </c>
      <c r="AD204" s="55"/>
      <c r="AE204" s="56">
        <f>IF(AND(AE198&gt;AC198,$AK178&gt;9,$AK177&gt;3,ISNUMBER(AC198),ISNUMBER(AE198)),1,0)</f>
        <v>0</v>
      </c>
      <c r="AW204" s="146"/>
    </row>
    <row r="205" spans="1:49" s="54" customFormat="1" ht="12.75" hidden="1" customHeight="1" x14ac:dyDescent="0.2">
      <c r="A205" s="54" t="s">
        <v>58</v>
      </c>
      <c r="B205" s="55">
        <f>IF(AND(B199&gt;D199,$AK178&gt;0,$AK177&gt;4,ISNUMBER(B199),ISNUMBER(D199)),1,0)</f>
        <v>0</v>
      </c>
      <c r="C205" s="55"/>
      <c r="D205" s="56">
        <f>IF(AND(D199&gt;B199,$AK178&gt;0,$AK177&gt;4,ISNUMBER(B199),ISNUMBER(D199)),1,0)</f>
        <v>0</v>
      </c>
      <c r="E205" s="55">
        <f>IF(AND(E199&gt;G199,$AK178&gt;1,$AK177&gt;4,ISNUMBER(E199),ISNUMBER(G199)),1,0)</f>
        <v>0</v>
      </c>
      <c r="F205" s="55"/>
      <c r="G205" s="56">
        <f>IF(AND(G199&gt;E199,$AK178&gt;1,$AK177&gt;4,ISNUMBER(E199),ISNUMBER(G199)),1,0)</f>
        <v>0</v>
      </c>
      <c r="H205" s="55">
        <f>IF(AND(H199&gt;J199,$AK178&gt;2,$AK177&gt;4,ISNUMBER(H199),ISNUMBER(J199)),1,0)</f>
        <v>0</v>
      </c>
      <c r="I205" s="55"/>
      <c r="J205" s="56">
        <f>IF(AND(J199&gt;H199,$AK178&gt;2,$AK177&gt;4,ISNUMBER(H199),ISNUMBER(J199)),1,0)</f>
        <v>0</v>
      </c>
      <c r="K205" s="55">
        <f>IF(AND(K199&gt;M199,$AK178&gt;3,$AK177&gt;4,ISNUMBER(K199),ISNUMBER(M199)),1,0)</f>
        <v>0</v>
      </c>
      <c r="L205" s="55"/>
      <c r="M205" s="56">
        <f>IF(AND(M199&gt;K199,$AK178&gt;3,$AK177&gt;4,ISNUMBER(K199),ISNUMBER(M199)),1,0)</f>
        <v>0</v>
      </c>
      <c r="N205" s="55">
        <f>IF(AND(N199&gt;P199,$AK178&gt;4,$AK177&gt;4,ISNUMBER(N199),ISNUMBER(P199)),1,0)</f>
        <v>0</v>
      </c>
      <c r="O205" s="55"/>
      <c r="P205" s="56">
        <f>IF(AND(P199&gt;N199,$AK178&gt;4,$AK177&gt;4,ISNUMBER(N199),ISNUMBER(P199)),1,0)</f>
        <v>0</v>
      </c>
      <c r="Q205" s="55">
        <f>IF(AND(Q199&gt;S199,$AK178&gt;5,$AK177&gt;4,ISNUMBER(Q199),ISNUMBER(S199)),1,0)</f>
        <v>0</v>
      </c>
      <c r="R205" s="55"/>
      <c r="S205" s="56">
        <f>IF(AND(S199&gt;Q199,$AK178&gt;5,$AK177&gt;4,ISNUMBER(Q199),ISNUMBER(S199)),1,0)</f>
        <v>0</v>
      </c>
      <c r="T205" s="55">
        <f>IF(AND(T199&gt;V199,$AK178&gt;6,$AK177&gt;4,ISNUMBER(T199),ISNUMBER(V199)),1,0)</f>
        <v>0</v>
      </c>
      <c r="U205" s="55"/>
      <c r="V205" s="56">
        <f>IF(AND(V199&gt;T199,$AK178&gt;6,$AK177&gt;4,ISNUMBER(T199),ISNUMBER(V199)),1,0)</f>
        <v>0</v>
      </c>
      <c r="W205" s="55">
        <f>IF(AND(W199&gt;Y199,$AK178&gt;7,$AK177&gt;4,ISNUMBER(W199),ISNUMBER(Y199)),1,0)</f>
        <v>0</v>
      </c>
      <c r="X205" s="55"/>
      <c r="Y205" s="56">
        <f>IF(AND(Y199&gt;W199,$AK178&gt;7,$AK177&gt;4,ISNUMBER(W199),ISNUMBER(Y199)),1,0)</f>
        <v>0</v>
      </c>
      <c r="Z205" s="55">
        <f>IF(AND(Z199&gt;AB199,$AK178&gt;8,$AK177&gt;4,ISNUMBER(Z199),ISNUMBER(AB199)),1,0)</f>
        <v>0</v>
      </c>
      <c r="AA205" s="55"/>
      <c r="AB205" s="56">
        <f>IF(AND(AB199&gt;Z199,$AK178&gt;8,$AK177&gt;4,ISNUMBER(Z199),ISNUMBER(AB199)),1,0)</f>
        <v>0</v>
      </c>
      <c r="AC205" s="55">
        <f>IF(AND(AC199&gt;AE199,$AK178&gt;9,$AK177&gt;4,ISNUMBER(AC199),ISNUMBER(AE199)),1,0)</f>
        <v>0</v>
      </c>
      <c r="AD205" s="55"/>
      <c r="AE205" s="56">
        <f>IF(AND(AE199&gt;AC199,$AK178&gt;9,$AK177&gt;4,ISNUMBER(AC199),ISNUMBER(AE199)),1,0)</f>
        <v>0</v>
      </c>
      <c r="AW205" s="146"/>
    </row>
    <row r="206" spans="1:49" s="54" customFormat="1" ht="38.25" hidden="1" customHeight="1" x14ac:dyDescent="0.2">
      <c r="A206" s="57" t="s">
        <v>59</v>
      </c>
      <c r="B206" s="54">
        <f>SUM(B201:B205)</f>
        <v>2</v>
      </c>
      <c r="D206" s="58">
        <f>SUM(D201:D205)</f>
        <v>0</v>
      </c>
      <c r="E206" s="54">
        <f>SUM(E201:E205)</f>
        <v>0</v>
      </c>
      <c r="G206" s="58">
        <f>SUM(G201:G205)</f>
        <v>2</v>
      </c>
      <c r="H206" s="54">
        <f>SUM(H201:H205)</f>
        <v>1</v>
      </c>
      <c r="J206" s="58">
        <f>SUM(J201:J205)</f>
        <v>1</v>
      </c>
      <c r="K206" s="54">
        <f>SUM(K201:K205)</f>
        <v>1</v>
      </c>
      <c r="M206" s="58">
        <f>SUM(M201:M205)</f>
        <v>1</v>
      </c>
      <c r="N206" s="54">
        <f>SUM(N201:N205)</f>
        <v>2</v>
      </c>
      <c r="P206" s="58">
        <f>SUM(P201:P205)</f>
        <v>0</v>
      </c>
      <c r="Q206" s="54">
        <f>SUM(Q201:Q205)</f>
        <v>2</v>
      </c>
      <c r="S206" s="58">
        <f>SUM(S201:S205)</f>
        <v>0</v>
      </c>
      <c r="T206" s="54">
        <f>SUM(T201:T205)</f>
        <v>2</v>
      </c>
      <c r="V206" s="58">
        <f>SUM(V201:V205)</f>
        <v>0</v>
      </c>
      <c r="W206" s="54">
        <f>SUM(W201:W205)</f>
        <v>2</v>
      </c>
      <c r="Y206" s="58">
        <f>SUM(Y201:Y205)</f>
        <v>0</v>
      </c>
      <c r="Z206" s="54">
        <f>SUM(Z201:Z205)</f>
        <v>0</v>
      </c>
      <c r="AB206" s="58">
        <f>SUM(AB201:AB205)</f>
        <v>2</v>
      </c>
      <c r="AC206" s="54">
        <f>SUM(AC201:AC205)</f>
        <v>1</v>
      </c>
      <c r="AE206" s="58">
        <f>SUM(AE201:AE205)</f>
        <v>1</v>
      </c>
      <c r="AW206" s="146"/>
    </row>
    <row r="207" spans="1:49" s="54" customFormat="1" ht="25.5" hidden="1" customHeight="1" x14ac:dyDescent="0.2">
      <c r="A207" s="57" t="s">
        <v>60</v>
      </c>
      <c r="B207" s="54">
        <f>IF(B206&gt;D206,IF(C241=AK177,1,IF(C241=AK177-1,1,0)),0)</f>
        <v>1</v>
      </c>
      <c r="C207" s="54">
        <f>B207+D207</f>
        <v>1</v>
      </c>
      <c r="D207" s="58">
        <f>IF(D206&gt;B206,IF(C241=AK177,1,IF(C241=AK177-1,1,0)),0)</f>
        <v>0</v>
      </c>
      <c r="E207" s="54">
        <f>IF(E206&gt;G206,IF(F241=AK177,1,IF(F241=AK177-1,1,0)),0)</f>
        <v>0</v>
      </c>
      <c r="F207" s="54">
        <f>E207+G207</f>
        <v>1</v>
      </c>
      <c r="G207" s="58">
        <f>IF(G206&gt;E206,IF(F241=AK177,1,IF(F241=AK177-1,1,0)),0)</f>
        <v>1</v>
      </c>
      <c r="H207" s="54">
        <f>IF(H206&gt;J206,IF(I241=AK177,1,IF(I241=AK177-1,1,0)),0)</f>
        <v>0</v>
      </c>
      <c r="I207" s="54">
        <f>H207+J207</f>
        <v>0</v>
      </c>
      <c r="J207" s="58">
        <f>IF(J206&gt;H206,IF(I241=AK177,1,IF(I241=AK177-1,1,0)),0)</f>
        <v>0</v>
      </c>
      <c r="K207" s="54">
        <f>IF(K206&gt;M206,IF(L241=AK177,1,IF(L241=AK177-1,1,0)),0)</f>
        <v>0</v>
      </c>
      <c r="L207" s="54">
        <f>K207+M207</f>
        <v>0</v>
      </c>
      <c r="M207" s="58">
        <f>IF(M206&gt;K206,IF(L241=AK177,1,IF(L241=AK177-1,1,0)),0)</f>
        <v>0</v>
      </c>
      <c r="N207" s="54">
        <f>IF(N206&gt;P206,IF(O241=AK177,1,IF(O241=AK177-1,1,0)),0)</f>
        <v>1</v>
      </c>
      <c r="O207" s="54">
        <f>N207+P207</f>
        <v>1</v>
      </c>
      <c r="P207" s="58">
        <f>IF(P206&gt;N206,IF(O241=AK177,1,IF(O241=AK177-1,1,0)),0)</f>
        <v>0</v>
      </c>
      <c r="Q207" s="54">
        <f>IF(Q206&gt;S206,IF(R241=AK177,1,IF(R241=AK177-1,1,0)),0)</f>
        <v>1</v>
      </c>
      <c r="R207" s="54">
        <f>Q207+S207</f>
        <v>1</v>
      </c>
      <c r="S207" s="58">
        <f>IF(S206&gt;Q206,IF(R241=AK177,1,IF(R241=AK177-1,1,0)),0)</f>
        <v>0</v>
      </c>
      <c r="T207" s="54">
        <f>IF(T206&gt;V206,IF(U241=AK177,1,IF(U241=AK177-1,1,0)),0)</f>
        <v>1</v>
      </c>
      <c r="U207" s="54">
        <f>T207+V207</f>
        <v>1</v>
      </c>
      <c r="V207" s="58">
        <f>IF(V206&gt;T206,IF(U241=AK177,1,IF(U241=AK177-1,1,0)),0)</f>
        <v>0</v>
      </c>
      <c r="W207" s="54">
        <f>IF(W206&gt;Y206,IF(X241=AK177,1,IF(X241=AK177-1,1,0)),0)</f>
        <v>1</v>
      </c>
      <c r="X207" s="54">
        <f>W207+Y207</f>
        <v>1</v>
      </c>
      <c r="Y207" s="58">
        <f>IF(Y206&gt;W206,IF(X241=AK177,1,IF(X241=AK177-1,1,0)),0)</f>
        <v>0</v>
      </c>
      <c r="Z207" s="54">
        <f>IF(Z206&gt;AB206,IF(AA241=AK177,1,IF(AA241=AK177-1,1,0)),0)</f>
        <v>0</v>
      </c>
      <c r="AA207" s="54">
        <f>Z207+AB207</f>
        <v>1</v>
      </c>
      <c r="AB207" s="58">
        <f>IF(AB206&gt;Z206,IF(AA241=AK177,1,IF(AA241=AK177-1,1,0)),0)</f>
        <v>1</v>
      </c>
      <c r="AC207" s="54">
        <f>IF(AC206&gt;AE206,IF(AD241=AK177,1,IF(AD241=AK177-1,1,0)),0)</f>
        <v>0</v>
      </c>
      <c r="AD207" s="54">
        <f>AC207+AE207</f>
        <v>0</v>
      </c>
      <c r="AE207" s="58">
        <f>IF(AE206&gt;AC206,IF(AD241=AK177,1,IF(AD241=AK177-1,1,0)),0)</f>
        <v>0</v>
      </c>
      <c r="AW207" s="146"/>
    </row>
    <row r="208" spans="1:49" s="54" customFormat="1" ht="25.5" hidden="1" customHeight="1" x14ac:dyDescent="0.2">
      <c r="A208" s="57"/>
      <c r="D208" s="58"/>
      <c r="G208" s="58"/>
      <c r="J208" s="58"/>
      <c r="M208" s="58"/>
      <c r="P208" s="58"/>
      <c r="S208" s="58"/>
      <c r="V208" s="58"/>
      <c r="Y208" s="58"/>
      <c r="AB208" s="58"/>
      <c r="AE208" s="58"/>
      <c r="AW208" s="146"/>
    </row>
    <row r="209" spans="1:49" s="54" customFormat="1" ht="12.75" hidden="1" customHeight="1" x14ac:dyDescent="0.2">
      <c r="A209" s="54" t="s">
        <v>61</v>
      </c>
      <c r="B209" s="54">
        <f>IF(B201=1,B195,0)</f>
        <v>25</v>
      </c>
      <c r="D209" s="58">
        <f t="shared" ref="D209:E213" si="21">IF(D201=1,D195,0)</f>
        <v>0</v>
      </c>
      <c r="E209" s="54">
        <f t="shared" si="21"/>
        <v>0</v>
      </c>
      <c r="G209" s="58">
        <f t="shared" ref="G209:H213" si="22">IF(G201=1,G195,0)</f>
        <v>25</v>
      </c>
      <c r="H209" s="54">
        <f t="shared" si="22"/>
        <v>25</v>
      </c>
      <c r="J209" s="58">
        <f t="shared" ref="J209:K213" si="23">IF(J201=1,J195,0)</f>
        <v>0</v>
      </c>
      <c r="K209" s="54">
        <f t="shared" si="23"/>
        <v>0</v>
      </c>
      <c r="M209" s="58">
        <f t="shared" ref="M209:N213" si="24">IF(M201=1,M195,0)</f>
        <v>25</v>
      </c>
      <c r="N209" s="54">
        <f t="shared" si="24"/>
        <v>25</v>
      </c>
      <c r="P209" s="58">
        <f t="shared" ref="P209:Q213" si="25">IF(P201=1,P195,0)</f>
        <v>0</v>
      </c>
      <c r="Q209" s="54">
        <f t="shared" si="25"/>
        <v>25</v>
      </c>
      <c r="S209" s="58">
        <f t="shared" ref="S209:T213" si="26">IF(S201=1,S195,0)</f>
        <v>0</v>
      </c>
      <c r="T209" s="54">
        <f t="shared" si="26"/>
        <v>25</v>
      </c>
      <c r="V209" s="58">
        <f t="shared" ref="V209:W213" si="27">IF(V201=1,V195,0)</f>
        <v>0</v>
      </c>
      <c r="W209" s="54">
        <f t="shared" si="27"/>
        <v>25</v>
      </c>
      <c r="Y209" s="58">
        <f t="shared" ref="Y209:Z213" si="28">IF(Y201=1,Y195,0)</f>
        <v>0</v>
      </c>
      <c r="Z209" s="54">
        <f t="shared" si="28"/>
        <v>0</v>
      </c>
      <c r="AB209" s="58">
        <f t="shared" ref="AB209:AC213" si="29">IF(AB201=1,AB195,0)</f>
        <v>25</v>
      </c>
      <c r="AC209" s="54">
        <f t="shared" si="29"/>
        <v>0</v>
      </c>
      <c r="AE209" s="58">
        <f>IF(AE201=1,AE195,0)</f>
        <v>25</v>
      </c>
      <c r="AW209" s="146"/>
    </row>
    <row r="210" spans="1:49" s="54" customFormat="1" ht="12.75" hidden="1" customHeight="1" x14ac:dyDescent="0.2">
      <c r="A210" s="54" t="s">
        <v>62</v>
      </c>
      <c r="B210" s="54">
        <f>IF(B202=1,B196,0)</f>
        <v>25</v>
      </c>
      <c r="D210" s="58">
        <f t="shared" si="21"/>
        <v>0</v>
      </c>
      <c r="E210" s="54">
        <f t="shared" si="21"/>
        <v>0</v>
      </c>
      <c r="G210" s="58">
        <f t="shared" si="22"/>
        <v>25</v>
      </c>
      <c r="H210" s="54">
        <f t="shared" si="22"/>
        <v>0</v>
      </c>
      <c r="J210" s="58">
        <f t="shared" si="23"/>
        <v>26</v>
      </c>
      <c r="K210" s="54">
        <f t="shared" si="23"/>
        <v>25</v>
      </c>
      <c r="M210" s="58">
        <f t="shared" si="24"/>
        <v>0</v>
      </c>
      <c r="N210" s="54">
        <f t="shared" si="24"/>
        <v>25</v>
      </c>
      <c r="P210" s="58">
        <f t="shared" si="25"/>
        <v>0</v>
      </c>
      <c r="Q210" s="54">
        <f t="shared" si="25"/>
        <v>25</v>
      </c>
      <c r="S210" s="58">
        <f t="shared" si="26"/>
        <v>0</v>
      </c>
      <c r="T210" s="54">
        <f t="shared" si="26"/>
        <v>25</v>
      </c>
      <c r="V210" s="58">
        <f t="shared" si="27"/>
        <v>0</v>
      </c>
      <c r="W210" s="54">
        <f t="shared" si="27"/>
        <v>25</v>
      </c>
      <c r="Y210" s="58">
        <f t="shared" si="28"/>
        <v>0</v>
      </c>
      <c r="Z210" s="54">
        <f t="shared" si="28"/>
        <v>0</v>
      </c>
      <c r="AB210" s="58">
        <f t="shared" si="29"/>
        <v>25</v>
      </c>
      <c r="AC210" s="54">
        <f t="shared" si="29"/>
        <v>25</v>
      </c>
      <c r="AE210" s="58">
        <f>IF(AE202=1,AE196,0)</f>
        <v>0</v>
      </c>
      <c r="AW210" s="146"/>
    </row>
    <row r="211" spans="1:49" s="54" customFormat="1" ht="12.75" hidden="1" customHeight="1" x14ac:dyDescent="0.2">
      <c r="A211" s="54" t="s">
        <v>63</v>
      </c>
      <c r="B211" s="54">
        <f>IF(B203=1,B197,0)</f>
        <v>0</v>
      </c>
      <c r="D211" s="58">
        <f t="shared" si="21"/>
        <v>0</v>
      </c>
      <c r="E211" s="54">
        <f t="shared" si="21"/>
        <v>0</v>
      </c>
      <c r="G211" s="58">
        <f t="shared" si="22"/>
        <v>0</v>
      </c>
      <c r="H211" s="54">
        <f t="shared" si="22"/>
        <v>0</v>
      </c>
      <c r="J211" s="58">
        <f t="shared" si="23"/>
        <v>0</v>
      </c>
      <c r="K211" s="54">
        <f t="shared" si="23"/>
        <v>0</v>
      </c>
      <c r="M211" s="58">
        <f t="shared" si="24"/>
        <v>0</v>
      </c>
      <c r="N211" s="54">
        <f t="shared" si="24"/>
        <v>0</v>
      </c>
      <c r="P211" s="58">
        <f t="shared" si="25"/>
        <v>0</v>
      </c>
      <c r="Q211" s="54">
        <f t="shared" si="25"/>
        <v>0</v>
      </c>
      <c r="S211" s="58">
        <f t="shared" si="26"/>
        <v>0</v>
      </c>
      <c r="T211" s="54">
        <f t="shared" si="26"/>
        <v>0</v>
      </c>
      <c r="V211" s="58">
        <f t="shared" si="27"/>
        <v>0</v>
      </c>
      <c r="W211" s="54">
        <f t="shared" si="27"/>
        <v>0</v>
      </c>
      <c r="Y211" s="58">
        <f t="shared" si="28"/>
        <v>0</v>
      </c>
      <c r="Z211" s="54">
        <f t="shared" si="28"/>
        <v>0</v>
      </c>
      <c r="AB211" s="58">
        <f t="shared" si="29"/>
        <v>0</v>
      </c>
      <c r="AC211" s="54">
        <f t="shared" si="29"/>
        <v>0</v>
      </c>
      <c r="AE211" s="58">
        <f>IF(AE203=1,AE197,0)</f>
        <v>0</v>
      </c>
      <c r="AW211" s="146"/>
    </row>
    <row r="212" spans="1:49" s="54" customFormat="1" ht="12.75" hidden="1" customHeight="1" x14ac:dyDescent="0.2">
      <c r="A212" s="54" t="s">
        <v>64</v>
      </c>
      <c r="B212" s="54">
        <f>IF(B204=1,B198,0)</f>
        <v>0</v>
      </c>
      <c r="D212" s="58">
        <f t="shared" si="21"/>
        <v>0</v>
      </c>
      <c r="E212" s="54">
        <f t="shared" si="21"/>
        <v>0</v>
      </c>
      <c r="G212" s="58">
        <f t="shared" si="22"/>
        <v>0</v>
      </c>
      <c r="H212" s="54">
        <f t="shared" si="22"/>
        <v>0</v>
      </c>
      <c r="J212" s="58">
        <f t="shared" si="23"/>
        <v>0</v>
      </c>
      <c r="K212" s="54">
        <f t="shared" si="23"/>
        <v>0</v>
      </c>
      <c r="M212" s="58">
        <f t="shared" si="24"/>
        <v>0</v>
      </c>
      <c r="N212" s="54">
        <f t="shared" si="24"/>
        <v>0</v>
      </c>
      <c r="P212" s="58">
        <f t="shared" si="25"/>
        <v>0</v>
      </c>
      <c r="Q212" s="54">
        <f t="shared" si="25"/>
        <v>0</v>
      </c>
      <c r="S212" s="58">
        <f t="shared" si="26"/>
        <v>0</v>
      </c>
      <c r="T212" s="54">
        <f t="shared" si="26"/>
        <v>0</v>
      </c>
      <c r="V212" s="58">
        <f t="shared" si="27"/>
        <v>0</v>
      </c>
      <c r="W212" s="54">
        <f t="shared" si="27"/>
        <v>0</v>
      </c>
      <c r="Y212" s="58">
        <f t="shared" si="28"/>
        <v>0</v>
      </c>
      <c r="Z212" s="54">
        <f t="shared" si="28"/>
        <v>0</v>
      </c>
      <c r="AB212" s="58">
        <f t="shared" si="29"/>
        <v>0</v>
      </c>
      <c r="AC212" s="54">
        <f t="shared" si="29"/>
        <v>0</v>
      </c>
      <c r="AE212" s="58">
        <f>IF(AE204=1,AE198,0)</f>
        <v>0</v>
      </c>
      <c r="AW212" s="146"/>
    </row>
    <row r="213" spans="1:49" s="54" customFormat="1" ht="12.75" hidden="1" customHeight="1" x14ac:dyDescent="0.2">
      <c r="A213" s="54" t="s">
        <v>65</v>
      </c>
      <c r="B213" s="54">
        <f>IF(B205=1,B199,0)</f>
        <v>0</v>
      </c>
      <c r="D213" s="58">
        <f t="shared" si="21"/>
        <v>0</v>
      </c>
      <c r="E213" s="54">
        <f t="shared" si="21"/>
        <v>0</v>
      </c>
      <c r="G213" s="58">
        <f t="shared" si="22"/>
        <v>0</v>
      </c>
      <c r="H213" s="54">
        <f t="shared" si="22"/>
        <v>0</v>
      </c>
      <c r="J213" s="58">
        <f t="shared" si="23"/>
        <v>0</v>
      </c>
      <c r="K213" s="54">
        <f t="shared" si="23"/>
        <v>0</v>
      </c>
      <c r="M213" s="58">
        <f t="shared" si="24"/>
        <v>0</v>
      </c>
      <c r="N213" s="54">
        <f t="shared" si="24"/>
        <v>0</v>
      </c>
      <c r="P213" s="58">
        <f t="shared" si="25"/>
        <v>0</v>
      </c>
      <c r="Q213" s="54">
        <f t="shared" si="25"/>
        <v>0</v>
      </c>
      <c r="S213" s="58">
        <f t="shared" si="26"/>
        <v>0</v>
      </c>
      <c r="T213" s="54">
        <f t="shared" si="26"/>
        <v>0</v>
      </c>
      <c r="V213" s="58">
        <f t="shared" si="27"/>
        <v>0</v>
      </c>
      <c r="W213" s="54">
        <f t="shared" si="27"/>
        <v>0</v>
      </c>
      <c r="Y213" s="58">
        <f t="shared" si="28"/>
        <v>0</v>
      </c>
      <c r="Z213" s="54">
        <f t="shared" si="28"/>
        <v>0</v>
      </c>
      <c r="AB213" s="58">
        <f t="shared" si="29"/>
        <v>0</v>
      </c>
      <c r="AC213" s="54">
        <f t="shared" si="29"/>
        <v>0</v>
      </c>
      <c r="AE213" s="58">
        <f>IF(AE205=1,AE199,0)</f>
        <v>0</v>
      </c>
      <c r="AW213" s="146"/>
    </row>
    <row r="214" spans="1:49" s="54" customFormat="1" ht="38.25" hidden="1" customHeight="1" x14ac:dyDescent="0.2">
      <c r="A214" s="57" t="s">
        <v>66</v>
      </c>
      <c r="B214" s="54">
        <f>SUM(B209:D213)</f>
        <v>50</v>
      </c>
      <c r="D214" s="58"/>
      <c r="E214" s="54">
        <f>SUM(E209:G213)</f>
        <v>50</v>
      </c>
      <c r="G214" s="58"/>
      <c r="H214" s="54">
        <f>SUM(H209:J213)</f>
        <v>51</v>
      </c>
      <c r="J214" s="58"/>
      <c r="K214" s="54">
        <f>SUM(K209:M213)</f>
        <v>50</v>
      </c>
      <c r="M214" s="58"/>
      <c r="N214" s="54">
        <f>SUM(N209:P213)</f>
        <v>50</v>
      </c>
      <c r="P214" s="58"/>
      <c r="Q214" s="54">
        <f>SUM(Q209:S213)</f>
        <v>50</v>
      </c>
      <c r="S214" s="58"/>
      <c r="T214" s="54">
        <f>SUM(T209:V213)</f>
        <v>50</v>
      </c>
      <c r="V214" s="58"/>
      <c r="W214" s="54">
        <f>SUM(W209:Y213)</f>
        <v>50</v>
      </c>
      <c r="Y214" s="58"/>
      <c r="Z214" s="54">
        <f>SUM(Z209:AB213)</f>
        <v>50</v>
      </c>
      <c r="AB214" s="58"/>
      <c r="AC214" s="54">
        <f>SUM(AC209:AE213)</f>
        <v>50</v>
      </c>
      <c r="AE214" s="58"/>
      <c r="AW214" s="146"/>
    </row>
    <row r="215" spans="1:49" s="54" customFormat="1" ht="38.25" hidden="1" customHeight="1" x14ac:dyDescent="0.2">
      <c r="A215" s="54" t="s">
        <v>67</v>
      </c>
      <c r="D215" s="58"/>
      <c r="G215" s="58"/>
      <c r="J215" s="58"/>
      <c r="M215" s="58"/>
      <c r="P215" s="58"/>
      <c r="S215" s="58"/>
      <c r="V215" s="58"/>
      <c r="Y215" s="58"/>
      <c r="AB215" s="58"/>
      <c r="AE215" s="58"/>
      <c r="AF215" s="57" t="s">
        <v>68</v>
      </c>
      <c r="AG215" s="54" t="s">
        <v>69</v>
      </c>
      <c r="AW215" s="146"/>
    </row>
    <row r="216" spans="1:49" s="54" customFormat="1" ht="12.75" hidden="1" customHeight="1" x14ac:dyDescent="0.2">
      <c r="A216" s="54" t="s">
        <v>70</v>
      </c>
      <c r="B216" s="54">
        <f>IF(B194=1,IF(B207=1,1,0),0)</f>
        <v>0</v>
      </c>
      <c r="D216" s="58">
        <f>IF(D194=1,IF(D207=1,1,0),0)</f>
        <v>0</v>
      </c>
      <c r="E216" s="54">
        <f>IF(E194=1,IF(E207=1,1,0),0)</f>
        <v>0</v>
      </c>
      <c r="G216" s="58">
        <f>IF(G194=1,IF(G207=1,1,0),0)</f>
        <v>0</v>
      </c>
      <c r="H216" s="54">
        <f>IF(H194=1,IF(H207=1,1,0),0)</f>
        <v>0</v>
      </c>
      <c r="J216" s="58">
        <f>IF(J194=1,IF(J207=1,1,0),0)</f>
        <v>0</v>
      </c>
      <c r="K216" s="54">
        <f>IF(K194=1,IF(K207=1,1,0),0)</f>
        <v>0</v>
      </c>
      <c r="M216" s="58">
        <f>IF(M194=1,IF(M207=1,1,0),0)</f>
        <v>0</v>
      </c>
      <c r="N216" s="54">
        <f>IF(N194=1,IF(N207=1,1,0),0)</f>
        <v>1</v>
      </c>
      <c r="P216" s="58">
        <f>IF(P194=1,IF(P207=1,1,0),0)</f>
        <v>0</v>
      </c>
      <c r="Q216" s="54">
        <f>IF(Q194=1,IF(Q207=1,1,0),0)</f>
        <v>0</v>
      </c>
      <c r="S216" s="58">
        <f>IF(S194=1,IF(S207=1,1,0),0)</f>
        <v>0</v>
      </c>
      <c r="T216" s="54">
        <f>IF(T194=1,IF(T207=1,1,0),0)</f>
        <v>0</v>
      </c>
      <c r="V216" s="58">
        <f>IF(V194=1,IF(V207=1,1,0),0)</f>
        <v>0</v>
      </c>
      <c r="W216" s="54">
        <f>IF(W194=1,IF(W207=1,1,0),0)</f>
        <v>1</v>
      </c>
      <c r="Y216" s="58">
        <f>IF(Y194=1,IF(Y207=1,1,0),0)</f>
        <v>0</v>
      </c>
      <c r="Z216" s="54">
        <f>IF(Z194=1,IF(Z207=1,1,0),0)</f>
        <v>0</v>
      </c>
      <c r="AB216" s="58">
        <f>IF(AB194=1,IF(AB207=1,1,0),0)</f>
        <v>0</v>
      </c>
      <c r="AC216" s="54">
        <f>IF(AC194=1,IF(AC207=1,1,0),0)</f>
        <v>0</v>
      </c>
      <c r="AE216" s="58">
        <f>IF(AE194=1,IF(AE207=1,1,0),0)</f>
        <v>0</v>
      </c>
      <c r="AF216" s="54">
        <f>SUM(B216:AE216)</f>
        <v>2</v>
      </c>
      <c r="AG216" s="54">
        <f>AF222-AF216</f>
        <v>1</v>
      </c>
      <c r="AW216" s="146"/>
    </row>
    <row r="217" spans="1:49" s="54" customFormat="1" ht="12.75" hidden="1" customHeight="1" x14ac:dyDescent="0.2">
      <c r="A217" s="54" t="s">
        <v>71</v>
      </c>
      <c r="B217" s="54">
        <f>IF(B194=2,IF(B207=1,1,0),0)</f>
        <v>1</v>
      </c>
      <c r="D217" s="58">
        <f>IF(D194=2,IF(D207=1,1,0),0)</f>
        <v>0</v>
      </c>
      <c r="E217" s="54">
        <f>IF(E194=2,IF(E207=1,1,0),0)</f>
        <v>0</v>
      </c>
      <c r="G217" s="58">
        <f>IF(G194=2,IF(G207=1,1,0),0)</f>
        <v>0</v>
      </c>
      <c r="H217" s="54">
        <f>IF(H194=2,IF(H207=1,1,0),0)</f>
        <v>0</v>
      </c>
      <c r="J217" s="58">
        <f>IF(J194=2,IF(J207=1,1,0),0)</f>
        <v>0</v>
      </c>
      <c r="K217" s="54">
        <f>IF(K194=2,IF(K207=1,1,0),0)</f>
        <v>0</v>
      </c>
      <c r="M217" s="58">
        <f>IF(M194=2,IF(M207=1,1,0),0)</f>
        <v>0</v>
      </c>
      <c r="N217" s="54">
        <f>IF(N194=2,IF(N207=1,1,0),0)</f>
        <v>0</v>
      </c>
      <c r="P217" s="58">
        <f>IF(P194=2,IF(P207=1,1,0),0)</f>
        <v>0</v>
      </c>
      <c r="Q217" s="54">
        <f>IF(Q194=2,IF(Q207=1,1,0),0)</f>
        <v>0</v>
      </c>
      <c r="S217" s="58">
        <f>IF(S194=2,IF(S207=1,1,0),0)</f>
        <v>0</v>
      </c>
      <c r="T217" s="54">
        <f>IF(T194=2,IF(T207=1,1,0),0)</f>
        <v>1</v>
      </c>
      <c r="V217" s="58">
        <f>IF(V194=2,IF(V207=1,1,0),0)</f>
        <v>0</v>
      </c>
      <c r="W217" s="54">
        <f>IF(W194=2,IF(W207=1,1,0),0)</f>
        <v>0</v>
      </c>
      <c r="Y217" s="58">
        <f>IF(Y194=2,IF(Y207=1,1,0),0)</f>
        <v>0</v>
      </c>
      <c r="Z217" s="54">
        <f>IF(Z194=2,IF(Z207=1,1,0),0)</f>
        <v>0</v>
      </c>
      <c r="AB217" s="58">
        <f>IF(AB194=2,IF(AB207=1,1,0),0)</f>
        <v>0</v>
      </c>
      <c r="AC217" s="54">
        <f>IF(AC194=2,IF(AC207=1,1,0),0)</f>
        <v>0</v>
      </c>
      <c r="AE217" s="58">
        <f>IF(AE194=2,IF(AE207=1,1,0),0)</f>
        <v>0</v>
      </c>
      <c r="AF217" s="54">
        <f>SUM(B217:AE217)</f>
        <v>2</v>
      </c>
      <c r="AG217" s="54">
        <f>AF223-AF217</f>
        <v>0</v>
      </c>
      <c r="AW217" s="146"/>
    </row>
    <row r="218" spans="1:49" s="54" customFormat="1" ht="12.75" hidden="1" customHeight="1" x14ac:dyDescent="0.2">
      <c r="A218" s="54" t="s">
        <v>72</v>
      </c>
      <c r="B218" s="54">
        <f>IF(B194=3,IF(B207=1,1,0),0)</f>
        <v>0</v>
      </c>
      <c r="D218" s="58">
        <f>IF(D194=3,IF(D207=1,1,0),0)</f>
        <v>0</v>
      </c>
      <c r="E218" s="54">
        <f>IF(E194=3,IF(E207=1,1,0),0)</f>
        <v>0</v>
      </c>
      <c r="G218" s="58">
        <f>IF(G194=3,IF(G207=1,1,0),0)</f>
        <v>0</v>
      </c>
      <c r="H218" s="54">
        <f>IF(H194=3,IF(H207=1,1,0),0)</f>
        <v>0</v>
      </c>
      <c r="J218" s="58">
        <f>IF(J194=3,IF(J207=1,1,0),0)</f>
        <v>0</v>
      </c>
      <c r="K218" s="54">
        <f>IF(K194=3,IF(K207=1,1,0),0)</f>
        <v>0</v>
      </c>
      <c r="M218" s="58">
        <f>IF(M194=3,IF(M207=1,1,0),0)</f>
        <v>0</v>
      </c>
      <c r="N218" s="54">
        <f>IF(N194=3,IF(N207=1,1,0),0)</f>
        <v>0</v>
      </c>
      <c r="P218" s="58">
        <f>IF(P194=3,IF(P207=1,1,0),0)</f>
        <v>0</v>
      </c>
      <c r="Q218" s="54">
        <f>IF(Q194=3,IF(Q207=1,1,0),0)</f>
        <v>0</v>
      </c>
      <c r="S218" s="58">
        <f>IF(S194=3,IF(S207=1,1,0),0)</f>
        <v>0</v>
      </c>
      <c r="T218" s="54">
        <f>IF(T194=3,IF(T207=1,1,0),0)</f>
        <v>0</v>
      </c>
      <c r="V218" s="58">
        <f>IF(V194=3,IF(V207=1,1,0),0)</f>
        <v>0</v>
      </c>
      <c r="W218" s="54">
        <f>IF(W194=3,IF(W207=1,1,0),0)</f>
        <v>0</v>
      </c>
      <c r="Y218" s="58">
        <f>IF(Y194=3,IF(Y207=1,1,0),0)</f>
        <v>0</v>
      </c>
      <c r="Z218" s="54">
        <f>IF(Z194=3,IF(Z207=1,1,0),0)</f>
        <v>0</v>
      </c>
      <c r="AB218" s="58">
        <f>IF(AB194=3,IF(AB207=1,1,0),0)</f>
        <v>0</v>
      </c>
      <c r="AC218" s="54">
        <f>IF(AC194=3,IF(AC207=1,1,0),0)</f>
        <v>0</v>
      </c>
      <c r="AE218" s="58">
        <f>IF(AE194=3,IF(AE207=1,1,0),0)</f>
        <v>0</v>
      </c>
      <c r="AF218" s="54">
        <f>SUM(B218:AE218)</f>
        <v>0</v>
      </c>
      <c r="AG218" s="54">
        <f>AF224-AF218</f>
        <v>3</v>
      </c>
      <c r="AW218" s="146"/>
    </row>
    <row r="219" spans="1:49" s="54" customFormat="1" ht="12.75" hidden="1" customHeight="1" x14ac:dyDescent="0.2">
      <c r="A219" s="54" t="s">
        <v>73</v>
      </c>
      <c r="B219" s="54">
        <f>IF(B194=4,IF(B207=1,1,0),0)</f>
        <v>0</v>
      </c>
      <c r="D219" s="58">
        <f>IF(D194=4,IF(D207=1,1,0),0)</f>
        <v>0</v>
      </c>
      <c r="E219" s="54">
        <f>IF(E194=4,IF(E207=1,1,0),0)</f>
        <v>0</v>
      </c>
      <c r="G219" s="58">
        <f>IF(G194=4,IF(G207=1,1,0),0)</f>
        <v>1</v>
      </c>
      <c r="H219" s="54">
        <f>IF(H194=4,IF(H207=1,1,0),0)</f>
        <v>0</v>
      </c>
      <c r="J219" s="58">
        <f>IF(J194=4,IF(J207=1,1,0),0)</f>
        <v>0</v>
      </c>
      <c r="K219" s="54">
        <f>IF(K194=4,IF(K207=1,1,0),0)</f>
        <v>0</v>
      </c>
      <c r="M219" s="58">
        <f>IF(M194=4,IF(M207=1,1,0),0)</f>
        <v>0</v>
      </c>
      <c r="N219" s="54">
        <f>IF(N194=4,IF(N207=1,1,0),0)</f>
        <v>0</v>
      </c>
      <c r="P219" s="58">
        <f>IF(P194=4,IF(P207=1,1,0),0)</f>
        <v>0</v>
      </c>
      <c r="Q219" s="54">
        <f>IF(Q194=4,IF(Q207=1,1,0),0)</f>
        <v>1</v>
      </c>
      <c r="S219" s="58">
        <f>IF(S194=4,IF(S207=1,1,0),0)</f>
        <v>0</v>
      </c>
      <c r="T219" s="54">
        <f>IF(T194=4,IF(T207=1,1,0),0)</f>
        <v>0</v>
      </c>
      <c r="V219" s="58">
        <f>IF(V194=4,IF(V207=1,1,0),0)</f>
        <v>0</v>
      </c>
      <c r="W219" s="54">
        <f>IF(W194=4,IF(W207=1,1,0),0)</f>
        <v>0</v>
      </c>
      <c r="Y219" s="58">
        <f>IF(Y194=4,IF(Y207=1,1,0),0)</f>
        <v>0</v>
      </c>
      <c r="Z219" s="54">
        <f>IF(Z194=4,IF(Z207=1,1,0),0)</f>
        <v>0</v>
      </c>
      <c r="AB219" s="58">
        <f>IF(AB194=4,IF(AB207=1,1,0),0)</f>
        <v>1</v>
      </c>
      <c r="AC219" s="54">
        <f>IF(AC194=4,IF(AC207=1,1,0),0)</f>
        <v>0</v>
      </c>
      <c r="AE219" s="58">
        <f>IF(AE194=4,IF(AE207=1,1,0),0)</f>
        <v>0</v>
      </c>
      <c r="AF219" s="54">
        <f>SUM(B219:AE219)</f>
        <v>3</v>
      </c>
      <c r="AG219" s="54">
        <f>AF225-AF219</f>
        <v>0</v>
      </c>
      <c r="AW219" s="146"/>
    </row>
    <row r="220" spans="1:49" s="54" customFormat="1" ht="12.75" hidden="1" customHeight="1" x14ac:dyDescent="0.2">
      <c r="A220" s="54" t="s">
        <v>74</v>
      </c>
      <c r="B220" s="54">
        <f>IF(B194=5,IF(B207=1,1,0),0)</f>
        <v>0</v>
      </c>
      <c r="D220" s="58">
        <f>IF(D194=5,IF(D207=1,1,0),0)</f>
        <v>0</v>
      </c>
      <c r="E220" s="54">
        <f>IF(E194=5,IF(E207=1,1,0),0)</f>
        <v>0</v>
      </c>
      <c r="G220" s="58">
        <f>IF(G194=5,IF(G207=1,1,0),0)</f>
        <v>0</v>
      </c>
      <c r="H220" s="54">
        <f>IF(H194=5,IF(H207=1,1,0),0)</f>
        <v>0</v>
      </c>
      <c r="J220" s="58">
        <f>IF(J194=5,IF(J207=1,1,0),0)</f>
        <v>0</v>
      </c>
      <c r="K220" s="54">
        <f>IF(K194=5,IF(K207=1,1,0),0)</f>
        <v>0</v>
      </c>
      <c r="M220" s="58">
        <f>IF(M194=5,IF(M207=1,1,0),0)</f>
        <v>0</v>
      </c>
      <c r="N220" s="54">
        <f>IF(N194=5,IF(N207=1,1,0),0)</f>
        <v>0</v>
      </c>
      <c r="P220" s="58">
        <f>IF(P194=5,IF(P207=1,1,0),0)</f>
        <v>0</v>
      </c>
      <c r="Q220" s="54">
        <f>IF(Q194=5,IF(Q207=1,1,0),0)</f>
        <v>0</v>
      </c>
      <c r="S220" s="58">
        <f>IF(S194=5,IF(S207=1,1,0),0)</f>
        <v>0</v>
      </c>
      <c r="T220" s="54">
        <f>IF(T194=5,IF(T207=1,1,0),0)</f>
        <v>0</v>
      </c>
      <c r="V220" s="58">
        <f>IF(V194=5,IF(V207=1,1,0),0)</f>
        <v>0</v>
      </c>
      <c r="W220" s="54">
        <f>IF(W194=5,IF(W207=1,1,0),0)</f>
        <v>0</v>
      </c>
      <c r="Y220" s="58">
        <f>IF(Y194=5,IF(Y207=1,1,0),0)</f>
        <v>0</v>
      </c>
      <c r="Z220" s="54">
        <f>IF(Z194=5,IF(Z207=1,1,0),0)</f>
        <v>0</v>
      </c>
      <c r="AB220" s="58">
        <f>IF(AB194=5,IF(AB207=1,1,0),0)</f>
        <v>0</v>
      </c>
      <c r="AC220" s="54">
        <f>IF(AC194=5,IF(AC207=1,1,0),0)</f>
        <v>0</v>
      </c>
      <c r="AE220" s="58">
        <f>IF(AE194=5,IF(AE207=1,1,0),0)</f>
        <v>0</v>
      </c>
      <c r="AF220" s="54">
        <f>SUM(B220:AE220)</f>
        <v>0</v>
      </c>
      <c r="AG220" s="54">
        <f>AF226-AF220</f>
        <v>3</v>
      </c>
      <c r="AW220" s="146"/>
    </row>
    <row r="221" spans="1:49" s="54" customFormat="1" ht="38.25" hidden="1" customHeight="1" x14ac:dyDescent="0.2">
      <c r="A221" s="57"/>
      <c r="D221" s="58"/>
      <c r="G221" s="58"/>
      <c r="J221" s="58"/>
      <c r="M221" s="58"/>
      <c r="P221" s="58"/>
      <c r="S221" s="58"/>
      <c r="V221" s="58"/>
      <c r="Y221" s="58"/>
      <c r="AB221" s="58"/>
      <c r="AE221" s="58"/>
      <c r="AF221" s="57" t="s">
        <v>75</v>
      </c>
      <c r="AW221" s="146"/>
    </row>
    <row r="222" spans="1:49" s="54" customFormat="1" ht="12.75" hidden="1" customHeight="1" x14ac:dyDescent="0.2">
      <c r="A222" s="54" t="s">
        <v>76</v>
      </c>
      <c r="B222" s="54">
        <f>IF(B194=1,IF(C207=1,1,0),0)</f>
        <v>0</v>
      </c>
      <c r="D222" s="58">
        <f>IF(D194=1,IF(C207=1,1,0),0)</f>
        <v>0</v>
      </c>
      <c r="E222" s="54">
        <f>IF(E194=1,IF(F207=1,1,0),0)</f>
        <v>1</v>
      </c>
      <c r="G222" s="58">
        <f>IF(G194=1,IF(F207=1,1,0),0)</f>
        <v>0</v>
      </c>
      <c r="H222" s="54">
        <f>IF(H194=1,IF(I207=1,1,0),0)</f>
        <v>0</v>
      </c>
      <c r="J222" s="58">
        <f>IF(J194=1,IF(I207=1,1,0),0)</f>
        <v>0</v>
      </c>
      <c r="K222" s="54">
        <f>IF(K194=1,IF(L207=1,1,0),0)</f>
        <v>0</v>
      </c>
      <c r="M222" s="58">
        <f>IF(M194=1,IF(L207=1,1,0),0)</f>
        <v>0</v>
      </c>
      <c r="N222" s="54">
        <f>IF(N194=1,IF(O207=1,1,0),0)</f>
        <v>1</v>
      </c>
      <c r="P222" s="58">
        <f>IF(P194=1,IF(O207=1,1,0),0)</f>
        <v>0</v>
      </c>
      <c r="Q222" s="54">
        <f>IF(Q194=1,IF(R207=1,1,0),0)</f>
        <v>0</v>
      </c>
      <c r="S222" s="58">
        <f>IF(S194=1,IF(R207=1,1,0),0)</f>
        <v>0</v>
      </c>
      <c r="T222" s="54">
        <f>IF(T194=1,IF(U207=1,1,0),0)</f>
        <v>0</v>
      </c>
      <c r="V222" s="58">
        <f>IF(V194=1,IF(U207=1,1,0),0)</f>
        <v>0</v>
      </c>
      <c r="W222" s="54">
        <f>IF(W194=1,IF(X207=1,1,0),0)</f>
        <v>1</v>
      </c>
      <c r="Y222" s="58">
        <f>IF(Y194=1,IF(X207=1,1,0),0)</f>
        <v>0</v>
      </c>
      <c r="Z222" s="54">
        <f>IF(Z194=1,IF(AA207=1,1,0),0)</f>
        <v>0</v>
      </c>
      <c r="AB222" s="58">
        <f>IF(AB194=1,IF(AA207=1,1,0),0)</f>
        <v>0</v>
      </c>
      <c r="AC222" s="54">
        <f>IF(AC194=1,IF(AD207=1,1,0),0)</f>
        <v>0</v>
      </c>
      <c r="AE222" s="58">
        <f>IF(AE194=1,IF(AD207=1,1,0),0)</f>
        <v>0</v>
      </c>
      <c r="AF222" s="54">
        <f>SUM(B222:AE222)</f>
        <v>3</v>
      </c>
      <c r="AW222" s="146"/>
    </row>
    <row r="223" spans="1:49" s="54" customFormat="1" ht="12.75" hidden="1" customHeight="1" x14ac:dyDescent="0.2">
      <c r="A223" s="54" t="s">
        <v>77</v>
      </c>
      <c r="B223" s="54">
        <f>IF(B194=2,IF(C207=1,1,0),0)</f>
        <v>1</v>
      </c>
      <c r="D223" s="58">
        <f>IF(D194=2,IF(C207=1,1,0),0)</f>
        <v>0</v>
      </c>
      <c r="E223" s="54">
        <f>IF(E194=2,IF(F207=1,1,0),0)</f>
        <v>0</v>
      </c>
      <c r="G223" s="58">
        <f>IF(G194=2,IF(F207=1,1,0),0)</f>
        <v>0</v>
      </c>
      <c r="H223" s="54">
        <f>IF(H194=2,IF(I207=1,1,0),0)</f>
        <v>0</v>
      </c>
      <c r="J223" s="58">
        <f>IF(J194=2,IF(I207=1,1,0),0)</f>
        <v>0</v>
      </c>
      <c r="K223" s="54">
        <f>IF(K194=2,IF(L207=1,1,0),0)</f>
        <v>0</v>
      </c>
      <c r="M223" s="58">
        <f>IF(M194=2,IF(L207=1,1,0),0)</f>
        <v>0</v>
      </c>
      <c r="N223" s="54">
        <f>IF(N194=2,IF(O207=1,1,0),0)</f>
        <v>0</v>
      </c>
      <c r="P223" s="58">
        <f>IF(P194=2,IF(O207=1,1,0),0)</f>
        <v>0</v>
      </c>
      <c r="Q223" s="54">
        <f>IF(Q194=2,IF(R207=1,1,0),0)</f>
        <v>0</v>
      </c>
      <c r="S223" s="58">
        <f>IF(S194=2,IF(R207=1,1,0),0)</f>
        <v>0</v>
      </c>
      <c r="T223" s="54">
        <f>IF(T194=2,IF(U207=1,1,0),0)</f>
        <v>1</v>
      </c>
      <c r="V223" s="58">
        <f>IF(V194=2,IF(U207=1,1,0),0)</f>
        <v>0</v>
      </c>
      <c r="W223" s="54">
        <f>IF(W194=2,IF(X207=1,1,0),0)</f>
        <v>0</v>
      </c>
      <c r="Y223" s="58">
        <f>IF(Y194=2,IF(X207=1,1,0),0)</f>
        <v>0</v>
      </c>
      <c r="Z223" s="54">
        <f>IF(Z194=2,IF(AA207=1,1,0),0)</f>
        <v>0</v>
      </c>
      <c r="AB223" s="58">
        <f>IF(AB194=2,IF(AA207=1,1,0),0)</f>
        <v>0</v>
      </c>
      <c r="AC223" s="54">
        <f>IF(AC194=2,IF(AD207=1,1,0),0)</f>
        <v>0</v>
      </c>
      <c r="AE223" s="58">
        <f>IF(AE194=2,IF(AD207=1,1,0),0)</f>
        <v>0</v>
      </c>
      <c r="AF223" s="54">
        <f>SUM(B223:AE223)</f>
        <v>2</v>
      </c>
      <c r="AW223" s="146"/>
    </row>
    <row r="224" spans="1:49" s="54" customFormat="1" ht="12.75" hidden="1" customHeight="1" x14ac:dyDescent="0.2">
      <c r="A224" s="54" t="s">
        <v>78</v>
      </c>
      <c r="B224" s="54">
        <f>IF(B194=3,IF(C207=1,1,0),0)</f>
        <v>0</v>
      </c>
      <c r="D224" s="58">
        <f>IF(D194=3,IF(C207=1,1,0),0)</f>
        <v>0</v>
      </c>
      <c r="E224" s="54">
        <f>IF(E194=3,IF(F207=1,1,0),0)</f>
        <v>0</v>
      </c>
      <c r="G224" s="58">
        <f>IF(G194=3,IF(F207=1,1,0),0)</f>
        <v>0</v>
      </c>
      <c r="H224" s="54">
        <f>IF(H194=3,IF(I207=1,1,0),0)</f>
        <v>0</v>
      </c>
      <c r="J224" s="58">
        <f>IF(J194=3,IF(I207=1,1,0),0)</f>
        <v>0</v>
      </c>
      <c r="K224" s="54">
        <f>IF(K194=3,IF(L207=1,1,0),0)</f>
        <v>0</v>
      </c>
      <c r="M224" s="58">
        <f>IF(M194=3,IF(L207=1,1,0),0)</f>
        <v>0</v>
      </c>
      <c r="N224" s="54">
        <f>IF(N194=3,IF(O207=1,1,0),0)</f>
        <v>0</v>
      </c>
      <c r="P224" s="58">
        <f>IF(P194=3,IF(O207=1,1,0),0)</f>
        <v>1</v>
      </c>
      <c r="Q224" s="54">
        <f>IF(Q194=3,IF(R207=1,1,0),0)</f>
        <v>0</v>
      </c>
      <c r="S224" s="58">
        <f>IF(S194=3,IF(R207=1,1,0),0)</f>
        <v>0</v>
      </c>
      <c r="T224" s="54">
        <f>IF(T194=3,IF(U207=1,1,0),0)</f>
        <v>0</v>
      </c>
      <c r="V224" s="58">
        <f>IF(V194=3,IF(U207=1,1,0),0)</f>
        <v>1</v>
      </c>
      <c r="W224" s="54">
        <f>IF(W194=3,IF(X207=1,1,0),0)</f>
        <v>0</v>
      </c>
      <c r="Y224" s="58">
        <f>IF(Y194=3,IF(X207=1,1,0),0)</f>
        <v>0</v>
      </c>
      <c r="Z224" s="54">
        <f>IF(Z194=3,IF(AA207=1,1,0),0)</f>
        <v>1</v>
      </c>
      <c r="AB224" s="58">
        <f>IF(AB194=3,IF(AA207=1,1,0),0)</f>
        <v>0</v>
      </c>
      <c r="AC224" s="54">
        <f>IF(AC194=3,IF(AD207=1,1,0),0)</f>
        <v>0</v>
      </c>
      <c r="AE224" s="58">
        <f>IF(AE194=3,IF(AD207=1,1,0),0)</f>
        <v>0</v>
      </c>
      <c r="AF224" s="54">
        <f>SUM(B224:AE224)</f>
        <v>3</v>
      </c>
      <c r="AW224" s="146"/>
    </row>
    <row r="225" spans="1:49" s="54" customFormat="1" ht="12.75" hidden="1" customHeight="1" x14ac:dyDescent="0.2">
      <c r="A225" s="54" t="s">
        <v>79</v>
      </c>
      <c r="B225" s="54">
        <f>IF(B194=4,IF(C207=1,1,0),0)</f>
        <v>0</v>
      </c>
      <c r="D225" s="58">
        <f>IF(D194=4,IF(C207=1,1,0),0)</f>
        <v>0</v>
      </c>
      <c r="E225" s="54">
        <f>IF(E194=4,IF(F207=1,1,0),0)</f>
        <v>0</v>
      </c>
      <c r="G225" s="58">
        <f>IF(G194=4,IF(F207=1,1,0),0)</f>
        <v>1</v>
      </c>
      <c r="H225" s="54">
        <f>IF(H194=4,IF(I207=1,1,0),0)</f>
        <v>0</v>
      </c>
      <c r="J225" s="58">
        <f>IF(J194=4,IF(I207=1,1,0),0)</f>
        <v>0</v>
      </c>
      <c r="K225" s="54">
        <f>IF(K194=4,IF(L207=1,1,0),0)</f>
        <v>0</v>
      </c>
      <c r="M225" s="58">
        <f>IF(M194=4,IF(L207=1,1,0),0)</f>
        <v>0</v>
      </c>
      <c r="N225" s="54">
        <f>IF(N194=4,IF(O207=1,1,0),0)</f>
        <v>0</v>
      </c>
      <c r="P225" s="58">
        <f>IF(P194=4,IF(O207=1,1,0),0)</f>
        <v>0</v>
      </c>
      <c r="Q225" s="54">
        <f>IF(Q194=4,IF(R207=1,1,0),0)</f>
        <v>1</v>
      </c>
      <c r="S225" s="58">
        <f>IF(S194=4,IF(R207=1,1,0),0)</f>
        <v>0</v>
      </c>
      <c r="T225" s="54">
        <f>IF(T194=4,IF(U207=1,1,0),0)</f>
        <v>0</v>
      </c>
      <c r="V225" s="58">
        <f>IF(V194=4,IF(U207=1,1,0),0)</f>
        <v>0</v>
      </c>
      <c r="W225" s="54">
        <f>IF(W194=4,IF(X207=1,1,0),0)</f>
        <v>0</v>
      </c>
      <c r="Y225" s="58">
        <f>IF(Y194=4,IF(X207=1,1,0),0)</f>
        <v>0</v>
      </c>
      <c r="Z225" s="54">
        <f>IF(Z194=4,IF(AA207=1,1,0),0)</f>
        <v>0</v>
      </c>
      <c r="AB225" s="58">
        <f>IF(AB194=4,IF(AA207=1,1,0),0)</f>
        <v>1</v>
      </c>
      <c r="AC225" s="54">
        <f>IF(AC194=4,IF(AD207=1,1,0),0)</f>
        <v>0</v>
      </c>
      <c r="AE225" s="58">
        <f>IF(AE194=4,IF(AD207=1,1,0),0)</f>
        <v>0</v>
      </c>
      <c r="AF225" s="54">
        <f>SUM(B225:AE225)</f>
        <v>3</v>
      </c>
      <c r="AW225" s="146"/>
    </row>
    <row r="226" spans="1:49" s="54" customFormat="1" ht="12.75" hidden="1" customHeight="1" x14ac:dyDescent="0.2">
      <c r="A226" s="54" t="s">
        <v>80</v>
      </c>
      <c r="B226" s="54">
        <f>IF(B194=5,IF(C207=1,1,0),0)</f>
        <v>0</v>
      </c>
      <c r="D226" s="58">
        <f>IF(D194=5,IF(C207=1,1,0),0)</f>
        <v>1</v>
      </c>
      <c r="E226" s="54">
        <f>IF(E194=5,IF(F207=1,1,0),0)</f>
        <v>0</v>
      </c>
      <c r="G226" s="58">
        <f>IF(G194=5,IF(F207=1,1,0),0)</f>
        <v>0</v>
      </c>
      <c r="H226" s="54">
        <f>IF(H194=5,IF(I207=1,1,0),0)</f>
        <v>0</v>
      </c>
      <c r="J226" s="58">
        <f>IF(J194=5,IF(I207=1,1,0),0)</f>
        <v>0</v>
      </c>
      <c r="K226" s="54">
        <f>IF(K194=5,IF(L207=1,1,0),0)</f>
        <v>0</v>
      </c>
      <c r="M226" s="58">
        <f>IF(M194=5,IF(L207=1,1,0),0)</f>
        <v>0</v>
      </c>
      <c r="N226" s="54">
        <f>IF(N194=5,IF(O207=1,1,0),0)</f>
        <v>0</v>
      </c>
      <c r="P226" s="58">
        <f>IF(P194=5,IF(O207=1,1,0),0)</f>
        <v>0</v>
      </c>
      <c r="Q226" s="54">
        <f>IF(Q194=5,IF(R207=1,1,0),0)</f>
        <v>0</v>
      </c>
      <c r="S226" s="58">
        <f>IF(S194=5,IF(R207=1,1,0),0)</f>
        <v>1</v>
      </c>
      <c r="T226" s="54">
        <f>IF(T194=5,IF(U207=1,1,0),0)</f>
        <v>0</v>
      </c>
      <c r="V226" s="58">
        <f>IF(V194=5,IF(U207=1,1,0),0)</f>
        <v>0</v>
      </c>
      <c r="W226" s="54">
        <f>IF(W194=5,IF(X207=1,1,0),0)</f>
        <v>0</v>
      </c>
      <c r="Y226" s="58">
        <f>IF(Y194=5,IF(X207=1,1,0),0)</f>
        <v>1</v>
      </c>
      <c r="Z226" s="54">
        <f>IF(Z194=5,IF(AA207=1,1,0),0)</f>
        <v>0</v>
      </c>
      <c r="AB226" s="58">
        <f>IF(AB194=5,IF(AA207=1,1,0),0)</f>
        <v>0</v>
      </c>
      <c r="AC226" s="54">
        <f>IF(AC194=5,IF(AD207=1,1,0),0)</f>
        <v>0</v>
      </c>
      <c r="AE226" s="58">
        <f>IF(AE194=5,IF(AD207=1,1,0),0)</f>
        <v>0</v>
      </c>
      <c r="AF226" s="54">
        <f>SUM(B226:AE226)</f>
        <v>3</v>
      </c>
      <c r="AW226" s="146"/>
    </row>
    <row r="227" spans="1:49" s="54" customFormat="1" ht="38.25" hidden="1" customHeight="1" x14ac:dyDescent="0.2">
      <c r="A227" s="57"/>
      <c r="D227" s="58"/>
      <c r="G227" s="58"/>
      <c r="J227" s="58"/>
      <c r="M227" s="58"/>
      <c r="P227" s="58"/>
      <c r="S227" s="58"/>
      <c r="V227" s="58"/>
      <c r="Y227" s="58"/>
      <c r="AB227" s="58"/>
      <c r="AE227" s="58"/>
      <c r="AF227" s="57" t="s">
        <v>81</v>
      </c>
      <c r="AG227" s="789"/>
      <c r="AH227" s="789"/>
      <c r="AI227" s="789"/>
      <c r="AJ227" s="789"/>
      <c r="AK227" s="789"/>
      <c r="AW227" s="146"/>
    </row>
    <row r="228" spans="1:49" s="54" customFormat="1" ht="12.75" hidden="1" customHeight="1" x14ac:dyDescent="0.2">
      <c r="A228" s="54" t="s">
        <v>76</v>
      </c>
      <c r="B228" s="54">
        <f>IF(B194=1,B214,0)</f>
        <v>0</v>
      </c>
      <c r="D228" s="58">
        <f>IF(D194=1,B214,0)</f>
        <v>0</v>
      </c>
      <c r="E228" s="54">
        <f>IF(E194=1,E214,0)</f>
        <v>50</v>
      </c>
      <c r="G228" s="58">
        <f>IF(G194=1,E214,0)</f>
        <v>0</v>
      </c>
      <c r="H228" s="54">
        <f>IF(H194=1,H214,0)</f>
        <v>0</v>
      </c>
      <c r="J228" s="58">
        <f>IF(J194=1,H214,0)</f>
        <v>0</v>
      </c>
      <c r="K228" s="54">
        <f>IF(K194=1,K214,0)</f>
        <v>0</v>
      </c>
      <c r="M228" s="58">
        <f>IF(M194=1,K214,0)</f>
        <v>0</v>
      </c>
      <c r="N228" s="54">
        <f>IF(N194=1,N214,0)</f>
        <v>50</v>
      </c>
      <c r="P228" s="58">
        <f>IF(P194=1,N214,0)</f>
        <v>0</v>
      </c>
      <c r="Q228" s="54">
        <f>IF(Q194=1,Q214,0)</f>
        <v>0</v>
      </c>
      <c r="S228" s="58">
        <f>IF(S194=1,Q214,0)</f>
        <v>0</v>
      </c>
      <c r="T228" s="54">
        <f>IF(T194=1,T214,0)</f>
        <v>0</v>
      </c>
      <c r="V228" s="58">
        <f>IF(V194=1,T214,0)</f>
        <v>0</v>
      </c>
      <c r="W228" s="54">
        <f>IF(W194=1,W214,0)</f>
        <v>50</v>
      </c>
      <c r="Y228" s="58">
        <f>IF(Y194=1,W214,0)</f>
        <v>0</v>
      </c>
      <c r="Z228" s="54">
        <f>IF(Z194=1,Z214,0)</f>
        <v>0</v>
      </c>
      <c r="AB228" s="58">
        <f>IF(AB194=1,Z214,0)</f>
        <v>0</v>
      </c>
      <c r="AC228" s="54">
        <f>IF(AC194=1,AC214,0)</f>
        <v>50</v>
      </c>
      <c r="AE228" s="58">
        <f>IF(AE194=1,AC214,0)</f>
        <v>0</v>
      </c>
      <c r="AF228" s="54">
        <f>SUM(B228:AE228)</f>
        <v>200</v>
      </c>
      <c r="AW228" s="146"/>
    </row>
    <row r="229" spans="1:49" s="54" customFormat="1" ht="12.75" hidden="1" customHeight="1" x14ac:dyDescent="0.2">
      <c r="A229" s="54" t="s">
        <v>77</v>
      </c>
      <c r="B229" s="54">
        <f>IF(B194=2,B214,0)</f>
        <v>50</v>
      </c>
      <c r="D229" s="58">
        <f>IF(D194=2,B214,0)</f>
        <v>0</v>
      </c>
      <c r="E229" s="54">
        <f>IF(E194=2,E214,0)</f>
        <v>0</v>
      </c>
      <c r="G229" s="58">
        <f>IF(G194=2,E214,0)</f>
        <v>0</v>
      </c>
      <c r="H229" s="54">
        <f>IF(H194=2,H214,0)</f>
        <v>0</v>
      </c>
      <c r="J229" s="58">
        <f>IF(J194=2,H214,0)</f>
        <v>0</v>
      </c>
      <c r="K229" s="54">
        <f>IF(K194=2,K214,0)</f>
        <v>50</v>
      </c>
      <c r="M229" s="58">
        <f>IF(M194=2,K214,0)</f>
        <v>0</v>
      </c>
      <c r="N229" s="54">
        <f>IF(N194=2,N214,0)</f>
        <v>0</v>
      </c>
      <c r="P229" s="58">
        <f>IF(P194=2,N214,0)</f>
        <v>0</v>
      </c>
      <c r="Q229" s="54">
        <f>IF(Q194=2,Q214,0)</f>
        <v>0</v>
      </c>
      <c r="S229" s="58">
        <f>IF(S194=2,Q214,0)</f>
        <v>0</v>
      </c>
      <c r="T229" s="54">
        <f>IF(T194=2,T214,0)</f>
        <v>50</v>
      </c>
      <c r="V229" s="58">
        <f>IF(V194=2,T214,0)</f>
        <v>0</v>
      </c>
      <c r="W229" s="54">
        <f>IF(W194=2,W214,0)</f>
        <v>0</v>
      </c>
      <c r="Y229" s="58">
        <f>IF(Y194=2,W214,0)</f>
        <v>0</v>
      </c>
      <c r="Z229" s="54">
        <f>IF(Z194=2,Z214,0)</f>
        <v>0</v>
      </c>
      <c r="AB229" s="58">
        <f>IF(AB194=2,Z214,0)</f>
        <v>0</v>
      </c>
      <c r="AC229" s="54">
        <f>IF(AC194=2,AC214,0)</f>
        <v>0</v>
      </c>
      <c r="AE229" s="58">
        <f>IF(AE194=2,AC214,0)</f>
        <v>50</v>
      </c>
      <c r="AF229" s="54">
        <f>SUM(B229:AE229)</f>
        <v>200</v>
      </c>
      <c r="AW229" s="146"/>
    </row>
    <row r="230" spans="1:49" s="54" customFormat="1" ht="12.75" hidden="1" customHeight="1" x14ac:dyDescent="0.2">
      <c r="A230" s="54" t="s">
        <v>78</v>
      </c>
      <c r="B230" s="54">
        <f>IF(B194=3,B214,0)</f>
        <v>0</v>
      </c>
      <c r="D230" s="58">
        <f>IF(D194=3,B214,0)</f>
        <v>0</v>
      </c>
      <c r="E230" s="54">
        <f>IF(E194=3,E214,0)</f>
        <v>0</v>
      </c>
      <c r="G230" s="58">
        <f>IF(G194=3,E214,0)</f>
        <v>0</v>
      </c>
      <c r="H230" s="54">
        <f>IF(H194=3,H214,0)</f>
        <v>51</v>
      </c>
      <c r="J230" s="58">
        <f>IF(J194=3,H214,0)</f>
        <v>0</v>
      </c>
      <c r="K230" s="54">
        <f>IF(K194=3,K214,0)</f>
        <v>0</v>
      </c>
      <c r="M230" s="58">
        <f>IF(M194=3,K214,0)</f>
        <v>0</v>
      </c>
      <c r="N230" s="54">
        <f>IF(N194=3,N214,0)</f>
        <v>0</v>
      </c>
      <c r="P230" s="58">
        <f>IF(P194=3,N214,0)</f>
        <v>50</v>
      </c>
      <c r="Q230" s="54">
        <f>IF(Q194=3,Q214,0)</f>
        <v>0</v>
      </c>
      <c r="S230" s="58">
        <f>IF(S194=3,Q214,0)</f>
        <v>0</v>
      </c>
      <c r="T230" s="54">
        <f>IF(T194=3,T214,0)</f>
        <v>0</v>
      </c>
      <c r="V230" s="58">
        <f>IF(V194=3,T214,0)</f>
        <v>50</v>
      </c>
      <c r="W230" s="54">
        <f>IF(W194=3,W214,0)</f>
        <v>0</v>
      </c>
      <c r="Y230" s="58">
        <f>IF(Y194=3,W214,0)</f>
        <v>0</v>
      </c>
      <c r="Z230" s="54">
        <f>IF(Z194=3,Z214,0)</f>
        <v>50</v>
      </c>
      <c r="AB230" s="58">
        <f>IF(AB194=3,Z214,0)</f>
        <v>0</v>
      </c>
      <c r="AC230" s="54">
        <f>IF(AC194=3,AC214,0)</f>
        <v>0</v>
      </c>
      <c r="AE230" s="58">
        <f>IF(AE194=3,AC214,0)</f>
        <v>0</v>
      </c>
      <c r="AF230" s="54">
        <f>SUM(B230:AE230)</f>
        <v>201</v>
      </c>
      <c r="AW230" s="146"/>
    </row>
    <row r="231" spans="1:49" s="54" customFormat="1" ht="12.75" hidden="1" customHeight="1" x14ac:dyDescent="0.2">
      <c r="A231" s="54" t="s">
        <v>79</v>
      </c>
      <c r="B231" s="54">
        <f>IF(B194=4,B214,0)</f>
        <v>0</v>
      </c>
      <c r="D231" s="58">
        <f>IF(D194=4,B214,0)</f>
        <v>0</v>
      </c>
      <c r="E231" s="54">
        <f>IF(E194=4,E214,0)</f>
        <v>0</v>
      </c>
      <c r="G231" s="58">
        <f>IF(G194=4,E214,0)</f>
        <v>50</v>
      </c>
      <c r="H231" s="54">
        <f>IF(H194=4,H214,0)</f>
        <v>0</v>
      </c>
      <c r="J231" s="58">
        <f>IF(J194=4,H214,0)</f>
        <v>0</v>
      </c>
      <c r="K231" s="54">
        <f>IF(K194=4,K214,0)</f>
        <v>0</v>
      </c>
      <c r="M231" s="58">
        <f>IF(M194=4,K214,0)</f>
        <v>50</v>
      </c>
      <c r="N231" s="54">
        <f>IF(N194=4,N214,0)</f>
        <v>0</v>
      </c>
      <c r="P231" s="58">
        <f>IF(P194=4,N214,0)</f>
        <v>0</v>
      </c>
      <c r="Q231" s="54">
        <f>IF(Q194=4,Q214,0)</f>
        <v>50</v>
      </c>
      <c r="S231" s="58">
        <f>IF(S194=4,Q214,0)</f>
        <v>0</v>
      </c>
      <c r="T231" s="54">
        <f>IF(T194=4,T214,0)</f>
        <v>0</v>
      </c>
      <c r="V231" s="58">
        <f>IF(V194=4,T214,0)</f>
        <v>0</v>
      </c>
      <c r="W231" s="54">
        <f>IF(W194=4,W214,0)</f>
        <v>0</v>
      </c>
      <c r="Y231" s="58">
        <f>IF(Y194=4,W214,0)</f>
        <v>0</v>
      </c>
      <c r="Z231" s="54">
        <f>IF(Z194=4,Z214,0)</f>
        <v>0</v>
      </c>
      <c r="AB231" s="58">
        <f>IF(AB194=4,Z214,0)</f>
        <v>50</v>
      </c>
      <c r="AC231" s="54">
        <f>IF(AC194=4,AC214,0)</f>
        <v>0</v>
      </c>
      <c r="AE231" s="58">
        <f>IF(AE194=4,AC214,0)</f>
        <v>0</v>
      </c>
      <c r="AF231" s="54">
        <f>SUM(B231:AE231)</f>
        <v>200</v>
      </c>
      <c r="AW231" s="146"/>
    </row>
    <row r="232" spans="1:49" s="54" customFormat="1" ht="12.75" hidden="1" customHeight="1" x14ac:dyDescent="0.2">
      <c r="A232" s="54" t="s">
        <v>80</v>
      </c>
      <c r="B232" s="54">
        <f>IF(B194=5,B214,0)</f>
        <v>0</v>
      </c>
      <c r="D232" s="58">
        <f>IF(D194=5,B214,0)</f>
        <v>50</v>
      </c>
      <c r="E232" s="54">
        <f>IF(E194=5,E214,0)</f>
        <v>0</v>
      </c>
      <c r="G232" s="58">
        <f>IF(G194=5,E214,0)</f>
        <v>0</v>
      </c>
      <c r="H232" s="54">
        <f>IF(H194=5,H214,0)</f>
        <v>0</v>
      </c>
      <c r="J232" s="58">
        <f>IF(J194=5,H214,0)</f>
        <v>51</v>
      </c>
      <c r="K232" s="54">
        <f>IF(K194=5,K214,0)</f>
        <v>0</v>
      </c>
      <c r="M232" s="58">
        <f>IF(M194=5,K214,0)</f>
        <v>0</v>
      </c>
      <c r="N232" s="54">
        <f>IF(N194=5,N214,0)</f>
        <v>0</v>
      </c>
      <c r="P232" s="58">
        <f>IF(P194=5,N214,0)</f>
        <v>0</v>
      </c>
      <c r="Q232" s="54">
        <f>IF(Q194=5,Q214,0)</f>
        <v>0</v>
      </c>
      <c r="S232" s="58">
        <f>IF(S194=5,Q214,0)</f>
        <v>50</v>
      </c>
      <c r="T232" s="54">
        <f>IF(T194=5,T214,0)</f>
        <v>0</v>
      </c>
      <c r="V232" s="58">
        <f>IF(V194=5,T214,0)</f>
        <v>0</v>
      </c>
      <c r="W232" s="54">
        <f>IF(W194=5,W214,0)</f>
        <v>0</v>
      </c>
      <c r="Y232" s="58">
        <f>IF(Y194=5,W214,0)</f>
        <v>50</v>
      </c>
      <c r="Z232" s="54">
        <f>IF(Z194=5,Z214,0)</f>
        <v>0</v>
      </c>
      <c r="AB232" s="58">
        <f>IF(AB194=5,Z214,0)</f>
        <v>0</v>
      </c>
      <c r="AC232" s="54">
        <f>IF(AC194=5,AC214,0)</f>
        <v>0</v>
      </c>
      <c r="AE232" s="58">
        <f>IF(AE194=5,AC214,0)</f>
        <v>0</v>
      </c>
      <c r="AF232" s="54">
        <f>SUM(B232:AE232)</f>
        <v>201</v>
      </c>
      <c r="AW232" s="146"/>
    </row>
    <row r="233" spans="1:49" s="54" customFormat="1" ht="38.25" hidden="1" customHeight="1" x14ac:dyDescent="0.2">
      <c r="A233" s="54" t="s">
        <v>82</v>
      </c>
      <c r="D233" s="58"/>
      <c r="G233" s="58"/>
      <c r="J233" s="58"/>
      <c r="M233" s="58"/>
      <c r="P233" s="58"/>
      <c r="S233" s="58"/>
      <c r="V233" s="58"/>
      <c r="Y233" s="58"/>
      <c r="AB233" s="58"/>
      <c r="AE233" s="58"/>
      <c r="AF233" s="57" t="s">
        <v>83</v>
      </c>
      <c r="AG233" s="54" t="s">
        <v>84</v>
      </c>
      <c r="AW233" s="146"/>
    </row>
    <row r="234" spans="1:49" s="54" customFormat="1" ht="12.75" hidden="1" customHeight="1" x14ac:dyDescent="0.2">
      <c r="A234" s="54" t="s">
        <v>70</v>
      </c>
      <c r="B234" s="54">
        <f>IF(B194=1,SUMIF(B201:B205,"&gt;0"),0)</f>
        <v>0</v>
      </c>
      <c r="D234" s="58">
        <f>IF(D194=1,SUMIF(D201:D205,"&gt;0"),0)</f>
        <v>0</v>
      </c>
      <c r="E234" s="54">
        <f>IF(E194=1,SUMIF(E201:E205,"&gt;0"),0)</f>
        <v>0</v>
      </c>
      <c r="G234" s="58">
        <f>IF(G194=1,SUMIF(G201:G205,"&gt;0"),0)</f>
        <v>0</v>
      </c>
      <c r="H234" s="54">
        <f>IF(H194=1,SUMIF(H201:H205,"&gt;0"),0)</f>
        <v>0</v>
      </c>
      <c r="J234" s="58">
        <f>IF(J194=1,SUMIF(J201:J205,"&gt;0"),0)</f>
        <v>0</v>
      </c>
      <c r="K234" s="54">
        <f>IF(K194=1,SUMIF(K201:K205,"&gt;0"),0)</f>
        <v>0</v>
      </c>
      <c r="M234" s="58">
        <f>IF(M194=1,SUMIF(M201:M205,"&gt;0"),0)</f>
        <v>0</v>
      </c>
      <c r="N234" s="54">
        <f>IF(N194=1,SUMIF(N201:N205,"&gt;0"),0)</f>
        <v>2</v>
      </c>
      <c r="P234" s="58">
        <f>IF(P194=1,SUMIF(P201:P205,"&gt;0"),0)</f>
        <v>0</v>
      </c>
      <c r="Q234" s="54">
        <f>IF(Q194=1,SUMIF(Q201:Q205,"&gt;0"),0)</f>
        <v>0</v>
      </c>
      <c r="S234" s="58">
        <f>IF(S194=1,SUMIF(S201:S205,"&gt;0"),0)</f>
        <v>0</v>
      </c>
      <c r="T234" s="54">
        <f>IF(T194=1,SUMIF(T201:T205,"&gt;0"),0)</f>
        <v>0</v>
      </c>
      <c r="V234" s="58">
        <f>IF(V194=1,SUMIF(V201:V205,"&gt;0"),0)</f>
        <v>0</v>
      </c>
      <c r="W234" s="54">
        <f>IF(W194=1,SUMIF(W201:W205,"&gt;0"),0)</f>
        <v>2</v>
      </c>
      <c r="Y234" s="58">
        <f>IF(Y194=1,SUMIF(Y201:Y205,"&gt;0"),0)</f>
        <v>0</v>
      </c>
      <c r="Z234" s="54">
        <f>IF(Z194=1,SUMIF(Z201:Z205,"&gt;0"),0)</f>
        <v>0</v>
      </c>
      <c r="AB234" s="58">
        <f>IF(AB194=1,SUMIF(AB201:AB205,"&gt;0"),0)</f>
        <v>0</v>
      </c>
      <c r="AC234" s="54">
        <f>IF(AC194=1,SUMIF(AC201:AC205,"&gt;0"),0)</f>
        <v>1</v>
      </c>
      <c r="AE234" s="58">
        <f>IF(AE194=1,SUMIF(AE201:AE205,"&gt;0"),0)</f>
        <v>0</v>
      </c>
      <c r="AF234" s="54">
        <f>SUM(B234:AE234)</f>
        <v>5</v>
      </c>
      <c r="AG234" s="54">
        <f>AF242-AF234</f>
        <v>3</v>
      </c>
      <c r="AW234" s="146"/>
    </row>
    <row r="235" spans="1:49" s="54" customFormat="1" ht="12.75" hidden="1" customHeight="1" x14ac:dyDescent="0.2">
      <c r="A235" s="54" t="s">
        <v>71</v>
      </c>
      <c r="B235" s="54">
        <f>IF(B194=2,SUMIF(B201:B205,"&gt;0"),0)</f>
        <v>2</v>
      </c>
      <c r="D235" s="58">
        <f>IF(D194=2,SUMIF(D201:D205,"&gt;0"),0)</f>
        <v>0</v>
      </c>
      <c r="E235" s="54">
        <f>IF(E194=2,SUMIF(E201:E205,"&gt;0"),0)</f>
        <v>0</v>
      </c>
      <c r="G235" s="58">
        <f>IF(G194=2,SUMIF(G201:G205,"&gt;0"),0)</f>
        <v>0</v>
      </c>
      <c r="H235" s="54">
        <f>IF(H194=2,SUMIF(H201:H205,"&gt;0"),0)</f>
        <v>0</v>
      </c>
      <c r="J235" s="58">
        <f>IF(J194=2,SUMIF(J201:J205,"&gt;0"),0)</f>
        <v>0</v>
      </c>
      <c r="K235" s="54">
        <f>IF(K194=2,SUMIF(K201:K205,"&gt;0"),0)</f>
        <v>1</v>
      </c>
      <c r="M235" s="58">
        <f>IF(M194=2,SUMIF(M201:M205,"&gt;0"),0)</f>
        <v>0</v>
      </c>
      <c r="N235" s="54">
        <f>IF(N194=2,SUMIF(N201:N205,"&gt;0"),0)</f>
        <v>0</v>
      </c>
      <c r="P235" s="58">
        <f>IF(P194=2,SUMIF(P201:P205,"&gt;0"),0)</f>
        <v>0</v>
      </c>
      <c r="Q235" s="54">
        <f>IF(Q194=2,SUMIF(Q201:Q205,"&gt;0"),0)</f>
        <v>0</v>
      </c>
      <c r="S235" s="58">
        <f>IF(S194=2,SUMIF(S201:S205,"&gt;0"),0)</f>
        <v>0</v>
      </c>
      <c r="T235" s="54">
        <f>IF(T194=2,SUMIF(T201:T205,"&gt;0"),0)</f>
        <v>2</v>
      </c>
      <c r="V235" s="58">
        <f>IF(V194=2,SUMIF(V201:V205,"&gt;0"),0)</f>
        <v>0</v>
      </c>
      <c r="W235" s="54">
        <f>IF(W194=2,SUMIF(W201:W205,"&gt;0"),0)</f>
        <v>0</v>
      </c>
      <c r="Y235" s="58">
        <f>IF(Y194=2,SUMIF(Y201:Y205,"&gt;0"),0)</f>
        <v>0</v>
      </c>
      <c r="Z235" s="54">
        <f>IF(Z194=2,SUMIF(Z201:Z205,"&gt;0"),0)</f>
        <v>0</v>
      </c>
      <c r="AB235" s="58">
        <f>IF(AB194=2,SUMIF(AB201:AB205,"&gt;0"),0)</f>
        <v>0</v>
      </c>
      <c r="AC235" s="54">
        <f>IF(AC194=2,SUMIF(AC201:AC205,"&gt;0"),0)</f>
        <v>0</v>
      </c>
      <c r="AE235" s="58">
        <f>IF(AE194=2,SUMIF(AE201:AE205,"&gt;0"),0)</f>
        <v>1</v>
      </c>
      <c r="AF235" s="54">
        <f>SUM(B235:AE235)</f>
        <v>6</v>
      </c>
      <c r="AG235" s="54">
        <f>AF243-AF235</f>
        <v>2</v>
      </c>
      <c r="AW235" s="146"/>
    </row>
    <row r="236" spans="1:49" s="54" customFormat="1" ht="12.75" hidden="1" customHeight="1" x14ac:dyDescent="0.2">
      <c r="A236" s="54" t="s">
        <v>72</v>
      </c>
      <c r="B236" s="54">
        <f>IF(B194=3,SUMIF(B201:B205,"&gt;0"),0)</f>
        <v>0</v>
      </c>
      <c r="D236" s="58">
        <f>IF(D194=3,SUMIF(D201:D205,"&gt;0"),0)</f>
        <v>0</v>
      </c>
      <c r="E236" s="54">
        <f>IF(E194=3,SUMIF(E201:E205,"&gt;0"),0)</f>
        <v>0</v>
      </c>
      <c r="G236" s="58">
        <f>IF(G194=3,SUMIF(G201:G205,"&gt;0"),0)</f>
        <v>0</v>
      </c>
      <c r="H236" s="54">
        <f>IF(H194=3,SUMIF(H201:H205,"&gt;0"),0)</f>
        <v>1</v>
      </c>
      <c r="J236" s="58">
        <f>IF(J194=3,SUMIF(J201:J205,"&gt;0"),0)</f>
        <v>0</v>
      </c>
      <c r="K236" s="54">
        <f>IF(K194=3,SUMIF(K201:K205,"&gt;0"),0)</f>
        <v>0</v>
      </c>
      <c r="M236" s="58">
        <f>IF(M194=3,SUMIF(M201:M205,"&gt;0"),0)</f>
        <v>0</v>
      </c>
      <c r="N236" s="54">
        <f>IF(N194=3,SUMIF(N201:N205,"&gt;0"),0)</f>
        <v>0</v>
      </c>
      <c r="P236" s="58">
        <f>IF(P194=3,SUMIF(P201:P205,"&gt;0"),0)</f>
        <v>0</v>
      </c>
      <c r="Q236" s="54">
        <f>IF(Q194=3,SUMIF(Q201:Q205,"&gt;0"),0)</f>
        <v>0</v>
      </c>
      <c r="S236" s="58">
        <f>IF(S194=3,SUMIF(S201:S205,"&gt;0"),0)</f>
        <v>0</v>
      </c>
      <c r="T236" s="54">
        <f>IF(T194=3,SUMIF(T201:T205,"&gt;0"),0)</f>
        <v>0</v>
      </c>
      <c r="V236" s="58">
        <f>IF(V194=3,SUMIF(V201:V205,"&gt;0"),0)</f>
        <v>0</v>
      </c>
      <c r="W236" s="54">
        <f>IF(W194=3,SUMIF(W201:W205,"&gt;0"),0)</f>
        <v>0</v>
      </c>
      <c r="Y236" s="58">
        <f>IF(Y194=3,SUMIF(Y201:Y205,"&gt;0"),0)</f>
        <v>0</v>
      </c>
      <c r="Z236" s="54">
        <f>IF(Z194=3,SUMIF(Z201:Z205,"&gt;0"),0)</f>
        <v>0</v>
      </c>
      <c r="AB236" s="58">
        <f>IF(AB194=3,SUMIF(AB201:AB205,"&gt;0"),0)</f>
        <v>0</v>
      </c>
      <c r="AC236" s="54">
        <f>IF(AC194=3,SUMIF(AC201:AC205,"&gt;0"),0)</f>
        <v>0</v>
      </c>
      <c r="AE236" s="58">
        <f>IF(AE194=3,SUMIF(AE201:AE205,"&gt;0"),0)</f>
        <v>0</v>
      </c>
      <c r="AF236" s="54">
        <f>SUM(B236:AE236)</f>
        <v>1</v>
      </c>
      <c r="AG236" s="54">
        <f>AF244-AF236</f>
        <v>7</v>
      </c>
      <c r="AW236" s="146"/>
    </row>
    <row r="237" spans="1:49" s="54" customFormat="1" ht="12.75" hidden="1" customHeight="1" x14ac:dyDescent="0.2">
      <c r="A237" s="54" t="s">
        <v>73</v>
      </c>
      <c r="B237" s="54">
        <f>IF(B194=4,SUMIF(B201:B205,"&gt;0"),0)</f>
        <v>0</v>
      </c>
      <c r="D237" s="58">
        <f>IF(D194=4,SUMIF(D201:D205,"&gt;0"),0)</f>
        <v>0</v>
      </c>
      <c r="E237" s="54">
        <f>IF(E194=4,SUMIF(E201:E205,"&gt;0"),0)</f>
        <v>0</v>
      </c>
      <c r="G237" s="58">
        <f>IF(G194=4,SUMIF(G201:G205,"&gt;0"),0)</f>
        <v>2</v>
      </c>
      <c r="H237" s="54">
        <f>IF(H194=4,SUMIF(H201:H205,"&gt;0"),0)</f>
        <v>0</v>
      </c>
      <c r="J237" s="58">
        <f>IF(J194=4,SUMIF(J201:J205,"&gt;0"),0)</f>
        <v>0</v>
      </c>
      <c r="K237" s="54">
        <f>IF(K194=4,SUMIF(K201:K205,"&gt;0"),0)</f>
        <v>0</v>
      </c>
      <c r="M237" s="58">
        <f>IF(M194=4,SUMIF(M201:M205,"&gt;0"),0)</f>
        <v>1</v>
      </c>
      <c r="N237" s="54">
        <f>IF(N194=4,SUMIF(N201:N205,"&gt;0"),0)</f>
        <v>0</v>
      </c>
      <c r="P237" s="58">
        <f>IF(P194=4,SUMIF(P201:P205,"&gt;0"),0)</f>
        <v>0</v>
      </c>
      <c r="Q237" s="54">
        <f>IF(Q194=4,SUMIF(Q201:Q205,"&gt;0"),0)</f>
        <v>2</v>
      </c>
      <c r="S237" s="58">
        <f>IF(S194=4,SUMIF(S201:S205,"&gt;0"),0)</f>
        <v>0</v>
      </c>
      <c r="T237" s="54">
        <f>IF(T194=4,SUMIF(T201:T205,"&gt;0"),0)</f>
        <v>0</v>
      </c>
      <c r="V237" s="58">
        <f>IF(V194=4,SUMIF(V201:V205,"&gt;0"),0)</f>
        <v>0</v>
      </c>
      <c r="W237" s="54">
        <f>IF(W194=4,SUMIF(W201:W205,"&gt;0"),0)</f>
        <v>0</v>
      </c>
      <c r="Y237" s="58">
        <f>IF(Y194=4,SUMIF(Y201:Y205,"&gt;0"),0)</f>
        <v>0</v>
      </c>
      <c r="Z237" s="54">
        <f>IF(Z194=4,SUMIF(Z201:Z205,"&gt;0"),0)</f>
        <v>0</v>
      </c>
      <c r="AB237" s="58">
        <f>IF(AB194=4,SUMIF(AB201:AB205,"&gt;0"),0)</f>
        <v>2</v>
      </c>
      <c r="AC237" s="54">
        <f>IF(AC194=4,SUMIF(AC201:AC205,"&gt;0"),0)</f>
        <v>0</v>
      </c>
      <c r="AE237" s="58">
        <f>IF(AE194=4,SUMIF(AE201:AE205,"&gt;0"),0)</f>
        <v>0</v>
      </c>
      <c r="AF237" s="54">
        <f>SUM(B237:AE237)</f>
        <v>7</v>
      </c>
      <c r="AG237" s="54">
        <f>AF245-AF237</f>
        <v>1</v>
      </c>
      <c r="AW237" s="146"/>
    </row>
    <row r="238" spans="1:49" s="54" customFormat="1" ht="12.75" hidden="1" customHeight="1" x14ac:dyDescent="0.2">
      <c r="A238" s="54" t="s">
        <v>74</v>
      </c>
      <c r="B238" s="54">
        <f>IF(B194=5,SUMIF(B201:B205,"&gt;0"),0)</f>
        <v>0</v>
      </c>
      <c r="D238" s="58">
        <f>IF(D194=5,SUMIF(D201:D205,"&gt;0"),0)</f>
        <v>0</v>
      </c>
      <c r="E238" s="54">
        <f>IF(E194=5,SUMIF(E201:E205,"&gt;0"),0)</f>
        <v>0</v>
      </c>
      <c r="G238" s="58">
        <f>IF(G194=5,SUMIF(G201:G205,"&gt;0"),0)</f>
        <v>0</v>
      </c>
      <c r="H238" s="54">
        <f>IF(H194=5,SUMIF(H201:H205,"&gt;0"),0)</f>
        <v>0</v>
      </c>
      <c r="J238" s="58">
        <f>IF(J194=5,SUMIF(J201:J205,"&gt;0"),0)</f>
        <v>1</v>
      </c>
      <c r="K238" s="54">
        <f>IF(K194=5,SUMIF(K201:K205,"&gt;0"),0)</f>
        <v>0</v>
      </c>
      <c r="M238" s="58">
        <f>IF(M194=5,SUMIF(M201:M205,"&gt;0"),0)</f>
        <v>0</v>
      </c>
      <c r="N238" s="54">
        <f>IF(N194=5,SUMIF(N201:N205,"&gt;0"),0)</f>
        <v>0</v>
      </c>
      <c r="P238" s="58">
        <f>IF(P194=5,SUMIF(P201:P205,"&gt;0"),0)</f>
        <v>0</v>
      </c>
      <c r="Q238" s="54">
        <f>IF(Q194=5,SUMIF(Q201:Q205,"&gt;0"),0)</f>
        <v>0</v>
      </c>
      <c r="S238" s="58">
        <f>IF(S194=5,SUMIF(S201:S205,"&gt;0"),0)</f>
        <v>0</v>
      </c>
      <c r="T238" s="54">
        <f>IF(T194=5,SUMIF(T201:T205,"&gt;0"),0)</f>
        <v>0</v>
      </c>
      <c r="V238" s="58">
        <f>IF(V194=5,SUMIF(V201:V205,"&gt;0"),0)</f>
        <v>0</v>
      </c>
      <c r="W238" s="54">
        <f>IF(W194=5,SUMIF(W201:W205,"&gt;0"),0)</f>
        <v>0</v>
      </c>
      <c r="Y238" s="58">
        <f>IF(Y194=5,SUMIF(Y201:Y205,"&gt;0"),0)</f>
        <v>0</v>
      </c>
      <c r="Z238" s="54">
        <f>IF(Z194=5,SUMIF(Z201:Z205,"&gt;0"),0)</f>
        <v>0</v>
      </c>
      <c r="AB238" s="58">
        <f>IF(AB194=5,SUMIF(AB201:AB205,"&gt;0"),0)</f>
        <v>0</v>
      </c>
      <c r="AC238" s="54">
        <f>IF(AC194=5,SUMIF(AC201:AC205,"&gt;0"),0)</f>
        <v>0</v>
      </c>
      <c r="AE238" s="58">
        <f>IF(AE194=5,SUMIF(AE201:AE205,"&gt;0"),0)</f>
        <v>0</v>
      </c>
      <c r="AF238" s="54">
        <f>SUM(B238:AE238)</f>
        <v>1</v>
      </c>
      <c r="AG238" s="54">
        <f>AF246-AF238</f>
        <v>7</v>
      </c>
      <c r="AW238" s="146"/>
    </row>
    <row r="239" spans="1:49" s="54" customFormat="1" ht="12.75" hidden="1" customHeight="1" x14ac:dyDescent="0.2">
      <c r="D239" s="58"/>
      <c r="G239" s="58"/>
      <c r="J239" s="58"/>
      <c r="M239" s="58"/>
      <c r="P239" s="58"/>
      <c r="S239" s="58"/>
      <c r="V239" s="58"/>
      <c r="Y239" s="58"/>
      <c r="AB239" s="58"/>
      <c r="AE239" s="58"/>
      <c r="AW239" s="146"/>
    </row>
    <row r="240" spans="1:49" s="54" customFormat="1" ht="12.75" hidden="1" customHeight="1" x14ac:dyDescent="0.2">
      <c r="D240" s="58"/>
      <c r="G240" s="58"/>
      <c r="J240" s="58"/>
      <c r="M240" s="58"/>
      <c r="P240" s="58"/>
      <c r="S240" s="58"/>
      <c r="V240" s="58"/>
      <c r="Y240" s="58"/>
      <c r="AB240" s="58"/>
      <c r="AE240" s="58"/>
      <c r="AW240" s="146"/>
    </row>
    <row r="241" spans="1:54" s="54" customFormat="1" ht="51" hidden="1" customHeight="1" x14ac:dyDescent="0.2">
      <c r="A241" s="57" t="s">
        <v>85</v>
      </c>
      <c r="C241" s="54">
        <f>SUMIF(B234:D238,"&gt;0")</f>
        <v>2</v>
      </c>
      <c r="D241" s="58"/>
      <c r="F241" s="54">
        <f>SUMIF(E234:G238,"&gt;0")</f>
        <v>2</v>
      </c>
      <c r="G241" s="58"/>
      <c r="I241" s="54">
        <f>SUMIF(H234:J238,"&gt;0")</f>
        <v>2</v>
      </c>
      <c r="J241" s="58"/>
      <c r="L241" s="54">
        <f>SUMIF(K234:M238,"&gt;0")</f>
        <v>2</v>
      </c>
      <c r="M241" s="58"/>
      <c r="O241" s="54">
        <f>SUMIF(N234:P238,"&gt;0")</f>
        <v>2</v>
      </c>
      <c r="P241" s="58"/>
      <c r="R241" s="54">
        <f>SUMIF(Q234:S238,"&gt;0")</f>
        <v>2</v>
      </c>
      <c r="S241" s="58"/>
      <c r="U241" s="54">
        <f>SUMIF(T234:V238,"&gt;0")</f>
        <v>2</v>
      </c>
      <c r="V241" s="58"/>
      <c r="X241" s="54">
        <f>SUMIF(W234:Y238,"&gt;0")</f>
        <v>2</v>
      </c>
      <c r="Y241" s="58"/>
      <c r="AA241" s="54">
        <f>SUMIF(Z234:AB238,"&gt;0")</f>
        <v>2</v>
      </c>
      <c r="AB241" s="58"/>
      <c r="AD241" s="54">
        <f>SUMIF(AC234:AE238,"&gt;0")</f>
        <v>2</v>
      </c>
      <c r="AE241" s="58"/>
      <c r="AF241" s="57" t="s">
        <v>86</v>
      </c>
      <c r="AW241" s="146"/>
    </row>
    <row r="242" spans="1:54" s="54" customFormat="1" ht="12.75" hidden="1" customHeight="1" x14ac:dyDescent="0.2">
      <c r="A242" s="54" t="s">
        <v>76</v>
      </c>
      <c r="B242" s="54">
        <f>IF(B194=1,C241,0)</f>
        <v>0</v>
      </c>
      <c r="D242" s="58">
        <f>IF(D194=1,C241,0)</f>
        <v>0</v>
      </c>
      <c r="E242" s="54">
        <f>IF(E194=1,F241,0)</f>
        <v>2</v>
      </c>
      <c r="G242" s="58">
        <f>IF(G194=1,F241,0)</f>
        <v>0</v>
      </c>
      <c r="H242" s="54">
        <f>IF(H194=1,I241,0)</f>
        <v>0</v>
      </c>
      <c r="J242" s="58">
        <f>IF(J194=1,I241,0)</f>
        <v>0</v>
      </c>
      <c r="K242" s="54">
        <f>IF(K194=1,L241,0)</f>
        <v>0</v>
      </c>
      <c r="M242" s="58">
        <f>IF(M194=1,L241,0)</f>
        <v>0</v>
      </c>
      <c r="N242" s="54">
        <f>IF(N194=1,O241,0)</f>
        <v>2</v>
      </c>
      <c r="P242" s="58">
        <f>IF(P194=1,O241,0)</f>
        <v>0</v>
      </c>
      <c r="Q242" s="54">
        <f>IF(Q194=1,R241,0)</f>
        <v>0</v>
      </c>
      <c r="S242" s="58">
        <f>IF(S194=1,R241,0)</f>
        <v>0</v>
      </c>
      <c r="T242" s="54">
        <f>IF(T194=1,U241,0)</f>
        <v>0</v>
      </c>
      <c r="V242" s="58">
        <f>IF(V194=1,U241,0)</f>
        <v>0</v>
      </c>
      <c r="W242" s="54">
        <f>IF(W194=1,X241,0)</f>
        <v>2</v>
      </c>
      <c r="Y242" s="58">
        <f>IF(Y194=1,X241,0)</f>
        <v>0</v>
      </c>
      <c r="Z242" s="54">
        <f>IF(Z194=1,AA241,0)</f>
        <v>0</v>
      </c>
      <c r="AB242" s="58">
        <f>IF(AB194=1,AA241,0)</f>
        <v>0</v>
      </c>
      <c r="AC242" s="54">
        <f>IF(AC194=1,AD241,0)</f>
        <v>2</v>
      </c>
      <c r="AE242" s="58">
        <f>IF(AE194=1,AD241,0)</f>
        <v>0</v>
      </c>
      <c r="AF242" s="54">
        <f>SUM(B242:AE242)</f>
        <v>8</v>
      </c>
      <c r="AW242" s="146"/>
    </row>
    <row r="243" spans="1:54" s="54" customFormat="1" ht="12.75" hidden="1" customHeight="1" x14ac:dyDescent="0.2">
      <c r="A243" s="54" t="s">
        <v>77</v>
      </c>
      <c r="B243" s="54">
        <f>IF(B194=2,C241,0)</f>
        <v>2</v>
      </c>
      <c r="D243" s="58">
        <f>IF(D194=2,C241,0)</f>
        <v>0</v>
      </c>
      <c r="E243" s="54">
        <f>IF(E194=2,F241,0)</f>
        <v>0</v>
      </c>
      <c r="G243" s="58">
        <f>IF(G194=2,F241,0)</f>
        <v>0</v>
      </c>
      <c r="H243" s="54">
        <f>IF(H194=2,I241,0)</f>
        <v>0</v>
      </c>
      <c r="J243" s="58">
        <f>IF(J194=2,I241,0)</f>
        <v>0</v>
      </c>
      <c r="K243" s="54">
        <f>IF(K194=2,L241,0)</f>
        <v>2</v>
      </c>
      <c r="M243" s="58">
        <f>IF(M194=2,L241,0)</f>
        <v>0</v>
      </c>
      <c r="N243" s="54">
        <f>IF(N194=2,O241,0)</f>
        <v>0</v>
      </c>
      <c r="P243" s="58">
        <f>IF(P194=2,O241,0)</f>
        <v>0</v>
      </c>
      <c r="Q243" s="54">
        <f>IF(Q194=2,R241,0)</f>
        <v>0</v>
      </c>
      <c r="S243" s="58">
        <f>IF(S194=2,R241,0)</f>
        <v>0</v>
      </c>
      <c r="T243" s="54">
        <f>IF(T194=2,U241,0)</f>
        <v>2</v>
      </c>
      <c r="V243" s="58">
        <f>IF(V194=2,U241,0)</f>
        <v>0</v>
      </c>
      <c r="W243" s="54">
        <f>IF(W194=2,X241,0)</f>
        <v>0</v>
      </c>
      <c r="Y243" s="58">
        <f>IF(Y194=2,X241,0)</f>
        <v>0</v>
      </c>
      <c r="Z243" s="54">
        <f>IF(Z194=2,AA241,0)</f>
        <v>0</v>
      </c>
      <c r="AB243" s="58">
        <f>IF(AB194=2,AA241,0)</f>
        <v>0</v>
      </c>
      <c r="AC243" s="54">
        <f>IF(AC194=2,AD241,0)</f>
        <v>0</v>
      </c>
      <c r="AE243" s="58">
        <f>IF(AE194=2,AD241,0)</f>
        <v>2</v>
      </c>
      <c r="AF243" s="54">
        <f>SUM(B243:AE243)</f>
        <v>8</v>
      </c>
      <c r="AW243" s="146"/>
    </row>
    <row r="244" spans="1:54" s="54" customFormat="1" ht="12.75" hidden="1" customHeight="1" x14ac:dyDescent="0.2">
      <c r="A244" s="54" t="s">
        <v>78</v>
      </c>
      <c r="B244" s="54">
        <f>IF(B194=3,C241,0)</f>
        <v>0</v>
      </c>
      <c r="D244" s="58">
        <f>IF(D194=3,C241,0)</f>
        <v>0</v>
      </c>
      <c r="E244" s="54">
        <f>IF(E194=3,F241,0)</f>
        <v>0</v>
      </c>
      <c r="G244" s="58">
        <f>IF(G194=3,F241,0)</f>
        <v>0</v>
      </c>
      <c r="H244" s="54">
        <f>IF(H194=3,I241,0)</f>
        <v>2</v>
      </c>
      <c r="J244" s="58">
        <f>IF(J194=3,I241,0)</f>
        <v>0</v>
      </c>
      <c r="K244" s="54">
        <f>IF(K194=3,L241,0)</f>
        <v>0</v>
      </c>
      <c r="M244" s="58">
        <f>IF(M194=3,L241,0)</f>
        <v>0</v>
      </c>
      <c r="N244" s="54">
        <f>IF(N194=3,O241,0)</f>
        <v>0</v>
      </c>
      <c r="P244" s="58">
        <f>IF(P194=3,O241,0)</f>
        <v>2</v>
      </c>
      <c r="Q244" s="54">
        <f>IF(Q194=3,R241,0)</f>
        <v>0</v>
      </c>
      <c r="S244" s="58">
        <f>IF(S194=3,R241,0)</f>
        <v>0</v>
      </c>
      <c r="T244" s="54">
        <f>IF(T194=3,U241,0)</f>
        <v>0</v>
      </c>
      <c r="V244" s="58">
        <f>IF(V194=3,U241,0)</f>
        <v>2</v>
      </c>
      <c r="W244" s="54">
        <f>IF(W194=3,X241,0)</f>
        <v>0</v>
      </c>
      <c r="Y244" s="58">
        <f>IF(Y194=3,X241,0)</f>
        <v>0</v>
      </c>
      <c r="Z244" s="54">
        <f>IF(Z194=3,AA241,0)</f>
        <v>2</v>
      </c>
      <c r="AB244" s="58">
        <f>IF(AB194=3,AA241,0)</f>
        <v>0</v>
      </c>
      <c r="AC244" s="54">
        <f>IF(AC194=3,AD241,0)</f>
        <v>0</v>
      </c>
      <c r="AE244" s="58">
        <f>IF(AE194=3,AD241,0)</f>
        <v>0</v>
      </c>
      <c r="AF244" s="54">
        <f>SUM(B244:AE244)</f>
        <v>8</v>
      </c>
      <c r="AW244" s="146"/>
    </row>
    <row r="245" spans="1:54" s="54" customFormat="1" ht="12.75" hidden="1" customHeight="1" x14ac:dyDescent="0.2">
      <c r="A245" s="54" t="s">
        <v>79</v>
      </c>
      <c r="B245" s="54">
        <f>IF(B194=4,C241,0)</f>
        <v>0</v>
      </c>
      <c r="D245" s="58">
        <f>IF(D194=4,C241,0)</f>
        <v>0</v>
      </c>
      <c r="E245" s="54">
        <f>IF(E194=4,F241,0)</f>
        <v>0</v>
      </c>
      <c r="G245" s="58">
        <f>IF(G194=4,F241,0)</f>
        <v>2</v>
      </c>
      <c r="H245" s="54">
        <f>IF(H194=4,I241,0)</f>
        <v>0</v>
      </c>
      <c r="J245" s="58">
        <f>IF(J194=4,I241,0)</f>
        <v>0</v>
      </c>
      <c r="K245" s="54">
        <f>IF(K194=4,L241,0)</f>
        <v>0</v>
      </c>
      <c r="M245" s="58">
        <f>IF(M194=4,L241,0)</f>
        <v>2</v>
      </c>
      <c r="N245" s="54">
        <f>IF(N194=4,O241,0)</f>
        <v>0</v>
      </c>
      <c r="P245" s="58">
        <f>IF(P194=4,O241,0)</f>
        <v>0</v>
      </c>
      <c r="Q245" s="54">
        <f>IF(Q194=4,R241,0)</f>
        <v>2</v>
      </c>
      <c r="S245" s="58">
        <f>IF(S194=4,R241,0)</f>
        <v>0</v>
      </c>
      <c r="T245" s="54">
        <f>IF(T194=4,U241,0)</f>
        <v>0</v>
      </c>
      <c r="V245" s="58">
        <f>IF(V194=4,U241,0)</f>
        <v>0</v>
      </c>
      <c r="W245" s="54">
        <f>IF(W194=4,X241,0)</f>
        <v>0</v>
      </c>
      <c r="Y245" s="58">
        <f>IF(Y194=4,X241,0)</f>
        <v>0</v>
      </c>
      <c r="Z245" s="54">
        <f>IF(Z194=4,AA241,0)</f>
        <v>0</v>
      </c>
      <c r="AB245" s="58">
        <f>IF(AB194=4,AA241,0)</f>
        <v>2</v>
      </c>
      <c r="AC245" s="54">
        <f>IF(AC194=4,AD241,0)</f>
        <v>0</v>
      </c>
      <c r="AE245" s="58">
        <f>IF(AE194=4,AD241,0)</f>
        <v>0</v>
      </c>
      <c r="AF245" s="54">
        <f>SUM(B245:AE245)</f>
        <v>8</v>
      </c>
      <c r="AW245" s="146"/>
    </row>
    <row r="246" spans="1:54" s="54" customFormat="1" ht="12.75" hidden="1" customHeight="1" x14ac:dyDescent="0.2">
      <c r="A246" s="54" t="s">
        <v>80</v>
      </c>
      <c r="B246" s="54">
        <f>IF(B194=5,C241,0)</f>
        <v>0</v>
      </c>
      <c r="D246" s="58">
        <f>IF(D194=5,C241,0)</f>
        <v>2</v>
      </c>
      <c r="E246" s="54">
        <f>IF(E194=5,F241,0)</f>
        <v>0</v>
      </c>
      <c r="G246" s="58">
        <f>IF(G194=5,F241,0)</f>
        <v>0</v>
      </c>
      <c r="H246" s="54">
        <f>IF(H194=5,I241,0)</f>
        <v>0</v>
      </c>
      <c r="J246" s="58">
        <f>IF(J194=5,I241,0)</f>
        <v>2</v>
      </c>
      <c r="K246" s="54">
        <f>IF(K194=5,L241,0)</f>
        <v>0</v>
      </c>
      <c r="M246" s="58">
        <f>IF(M194=5,L241,0)</f>
        <v>0</v>
      </c>
      <c r="N246" s="54">
        <f>IF(N194=5,O241,0)</f>
        <v>0</v>
      </c>
      <c r="P246" s="58">
        <f>IF(P194=5,O241,0)</f>
        <v>0</v>
      </c>
      <c r="Q246" s="54">
        <f>IF(Q194=5,R241,0)</f>
        <v>0</v>
      </c>
      <c r="S246" s="58">
        <f>IF(S194=5,R241,0)</f>
        <v>2</v>
      </c>
      <c r="T246" s="54">
        <f>IF(T194=5,U241,0)</f>
        <v>0</v>
      </c>
      <c r="V246" s="58">
        <f>IF(V194=5,U241,0)</f>
        <v>0</v>
      </c>
      <c r="W246" s="54">
        <f>IF(W194=5,X241,0)</f>
        <v>0</v>
      </c>
      <c r="Y246" s="58">
        <f>IF(Y194=5,X241,0)</f>
        <v>2</v>
      </c>
      <c r="Z246" s="54">
        <f>IF(Z194=5,AA241,0)</f>
        <v>0</v>
      </c>
      <c r="AB246" s="58">
        <f>IF(AB194=5,AA241,0)</f>
        <v>0</v>
      </c>
      <c r="AC246" s="54">
        <f>IF(AC194=5,AD241,0)</f>
        <v>0</v>
      </c>
      <c r="AE246" s="58">
        <f>IF(AE194=5,AD241,0)</f>
        <v>0</v>
      </c>
      <c r="AF246" s="54">
        <f>SUM(B246:AE246)</f>
        <v>8</v>
      </c>
      <c r="AT246" s="61"/>
      <c r="AU246" s="61"/>
      <c r="AV246" s="61"/>
      <c r="AW246" s="146"/>
    </row>
    <row r="247" spans="1:54" hidden="1" x14ac:dyDescent="0.2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60"/>
      <c r="AO247" s="60"/>
      <c r="AP247" s="60"/>
      <c r="AQ247" s="60"/>
      <c r="AR247" s="61"/>
      <c r="AS247" s="61"/>
      <c r="AT247" s="61"/>
      <c r="AU247" s="61"/>
      <c r="AV247" s="61"/>
      <c r="BB247" s="62"/>
    </row>
    <row r="248" spans="1:54" s="61" customFormat="1" hidden="1" x14ac:dyDescent="0.2">
      <c r="A248" s="63"/>
      <c r="B248" s="63"/>
      <c r="C248" s="63" t="s">
        <v>87</v>
      </c>
      <c r="D248" s="63">
        <v>1</v>
      </c>
      <c r="E248" s="63"/>
      <c r="F248" s="63"/>
      <c r="G248" s="63">
        <v>2</v>
      </c>
      <c r="H248" s="63"/>
      <c r="I248" s="63"/>
      <c r="J248" s="63">
        <v>3</v>
      </c>
      <c r="K248" s="63"/>
      <c r="L248" s="63"/>
      <c r="M248" s="63">
        <v>4</v>
      </c>
      <c r="N248" s="63"/>
      <c r="O248" s="63"/>
      <c r="P248" s="63">
        <v>5</v>
      </c>
      <c r="Q248" s="63"/>
      <c r="R248" s="63"/>
      <c r="S248" s="63">
        <v>6</v>
      </c>
      <c r="T248" s="63"/>
      <c r="U248" s="63"/>
      <c r="V248" s="63">
        <v>7</v>
      </c>
      <c r="W248" s="63"/>
      <c r="X248" s="63"/>
      <c r="Y248" s="63">
        <v>8</v>
      </c>
      <c r="Z248" s="63"/>
      <c r="AA248" s="63"/>
      <c r="AB248" s="63">
        <v>9</v>
      </c>
      <c r="AC248" s="63"/>
      <c r="AD248" s="63"/>
      <c r="AE248" s="63">
        <v>10</v>
      </c>
      <c r="AF248" s="4"/>
      <c r="AG248" s="63"/>
      <c r="AI248" s="64"/>
      <c r="AJ248" s="4"/>
      <c r="AK248" s="4"/>
      <c r="AL248" s="4"/>
      <c r="AM248" s="4"/>
      <c r="AN248" s="4"/>
      <c r="AO248" s="4"/>
      <c r="AT248" s="64" t="s">
        <v>88</v>
      </c>
      <c r="AW248" s="65"/>
      <c r="BB248" s="65"/>
    </row>
    <row r="249" spans="1:54" s="61" customFormat="1" hidden="1" x14ac:dyDescent="0.2">
      <c r="A249" s="66">
        <v>1</v>
      </c>
      <c r="B249" s="66" t="str">
        <f>E178</f>
        <v>MOTO 13-1 IGNITE</v>
      </c>
      <c r="C249" s="66">
        <f>VLOOKUP(B249,AU$3:BB$33,3,FALSE)</f>
        <v>1879.4957453076413</v>
      </c>
      <c r="D249" s="66">
        <f>IF(B242,B257,IF(D242,D257,C249))</f>
        <v>1879.4957453076413</v>
      </c>
      <c r="E249" s="66"/>
      <c r="F249" s="66"/>
      <c r="G249" s="66">
        <f>IF(E242,E257,IF(G242,G257,D249))</f>
        <v>1856.1386971083755</v>
      </c>
      <c r="H249" s="66"/>
      <c r="I249" s="66"/>
      <c r="J249" s="66">
        <f>IF(H242,H257,IF(J242,J257,G249))</f>
        <v>1856.1386971083755</v>
      </c>
      <c r="K249" s="66"/>
      <c r="L249" s="66"/>
      <c r="M249" s="66">
        <f>IF(K242,K257,IF(M242,M257,J249))</f>
        <v>1856.1386971083755</v>
      </c>
      <c r="N249" s="66"/>
      <c r="O249" s="66"/>
      <c r="P249" s="66">
        <f>IF(N242,N257,IF(P242,P257,M249))</f>
        <v>1864.8726079866747</v>
      </c>
      <c r="Q249" s="66"/>
      <c r="R249" s="66"/>
      <c r="S249" s="66">
        <f>IF(Q242,Q257,IF(S242,S257,P249))</f>
        <v>1864.8726079866747</v>
      </c>
      <c r="T249" s="66"/>
      <c r="U249" s="66"/>
      <c r="V249" s="66">
        <f>IF(T242,T257,IF(V242,V257,S249))</f>
        <v>1864.8726079866747</v>
      </c>
      <c r="W249" s="66"/>
      <c r="X249" s="66"/>
      <c r="Y249" s="66">
        <f>IF(W242,W257,IF(Y242,Y257,V249))</f>
        <v>1874.4319288048239</v>
      </c>
      <c r="Z249" s="66"/>
      <c r="AA249" s="66"/>
      <c r="AB249" s="66">
        <f>IF(Z242,Z257,IF(AB242,AB257,Y249))</f>
        <v>1874.4319288048239</v>
      </c>
      <c r="AC249" s="66"/>
      <c r="AD249" s="66"/>
      <c r="AE249" s="66">
        <f>IF(AC242,AC257,IF(AE242,AE257,AB249))</f>
        <v>1865.7250287147676</v>
      </c>
      <c r="AF249" s="4"/>
      <c r="AG249" s="4"/>
      <c r="AJ249" s="4"/>
      <c r="AK249" s="4"/>
      <c r="AL249" s="4"/>
      <c r="AM249" s="4"/>
      <c r="AN249" s="4"/>
      <c r="AO249" s="4"/>
      <c r="AT249" s="61" t="str">
        <f>B249</f>
        <v>MOTO 13-1 IGNITE</v>
      </c>
      <c r="AU249" s="61">
        <f>AE249</f>
        <v>1865.7250287147676</v>
      </c>
      <c r="AW249" s="65"/>
      <c r="BB249" s="65"/>
    </row>
    <row r="250" spans="1:54" s="61" customFormat="1" hidden="1" x14ac:dyDescent="0.2">
      <c r="A250" s="66">
        <v>2</v>
      </c>
      <c r="B250" s="66" t="str">
        <f>E180</f>
        <v>Lake Murray 13 Black</v>
      </c>
      <c r="C250" s="66">
        <f>VLOOKUP(B250,AU$3:BB$33,3,FALSE)</f>
        <v>1724.0595262997672</v>
      </c>
      <c r="D250" s="66">
        <f>IF(B243,B257,IF(D243,D257,C250))</f>
        <v>1744.4685876008407</v>
      </c>
      <c r="E250" s="66"/>
      <c r="F250" s="66"/>
      <c r="G250" s="66">
        <f>IF(E243,E257,IF(G243,G257,D250))</f>
        <v>1744.4685876008407</v>
      </c>
      <c r="H250" s="66"/>
      <c r="I250" s="66"/>
      <c r="J250" s="66">
        <f>IF(H243,H257,IF(J243,J257,G250))</f>
        <v>1744.4685876008407</v>
      </c>
      <c r="K250" s="66"/>
      <c r="L250" s="66"/>
      <c r="M250" s="66">
        <f>IF(K243,K257,IF(M243,M257,J250))</f>
        <v>1764.4619791609709</v>
      </c>
      <c r="N250" s="66"/>
      <c r="O250" s="66"/>
      <c r="P250" s="66">
        <f>IF(N243,N257,IF(P243,P257,M250))</f>
        <v>1764.4619791609709</v>
      </c>
      <c r="Q250" s="66"/>
      <c r="R250" s="66"/>
      <c r="S250" s="66">
        <f>IF(Q243,Q257,IF(S243,S257,P250))</f>
        <v>1764.4619791609709</v>
      </c>
      <c r="T250" s="66"/>
      <c r="U250" s="66"/>
      <c r="V250" s="66">
        <f>IF(T243,T257,IF(V243,V257,S250))</f>
        <v>1777.4556320936649</v>
      </c>
      <c r="W250" s="66"/>
      <c r="X250" s="66"/>
      <c r="Y250" s="66">
        <f>IF(W243,W257,IF(Y243,Y257,V250))</f>
        <v>1777.4556320936649</v>
      </c>
      <c r="Z250" s="66"/>
      <c r="AA250" s="66"/>
      <c r="AB250" s="66">
        <f>IF(Z243,Z257,IF(AB243,AB257,Y250))</f>
        <v>1777.4556320936649</v>
      </c>
      <c r="AC250" s="66"/>
      <c r="AD250" s="66"/>
      <c r="AE250" s="66">
        <f>IF(AC243,AC257,IF(AE243,AE257,AB250))</f>
        <v>1786.1625321837212</v>
      </c>
      <c r="AF250" s="4"/>
      <c r="AG250" s="4"/>
      <c r="AJ250" s="4"/>
      <c r="AL250" s="4"/>
      <c r="AM250" s="4"/>
      <c r="AN250" s="4"/>
      <c r="AO250" s="4"/>
      <c r="AT250" s="61" t="str">
        <f>B250</f>
        <v>Lake Murray 13 Black</v>
      </c>
      <c r="AU250" s="61">
        <f>AE250</f>
        <v>1786.1625321837212</v>
      </c>
      <c r="AW250" s="65"/>
      <c r="BB250" s="65"/>
    </row>
    <row r="251" spans="1:54" s="61" customFormat="1" hidden="1" x14ac:dyDescent="0.2">
      <c r="A251" s="66">
        <v>3</v>
      </c>
      <c r="B251" s="66" t="str">
        <f>E182</f>
        <v>Vision 13 Regional</v>
      </c>
      <c r="C251" s="66">
        <f>VLOOKUP(B251,AU$3:BB$33,3,FALSE)</f>
        <v>1531.9857171026847</v>
      </c>
      <c r="D251" s="66">
        <f>IF(B244,B257,IF(D244,D257,C251))</f>
        <v>1531.9857171026847</v>
      </c>
      <c r="E251" s="66"/>
      <c r="F251" s="66"/>
      <c r="G251" s="66">
        <f>IF(E244,E257,IF(G244,G257,D251))</f>
        <v>1531.9857171026847</v>
      </c>
      <c r="H251" s="66"/>
      <c r="I251" s="66"/>
      <c r="J251" s="66">
        <f>IF(H244,H257,IF(J244,J257,G251))</f>
        <v>1535.6387063064744</v>
      </c>
      <c r="K251" s="66"/>
      <c r="L251" s="66"/>
      <c r="M251" s="66">
        <f>IF(K244,K257,IF(M244,M257,J251))</f>
        <v>1535.6387063064744</v>
      </c>
      <c r="N251" s="66"/>
      <c r="O251" s="66"/>
      <c r="P251" s="66">
        <f>IF(N244,N257,IF(P244,P257,M251))</f>
        <v>1526.9047954281752</v>
      </c>
      <c r="Q251" s="66"/>
      <c r="R251" s="66"/>
      <c r="S251" s="66">
        <f>IF(Q244,Q257,IF(S244,S257,P251))</f>
        <v>1526.9047954281752</v>
      </c>
      <c r="T251" s="66"/>
      <c r="U251" s="66"/>
      <c r="V251" s="66">
        <f>IF(T244,T257,IF(V244,V257,S251))</f>
        <v>1513.9111424954813</v>
      </c>
      <c r="W251" s="66"/>
      <c r="X251" s="66"/>
      <c r="Y251" s="66">
        <f>IF(W244,W257,IF(Y244,Y257,V251))</f>
        <v>1513.9111424954813</v>
      </c>
      <c r="Z251" s="66"/>
      <c r="AA251" s="66"/>
      <c r="AB251" s="66">
        <f>IF(Z244,Z257,IF(AB244,AB257,Y251))</f>
        <v>1509.9161662418283</v>
      </c>
      <c r="AC251" s="66"/>
      <c r="AD251" s="66"/>
      <c r="AE251" s="66">
        <f>IF(AC244,AC257,IF(AE244,AE257,AB251))</f>
        <v>1509.9161662418283</v>
      </c>
      <c r="AF251" s="4"/>
      <c r="AG251" s="4"/>
      <c r="AJ251" s="4"/>
      <c r="AL251" s="4"/>
      <c r="AM251" s="4"/>
      <c r="AN251" s="4"/>
      <c r="AO251" s="4"/>
      <c r="AT251" s="61" t="str">
        <f>B251</f>
        <v>Vision 13 Regional</v>
      </c>
      <c r="AU251" s="61">
        <f>AE251</f>
        <v>1509.9161662418283</v>
      </c>
      <c r="AW251" s="65"/>
      <c r="BB251" s="65"/>
    </row>
    <row r="252" spans="1:54" s="61" customFormat="1" hidden="1" x14ac:dyDescent="0.2">
      <c r="A252" s="66">
        <v>4</v>
      </c>
      <c r="B252" s="66" t="str">
        <f>E184</f>
        <v>KVC 13-1</v>
      </c>
      <c r="C252" s="66">
        <f>VLOOKUP(B252,AU$3:BB$33,3,FALSE)</f>
        <v>1975.7226594081633</v>
      </c>
      <c r="D252" s="66">
        <f>IF(B245,B257,IF(D245,D257,C252))</f>
        <v>1975.7226594081633</v>
      </c>
      <c r="E252" s="66"/>
      <c r="F252" s="66"/>
      <c r="G252" s="66">
        <f>IF(E245,E257,IF(G245,G257,D252))</f>
        <v>1999.0797076074291</v>
      </c>
      <c r="H252" s="66"/>
      <c r="I252" s="66"/>
      <c r="J252" s="66">
        <f>IF(H245,H257,IF(J245,J257,G252))</f>
        <v>1999.0797076074291</v>
      </c>
      <c r="K252" s="66"/>
      <c r="L252" s="66"/>
      <c r="M252" s="66">
        <f>IF(K245,K257,IF(M245,M257,J252))</f>
        <v>1979.0863160472989</v>
      </c>
      <c r="N252" s="66"/>
      <c r="O252" s="66"/>
      <c r="P252" s="66">
        <f>IF(N245,N257,IF(P245,P257,M252))</f>
        <v>1979.0863160472989</v>
      </c>
      <c r="Q252" s="66"/>
      <c r="R252" s="66"/>
      <c r="S252" s="66">
        <f>IF(Q245,Q257,IF(S245,S257,P252))</f>
        <v>1984.580506400031</v>
      </c>
      <c r="T252" s="66"/>
      <c r="U252" s="66"/>
      <c r="V252" s="66">
        <f>IF(T245,T257,IF(V245,V257,S252))</f>
        <v>1984.580506400031</v>
      </c>
      <c r="W252" s="66"/>
      <c r="X252" s="66"/>
      <c r="Y252" s="66">
        <f>IF(W245,W257,IF(Y245,Y257,V252))</f>
        <v>1984.580506400031</v>
      </c>
      <c r="Z252" s="66"/>
      <c r="AA252" s="66"/>
      <c r="AB252" s="66">
        <f>IF(Z245,Z257,IF(AB245,AB257,Y252))</f>
        <v>1988.575482653684</v>
      </c>
      <c r="AC252" s="66"/>
      <c r="AD252" s="66"/>
      <c r="AE252" s="66">
        <f>IF(AC245,AC257,IF(AE245,AE257,AB252))</f>
        <v>1988.575482653684</v>
      </c>
      <c r="AF252" s="4"/>
      <c r="AG252" s="4"/>
      <c r="AJ252" s="4"/>
      <c r="AL252" s="4"/>
      <c r="AM252" s="4"/>
      <c r="AN252" s="4"/>
      <c r="AO252" s="4"/>
      <c r="AT252" s="61" t="str">
        <f>B252</f>
        <v>KVC 13-1</v>
      </c>
      <c r="AU252" s="61">
        <f>AE252</f>
        <v>1988.575482653684</v>
      </c>
      <c r="AW252" s="65"/>
      <c r="BB252" s="65"/>
    </row>
    <row r="253" spans="1:54" s="61" customFormat="1" hidden="1" x14ac:dyDescent="0.2">
      <c r="A253" s="66">
        <v>5</v>
      </c>
      <c r="B253" s="66" t="str">
        <f>E186</f>
        <v>C1VB 13 State Black Grvl</v>
      </c>
      <c r="C253" s="66">
        <f>VLOOKUP(B253,AU$3:BB$33,3,FALSE)</f>
        <v>1592.2302498222155</v>
      </c>
      <c r="D253" s="66">
        <f>IF(B246,B257,IF(D246,D257,C253))</f>
        <v>1571.8211885211419</v>
      </c>
      <c r="E253" s="66"/>
      <c r="F253" s="66"/>
      <c r="G253" s="66">
        <f>IF(E246,E257,IF(G246,G257,D253))</f>
        <v>1571.8211885211419</v>
      </c>
      <c r="H253" s="66"/>
      <c r="I253" s="66"/>
      <c r="J253" s="66">
        <f>IF(H246,H257,IF(J246,J257,G253))</f>
        <v>1568.1681993173522</v>
      </c>
      <c r="K253" s="66"/>
      <c r="L253" s="66"/>
      <c r="M253" s="66">
        <f>IF(K246,K257,IF(M246,M257,J253))</f>
        <v>1568.1681993173522</v>
      </c>
      <c r="N253" s="66"/>
      <c r="O253" s="66"/>
      <c r="P253" s="66">
        <f>IF(N246,N257,IF(P246,P257,M253))</f>
        <v>1568.1681993173522</v>
      </c>
      <c r="Q253" s="66"/>
      <c r="R253" s="66"/>
      <c r="S253" s="66">
        <f>IF(Q246,Q257,IF(S246,S257,P253))</f>
        <v>1562.67400896462</v>
      </c>
      <c r="T253" s="66"/>
      <c r="U253" s="66"/>
      <c r="V253" s="66">
        <f>IF(T246,T257,IF(V246,V257,S253))</f>
        <v>1562.67400896462</v>
      </c>
      <c r="W253" s="66"/>
      <c r="X253" s="66"/>
      <c r="Y253" s="66">
        <f>IF(W246,W257,IF(Y246,Y257,V253))</f>
        <v>1553.1146881464708</v>
      </c>
      <c r="Z253" s="66"/>
      <c r="AA253" s="66"/>
      <c r="AB253" s="66">
        <f>IF(Z246,Z257,IF(AB246,AB257,Y253))</f>
        <v>1553.1146881464708</v>
      </c>
      <c r="AC253" s="66"/>
      <c r="AD253" s="66"/>
      <c r="AE253" s="66">
        <f>IF(AC246,AC257,IF(AE246,AE257,AB253))</f>
        <v>1553.1146881464708</v>
      </c>
      <c r="AF253" s="4"/>
      <c r="AG253" s="4"/>
      <c r="AJ253" s="4"/>
      <c r="AL253" s="4"/>
      <c r="AM253" s="4"/>
      <c r="AN253" s="4"/>
      <c r="AO253" s="4"/>
      <c r="AT253" s="61" t="str">
        <f>B253</f>
        <v>C1VB 13 State Black Grvl</v>
      </c>
      <c r="AU253" s="61">
        <f>AE253</f>
        <v>1553.1146881464708</v>
      </c>
      <c r="AW253" s="65"/>
      <c r="BB253" s="65"/>
    </row>
    <row r="254" spans="1:54" s="61" customFormat="1" hidden="1" x14ac:dyDescent="0.2">
      <c r="A254" s="66"/>
      <c r="B254" s="66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66"/>
      <c r="AE254" s="66"/>
      <c r="AF254" s="4"/>
      <c r="AG254" s="4"/>
      <c r="AJ254" s="4"/>
      <c r="AL254" s="4"/>
      <c r="AM254" s="4"/>
      <c r="AN254" s="4"/>
      <c r="AO254" s="4"/>
      <c r="AW254" s="65"/>
      <c r="BB254" s="65"/>
    </row>
    <row r="255" spans="1:54" s="61" customFormat="1" hidden="1" x14ac:dyDescent="0.2">
      <c r="A255" s="66" t="s">
        <v>89</v>
      </c>
      <c r="B255" s="66">
        <f>VLOOKUP(B194,$A249:$AE253,3*C255,FALSE)</f>
        <v>1724.0595262997672</v>
      </c>
      <c r="C255" s="66">
        <v>1</v>
      </c>
      <c r="D255" s="66">
        <f>VLOOKUP(D194,$A249:$AE253,2+C255,FALSE)</f>
        <v>1592.2302498222155</v>
      </c>
      <c r="E255" s="66">
        <f>VLOOKUP(E194,$A249:$AE253,3*F255-2,FALSE)</f>
        <v>1879.4957453076413</v>
      </c>
      <c r="F255" s="66">
        <v>2</v>
      </c>
      <c r="G255" s="66">
        <f>VLOOKUP(G194,$A249:$AE253,3*F255-2,FALSE)</f>
        <v>1975.7226594081633</v>
      </c>
      <c r="H255" s="66">
        <f>VLOOKUP(H194,$A249:$AE253,3*I255-2,FALSE)</f>
        <v>1531.9857171026847</v>
      </c>
      <c r="I255" s="66">
        <v>3</v>
      </c>
      <c r="J255" s="66">
        <f>VLOOKUP(J194,$A249:$AE253,3*I255-2,FALSE)</f>
        <v>1571.8211885211419</v>
      </c>
      <c r="K255" s="66">
        <f>VLOOKUP(K194,$A249:$AE253,3*L255-2,FALSE)</f>
        <v>1744.4685876008407</v>
      </c>
      <c r="L255" s="66">
        <v>4</v>
      </c>
      <c r="M255" s="66">
        <f>VLOOKUP(M194,$A249:$AE253,3*L255-2,FALSE)</f>
        <v>1999.0797076074291</v>
      </c>
      <c r="N255" s="66">
        <f>VLOOKUP(N194,$A249:$AE253,3*O255-2,FALSE)</f>
        <v>1856.1386971083755</v>
      </c>
      <c r="O255" s="66">
        <v>5</v>
      </c>
      <c r="P255" s="66">
        <f>VLOOKUP(P194,$A249:$AE253,3*O255-2,FALSE)</f>
        <v>1535.6387063064744</v>
      </c>
      <c r="Q255" s="66">
        <f>VLOOKUP(Q194,$A249:$AE253,3*R255-2,FALSE)</f>
        <v>1979.0863160472989</v>
      </c>
      <c r="R255" s="66">
        <v>6</v>
      </c>
      <c r="S255" s="66">
        <f>VLOOKUP(S194,$A249:$AE253,3*R255-2,FALSE)</f>
        <v>1568.1681993173522</v>
      </c>
      <c r="T255" s="66">
        <f>VLOOKUP(T194,$A249:$AE253,3*U255-2,FALSE)</f>
        <v>1764.4619791609709</v>
      </c>
      <c r="U255" s="66">
        <v>7</v>
      </c>
      <c r="V255" s="66">
        <f>VLOOKUP(V194,$A249:$AE253,3*U255-2,FALSE)</f>
        <v>1526.9047954281752</v>
      </c>
      <c r="W255" s="66">
        <f>VLOOKUP(W194,$A249:$AE253,3*X255-2,FALSE)</f>
        <v>1864.8726079866747</v>
      </c>
      <c r="X255" s="66">
        <v>8</v>
      </c>
      <c r="Y255" s="66">
        <f>VLOOKUP(Y194,$A249:$AE253,3*X255-2,FALSE)</f>
        <v>1562.67400896462</v>
      </c>
      <c r="Z255" s="66">
        <f>VLOOKUP(Z194,$A249:$AE253,3*AA255-2,FALSE)</f>
        <v>1513.9111424954813</v>
      </c>
      <c r="AA255" s="66">
        <v>9</v>
      </c>
      <c r="AB255" s="66">
        <f>VLOOKUP(AB194,$A249:$AE253,3*AA255-2,FALSE)</f>
        <v>1984.580506400031</v>
      </c>
      <c r="AC255" s="66">
        <f>VLOOKUP(AC194,$A249:$AE253,3*AD255-2,FALSE)</f>
        <v>1874.4319288048239</v>
      </c>
      <c r="AD255" s="66">
        <v>10</v>
      </c>
      <c r="AE255" s="66">
        <f>VLOOKUP(AE194,$A249:$AE253,3*AD255-2,FALSE)</f>
        <v>1777.4556320936649</v>
      </c>
      <c r="AF255" s="4"/>
      <c r="AG255" s="59"/>
      <c r="AH255" s="59"/>
      <c r="AI255" s="59"/>
      <c r="AJ255" s="59"/>
      <c r="AK255" s="59"/>
      <c r="AL255" s="59"/>
      <c r="AM255" s="59"/>
      <c r="AN255" s="60"/>
      <c r="AO255" s="60"/>
      <c r="AP255" s="60"/>
      <c r="AQ255" s="60"/>
      <c r="AW255" s="65"/>
      <c r="BB255" s="65"/>
    </row>
    <row r="256" spans="1:54" s="71" customFormat="1" hidden="1" x14ac:dyDescent="0.2">
      <c r="A256" s="67" t="s">
        <v>90</v>
      </c>
      <c r="B256" s="67">
        <f>1/(1+(10^-((B255-D255)/400)))*(B206+D206)</f>
        <v>1.3622168343414511</v>
      </c>
      <c r="C256" s="67"/>
      <c r="D256" s="67">
        <f>1/(1+(10^-((D255-B255)/400)))*(B206+D206)</f>
        <v>0.63778316565854887</v>
      </c>
      <c r="E256" s="67">
        <f>1/(1+(10^-((E255-G255)/400)))*(E206+G206)</f>
        <v>0.72990775622705872</v>
      </c>
      <c r="F256" s="67"/>
      <c r="G256" s="67">
        <f>1/(1+(10^-((G255-E255)/400)))*(E206+G206)</f>
        <v>1.2700922437729412</v>
      </c>
      <c r="H256" s="67">
        <f>1/(1+(10^-((H255-J255)/400)))*(H206+J206)</f>
        <v>0.88584408738157072</v>
      </c>
      <c r="I256" s="67"/>
      <c r="J256" s="67">
        <f>1/(1+(10^-((J255-H255)/400)))*(H206+J206)</f>
        <v>1.1141559126184293</v>
      </c>
      <c r="K256" s="67">
        <f>1/(1+(10^-((K255-M255)/400)))*(K206+M206)</f>
        <v>0.375206513745933</v>
      </c>
      <c r="L256" s="67"/>
      <c r="M256" s="67">
        <f>1/(1+(10^-((M255-K255)/400)))*(K206+M206)</f>
        <v>1.6247934862540672</v>
      </c>
      <c r="N256" s="67">
        <f>1/(1+(10^-((N255-P255)/400)))*(N206+P206)</f>
        <v>1.7270652850531474</v>
      </c>
      <c r="O256" s="67"/>
      <c r="P256" s="67">
        <f>1/(1+(10^-((P255-N255)/400)))*(N206+P206)</f>
        <v>0.27293471494685273</v>
      </c>
      <c r="Q256" s="67">
        <f>1/(1+(10^-((Q255-S255)/400)))*(Q206+S206)</f>
        <v>1.8283065514771215</v>
      </c>
      <c r="R256" s="67"/>
      <c r="S256" s="67">
        <f>1/(1+(10^-((S255-Q255)/400)))*(Q206+S206)</f>
        <v>0.17169344852287868</v>
      </c>
      <c r="T256" s="67">
        <f>1/(1+(10^-((T255-V255)/400)))*(T206+V206)</f>
        <v>1.5939483458533132</v>
      </c>
      <c r="U256" s="67"/>
      <c r="V256" s="67">
        <f>1/(1+(10^-((V255-T255)/400)))*(T206+V206)</f>
        <v>0.40605165414668676</v>
      </c>
      <c r="W256" s="67">
        <f>1/(1+(10^-((W255-Y255)/400)))*(W206+Y206)</f>
        <v>1.7012712244328401</v>
      </c>
      <c r="X256" s="67"/>
      <c r="Y256" s="67">
        <f>1/(1+(10^-((Y255-W255)/400)))*(W206+Y206)</f>
        <v>0.29872877556715977</v>
      </c>
      <c r="Z256" s="67">
        <f>1/(1+(10^-((Z255-AB255)/400)))*(Z206+AB206)</f>
        <v>0.12484300792665404</v>
      </c>
      <c r="AA256" s="67"/>
      <c r="AB256" s="67">
        <f>1/(1+(10^-((AB255-Z255)/400)))*(Z206+AB206)</f>
        <v>1.8751569920733462</v>
      </c>
      <c r="AC256" s="67">
        <f>1/(1+(10^-((AC255-AE255)/400)))*(AC206+AE206)</f>
        <v>1.2720906278142561</v>
      </c>
      <c r="AD256" s="67"/>
      <c r="AE256" s="67">
        <f>1/(1+(10^-((AE255-AC255)/400)))*(AC206+AE206)</f>
        <v>0.72790937218574403</v>
      </c>
      <c r="AF256" s="68"/>
      <c r="AG256" s="69"/>
      <c r="AH256" s="69"/>
      <c r="AI256" s="69"/>
      <c r="AJ256" s="69"/>
      <c r="AK256" s="69"/>
      <c r="AL256" s="69"/>
      <c r="AM256" s="69"/>
      <c r="AN256" s="70"/>
      <c r="AO256" s="70"/>
      <c r="AP256" s="70"/>
      <c r="AQ256" s="70"/>
      <c r="AW256" s="72"/>
      <c r="BB256" s="72"/>
    </row>
    <row r="257" spans="1:54" s="77" customFormat="1" hidden="1" x14ac:dyDescent="0.2">
      <c r="A257" s="73" t="s">
        <v>91</v>
      </c>
      <c r="B257" s="73">
        <f>B255+(B206-B256)*$BA$1</f>
        <v>1744.4685876008407</v>
      </c>
      <c r="C257" s="73"/>
      <c r="D257" s="73">
        <f>D255+(D206-D256)*$BA$1</f>
        <v>1571.8211885211419</v>
      </c>
      <c r="E257" s="73">
        <f>E255+(E206-E256)*$BA$1</f>
        <v>1856.1386971083755</v>
      </c>
      <c r="F257" s="73"/>
      <c r="G257" s="73">
        <f>G255+(G206-G256)*$BA$1</f>
        <v>1999.0797076074291</v>
      </c>
      <c r="H257" s="73">
        <f>H255+(H206-H256)*$BA$1</f>
        <v>1535.6387063064744</v>
      </c>
      <c r="I257" s="73"/>
      <c r="J257" s="73">
        <f>J255+(J206-J256)*$BA$1</f>
        <v>1568.1681993173522</v>
      </c>
      <c r="K257" s="73">
        <f>K255+(K206-K256)*$BA$1</f>
        <v>1764.4619791609709</v>
      </c>
      <c r="L257" s="73"/>
      <c r="M257" s="73">
        <f>M255+(M206-M256)*$BA$1</f>
        <v>1979.0863160472989</v>
      </c>
      <c r="N257" s="73">
        <f>N255+(N206-N256)*$BA$1</f>
        <v>1864.8726079866747</v>
      </c>
      <c r="O257" s="73"/>
      <c r="P257" s="73">
        <f>P255+(P206-P256)*$BA$1</f>
        <v>1526.9047954281752</v>
      </c>
      <c r="Q257" s="73">
        <f>Q255+(Q206-Q256)*$BA$1</f>
        <v>1984.580506400031</v>
      </c>
      <c r="R257" s="73"/>
      <c r="S257" s="73">
        <f>S255+(S206-S256)*$BA$1</f>
        <v>1562.67400896462</v>
      </c>
      <c r="T257" s="73">
        <f>T255+(T206-T256)*$BA$1</f>
        <v>1777.4556320936649</v>
      </c>
      <c r="U257" s="73"/>
      <c r="V257" s="73">
        <f>V255+(V206-V256)*$BA$1</f>
        <v>1513.9111424954813</v>
      </c>
      <c r="W257" s="73">
        <f>W255+(W206-W256)*$BA$1</f>
        <v>1874.4319288048239</v>
      </c>
      <c r="X257" s="73"/>
      <c r="Y257" s="73">
        <f>Y255+(Y206-Y256)*$BA$1</f>
        <v>1553.1146881464708</v>
      </c>
      <c r="Z257" s="73">
        <f>Z255+(Z206-Z256)*$BA$1</f>
        <v>1509.9161662418283</v>
      </c>
      <c r="AA257" s="73"/>
      <c r="AB257" s="73">
        <f>AB255+(AB206-AB256)*$BA$1</f>
        <v>1988.575482653684</v>
      </c>
      <c r="AC257" s="73">
        <f>AC255+(AC206-AC256)*$BA$1</f>
        <v>1865.7250287147676</v>
      </c>
      <c r="AD257" s="73"/>
      <c r="AE257" s="73">
        <f>AE255+(AE206-AE256)*$BA$1</f>
        <v>1786.1625321837212</v>
      </c>
      <c r="AF257" s="74"/>
      <c r="AG257" s="75"/>
      <c r="AH257" s="75"/>
      <c r="AI257" s="75"/>
      <c r="AJ257" s="75"/>
      <c r="AK257" s="75"/>
      <c r="AL257" s="75"/>
      <c r="AM257" s="75"/>
      <c r="AN257" s="76"/>
      <c r="AO257" s="76"/>
      <c r="AP257" s="76"/>
      <c r="AQ257" s="76"/>
      <c r="AW257" s="78"/>
      <c r="BB257" s="78"/>
    </row>
    <row r="258" spans="1:54" s="77" customFormat="1" hidden="1" x14ac:dyDescent="0.2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  <c r="AD258" s="73"/>
      <c r="AE258" s="73"/>
      <c r="AF258" s="74"/>
      <c r="AG258" s="75"/>
      <c r="AH258" s="75"/>
      <c r="AI258" s="75"/>
      <c r="AJ258" s="75"/>
      <c r="AK258" s="75"/>
      <c r="AL258" s="75"/>
      <c r="AM258" s="75"/>
      <c r="AN258" s="76"/>
      <c r="AO258" s="76"/>
      <c r="AP258" s="76"/>
      <c r="AQ258" s="76"/>
      <c r="AW258" s="78"/>
      <c r="BB258" s="78"/>
    </row>
    <row r="259" spans="1:54" s="61" customFormat="1" x14ac:dyDescent="0.2">
      <c r="A259" s="790" t="str">
        <f>IF($AK180=1,"Pool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259" s="790"/>
      <c r="C259" s="790"/>
      <c r="D259" s="790"/>
      <c r="E259" s="790"/>
      <c r="F259" s="790"/>
      <c r="G259" s="790"/>
      <c r="H259" s="790"/>
      <c r="I259" s="790"/>
      <c r="J259" s="790"/>
      <c r="K259" s="790"/>
      <c r="L259" s="790"/>
      <c r="M259" s="790"/>
      <c r="N259" s="790"/>
      <c r="O259" s="790"/>
      <c r="P259" s="790"/>
      <c r="Q259" s="790"/>
      <c r="R259" s="790"/>
      <c r="S259" s="790"/>
      <c r="T259" s="790"/>
      <c r="U259" s="790"/>
      <c r="V259" s="790"/>
      <c r="W259" s="790"/>
      <c r="X259" s="790"/>
      <c r="Y259" s="790"/>
      <c r="Z259" s="790"/>
      <c r="AA259" s="790"/>
      <c r="AB259" s="790"/>
      <c r="AC259" s="790"/>
      <c r="AD259" s="790"/>
      <c r="AE259" s="790"/>
      <c r="AF259" s="790"/>
      <c r="AG259" s="790"/>
      <c r="AH259" s="790"/>
      <c r="AI259" s="790"/>
      <c r="AJ259" s="790"/>
      <c r="AK259" s="790"/>
      <c r="AL259" s="790"/>
      <c r="AM259" s="790"/>
      <c r="AN259" s="768"/>
      <c r="AO259" s="768"/>
      <c r="AP259" s="768"/>
      <c r="AQ259" s="768"/>
      <c r="AW259" s="65"/>
    </row>
    <row r="260" spans="1:54" s="61" customFormat="1" ht="13.5" thickBot="1" x14ac:dyDescent="0.25">
      <c r="A260" s="791"/>
      <c r="B260" s="791"/>
      <c r="C260" s="791"/>
      <c r="D260" s="791"/>
      <c r="E260" s="791"/>
      <c r="F260" s="791"/>
      <c r="G260" s="791"/>
      <c r="H260" s="791"/>
      <c r="I260" s="791"/>
      <c r="J260" s="791"/>
      <c r="K260" s="791"/>
      <c r="L260" s="791"/>
      <c r="M260" s="791"/>
      <c r="N260" s="791"/>
      <c r="O260" s="791"/>
      <c r="P260" s="791"/>
      <c r="Q260" s="791"/>
      <c r="R260" s="791"/>
      <c r="S260" s="791"/>
      <c r="T260" s="791"/>
      <c r="U260" s="791"/>
      <c r="V260" s="791"/>
      <c r="W260" s="791"/>
      <c r="X260" s="791"/>
      <c r="Y260" s="791"/>
      <c r="Z260" s="791"/>
      <c r="AA260" s="791"/>
      <c r="AB260" s="791"/>
      <c r="AC260" s="791"/>
      <c r="AD260" s="791"/>
      <c r="AE260" s="791"/>
      <c r="AF260" s="791"/>
      <c r="AG260" s="791"/>
      <c r="AH260" s="791"/>
      <c r="AI260" s="791"/>
      <c r="AJ260" s="791"/>
      <c r="AK260" s="791"/>
      <c r="AL260" s="791"/>
      <c r="AM260" s="791"/>
      <c r="AN260" s="791"/>
      <c r="AO260" s="791"/>
      <c r="AP260" s="791"/>
      <c r="AQ260" s="791"/>
      <c r="AT260" s="4"/>
      <c r="AU260" s="4"/>
      <c r="AV260" s="4"/>
      <c r="AW260" s="65"/>
    </row>
    <row r="261" spans="1:54" ht="24" customHeight="1" thickBot="1" x14ac:dyDescent="0.25">
      <c r="A261" s="22" t="s">
        <v>22</v>
      </c>
      <c r="B261" s="23" t="s">
        <v>262</v>
      </c>
      <c r="C261" s="862" t="s">
        <v>1182</v>
      </c>
      <c r="D261" s="863"/>
      <c r="E261" s="863"/>
      <c r="F261" s="863"/>
      <c r="G261" s="863"/>
      <c r="H261" s="864"/>
      <c r="I261" s="865">
        <v>4</v>
      </c>
      <c r="J261" s="866"/>
      <c r="K261" s="867" t="str">
        <f>"Pool "&amp;B261&amp;" - Round 1 - Court "&amp;I261</f>
        <v>Pool D - Round 1 - Court 4</v>
      </c>
      <c r="L261" s="868"/>
      <c r="M261" s="868"/>
      <c r="N261" s="868"/>
      <c r="O261" s="868"/>
      <c r="P261" s="868"/>
      <c r="Q261" s="868"/>
      <c r="R261" s="868"/>
      <c r="S261" s="868"/>
      <c r="T261" s="868"/>
      <c r="U261" s="868"/>
      <c r="V261" s="868"/>
      <c r="W261" s="868"/>
      <c r="X261" s="868"/>
      <c r="Y261" s="868"/>
      <c r="Z261" s="868"/>
      <c r="AA261" s="868"/>
      <c r="AB261" s="868"/>
      <c r="AC261" s="868"/>
      <c r="AD261" s="868"/>
      <c r="AE261" s="868"/>
      <c r="AF261" s="868"/>
      <c r="AG261" s="868"/>
      <c r="AH261" s="868"/>
      <c r="AI261" s="869"/>
      <c r="AJ261" s="11"/>
      <c r="AK261" s="11"/>
      <c r="AL261" s="11"/>
      <c r="AM261" s="11"/>
      <c r="AN261" s="11"/>
      <c r="AO261" s="11"/>
      <c r="AP261" s="11"/>
      <c r="AQ261" s="11"/>
    </row>
    <row r="262" spans="1:54" ht="27" customHeight="1" thickBot="1" x14ac:dyDescent="0.25">
      <c r="A262" s="24" t="s">
        <v>25</v>
      </c>
      <c r="B262" s="870" t="s">
        <v>7</v>
      </c>
      <c r="C262" s="871"/>
      <c r="D262" s="871"/>
      <c r="E262" s="871"/>
      <c r="F262" s="871"/>
      <c r="G262" s="871"/>
      <c r="H262" s="871"/>
      <c r="I262" s="871"/>
      <c r="J262" s="871"/>
      <c r="K262" s="871"/>
      <c r="L262" s="870" t="str">
        <f>IF($AK265=0,"Games Won","Matches Won")</f>
        <v>Games Won</v>
      </c>
      <c r="M262" s="871"/>
      <c r="N262" s="871"/>
      <c r="O262" s="871"/>
      <c r="P262" s="871"/>
      <c r="Q262" s="872"/>
      <c r="R262" s="870" t="str">
        <f>IF($AK265=0,"Games Lost","Matches Lost")</f>
        <v>Games Lost</v>
      </c>
      <c r="S262" s="873"/>
      <c r="T262" s="873"/>
      <c r="U262" s="873"/>
      <c r="V262" s="874"/>
      <c r="W262" s="875" t="s">
        <v>26</v>
      </c>
      <c r="X262" s="876"/>
      <c r="Y262" s="877"/>
      <c r="Z262" s="875" t="s">
        <v>27</v>
      </c>
      <c r="AA262" s="876"/>
      <c r="AB262" s="877"/>
      <c r="AC262" s="878" t="s">
        <v>28</v>
      </c>
      <c r="AD262" s="879"/>
      <c r="AE262" s="880"/>
      <c r="AF262" s="25" t="s">
        <v>29</v>
      </c>
      <c r="AG262" s="26" t="s">
        <v>6</v>
      </c>
      <c r="AH262" s="860" t="s">
        <v>30</v>
      </c>
      <c r="AI262" s="861"/>
      <c r="AJ262" s="27"/>
      <c r="AK262" s="28">
        <v>2</v>
      </c>
      <c r="AL262" s="29" t="s">
        <v>31</v>
      </c>
      <c r="AM262" s="29"/>
      <c r="AN262" s="29"/>
      <c r="AO262" s="29"/>
      <c r="AP262" s="29"/>
      <c r="AQ262" s="29"/>
      <c r="AR262" s="30"/>
    </row>
    <row r="263" spans="1:54" ht="18.75" customHeight="1" x14ac:dyDescent="0.2">
      <c r="A263" s="829" t="str">
        <f>IF($AK264&gt;0,"1","")</f>
        <v>1</v>
      </c>
      <c r="B263" s="857" t="s">
        <v>7</v>
      </c>
      <c r="C263" s="858"/>
      <c r="D263" s="859"/>
      <c r="E263" s="833" t="str">
        <f>AU6</f>
        <v>C1VB 13 Regional Grvl</v>
      </c>
      <c r="F263" s="834"/>
      <c r="G263" s="834"/>
      <c r="H263" s="834"/>
      <c r="I263" s="834"/>
      <c r="J263" s="834"/>
      <c r="K263" s="835"/>
      <c r="L263" s="836">
        <f>IF($AK265=0,AF319,AF301)</f>
        <v>6</v>
      </c>
      <c r="M263" s="837"/>
      <c r="N263" s="837"/>
      <c r="O263" s="837"/>
      <c r="P263" s="837"/>
      <c r="Q263" s="872"/>
      <c r="R263" s="836">
        <f>IF($AK265=0,AG319,AG301)</f>
        <v>2</v>
      </c>
      <c r="S263" s="837"/>
      <c r="T263" s="837"/>
      <c r="U263" s="837"/>
      <c r="V263" s="837"/>
      <c r="W263" s="836">
        <f>AQ279</f>
        <v>32</v>
      </c>
      <c r="X263" s="837"/>
      <c r="Y263" s="837"/>
      <c r="Z263" s="809">
        <f>IF(AF313&gt;0,(AQ279/AF313),0)</f>
        <v>0.16</v>
      </c>
      <c r="AA263" s="810"/>
      <c r="AB263" s="810"/>
      <c r="AC263" s="813">
        <f>IF(AF327=0,0,(AF319/AF327))</f>
        <v>0.75</v>
      </c>
      <c r="AD263" s="814"/>
      <c r="AE263" s="815"/>
      <c r="AF263" s="819">
        <v>2</v>
      </c>
      <c r="AG263" s="819">
        <v>1</v>
      </c>
      <c r="AH263" s="821">
        <v>6</v>
      </c>
      <c r="AI263" s="822"/>
      <c r="AJ263" s="27"/>
      <c r="AK263" s="28">
        <v>10</v>
      </c>
      <c r="AL263" s="29" t="s">
        <v>32</v>
      </c>
      <c r="AM263" s="29"/>
      <c r="AN263" s="29"/>
      <c r="AO263" s="29"/>
      <c r="AP263" s="29"/>
      <c r="AQ263" s="29"/>
      <c r="AR263" s="30"/>
    </row>
    <row r="264" spans="1:54" ht="18.75" customHeight="1" thickBot="1" x14ac:dyDescent="0.25">
      <c r="A264" s="830"/>
      <c r="B264" s="854" t="s">
        <v>8</v>
      </c>
      <c r="C264" s="855"/>
      <c r="D264" s="856"/>
      <c r="E264" s="850" t="str">
        <f>AV6</f>
        <v>fj3crone2pm</v>
      </c>
      <c r="F264" s="851"/>
      <c r="G264" s="851"/>
      <c r="H264" s="851"/>
      <c r="I264" s="851"/>
      <c r="J264" s="851"/>
      <c r="K264" s="851"/>
      <c r="L264" s="852"/>
      <c r="M264" s="853"/>
      <c r="N264" s="853"/>
      <c r="O264" s="853"/>
      <c r="P264" s="853"/>
      <c r="Q264" s="872"/>
      <c r="R264" s="852"/>
      <c r="S264" s="853"/>
      <c r="T264" s="853"/>
      <c r="U264" s="853"/>
      <c r="V264" s="853"/>
      <c r="W264" s="852"/>
      <c r="X264" s="853"/>
      <c r="Y264" s="853"/>
      <c r="Z264" s="840"/>
      <c r="AA264" s="841"/>
      <c r="AB264" s="841"/>
      <c r="AC264" s="842"/>
      <c r="AD264" s="843"/>
      <c r="AE264" s="844"/>
      <c r="AF264" s="845"/>
      <c r="AG264" s="845"/>
      <c r="AH264" s="846"/>
      <c r="AI264" s="847"/>
      <c r="AJ264" s="27"/>
      <c r="AK264" s="28">
        <v>5</v>
      </c>
      <c r="AL264" s="29" t="s">
        <v>33</v>
      </c>
      <c r="AM264" s="27"/>
      <c r="AN264" s="27"/>
      <c r="AO264" s="27"/>
      <c r="AP264" s="27"/>
      <c r="AQ264" s="27"/>
      <c r="AR264" s="3"/>
    </row>
    <row r="265" spans="1:54" ht="18.75" customHeight="1" x14ac:dyDescent="0.2">
      <c r="A265" s="829" t="str">
        <f>IF($AK264&gt;1,"2","")</f>
        <v>2</v>
      </c>
      <c r="B265" s="857" t="s">
        <v>7</v>
      </c>
      <c r="C265" s="858"/>
      <c r="D265" s="859"/>
      <c r="E265" s="833" t="str">
        <f>AU7</f>
        <v>Vision 13 Regional Ben</v>
      </c>
      <c r="F265" s="834"/>
      <c r="G265" s="834"/>
      <c r="H265" s="834"/>
      <c r="I265" s="834"/>
      <c r="J265" s="834"/>
      <c r="K265" s="835"/>
      <c r="L265" s="836">
        <f>IF($AK265=0,AF320,AF302)</f>
        <v>7</v>
      </c>
      <c r="M265" s="837"/>
      <c r="N265" s="837"/>
      <c r="O265" s="837"/>
      <c r="P265" s="837"/>
      <c r="Q265" s="872"/>
      <c r="R265" s="836">
        <f>IF($AK265=0,AG320,AG302)</f>
        <v>1</v>
      </c>
      <c r="S265" s="837"/>
      <c r="T265" s="837"/>
      <c r="U265" s="837"/>
      <c r="V265" s="837"/>
      <c r="W265" s="836">
        <f>AQ280</f>
        <v>57</v>
      </c>
      <c r="X265" s="837"/>
      <c r="Y265" s="837"/>
      <c r="Z265" s="809">
        <f>IF(AF314&gt;0,(AQ280/AF314),0)</f>
        <v>0.28217821782178215</v>
      </c>
      <c r="AA265" s="810"/>
      <c r="AB265" s="810"/>
      <c r="AC265" s="813">
        <f>IF(AF328=0,0,(AF320/AF328))</f>
        <v>0.875</v>
      </c>
      <c r="AD265" s="814"/>
      <c r="AE265" s="815"/>
      <c r="AF265" s="819">
        <v>1</v>
      </c>
      <c r="AG265" s="819">
        <v>1</v>
      </c>
      <c r="AH265" s="821">
        <v>3</v>
      </c>
      <c r="AI265" s="822"/>
      <c r="AJ265" s="27"/>
      <c r="AK265" s="28">
        <v>0</v>
      </c>
      <c r="AL265" s="29" t="s">
        <v>34</v>
      </c>
      <c r="AM265" s="29"/>
      <c r="AN265" s="29"/>
      <c r="AO265" s="29"/>
      <c r="AP265" s="29"/>
      <c r="AQ265" s="29"/>
      <c r="AR265" s="30"/>
    </row>
    <row r="266" spans="1:54" ht="18.75" customHeight="1" thickBot="1" x14ac:dyDescent="0.25">
      <c r="A266" s="830"/>
      <c r="B266" s="848" t="s">
        <v>8</v>
      </c>
      <c r="C266" s="849"/>
      <c r="D266" s="849"/>
      <c r="E266" s="850" t="str">
        <f>AV7</f>
        <v>fj3vison2pm</v>
      </c>
      <c r="F266" s="851"/>
      <c r="G266" s="851"/>
      <c r="H266" s="851"/>
      <c r="I266" s="851"/>
      <c r="J266" s="851"/>
      <c r="K266" s="851"/>
      <c r="L266" s="852"/>
      <c r="M266" s="853"/>
      <c r="N266" s="853"/>
      <c r="O266" s="853"/>
      <c r="P266" s="853"/>
      <c r="Q266" s="872"/>
      <c r="R266" s="852"/>
      <c r="S266" s="853"/>
      <c r="T266" s="853"/>
      <c r="U266" s="853"/>
      <c r="V266" s="853"/>
      <c r="W266" s="852"/>
      <c r="X266" s="853"/>
      <c r="Y266" s="853"/>
      <c r="Z266" s="840"/>
      <c r="AA266" s="841"/>
      <c r="AB266" s="841"/>
      <c r="AC266" s="842"/>
      <c r="AD266" s="843"/>
      <c r="AE266" s="844"/>
      <c r="AF266" s="845"/>
      <c r="AG266" s="845"/>
      <c r="AH266" s="846"/>
      <c r="AI266" s="847"/>
      <c r="AJ266" s="27"/>
      <c r="AK266" s="28">
        <v>1</v>
      </c>
      <c r="AL266" s="29" t="s">
        <v>35</v>
      </c>
      <c r="AM266" s="27"/>
      <c r="AN266" s="27"/>
      <c r="AO266" s="27"/>
      <c r="AP266" s="27"/>
      <c r="AQ266" s="27"/>
      <c r="AR266" s="3"/>
    </row>
    <row r="267" spans="1:54" ht="18.75" customHeight="1" x14ac:dyDescent="0.2">
      <c r="A267" s="829" t="str">
        <f>IF($AK264&gt;2,"3","")</f>
        <v>3</v>
      </c>
      <c r="B267" s="831" t="s">
        <v>7</v>
      </c>
      <c r="C267" s="832"/>
      <c r="D267" s="832"/>
      <c r="E267" s="833" t="str">
        <f>AU14</f>
        <v>PRV - 13U Brittany</v>
      </c>
      <c r="F267" s="834"/>
      <c r="G267" s="834"/>
      <c r="H267" s="834"/>
      <c r="I267" s="834"/>
      <c r="J267" s="834"/>
      <c r="K267" s="835"/>
      <c r="L267" s="836">
        <f>IF($AK265=0,AF321,AF303)</f>
        <v>4</v>
      </c>
      <c r="M267" s="837"/>
      <c r="N267" s="837"/>
      <c r="O267" s="837"/>
      <c r="P267" s="837"/>
      <c r="Q267" s="872"/>
      <c r="R267" s="836">
        <f>IF($AK265=0,AG321,AG303)</f>
        <v>4</v>
      </c>
      <c r="S267" s="837"/>
      <c r="T267" s="837"/>
      <c r="U267" s="837"/>
      <c r="V267" s="837"/>
      <c r="W267" s="836">
        <f>AQ281</f>
        <v>-4</v>
      </c>
      <c r="X267" s="837"/>
      <c r="Y267" s="837"/>
      <c r="Z267" s="809">
        <f>IF(AF315&gt;0,(AQ281/AF315),0)</f>
        <v>-1.9801980198019802E-2</v>
      </c>
      <c r="AA267" s="810"/>
      <c r="AB267" s="810"/>
      <c r="AC267" s="813">
        <f>IF(AF329=0,0,(AF321/AF329))</f>
        <v>0.5</v>
      </c>
      <c r="AD267" s="814"/>
      <c r="AE267" s="815"/>
      <c r="AF267" s="819">
        <v>3</v>
      </c>
      <c r="AG267" s="819">
        <v>1</v>
      </c>
      <c r="AH267" s="821">
        <v>11</v>
      </c>
      <c r="AI267" s="822"/>
      <c r="AJ267" s="36"/>
      <c r="AK267" s="28">
        <v>8</v>
      </c>
      <c r="AL267" s="37" t="s">
        <v>36</v>
      </c>
      <c r="AM267" s="29"/>
      <c r="AN267" s="29"/>
      <c r="AO267" s="29"/>
      <c r="AP267" s="29"/>
      <c r="AQ267" s="29"/>
      <c r="AR267" s="30"/>
    </row>
    <row r="268" spans="1:54" ht="18.75" customHeight="1" thickBot="1" x14ac:dyDescent="0.25">
      <c r="A268" s="830"/>
      <c r="B268" s="848" t="s">
        <v>8</v>
      </c>
      <c r="C268" s="849"/>
      <c r="D268" s="849"/>
      <c r="E268" s="850" t="str">
        <f>AV14</f>
        <v>fj3prage2pm</v>
      </c>
      <c r="F268" s="851"/>
      <c r="G268" s="851"/>
      <c r="H268" s="851"/>
      <c r="I268" s="851"/>
      <c r="J268" s="851"/>
      <c r="K268" s="851"/>
      <c r="L268" s="852"/>
      <c r="M268" s="853"/>
      <c r="N268" s="853"/>
      <c r="O268" s="853"/>
      <c r="P268" s="853"/>
      <c r="Q268" s="872"/>
      <c r="R268" s="852"/>
      <c r="S268" s="853"/>
      <c r="T268" s="853"/>
      <c r="U268" s="853"/>
      <c r="V268" s="853"/>
      <c r="W268" s="852"/>
      <c r="X268" s="853"/>
      <c r="Y268" s="853"/>
      <c r="Z268" s="840"/>
      <c r="AA268" s="841"/>
      <c r="AB268" s="841"/>
      <c r="AC268" s="842"/>
      <c r="AD268" s="843"/>
      <c r="AE268" s="844"/>
      <c r="AF268" s="845"/>
      <c r="AG268" s="845"/>
      <c r="AH268" s="846"/>
      <c r="AI268" s="847"/>
      <c r="AJ268" s="36"/>
      <c r="AK268" s="38"/>
      <c r="AL268" s="39"/>
      <c r="AM268" s="39"/>
      <c r="AN268" s="39"/>
      <c r="AO268" s="39"/>
      <c r="AP268" s="39"/>
      <c r="AQ268" s="27"/>
      <c r="AR268" s="3"/>
    </row>
    <row r="269" spans="1:54" ht="18.75" customHeight="1" x14ac:dyDescent="0.2">
      <c r="A269" s="829" t="str">
        <f>IF($AK264&gt;3,"4","")</f>
        <v>4</v>
      </c>
      <c r="B269" s="831" t="s">
        <v>7</v>
      </c>
      <c r="C269" s="832"/>
      <c r="D269" s="832"/>
      <c r="E269" s="833" t="str">
        <f>AU15</f>
        <v>Branchville U14 Juniors</v>
      </c>
      <c r="F269" s="834"/>
      <c r="G269" s="834"/>
      <c r="H269" s="834"/>
      <c r="I269" s="834"/>
      <c r="J269" s="834"/>
      <c r="K269" s="835"/>
      <c r="L269" s="836">
        <f>IF($AK265=0,AF322,AF304)</f>
        <v>3</v>
      </c>
      <c r="M269" s="837"/>
      <c r="N269" s="837"/>
      <c r="O269" s="837"/>
      <c r="P269" s="837"/>
      <c r="Q269" s="872"/>
      <c r="R269" s="836">
        <f>IF($AK265=0,AG322,AG304)</f>
        <v>5</v>
      </c>
      <c r="S269" s="837"/>
      <c r="T269" s="837"/>
      <c r="U269" s="837"/>
      <c r="V269" s="837"/>
      <c r="W269" s="836">
        <f>AQ282</f>
        <v>-3</v>
      </c>
      <c r="X269" s="837"/>
      <c r="Y269" s="837"/>
      <c r="Z269" s="809">
        <f>IF(AF316&gt;0,(AQ282/AF316),0)</f>
        <v>-1.4851485148514851E-2</v>
      </c>
      <c r="AA269" s="810"/>
      <c r="AB269" s="810"/>
      <c r="AC269" s="813">
        <f>IF(AF330=0,0,(AF322/AF330))</f>
        <v>0.375</v>
      </c>
      <c r="AD269" s="814"/>
      <c r="AE269" s="815"/>
      <c r="AF269" s="819">
        <v>4</v>
      </c>
      <c r="AG269" s="819">
        <v>1</v>
      </c>
      <c r="AH269" s="821">
        <v>15</v>
      </c>
      <c r="AI269" s="822"/>
      <c r="AJ269" s="11"/>
      <c r="AK269" s="39"/>
      <c r="AL269" s="39"/>
      <c r="AM269" s="39"/>
      <c r="AN269" s="39"/>
      <c r="AO269" s="39"/>
      <c r="AP269" s="39"/>
      <c r="AQ269" s="29"/>
      <c r="AR269" s="30"/>
    </row>
    <row r="270" spans="1:54" ht="18.75" customHeight="1" thickBot="1" x14ac:dyDescent="0.25">
      <c r="A270" s="830"/>
      <c r="B270" s="848" t="s">
        <v>8</v>
      </c>
      <c r="C270" s="849"/>
      <c r="D270" s="849"/>
      <c r="E270" s="850" t="str">
        <f>AV15</f>
        <v>fj4branc3pm</v>
      </c>
      <c r="F270" s="851"/>
      <c r="G270" s="851"/>
      <c r="H270" s="851"/>
      <c r="I270" s="851"/>
      <c r="J270" s="851"/>
      <c r="K270" s="851"/>
      <c r="L270" s="852"/>
      <c r="M270" s="853"/>
      <c r="N270" s="853"/>
      <c r="O270" s="853"/>
      <c r="P270" s="853"/>
      <c r="Q270" s="872"/>
      <c r="R270" s="852"/>
      <c r="S270" s="853"/>
      <c r="T270" s="853"/>
      <c r="U270" s="853"/>
      <c r="V270" s="853"/>
      <c r="W270" s="852"/>
      <c r="X270" s="853"/>
      <c r="Y270" s="853"/>
      <c r="Z270" s="840"/>
      <c r="AA270" s="841"/>
      <c r="AB270" s="841"/>
      <c r="AC270" s="842"/>
      <c r="AD270" s="843"/>
      <c r="AE270" s="844"/>
      <c r="AF270" s="845"/>
      <c r="AG270" s="845"/>
      <c r="AH270" s="846"/>
      <c r="AI270" s="847"/>
      <c r="AJ270" s="11"/>
      <c r="AK270" s="39"/>
      <c r="AL270" s="39"/>
      <c r="AM270" s="39"/>
      <c r="AN270" s="39"/>
      <c r="AO270" s="39"/>
      <c r="AP270" s="39"/>
      <c r="AQ270" s="11"/>
      <c r="AR270" s="3"/>
    </row>
    <row r="271" spans="1:54" ht="18.75" customHeight="1" x14ac:dyDescent="0.2">
      <c r="A271" s="829" t="str">
        <f>IF($AK264&gt;4,"5","")</f>
        <v>5</v>
      </c>
      <c r="B271" s="831" t="s">
        <v>7</v>
      </c>
      <c r="C271" s="832"/>
      <c r="D271" s="832"/>
      <c r="E271" s="833" t="str">
        <f>AU22</f>
        <v>NETVC 13HS</v>
      </c>
      <c r="F271" s="834"/>
      <c r="G271" s="834"/>
      <c r="H271" s="834"/>
      <c r="I271" s="834"/>
      <c r="J271" s="834"/>
      <c r="K271" s="835"/>
      <c r="L271" s="836">
        <f>IF($AK265=0,AF323,AF305)</f>
        <v>0</v>
      </c>
      <c r="M271" s="837"/>
      <c r="N271" s="837"/>
      <c r="O271" s="837"/>
      <c r="P271" s="837"/>
      <c r="Q271" s="872"/>
      <c r="R271" s="836">
        <f>IF($AK265=0,AG323,AG305)</f>
        <v>8</v>
      </c>
      <c r="S271" s="837"/>
      <c r="T271" s="837"/>
      <c r="U271" s="837"/>
      <c r="V271" s="837"/>
      <c r="W271" s="836">
        <f>AQ283</f>
        <v>-82</v>
      </c>
      <c r="X271" s="837"/>
      <c r="Y271" s="837"/>
      <c r="Z271" s="809">
        <f>IF(AF317&gt;0,(AQ283/AF317),0)</f>
        <v>-0.40594059405940597</v>
      </c>
      <c r="AA271" s="810"/>
      <c r="AB271" s="810"/>
      <c r="AC271" s="813">
        <f>IF(AF331=0,0,(AF323/AF331))</f>
        <v>0</v>
      </c>
      <c r="AD271" s="814"/>
      <c r="AE271" s="815"/>
      <c r="AF271" s="819">
        <v>5</v>
      </c>
      <c r="AG271" s="819">
        <v>1</v>
      </c>
      <c r="AH271" s="821">
        <v>17</v>
      </c>
      <c r="AI271" s="822"/>
      <c r="AJ271" s="11"/>
      <c r="AK271" s="39"/>
      <c r="AL271" s="39"/>
      <c r="AM271" s="39"/>
      <c r="AN271" s="39"/>
      <c r="AO271" s="39"/>
      <c r="AP271" s="39"/>
      <c r="AQ271" s="11"/>
      <c r="AR271" s="3"/>
    </row>
    <row r="272" spans="1:54" ht="18.75" customHeight="1" thickBot="1" x14ac:dyDescent="0.25">
      <c r="A272" s="830"/>
      <c r="B272" s="825" t="s">
        <v>8</v>
      </c>
      <c r="C272" s="826"/>
      <c r="D272" s="826"/>
      <c r="E272" s="827" t="str">
        <f>AV22</f>
        <v>fj3netvc2so</v>
      </c>
      <c r="F272" s="828"/>
      <c r="G272" s="828"/>
      <c r="H272" s="828"/>
      <c r="I272" s="828"/>
      <c r="J272" s="828"/>
      <c r="K272" s="828"/>
      <c r="L272" s="838"/>
      <c r="M272" s="839"/>
      <c r="N272" s="839"/>
      <c r="O272" s="839"/>
      <c r="P272" s="839"/>
      <c r="Q272" s="872"/>
      <c r="R272" s="838"/>
      <c r="S272" s="839"/>
      <c r="T272" s="839"/>
      <c r="U272" s="839"/>
      <c r="V272" s="839"/>
      <c r="W272" s="838"/>
      <c r="X272" s="839"/>
      <c r="Y272" s="839"/>
      <c r="Z272" s="811"/>
      <c r="AA272" s="812"/>
      <c r="AB272" s="812"/>
      <c r="AC272" s="816"/>
      <c r="AD272" s="817"/>
      <c r="AE272" s="818"/>
      <c r="AF272" s="820"/>
      <c r="AG272" s="820"/>
      <c r="AH272" s="823"/>
      <c r="AI272" s="824"/>
      <c r="AJ272" s="11"/>
      <c r="AK272" s="39"/>
      <c r="AL272" s="39"/>
      <c r="AM272" s="39"/>
      <c r="AN272" s="39"/>
      <c r="AO272" s="39"/>
      <c r="AP272" s="39"/>
      <c r="AQ272" s="11"/>
      <c r="AR272" s="3"/>
    </row>
    <row r="273" spans="1:49" ht="21" customHeight="1" thickTop="1" thickBot="1" x14ac:dyDescent="0.25">
      <c r="A273" s="40"/>
      <c r="B273" s="806" t="s">
        <v>38</v>
      </c>
      <c r="C273" s="807"/>
      <c r="D273" s="807"/>
      <c r="E273" s="807"/>
      <c r="F273" s="807"/>
      <c r="G273" s="807"/>
      <c r="H273" s="807"/>
      <c r="I273" s="807"/>
      <c r="J273" s="807"/>
      <c r="K273" s="807"/>
      <c r="L273" s="807"/>
      <c r="M273" s="807"/>
      <c r="N273" s="807"/>
      <c r="O273" s="807"/>
      <c r="P273" s="807"/>
      <c r="Q273" s="807"/>
      <c r="R273" s="807"/>
      <c r="S273" s="807"/>
      <c r="T273" s="807"/>
      <c r="U273" s="807"/>
      <c r="V273" s="807"/>
      <c r="W273" s="807"/>
      <c r="X273" s="807"/>
      <c r="Y273" s="807"/>
      <c r="Z273" s="807"/>
      <c r="AA273" s="807"/>
      <c r="AB273" s="807"/>
      <c r="AC273" s="807"/>
      <c r="AD273" s="807"/>
      <c r="AE273" s="807"/>
      <c r="AF273" s="807"/>
      <c r="AG273" s="807"/>
      <c r="AH273" s="807"/>
      <c r="AI273" s="808"/>
      <c r="AJ273" s="11"/>
      <c r="AK273" s="39"/>
      <c r="AL273" s="39"/>
      <c r="AM273" s="39"/>
      <c r="AN273" s="39"/>
      <c r="AO273" s="39"/>
      <c r="AP273" s="39"/>
      <c r="AQ273" s="11"/>
      <c r="AR273" s="3"/>
    </row>
    <row r="274" spans="1:49" ht="13.5" thickTop="1" x14ac:dyDescent="0.2">
      <c r="A274" s="4" t="s">
        <v>39</v>
      </c>
      <c r="B274" s="795">
        <v>0.35416666666666669</v>
      </c>
      <c r="C274" s="796"/>
      <c r="D274" s="797"/>
      <c r="E274" s="795">
        <v>0.38194444444444442</v>
      </c>
      <c r="F274" s="796"/>
      <c r="G274" s="797"/>
      <c r="H274" s="795">
        <v>0.40972222222222227</v>
      </c>
      <c r="I274" s="796"/>
      <c r="J274" s="797"/>
      <c r="K274" s="795">
        <v>0.4375</v>
      </c>
      <c r="L274" s="796"/>
      <c r="M274" s="797"/>
      <c r="N274" s="795">
        <v>0.46527777777777773</v>
      </c>
      <c r="O274" s="796"/>
      <c r="P274" s="797"/>
      <c r="Q274" s="795">
        <v>0.49305555555555558</v>
      </c>
      <c r="R274" s="796"/>
      <c r="S274" s="797"/>
      <c r="T274" s="795">
        <v>0.52083333333333337</v>
      </c>
      <c r="U274" s="796"/>
      <c r="V274" s="797"/>
      <c r="W274" s="795">
        <v>4.8611111111111112E-2</v>
      </c>
      <c r="X274" s="796"/>
      <c r="Y274" s="797"/>
      <c r="Z274" s="795">
        <v>7.6388888888888895E-2</v>
      </c>
      <c r="AA274" s="796"/>
      <c r="AB274" s="797"/>
      <c r="AC274" s="795">
        <v>0.10416666666666667</v>
      </c>
      <c r="AD274" s="796"/>
      <c r="AE274" s="797"/>
      <c r="AF274" s="798" t="s">
        <v>40</v>
      </c>
      <c r="AG274" s="799"/>
      <c r="AH274" s="799"/>
      <c r="AI274" s="799"/>
      <c r="AJ274" s="800"/>
      <c r="AK274" s="800"/>
      <c r="AL274" s="800"/>
      <c r="AM274" s="800"/>
      <c r="AN274" s="800"/>
      <c r="AO274" s="800"/>
      <c r="AP274" s="800"/>
      <c r="AQ274" s="801"/>
    </row>
    <row r="275" spans="1:49" x14ac:dyDescent="0.2">
      <c r="A275" s="41" t="s">
        <v>41</v>
      </c>
      <c r="B275" s="792"/>
      <c r="C275" s="793"/>
      <c r="D275" s="794"/>
      <c r="E275" s="792"/>
      <c r="F275" s="793"/>
      <c r="G275" s="794"/>
      <c r="H275" s="792"/>
      <c r="I275" s="793"/>
      <c r="J275" s="794"/>
      <c r="K275" s="792"/>
      <c r="L275" s="793"/>
      <c r="M275" s="794"/>
      <c r="N275" s="792"/>
      <c r="O275" s="793"/>
      <c r="P275" s="794"/>
      <c r="Q275" s="792"/>
      <c r="R275" s="793"/>
      <c r="S275" s="794"/>
      <c r="T275" s="792"/>
      <c r="U275" s="793"/>
      <c r="V275" s="794"/>
      <c r="W275" s="792"/>
      <c r="X275" s="793"/>
      <c r="Y275" s="794"/>
      <c r="Z275" s="792"/>
      <c r="AA275" s="793"/>
      <c r="AB275" s="794"/>
      <c r="AC275" s="792"/>
      <c r="AD275" s="793"/>
      <c r="AE275" s="794"/>
      <c r="AF275" s="798"/>
      <c r="AG275" s="799"/>
      <c r="AH275" s="799"/>
      <c r="AI275" s="799"/>
      <c r="AJ275" s="799"/>
      <c r="AK275" s="799"/>
      <c r="AL275" s="799"/>
      <c r="AM275" s="799"/>
      <c r="AN275" s="799"/>
      <c r="AO275" s="799"/>
      <c r="AP275" s="799"/>
      <c r="AQ275" s="802"/>
    </row>
    <row r="276" spans="1:49" x14ac:dyDescent="0.2">
      <c r="A276" s="41" t="s">
        <v>42</v>
      </c>
      <c r="B276" s="792"/>
      <c r="C276" s="793"/>
      <c r="D276" s="794"/>
      <c r="E276" s="792"/>
      <c r="F276" s="793"/>
      <c r="G276" s="794"/>
      <c r="H276" s="792"/>
      <c r="I276" s="793"/>
      <c r="J276" s="794"/>
      <c r="K276" s="792"/>
      <c r="L276" s="793"/>
      <c r="M276" s="794"/>
      <c r="N276" s="792"/>
      <c r="O276" s="793"/>
      <c r="P276" s="794"/>
      <c r="Q276" s="792"/>
      <c r="R276" s="793"/>
      <c r="S276" s="794"/>
      <c r="T276" s="792"/>
      <c r="U276" s="793"/>
      <c r="V276" s="794"/>
      <c r="W276" s="792"/>
      <c r="X276" s="793"/>
      <c r="Y276" s="794"/>
      <c r="Z276" s="792"/>
      <c r="AA276" s="793"/>
      <c r="AB276" s="794"/>
      <c r="AC276" s="792"/>
      <c r="AD276" s="793"/>
      <c r="AE276" s="794"/>
      <c r="AF276" s="798"/>
      <c r="AG276" s="799"/>
      <c r="AH276" s="799"/>
      <c r="AI276" s="799"/>
      <c r="AJ276" s="799"/>
      <c r="AK276" s="799"/>
      <c r="AL276" s="799"/>
      <c r="AM276" s="799"/>
      <c r="AN276" s="799"/>
      <c r="AO276" s="799"/>
      <c r="AP276" s="799"/>
      <c r="AQ276" s="802"/>
    </row>
    <row r="277" spans="1:49" ht="13.5" thickBot="1" x14ac:dyDescent="0.25">
      <c r="A277" s="11"/>
      <c r="B277" s="684" t="s">
        <v>43</v>
      </c>
      <c r="C277" s="685"/>
      <c r="D277" s="691"/>
      <c r="E277" s="684" t="str">
        <f>IF(AK263&gt;1,"Match 2","")</f>
        <v>Match 2</v>
      </c>
      <c r="F277" s="685"/>
      <c r="G277" s="691"/>
      <c r="H277" s="684" t="str">
        <f>IF(AK263&gt;2,"Match 3","")</f>
        <v>Match 3</v>
      </c>
      <c r="I277" s="685"/>
      <c r="J277" s="691"/>
      <c r="K277" s="684" t="str">
        <f>IF(AK263&gt;3,"Match 4","")</f>
        <v>Match 4</v>
      </c>
      <c r="L277" s="685"/>
      <c r="M277" s="691"/>
      <c r="N277" s="684" t="str">
        <f>IF(AK263&gt;4,"Match 5","")</f>
        <v>Match 5</v>
      </c>
      <c r="O277" s="685"/>
      <c r="P277" s="691"/>
      <c r="Q277" s="684" t="str">
        <f>IF(AK263&gt;5,"Match 6","")</f>
        <v>Match 6</v>
      </c>
      <c r="R277" s="685"/>
      <c r="S277" s="691"/>
      <c r="T277" s="684" t="str">
        <f>IF(AK263&gt;6,"Match 7","")</f>
        <v>Match 7</v>
      </c>
      <c r="U277" s="685"/>
      <c r="V277" s="691"/>
      <c r="W277" s="684" t="str">
        <f>IF(AK263&gt;7,"Match 8","")</f>
        <v>Match 8</v>
      </c>
      <c r="X277" s="685"/>
      <c r="Y277" s="691"/>
      <c r="Z277" s="684" t="str">
        <f>IF(AK263&gt;8,"Match 9","")</f>
        <v>Match 9</v>
      </c>
      <c r="AA277" s="685"/>
      <c r="AB277" s="691"/>
      <c r="AC277" s="684" t="str">
        <f>IF(AK263&gt;9,"Match 10","")</f>
        <v>Match 10</v>
      </c>
      <c r="AD277" s="685"/>
      <c r="AE277" s="691"/>
      <c r="AF277" s="803"/>
      <c r="AG277" s="804"/>
      <c r="AH277" s="804"/>
      <c r="AI277" s="804"/>
      <c r="AJ277" s="804"/>
      <c r="AK277" s="804"/>
      <c r="AL277" s="804"/>
      <c r="AM277" s="804"/>
      <c r="AN277" s="804"/>
      <c r="AO277" s="804"/>
      <c r="AP277" s="804"/>
      <c r="AQ277" s="805"/>
    </row>
    <row r="278" spans="1:49" ht="15.75" x14ac:dyDescent="0.25">
      <c r="A278" s="11"/>
      <c r="B278" s="786" t="s">
        <v>44</v>
      </c>
      <c r="C278" s="787"/>
      <c r="D278" s="788"/>
      <c r="E278" s="786" t="s">
        <v>45</v>
      </c>
      <c r="F278" s="787"/>
      <c r="G278" s="788"/>
      <c r="H278" s="786" t="s">
        <v>46</v>
      </c>
      <c r="I278" s="787"/>
      <c r="J278" s="788"/>
      <c r="K278" s="786" t="s">
        <v>47</v>
      </c>
      <c r="L278" s="787"/>
      <c r="M278" s="788"/>
      <c r="N278" s="786" t="s">
        <v>48</v>
      </c>
      <c r="O278" s="787"/>
      <c r="P278" s="788"/>
      <c r="Q278" s="786" t="s">
        <v>46</v>
      </c>
      <c r="R278" s="787"/>
      <c r="S278" s="788"/>
      <c r="T278" s="786" t="s">
        <v>44</v>
      </c>
      <c r="U278" s="787"/>
      <c r="V278" s="788"/>
      <c r="W278" s="786" t="s">
        <v>48</v>
      </c>
      <c r="X278" s="787"/>
      <c r="Y278" s="788"/>
      <c r="Z278" s="786" t="s">
        <v>47</v>
      </c>
      <c r="AA278" s="787"/>
      <c r="AB278" s="788"/>
      <c r="AC278" s="786" t="s">
        <v>45</v>
      </c>
      <c r="AD278" s="787"/>
      <c r="AE278" s="788"/>
      <c r="AF278" s="42" t="s">
        <v>49</v>
      </c>
      <c r="AG278" s="43">
        <v>1</v>
      </c>
      <c r="AH278" s="43">
        <v>2</v>
      </c>
      <c r="AI278" s="43">
        <v>3</v>
      </c>
      <c r="AJ278" s="43">
        <v>4</v>
      </c>
      <c r="AK278" s="43">
        <v>5</v>
      </c>
      <c r="AL278" s="43">
        <v>6</v>
      </c>
      <c r="AM278" s="43">
        <v>7</v>
      </c>
      <c r="AN278" s="43">
        <v>8</v>
      </c>
      <c r="AO278" s="43">
        <v>9</v>
      </c>
      <c r="AP278" s="43">
        <v>10</v>
      </c>
      <c r="AQ278" s="44" t="s">
        <v>50</v>
      </c>
    </row>
    <row r="279" spans="1:49" ht="15.75" x14ac:dyDescent="0.25">
      <c r="A279" s="11"/>
      <c r="B279" s="45">
        <v>2</v>
      </c>
      <c r="C279" s="46" t="s">
        <v>51</v>
      </c>
      <c r="D279" s="47">
        <v>5</v>
      </c>
      <c r="E279" s="45">
        <v>1</v>
      </c>
      <c r="F279" s="46" t="str">
        <f>IF(AK263&gt;1,"v","")</f>
        <v>v</v>
      </c>
      <c r="G279" s="47">
        <v>4</v>
      </c>
      <c r="H279" s="45">
        <v>3</v>
      </c>
      <c r="I279" s="46" t="str">
        <f>IF(AK263&gt;2,"v","")</f>
        <v>v</v>
      </c>
      <c r="J279" s="47">
        <v>5</v>
      </c>
      <c r="K279" s="45">
        <v>2</v>
      </c>
      <c r="L279" s="46" t="str">
        <f>IF(AK263&gt;3,"v","")</f>
        <v>v</v>
      </c>
      <c r="M279" s="47">
        <v>4</v>
      </c>
      <c r="N279" s="45">
        <v>1</v>
      </c>
      <c r="O279" s="46" t="str">
        <f>IF(AK263&gt;4,"v","")</f>
        <v>v</v>
      </c>
      <c r="P279" s="47">
        <v>3</v>
      </c>
      <c r="Q279" s="45">
        <v>4</v>
      </c>
      <c r="R279" s="46" t="str">
        <f>IF(AK263&gt;5,"v","")</f>
        <v>v</v>
      </c>
      <c r="S279" s="47">
        <v>5</v>
      </c>
      <c r="T279" s="45">
        <v>2</v>
      </c>
      <c r="U279" s="46" t="str">
        <f>IF(AK263&gt;6,"v","")</f>
        <v>v</v>
      </c>
      <c r="V279" s="47">
        <v>3</v>
      </c>
      <c r="W279" s="45">
        <v>1</v>
      </c>
      <c r="X279" s="46" t="str">
        <f>IF(AK263&gt;7,"v","")</f>
        <v>v</v>
      </c>
      <c r="Y279" s="47">
        <v>5</v>
      </c>
      <c r="Z279" s="45">
        <v>3</v>
      </c>
      <c r="AA279" s="46" t="str">
        <f>IF(AK263&gt;8,"v","")</f>
        <v>v</v>
      </c>
      <c r="AB279" s="47">
        <v>4</v>
      </c>
      <c r="AC279" s="45">
        <v>1</v>
      </c>
      <c r="AD279" s="46" t="str">
        <f>IF(AK263&gt;9,"v","")</f>
        <v>v</v>
      </c>
      <c r="AE279" s="47">
        <v>2</v>
      </c>
      <c r="AF279" s="42" t="str">
        <f>IF(AK264&gt;0,"Team 1","")</f>
        <v>Team 1</v>
      </c>
      <c r="AG279" s="48" t="str">
        <f>IF(AK264&lt;1,"",IF(AK263&lt;1,"",IF(B279=1,B285-D285,IF(D279=1,D285-B285,""))))</f>
        <v/>
      </c>
      <c r="AH279" s="48">
        <f>IF(AK264&lt;1,"",IF(AK263&lt;2,"",IF(E279=1,E285-G285,IF(G279=1,G285-E285,""))))</f>
        <v>6</v>
      </c>
      <c r="AI279" s="48" t="str">
        <f>IF(AK264&lt;1,"",IF(AK263&lt;3,"",IF(H279=1,H285-J285,IF(J279=1,J285-H285,""))))</f>
        <v/>
      </c>
      <c r="AJ279" s="48" t="str">
        <f>IF(AK264&lt;1,"",IF(AK263&lt;4,"",IF(K279=1,K285-M285,IF(M279=1,M285-K285,""))))</f>
        <v/>
      </c>
      <c r="AK279" s="48">
        <f>IF(AK264&lt;1,"",IF(AK263&lt;5,"",IF(N279=1,N285-P285,IF(P279=1,P285-N285,""))))</f>
        <v>20</v>
      </c>
      <c r="AL279" s="48" t="str">
        <f>IF(AK264&lt;1,"",IF(AK263&lt;6,"",IF(Q279=1,Q285-S285,IF(S279=1,S285-Q285,""))))</f>
        <v/>
      </c>
      <c r="AM279" s="48" t="str">
        <f>IF(AK264&lt;1,"",IF(AK263&lt;7,"",IF(T279=1,T285-V285,IF(V279=1,V285-T285,""))))</f>
        <v/>
      </c>
      <c r="AN279" s="48">
        <f>IF(AK264&lt;1,"",IF(AK263&lt;8,"",IF(W279=1,W285-Y285,IF(Y279=1,Y285-W285,""))))</f>
        <v>17</v>
      </c>
      <c r="AO279" s="48" t="str">
        <f>IF(AK264&lt;1,"",IF(AK263&lt;9,"",IF(Z279=1,Z285-AB285,IF(AB279=1,AB285-Z285,""))))</f>
        <v/>
      </c>
      <c r="AP279" s="48">
        <f>IF(AK264&lt;1,"",IF(AK263&lt;10,"",IF(AC279=1,AC285-AE285,IF(AE279=1,AE285-AC285,""))))</f>
        <v>-11</v>
      </c>
      <c r="AQ279" s="44">
        <f>SUM(AG279:AP279)</f>
        <v>32</v>
      </c>
    </row>
    <row r="280" spans="1:49" ht="15" x14ac:dyDescent="0.2">
      <c r="A280" s="4" t="s">
        <v>52</v>
      </c>
      <c r="B280" s="49">
        <v>25</v>
      </c>
      <c r="C280" s="50" t="s">
        <v>53</v>
      </c>
      <c r="D280" s="51">
        <v>12</v>
      </c>
      <c r="E280" s="49">
        <v>25</v>
      </c>
      <c r="F280" s="50" t="str">
        <f>IF(AK263&gt;1,"/","")</f>
        <v>/</v>
      </c>
      <c r="G280" s="51">
        <v>21</v>
      </c>
      <c r="H280" s="49">
        <v>25</v>
      </c>
      <c r="I280" s="50" t="str">
        <f>IF(AK263&gt;2,"/","")</f>
        <v>/</v>
      </c>
      <c r="J280" s="51">
        <v>18</v>
      </c>
      <c r="K280" s="49">
        <v>25</v>
      </c>
      <c r="L280" s="50" t="str">
        <f>IF(AK263&gt;3,"/","")</f>
        <v>/</v>
      </c>
      <c r="M280" s="51">
        <v>17</v>
      </c>
      <c r="N280" s="49">
        <v>25</v>
      </c>
      <c r="O280" s="50" t="str">
        <f>IF(AK263&gt;4,"/","")</f>
        <v>/</v>
      </c>
      <c r="P280" s="51">
        <v>17</v>
      </c>
      <c r="Q280" s="49">
        <v>25</v>
      </c>
      <c r="R280" s="50" t="str">
        <f>IF(AK263&gt;5,"/","")</f>
        <v>/</v>
      </c>
      <c r="S280" s="51">
        <v>8</v>
      </c>
      <c r="T280" s="49">
        <v>25</v>
      </c>
      <c r="U280" s="50" t="str">
        <f>IF(AK263&gt;6,"/","")</f>
        <v>/</v>
      </c>
      <c r="V280" s="51">
        <v>22</v>
      </c>
      <c r="W280" s="49">
        <v>25</v>
      </c>
      <c r="X280" s="50" t="str">
        <f>IF(AK263&gt;7,"/","")</f>
        <v>/</v>
      </c>
      <c r="Y280" s="51">
        <v>10</v>
      </c>
      <c r="Z280" s="49">
        <v>17</v>
      </c>
      <c r="AA280" s="50" t="str">
        <f>IF(AK263&gt;8,"/","")</f>
        <v>/</v>
      </c>
      <c r="AB280" s="51">
        <v>25</v>
      </c>
      <c r="AC280" s="49">
        <v>23</v>
      </c>
      <c r="AD280" s="50" t="str">
        <f>IF(AK263&gt;9,"/","")</f>
        <v>/</v>
      </c>
      <c r="AE280" s="51">
        <v>25</v>
      </c>
      <c r="AF280" s="42" t="str">
        <f>IF(AK264&gt;1,"Team 2","")</f>
        <v>Team 2</v>
      </c>
      <c r="AG280" s="48">
        <f>IF(AK264&lt;2,"",IF(AK263&lt;1,"",IF(B279=2,B285-D285,IF(D279=2,D285-B285,""))))</f>
        <v>28</v>
      </c>
      <c r="AH280" s="48" t="str">
        <f>IF(AK264&lt;2,"",IF(AK263&lt;2,"",IF(E279=2,E285-G285,IF(G279=2,G285-E285,""))))</f>
        <v/>
      </c>
      <c r="AI280" s="48" t="str">
        <f>IF(AK264&lt;2,"",IF(AK263&lt;3,"",IF(H279=2,H285-J285,IF(J279=2,J285-H285,""))))</f>
        <v/>
      </c>
      <c r="AJ280" s="48">
        <f>IF(AK264&lt;2,"",IF(AK263&lt;4,"",IF(K279=2,K285-M285,IF(M279=2,M285-K285,""))))</f>
        <v>17</v>
      </c>
      <c r="AK280" s="48" t="str">
        <f>IF(AK264&lt;2,"",IF(AK263&lt;5,"",IF(N279=2,N285-P285,IF(P279=2,P285-N285,""))))</f>
        <v/>
      </c>
      <c r="AL280" s="48" t="str">
        <f>IF(AK264&lt;2,"",IF(AK263&lt;6,"",IF(Q279=2,Q285-S285,IF(S279=2,S285-Q285,""))))</f>
        <v/>
      </c>
      <c r="AM280" s="48">
        <f>IF(AK264&lt;2,"",IF(AK263&lt;7,"",IF(T279=2,T285-V285,IF(V279=2,V285-T285,""))))</f>
        <v>1</v>
      </c>
      <c r="AN280" s="48" t="str">
        <f>IF(AK264&lt;2,"",IF(AK263&lt;8,"",IF(W279=2,W285-Y285,IF(Y279=2,Y285-W285,""))))</f>
        <v/>
      </c>
      <c r="AO280" s="48" t="str">
        <f>IF(AK264&lt;2,"",IF(AK263&lt;9,"",IF(Z279=2,Z285-AB285,IF(AB279=2,AB285-Z285,""))))</f>
        <v/>
      </c>
      <c r="AP280" s="48">
        <f>IF(AK264&lt;2,"",IF(AK263&lt;10,"",IF(AC279=2,AC285-AE285,IF(AE279=2,AE285-AC285,""))))</f>
        <v>11</v>
      </c>
      <c r="AQ280" s="44">
        <f>SUM(AG280:AP280)</f>
        <v>57</v>
      </c>
    </row>
    <row r="281" spans="1:49" ht="15" x14ac:dyDescent="0.2">
      <c r="A281" s="3" t="str">
        <f>IF(AK262&gt;1,"Game 2","")</f>
        <v>Game 2</v>
      </c>
      <c r="B281" s="49">
        <v>25</v>
      </c>
      <c r="C281" s="50" t="s">
        <v>53</v>
      </c>
      <c r="D281" s="51">
        <v>10</v>
      </c>
      <c r="E281" s="49">
        <v>25</v>
      </c>
      <c r="F281" s="50" t="str">
        <f>IF(AK263&gt;1,IF(AK262&gt;1,"/",""),"")</f>
        <v>/</v>
      </c>
      <c r="G281" s="51">
        <v>23</v>
      </c>
      <c r="H281" s="49">
        <v>25</v>
      </c>
      <c r="I281" s="50" t="str">
        <f>IF(AK263&gt;2,IF(AK262&gt;1,"/",""),"")</f>
        <v>/</v>
      </c>
      <c r="J281" s="51">
        <v>14</v>
      </c>
      <c r="K281" s="49">
        <v>25</v>
      </c>
      <c r="L281" s="50" t="str">
        <f>IF(AK263&gt;3,IF(AK262&gt;1,"/",""),"")</f>
        <v>/</v>
      </c>
      <c r="M281" s="51">
        <v>16</v>
      </c>
      <c r="N281" s="49">
        <v>25</v>
      </c>
      <c r="O281" s="50" t="str">
        <f>IF(AK263&gt;4,IF(AK262&gt;1,"/",""),"")</f>
        <v>/</v>
      </c>
      <c r="P281" s="51">
        <v>13</v>
      </c>
      <c r="Q281" s="49">
        <v>27</v>
      </c>
      <c r="R281" s="50" t="str">
        <f>IF(AK263&gt;5,IF(AK262&gt;1,"/",""),"")</f>
        <v>/</v>
      </c>
      <c r="S281" s="51">
        <v>25</v>
      </c>
      <c r="T281" s="49">
        <v>25</v>
      </c>
      <c r="U281" s="50" t="str">
        <f>IF(AK263&gt;6,IF(AK262&gt;1,"/",""),"")</f>
        <v>/</v>
      </c>
      <c r="V281" s="51">
        <v>27</v>
      </c>
      <c r="W281" s="49">
        <v>25</v>
      </c>
      <c r="X281" s="50" t="str">
        <f>IF(AK263&gt;7,IF(AK262&gt;1,"/",""),"")</f>
        <v>/</v>
      </c>
      <c r="Y281" s="51">
        <v>23</v>
      </c>
      <c r="Z281" s="49">
        <v>25</v>
      </c>
      <c r="AA281" s="50" t="str">
        <f>IF(AK263&gt;8,IF(AK262&gt;1,"/",""),"")</f>
        <v>/</v>
      </c>
      <c r="AB281" s="51">
        <v>18</v>
      </c>
      <c r="AC281" s="49">
        <v>16</v>
      </c>
      <c r="AD281" s="50" t="str">
        <f>IF(AK263&gt;9,IF(AK262&gt;1,"/",""),"")</f>
        <v>/</v>
      </c>
      <c r="AE281" s="51">
        <v>25</v>
      </c>
      <c r="AF281" s="42" t="str">
        <f>IF(AK264&gt;2,"Team 3","")</f>
        <v>Team 3</v>
      </c>
      <c r="AG281" s="48" t="str">
        <f>IF(AK264&lt;3,"",IF(AK263&lt;1,"",IF(B279=3,B285-D285,IF(D279=3,D285-B285,""))))</f>
        <v/>
      </c>
      <c r="AH281" s="48" t="str">
        <f>IF(AK264&lt;3,"",IF(AK263&lt;2,"",IF(E279=3,E285-G285,IF(G279=3,G285-E285,""))))</f>
        <v/>
      </c>
      <c r="AI281" s="48">
        <f>IF(AK264&lt;3,"",IF(AK263&lt;3,"",IF(H279=3,H285-J285,IF(J279=3,J285-H285,""))))</f>
        <v>18</v>
      </c>
      <c r="AJ281" s="48" t="str">
        <f>IF(AK264&lt;3,"",IF(AK263&lt;4,"",IF(K279=3,K285-M285,IF(M279=3,M285-K285,""))))</f>
        <v/>
      </c>
      <c r="AK281" s="48">
        <f>IF(AK264&lt;3,"",IF(AK263&lt;5,"",IF(N279=3,N285-P285,IF(P279=3,P285-N285,""))))</f>
        <v>-20</v>
      </c>
      <c r="AL281" s="48" t="str">
        <f>IF(AK264&lt;3,"",IF(AK263&lt;6,"",IF(Q279=3,Q285-S285,IF(S279=3,S285-Q285,""))))</f>
        <v/>
      </c>
      <c r="AM281" s="48">
        <f>IF(AK264&lt;3,"",IF(AK263&lt;7,"",IF(T279=3,T285-V285,IF(V279=3,V285-T285,""))))</f>
        <v>-1</v>
      </c>
      <c r="AN281" s="48" t="str">
        <f>IF(AK264&lt;3,"",IF(AK263&lt;8,"",IF(W279=3,W285-Y285,IF(Y279=3,Y285-W285,""))))</f>
        <v/>
      </c>
      <c r="AO281" s="48">
        <f>IF(AK264&lt;3,"",IF(AK263&lt;9,"",IF(Z279=3,Z285-AB285,IF(AB279=3,AB285-Z285,""))))</f>
        <v>-1</v>
      </c>
      <c r="AP281" s="48" t="str">
        <f>IF(AK264&lt;3,"",IF(AK263&lt;9,"",IF(AC279=3,AC285-AE285,IF(AE279=3,AE285-AC285,""))))</f>
        <v/>
      </c>
      <c r="AQ281" s="44">
        <f>SUM(AG281:AP281)</f>
        <v>-4</v>
      </c>
    </row>
    <row r="282" spans="1:49" ht="15" x14ac:dyDescent="0.2">
      <c r="A282" s="3" t="str">
        <f>IF(AK262&gt;2,"Game 3","")</f>
        <v/>
      </c>
      <c r="B282" s="49"/>
      <c r="C282" s="50" t="s">
        <v>53</v>
      </c>
      <c r="D282" s="51"/>
      <c r="E282" s="49"/>
      <c r="F282" s="50" t="str">
        <f>IF(AK263&gt;1,IF(AK262&gt;2,"/",""),"")</f>
        <v/>
      </c>
      <c r="G282" s="51"/>
      <c r="H282" s="49"/>
      <c r="I282" s="50" t="str">
        <f>IF(AK263&gt;2,IF(AK262&gt;2,"/",""),"")</f>
        <v/>
      </c>
      <c r="J282" s="51"/>
      <c r="K282" s="49"/>
      <c r="L282" s="50" t="str">
        <f>IF(AK263&gt;3,IF(AK262&gt;2,"/",""),"")</f>
        <v/>
      </c>
      <c r="M282" s="51"/>
      <c r="N282" s="49"/>
      <c r="O282" s="50" t="str">
        <f>IF(AK263&gt;4,IF(AK262&gt;2,"/",""),"")</f>
        <v/>
      </c>
      <c r="P282" s="51"/>
      <c r="Q282" s="49"/>
      <c r="R282" s="50" t="str">
        <f>IF(AK263&gt;5,IF(AK262&gt;2,"/",""),"")</f>
        <v/>
      </c>
      <c r="S282" s="51"/>
      <c r="T282" s="49"/>
      <c r="U282" s="50" t="str">
        <f>IF(AK263&gt;6,IF(AK262&gt;2,"/",""),"")</f>
        <v/>
      </c>
      <c r="V282" s="51"/>
      <c r="W282" s="49"/>
      <c r="X282" s="50" t="str">
        <f>IF(AK263&gt;7,IF(AK262&gt;2,"/",""),"")</f>
        <v/>
      </c>
      <c r="Y282" s="51"/>
      <c r="Z282" s="49"/>
      <c r="AA282" s="50" t="str">
        <f>IF(AK263&gt;8,IF(AK262&gt;2,"/",""),"")</f>
        <v/>
      </c>
      <c r="AB282" s="51"/>
      <c r="AC282" s="49"/>
      <c r="AD282" s="50" t="str">
        <f>IF(AK263&gt;9,IF(AK262&gt;2,"/",""),"")</f>
        <v/>
      </c>
      <c r="AE282" s="51"/>
      <c r="AF282" s="42" t="str">
        <f>IF(AK264&gt;3,"Team 4","")</f>
        <v>Team 4</v>
      </c>
      <c r="AG282" s="48" t="str">
        <f>IF(AK264&lt;4,"",IF(AK263&lt;1,"",IF(B279=4,B285-D285,IF(D279=4,D285-B285,""))))</f>
        <v/>
      </c>
      <c r="AH282" s="48">
        <f>IF(AK264&lt;4,"",IF(AK263&lt;2,"",IF(E279=4,E285-G285,IF(G279=4,G285-E285,""))))</f>
        <v>-6</v>
      </c>
      <c r="AI282" s="48" t="str">
        <f>IF(AK264&lt;4,"",IF(AK263&lt;3,"",IF(H279=4,H285-J285,IF(J279=4,J285-H285,""))))</f>
        <v/>
      </c>
      <c r="AJ282" s="48">
        <f>IF(AK264&lt;4,"",IF(AK263&lt;4,"",IF(K279=4,K285-M285,IF(M279=4,M285-K285,""))))</f>
        <v>-17</v>
      </c>
      <c r="AK282" s="48" t="str">
        <f>IF(AK264&lt;4,"",IF(AK263&lt;5,"",IF(N279=4,N285-P285,IF(P279=4,P285-N285,""))))</f>
        <v/>
      </c>
      <c r="AL282" s="48">
        <f>IF(AK264&lt;4,"",IF(AK263&lt;6,"",IF(Q279=4,Q285-S285,IF(S279=4,S285-Q285,""))))</f>
        <v>19</v>
      </c>
      <c r="AM282" s="48" t="str">
        <f>IF(AK264&lt;4,"",IF(AK263&lt;7,"",IF(T279=4,T285-V285,IF(V279=4,V285-T285,""))))</f>
        <v/>
      </c>
      <c r="AN282" s="48" t="str">
        <f>IF(AK264&lt;4,"",IF(AK263&lt;8,"",IF(W279=4,W285-Y285,IF(Y279=4,Y285-W285,""))))</f>
        <v/>
      </c>
      <c r="AO282" s="48">
        <f>IF(AK264&lt;4,"",IF(AK263&lt;9,"",IF(Z279=4,Z285-AB285,IF(AB279=4,AB285-Z285,""))))</f>
        <v>1</v>
      </c>
      <c r="AP282" s="48" t="str">
        <f>IF(AK264&lt;4,"",IF(AK263&lt;10,"",IF(AC279=4,AC285-AE285,IF(AE279=4,AE285-AC285,""))))</f>
        <v/>
      </c>
      <c r="AQ282" s="44">
        <f>SUM(AG282:AP282)</f>
        <v>-3</v>
      </c>
    </row>
    <row r="283" spans="1:49" ht="15" x14ac:dyDescent="0.2">
      <c r="A283" s="3" t="str">
        <f>IF(AK262&gt;3,"Game 4","")</f>
        <v/>
      </c>
      <c r="B283" s="49"/>
      <c r="C283" s="50" t="s">
        <v>53</v>
      </c>
      <c r="D283" s="51"/>
      <c r="E283" s="49"/>
      <c r="F283" s="50" t="str">
        <f>IF(AK263&gt;1,IF(AK262&gt;3,"/",""),"")</f>
        <v/>
      </c>
      <c r="G283" s="51"/>
      <c r="H283" s="49"/>
      <c r="I283" s="50" t="str">
        <f>IF(AK263&gt;2,IF(AK262&gt;3,"/",""),"")</f>
        <v/>
      </c>
      <c r="J283" s="51"/>
      <c r="K283" s="49"/>
      <c r="L283" s="50" t="str">
        <f>IF(AK263&gt;3,IF(AK262&gt;3,"/",""),"")</f>
        <v/>
      </c>
      <c r="M283" s="51"/>
      <c r="N283" s="49"/>
      <c r="O283" s="50" t="str">
        <f>IF(AK263&gt;4,IF(AK262&gt;3,"/",""),"")</f>
        <v/>
      </c>
      <c r="P283" s="51"/>
      <c r="Q283" s="49"/>
      <c r="R283" s="50" t="str">
        <f>IF(AK263&gt;5,IF(AK262&gt;3,"/",""),"")</f>
        <v/>
      </c>
      <c r="S283" s="51"/>
      <c r="T283" s="49"/>
      <c r="U283" s="50" t="str">
        <f>IF(AK263&gt;6,IF(AK262&gt;3,"/",""),"")</f>
        <v/>
      </c>
      <c r="V283" s="51"/>
      <c r="W283" s="49"/>
      <c r="X283" s="50" t="str">
        <f>IF(AK263&gt;7,IF(AK262&gt;3,"/",""),"")</f>
        <v/>
      </c>
      <c r="Y283" s="51"/>
      <c r="Z283" s="49"/>
      <c r="AA283" s="50" t="str">
        <f>IF(AK263&gt;8,IF(AK262&gt;3,"/",""),"")</f>
        <v/>
      </c>
      <c r="AB283" s="51"/>
      <c r="AC283" s="49"/>
      <c r="AD283" s="50" t="str">
        <f>IF(AK263&gt;9,IF(AK262&gt;3,"/",""),"")</f>
        <v/>
      </c>
      <c r="AE283" s="51"/>
      <c r="AF283" s="42" t="str">
        <f>IF(AK264&gt;4,"Team 5","")</f>
        <v>Team 5</v>
      </c>
      <c r="AG283" s="52">
        <f>IF(AK264&lt;5,"",IF(AK263&lt;1,"",IF(B279=5,B285-D285,IF(D279=5,D285-B285,""))))</f>
        <v>-28</v>
      </c>
      <c r="AH283" s="48" t="str">
        <f>IF(AK264&lt;5,"",IF(AK263&lt;2,"",IF(E279=5,E285-G285,IF(G279=5,G285-E285,""))))</f>
        <v/>
      </c>
      <c r="AI283" s="48">
        <f>IF(AK264&lt;5,"",IF(AK263&lt;3,"",IF(H279=5,H285-J285,IF(J279=5,J285-H285,""))))</f>
        <v>-18</v>
      </c>
      <c r="AJ283" s="48" t="str">
        <f>IF(AK264&lt;5,"",IF(AK263&lt;4,"",IF(K279=5,K285-M285,IF(M279=5,M285-K285,""))))</f>
        <v/>
      </c>
      <c r="AK283" s="48" t="str">
        <f>IF(AK264&lt;5,"",IF(AK263&lt;5,"",IF(N279=5,N285-P285,IF(P279=5,P285-N285,""))))</f>
        <v/>
      </c>
      <c r="AL283" s="48">
        <f>IF(AK264&lt;5,"",IF(AK263&lt;6,"",IF(Q279=5,Q285-S285,IF(S279=5,S285-Q285,""))))</f>
        <v>-19</v>
      </c>
      <c r="AM283" s="48" t="str">
        <f>IF(AK264&lt;5,"",IF(AK263&lt;7,"",IF(T279=5,T285-V285,IF(V279=5,V285-T285,""))))</f>
        <v/>
      </c>
      <c r="AN283" s="48">
        <f>IF(AK264&lt;5,"",IF(AK263&lt;8,"",IF(W279=5,W285-Y285,IF(Y279=5,Y285-W285,""))))</f>
        <v>-17</v>
      </c>
      <c r="AO283" s="48" t="str">
        <f>IF(AK264&lt;5,"",IF(AK263&lt;9,"",IF(Z279=5,Z285-AB285,IF(AB279=5,AB285-Z285,""))))</f>
        <v/>
      </c>
      <c r="AP283" s="48" t="str">
        <f>IF(AK264&lt;5,"",IF(AK263&lt;10,"",IF(AC279=5,AC285-AE285,IF(AE279=5,AE285-AC285,""))))</f>
        <v/>
      </c>
      <c r="AQ283" s="44">
        <f>SUM(AG283:AP283)</f>
        <v>-82</v>
      </c>
    </row>
    <row r="284" spans="1:49" ht="15" x14ac:dyDescent="0.2">
      <c r="A284" s="3" t="str">
        <f>IF(AK262&gt;4,"Game 5","")</f>
        <v/>
      </c>
      <c r="B284" s="49"/>
      <c r="C284" s="50" t="s">
        <v>53</v>
      </c>
      <c r="D284" s="51"/>
      <c r="E284" s="49"/>
      <c r="F284" s="50" t="str">
        <f>IF(AK263&gt;1,IF(AK262&gt;4,"/",""),"")</f>
        <v/>
      </c>
      <c r="G284" s="51"/>
      <c r="H284" s="49"/>
      <c r="I284" s="50" t="str">
        <f>IF(AK263&gt;2,IF(AK262&gt;4,"/",""),"")</f>
        <v/>
      </c>
      <c r="J284" s="51"/>
      <c r="K284" s="49"/>
      <c r="L284" s="50" t="str">
        <f>IF(AK263&gt;3,IF(AK262&gt;4,"/",""),"")</f>
        <v/>
      </c>
      <c r="M284" s="51"/>
      <c r="N284" s="49"/>
      <c r="O284" s="50" t="str">
        <f>IF(AK263&gt;4,IF(AK262&gt;4,"/",""),"")</f>
        <v/>
      </c>
      <c r="P284" s="51"/>
      <c r="Q284" s="49"/>
      <c r="R284" s="50" t="str">
        <f>IF(AK263&gt;5,IF(AK262&gt;4,"/",""),"")</f>
        <v/>
      </c>
      <c r="S284" s="51"/>
      <c r="T284" s="49"/>
      <c r="U284" s="50" t="str">
        <f>IF(AK263&gt;6,IF(AK262&gt;4,"/",""),"")</f>
        <v/>
      </c>
      <c r="V284" s="51"/>
      <c r="W284" s="49"/>
      <c r="X284" s="50" t="str">
        <f>IF(AK263&gt;7,IF(AK262&gt;4,"/",""),"")</f>
        <v/>
      </c>
      <c r="Y284" s="51"/>
      <c r="Z284" s="49"/>
      <c r="AA284" s="50" t="str">
        <f>IF(AK263&gt;8,IF(AK262&gt;4,"/",""),"")</f>
        <v/>
      </c>
      <c r="AB284" s="51"/>
      <c r="AC284" s="49"/>
      <c r="AD284" s="50" t="str">
        <f>IF(AK263&gt;9,IF(AK262&gt;4,"/",""),"")</f>
        <v/>
      </c>
      <c r="AE284" s="5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</row>
    <row r="285" spans="1:49" hidden="1" x14ac:dyDescent="0.2">
      <c r="A285" s="53"/>
      <c r="B285" s="53">
        <f>IF($AK262=5,SUM(B280:B284),IF($AK262=4,SUM(B280:B283),IF($AK262=3,SUM(B280:B282),IF($AK262=2,SUM(B280:B281),B280))))</f>
        <v>50</v>
      </c>
      <c r="C285" s="53"/>
      <c r="D285" s="53">
        <f>IF($AK262=5,SUM(D280:D284),IF($AK262=4,SUM(D280:D283),IF($AK262=3,SUM(D280:D282),IF($AK262=2,SUM(D280:D281),D280))))</f>
        <v>22</v>
      </c>
      <c r="E285" s="53">
        <f>IF($AK262=5,SUM(E280:E284),IF($AK262=4,SUM(E280:E283),IF($AK262=3,SUM(E280:E282),IF($AK262=2,SUM(E280:E281),E280))))</f>
        <v>50</v>
      </c>
      <c r="F285" s="53"/>
      <c r="G285" s="53">
        <f>IF($AK262=5,SUM(G280:G284),IF($AK262=4,SUM(G280:G283),IF($AK262=3,SUM(G280:G282),IF($AK262=2,SUM(G280:G281),G280))))</f>
        <v>44</v>
      </c>
      <c r="H285" s="53">
        <f>IF($AK262=5,SUM(H280:H284),IF($AK262=4,SUM(H280:H283),IF($AK262=3,SUM(H280:H282),IF($AK262=2,SUM(H280:H281),H280))))</f>
        <v>50</v>
      </c>
      <c r="I285" s="53"/>
      <c r="J285" s="53">
        <f>IF($AK262=5,SUM(J280:J284),IF($AK262=4,SUM(J280:J283),IF($AK262=3,SUM(J280:J282),IF($AK262=2,SUM(J280:J281),J280))))</f>
        <v>32</v>
      </c>
      <c r="K285" s="53">
        <f>IF($AK262=5,SUM(K280:K284),IF($AK262=4,SUM(K280:K283),IF($AK262=3,SUM(K280:K282),IF($AK262=2,SUM(K280:K281),K280))))</f>
        <v>50</v>
      </c>
      <c r="L285" s="53"/>
      <c r="M285" s="53">
        <f>IF($AK262=5,SUM(M280:M284),IF($AK262=4,SUM(M280:M283),IF($AK262=3,SUM(M280:M282),IF($AK262=2,SUM(M280:M281),M280))))</f>
        <v>33</v>
      </c>
      <c r="N285" s="53">
        <f>IF($AK262=5,SUM(N280:N284),IF($AK262=4,SUM(N280:N283),IF($AK262=3,SUM(N280:N282),IF($AK262=2,SUM(N280:N281),N280))))</f>
        <v>50</v>
      </c>
      <c r="O285" s="53"/>
      <c r="P285" s="53">
        <f>IF($AK262=5,SUM(P280:P284),IF($AK262=4,SUM(P280:P283),IF($AK262=3,SUM(P280:P282),IF($AK262=2,SUM(P280:P281),P280))))</f>
        <v>30</v>
      </c>
      <c r="Q285" s="53">
        <f>IF($AK262=5,SUM(Q280:Q284),IF($AK262=4,SUM(Q280:Q283),IF($AK262=3,SUM(Q280:Q282),IF($AK262=2,SUM(Q280:Q281),Q280))))</f>
        <v>52</v>
      </c>
      <c r="R285" s="53"/>
      <c r="S285" s="53">
        <f>IF($AK262=5,SUM(S280:S284),IF($AK262=4,SUM(S280:S283),IF($AK262=3,SUM(S280:S282),IF($AK262=2,SUM(S280:S281),S280))))</f>
        <v>33</v>
      </c>
      <c r="T285" s="53">
        <f>IF($AK262=5,SUM(T280:T284),IF($AK262=4,SUM(T280:T283),IF($AK262=3,SUM(T280:T282),IF($AK262=2,SUM(T280:T281),T280))))</f>
        <v>50</v>
      </c>
      <c r="U285" s="53"/>
      <c r="V285" s="53">
        <f>IF($AK262=5,SUM(V280:V284),IF($AK262=4,SUM(V280:V283),IF($AK262=3,SUM(V280:V282),IF($AK262=2,SUM(V280:V281),V280))))</f>
        <v>49</v>
      </c>
      <c r="W285" s="53">
        <f>IF($AK262=5,SUM(W280:W284),IF($AK262=4,SUM(W280:W283),IF($AK262=3,SUM(W280:W282),IF($AK262=2,SUM(W280:W281),W280))))</f>
        <v>50</v>
      </c>
      <c r="X285" s="53"/>
      <c r="Y285" s="53">
        <f>IF($AK262=5,SUM(Y280:Y284),IF($AK262=4,SUM(Y280:Y283),IF($AK262=3,SUM(Y280:Y282),IF($AK262=2,SUM(Y280:Y281),Y280))))</f>
        <v>33</v>
      </c>
      <c r="Z285" s="53">
        <f>IF($AK262=5,SUM(Z280:Z284),IF($AK262=4,SUM(Z280:Z283),IF($AK262=3,SUM(Z280:Z282),IF($AK262=2,SUM(Z280:Z281),Z280))))</f>
        <v>42</v>
      </c>
      <c r="AA285" s="53"/>
      <c r="AB285" s="53">
        <f>IF($AK262=5,SUM(AB280:AB284),IF($AK262=4,SUM(AB280:AB283),IF($AK262=3,SUM(AB280:AB282),IF($AK262=2,SUM(AB280:AB281),AB280))))</f>
        <v>43</v>
      </c>
      <c r="AC285" s="53">
        <f>IF($AK262=5,SUM(AC280:AC284),IF($AK262=4,SUM(AC280:AC283),IF($AK262=3,SUM(AC280:AC282),IF($AK262=2,SUM(AC280:AC281),AC280))))</f>
        <v>39</v>
      </c>
      <c r="AD285" s="53"/>
      <c r="AE285" s="53">
        <f>IF($AK262=5,SUM(AE280:AE284),IF($AK262=4,SUM(AE280:AE283),IF($AK262=3,SUM(AE280:AE282),IF($AK262=2,SUM(AE280:AE281),AE280))))</f>
        <v>50</v>
      </c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T285" s="54"/>
      <c r="AU285" s="54"/>
      <c r="AV285" s="54"/>
    </row>
    <row r="286" spans="1:49" s="54" customFormat="1" ht="12.75" hidden="1" customHeight="1" x14ac:dyDescent="0.2">
      <c r="A286" s="54" t="s">
        <v>54</v>
      </c>
      <c r="B286" s="55">
        <f>IF(AND(B280&gt;D280,$AK263&gt;0,ISNUMBER(B280),ISNUMBER(D280)),1,0)</f>
        <v>1</v>
      </c>
      <c r="C286" s="55"/>
      <c r="D286" s="56">
        <f>IF(AND(D280&gt;B280,$AK263&gt;0,ISNUMBER(B280),ISNUMBER(D280)),1,0)</f>
        <v>0</v>
      </c>
      <c r="E286" s="55">
        <f>IF(AND(E280&gt;G280,$AK263&gt;1,ISNUMBER(E280),ISNUMBER(G280)),1,0)</f>
        <v>1</v>
      </c>
      <c r="F286" s="55"/>
      <c r="G286" s="56">
        <f>IF(AND(G280&gt;E280,$AK263&gt;1,ISNUMBER(E280),ISNUMBER(G280)),1,0)</f>
        <v>0</v>
      </c>
      <c r="H286" s="55">
        <f>IF(AND(H280&gt;J280,$AK263&gt;2,ISNUMBER(H280),ISNUMBER(J280)),1,0)</f>
        <v>1</v>
      </c>
      <c r="I286" s="55"/>
      <c r="J286" s="56">
        <f>IF(AND(J280&gt;H280,$AK263&gt;2,ISNUMBER(H280),ISNUMBER(J280)),1,0)</f>
        <v>0</v>
      </c>
      <c r="K286" s="55">
        <f>IF(AND(K280&gt;M280,$AK263&gt;3,ISNUMBER(K280),ISNUMBER(M280)),1,0)</f>
        <v>1</v>
      </c>
      <c r="L286" s="55"/>
      <c r="M286" s="56">
        <f>IF(AND(M280&gt;K280,$AK263&gt;3,ISNUMBER(K280),ISNUMBER(M280)),1,0)</f>
        <v>0</v>
      </c>
      <c r="N286" s="55">
        <f>IF(AND(N280&gt;P280,$AK263&gt;4,ISNUMBER(N280),ISNUMBER(P280)),1,0)</f>
        <v>1</v>
      </c>
      <c r="O286" s="55"/>
      <c r="P286" s="56">
        <f>IF(AND(P280&gt;N280,$AK263&gt;4,ISNUMBER(N280),ISNUMBER(P280)),1,0)</f>
        <v>0</v>
      </c>
      <c r="Q286" s="55">
        <f>IF(AND(Q280&gt;S280,$AK263&gt;5,ISNUMBER(Q280),ISNUMBER(S280)),1,0)</f>
        <v>1</v>
      </c>
      <c r="R286" s="55"/>
      <c r="S286" s="56">
        <f>IF(AND(S280&gt;Q280,$AK263&gt;5,ISNUMBER(Q280),ISNUMBER(S280)),1,0)</f>
        <v>0</v>
      </c>
      <c r="T286" s="55">
        <f>IF(AND(T280&gt;V280,$AK263&gt;6,ISNUMBER(T280),ISNUMBER(V280)),1,0)</f>
        <v>1</v>
      </c>
      <c r="U286" s="55"/>
      <c r="V286" s="56">
        <f>IF(AND(V280&gt;T280,$AK263&gt;6,ISNUMBER(T280),ISNUMBER(V280)),1,0)</f>
        <v>0</v>
      </c>
      <c r="W286" s="55">
        <f>IF(AND(W280&gt;Y280,$AK263&gt;7,ISNUMBER(W280),ISNUMBER(Y280)),1,0)</f>
        <v>1</v>
      </c>
      <c r="X286" s="55"/>
      <c r="Y286" s="56">
        <f>IF(AND(Y280&gt;W280,$AK263&gt;7,ISNUMBER(W280),ISNUMBER(Y280)),1,0)</f>
        <v>0</v>
      </c>
      <c r="Z286" s="55">
        <f>IF(AND(Z280&gt;AB280,$AK263&gt;8,ISNUMBER(Z280),ISNUMBER(AB280)),1,0)</f>
        <v>0</v>
      </c>
      <c r="AA286" s="55"/>
      <c r="AB286" s="56">
        <f>IF(AND(AB280&gt;Z280,$AK263&gt;8,ISNUMBER(Z280),ISNUMBER(AB280)),1,0)</f>
        <v>1</v>
      </c>
      <c r="AC286" s="55">
        <f>IF(AND(AC280&gt;AE280,$AK263&gt;9,ISNUMBER(AC280),ISNUMBER(AE280)),1,0)</f>
        <v>0</v>
      </c>
      <c r="AD286" s="55"/>
      <c r="AE286" s="56">
        <f>IF(AND(AE280&gt;AC280,$AK263&gt;9,ISNUMBER(AC280),ISNUMBER(AE280)),1,0)</f>
        <v>1</v>
      </c>
      <c r="AW286" s="146"/>
    </row>
    <row r="287" spans="1:49" s="54" customFormat="1" ht="12.75" hidden="1" customHeight="1" x14ac:dyDescent="0.2">
      <c r="A287" s="54" t="s">
        <v>55</v>
      </c>
      <c r="B287" s="55">
        <f>IF(AND(B281&gt;D281,$AK263&gt;0,$AK262&gt;1,ISNUMBER(B281),ISNUMBER(D281)),1,0)</f>
        <v>1</v>
      </c>
      <c r="C287" s="55"/>
      <c r="D287" s="56">
        <f>IF(AND(D281&gt;B281,$AK263&gt;0,$AK262&gt;1,ISNUMBER(B281),ISNUMBER(D281)),1,0)</f>
        <v>0</v>
      </c>
      <c r="E287" s="55">
        <f>IF(AND(E281&gt;G281,$AK263&gt;1,$AK262&gt;1,ISNUMBER(E281),ISNUMBER(G281)),1,0)</f>
        <v>1</v>
      </c>
      <c r="F287" s="55"/>
      <c r="G287" s="56">
        <f>IF(AND(G281&gt;E281,$AK263&gt;1,$AK262&gt;1,ISNUMBER(E281),ISNUMBER(G281)),1,0)</f>
        <v>0</v>
      </c>
      <c r="H287" s="55">
        <f>IF(AND(H281&gt;J281,$AK263&gt;2,$AK262&gt;1,ISNUMBER(H281),ISNUMBER(J281)),1,0)</f>
        <v>1</v>
      </c>
      <c r="I287" s="55"/>
      <c r="J287" s="56">
        <f>IF(AND(J281&gt;H281,$AK263&gt;2,$AK262&gt;1,ISNUMBER(H281),ISNUMBER(J281)),1,0)</f>
        <v>0</v>
      </c>
      <c r="K287" s="55">
        <f>IF(AND(K281&gt;M281,$AK263&gt;3,$AK262&gt;1,ISNUMBER(K281),ISNUMBER(M281)),1,0)</f>
        <v>1</v>
      </c>
      <c r="L287" s="55"/>
      <c r="M287" s="56">
        <f>IF(AND(M281&gt;K281,$AK263&gt;3,$AK262&gt;1,ISNUMBER(K281),ISNUMBER(M281)),1,0)</f>
        <v>0</v>
      </c>
      <c r="N287" s="55">
        <f>IF(AND(N281&gt;P281,$AK263&gt;4,$AK262&gt;1,ISNUMBER(N281),ISNUMBER(P281)),1,0)</f>
        <v>1</v>
      </c>
      <c r="O287" s="55"/>
      <c r="P287" s="56">
        <f>IF(AND(P281&gt;N281,$AK263&gt;4,$AK262&gt;1,ISNUMBER(N281),ISNUMBER(P281)),1,0)</f>
        <v>0</v>
      </c>
      <c r="Q287" s="55">
        <f>IF(AND(Q281&gt;S281,$AK263&gt;5,$AK262&gt;1,ISNUMBER(Q281),ISNUMBER(S281)),1,0)</f>
        <v>1</v>
      </c>
      <c r="R287" s="55"/>
      <c r="S287" s="56">
        <f>IF(AND(S281&gt;Q281,$AK263&gt;5,$AK262&gt;1,ISNUMBER(Q281),ISNUMBER(S281)),1,0)</f>
        <v>0</v>
      </c>
      <c r="T287" s="55">
        <f>IF(AND(T281&gt;V281,$AK263&gt;6,$AK262&gt;1,ISNUMBER(T281),ISNUMBER(V281)),1,0)</f>
        <v>0</v>
      </c>
      <c r="U287" s="55"/>
      <c r="V287" s="56">
        <f>IF(AND(V281&gt;T281,$AK263&gt;6,$AK262&gt;1,ISNUMBER(T281),ISNUMBER(V281)),1,0)</f>
        <v>1</v>
      </c>
      <c r="W287" s="55">
        <f>IF(AND(W281&gt;Y281,$AK263&gt;7,$AK262&gt;1,ISNUMBER(W281),ISNUMBER(Y281)),1,0)</f>
        <v>1</v>
      </c>
      <c r="X287" s="55"/>
      <c r="Y287" s="56">
        <f>IF(AND(Y281&gt;W281,$AK263&gt;7,$AK262&gt;1,ISNUMBER(W281),ISNUMBER(Y281)),1,0)</f>
        <v>0</v>
      </c>
      <c r="Z287" s="55">
        <f>IF(AND(Z281&gt;AB281,$AK263&gt;8,$AK262&gt;1,ISNUMBER(Z281),ISNUMBER(AB281)),1,0)</f>
        <v>1</v>
      </c>
      <c r="AA287" s="55"/>
      <c r="AB287" s="56">
        <f>IF(AND(AB281&gt;Z281,$AK263&gt;8,$AK262&gt;1,ISNUMBER(Z281),ISNUMBER(AB281)),1,0)</f>
        <v>0</v>
      </c>
      <c r="AC287" s="55">
        <f>IF(AND(AC281&gt;AE281,$AK263&gt;9,$AK262&gt;1,ISNUMBER(AC281),ISNUMBER(AE281)),1,0)</f>
        <v>0</v>
      </c>
      <c r="AD287" s="55"/>
      <c r="AE287" s="56">
        <f>IF(AND(AE281&gt;AC281,$AK263&gt;9,$AK262&gt;1,ISNUMBER(AC281),ISNUMBER(AE281)),1,0)</f>
        <v>1</v>
      </c>
      <c r="AW287" s="146"/>
    </row>
    <row r="288" spans="1:49" s="54" customFormat="1" ht="12.75" hidden="1" customHeight="1" x14ac:dyDescent="0.2">
      <c r="A288" s="54" t="s">
        <v>56</v>
      </c>
      <c r="B288" s="55">
        <f>IF(AND(B282&gt;D282,$AK263&gt;0,$AK262&gt;2,ISNUMBER(B282),ISNUMBER(D282)),1,0)</f>
        <v>0</v>
      </c>
      <c r="C288" s="55"/>
      <c r="D288" s="56">
        <f>IF(AND(D282&gt;B282,$AK263&gt;0,$AK262&gt;2,ISNUMBER(B282),ISNUMBER(D282)),1,0)</f>
        <v>0</v>
      </c>
      <c r="E288" s="55">
        <f>IF(AND(E282&gt;G282,$AK263&gt;1,$AK262&gt;2,ISNUMBER(E282),ISNUMBER(G282)),1,0)</f>
        <v>0</v>
      </c>
      <c r="F288" s="55"/>
      <c r="G288" s="56">
        <f>IF(AND(G282&gt;E282,$AK263&gt;1,$AK262&gt;2,ISNUMBER(E282),ISNUMBER(G282)),1,0)</f>
        <v>0</v>
      </c>
      <c r="H288" s="55">
        <f>IF(AND(H282&gt;J282,$AK263&gt;2,$AK262&gt;2,ISNUMBER(H282),ISNUMBER(J282)),1,0)</f>
        <v>0</v>
      </c>
      <c r="I288" s="55"/>
      <c r="J288" s="56">
        <f>IF(AND(J282&gt;H282,$AK263&gt;2,$AK262&gt;2,ISNUMBER(H282),ISNUMBER(J282)),1,0)</f>
        <v>0</v>
      </c>
      <c r="K288" s="55">
        <f>IF(AND(K282&gt;M282,$AK263&gt;3,$AK262&gt;2,ISNUMBER(K282),ISNUMBER(M282)),1,0)</f>
        <v>0</v>
      </c>
      <c r="L288" s="55"/>
      <c r="M288" s="56">
        <f>IF(AND(M282&gt;K282,$AK263&gt;3,$AK262&gt;2,ISNUMBER(K282),ISNUMBER(M282)),1,0)</f>
        <v>0</v>
      </c>
      <c r="N288" s="55">
        <f>IF(AND(N282&gt;P282,$AK263&gt;4,$AK262&gt;2,ISNUMBER(N282),ISNUMBER(P282)),1,0)</f>
        <v>0</v>
      </c>
      <c r="O288" s="55"/>
      <c r="P288" s="56">
        <f>IF(AND(P282&gt;N282,$AK263&gt;4,$AK262&gt;2,ISNUMBER(N282),ISNUMBER(P282)),1,0)</f>
        <v>0</v>
      </c>
      <c r="Q288" s="55">
        <f>IF(AND(Q282&gt;S282,$AK263&gt;5,$AK262&gt;2,ISNUMBER(Q282),ISNUMBER(S282)),1,0)</f>
        <v>0</v>
      </c>
      <c r="R288" s="55"/>
      <c r="S288" s="56">
        <f>IF(AND(S282&gt;Q282,$AK263&gt;5,$AK262&gt;2,ISNUMBER(Q282),ISNUMBER(S282)),1,0)</f>
        <v>0</v>
      </c>
      <c r="T288" s="55">
        <f>IF(AND(T282&gt;V282,$AK263&gt;6,$AK262&gt;2,ISNUMBER(T282),ISNUMBER(V282)),1,0)</f>
        <v>0</v>
      </c>
      <c r="U288" s="55"/>
      <c r="V288" s="56">
        <f>IF(AND(V282&gt;T282,$AK263&gt;6,$AK262&gt;2,ISNUMBER(T282),ISNUMBER(V282)),1,0)</f>
        <v>0</v>
      </c>
      <c r="W288" s="55">
        <f>IF(AND(W282&gt;Y282,$AK263&gt;7,$AK262&gt;2,ISNUMBER(W282),ISNUMBER(Y282)),1,0)</f>
        <v>0</v>
      </c>
      <c r="X288" s="55"/>
      <c r="Y288" s="56">
        <f>IF(AND(Y282&gt;W282,$AK263&gt;7,$AK262&gt;2,ISNUMBER(W282),ISNUMBER(Y282)),1,0)</f>
        <v>0</v>
      </c>
      <c r="Z288" s="55">
        <f>IF(AND(Z282&gt;AB282,$AK263&gt;8,$AK262&gt;2,ISNUMBER(Z282),ISNUMBER(AB282)),1,0)</f>
        <v>0</v>
      </c>
      <c r="AA288" s="55"/>
      <c r="AB288" s="56">
        <f>IF(AND(AB282&gt;Z282,$AK263&gt;8,$AK262&gt;2,ISNUMBER(Z282),ISNUMBER(AB282)),1,0)</f>
        <v>0</v>
      </c>
      <c r="AC288" s="55">
        <f>IF(AND(AC282&gt;AE282,$AK263&gt;9,$AK262&gt;2,ISNUMBER(AC282),ISNUMBER(AE282)),1,0)</f>
        <v>0</v>
      </c>
      <c r="AD288" s="55"/>
      <c r="AE288" s="56">
        <f>IF(AND(AE282&gt;AC282,$AK263&gt;9,$AK262&gt;2,ISNUMBER(AC282),ISNUMBER(AE282)),1,0)</f>
        <v>0</v>
      </c>
      <c r="AW288" s="146"/>
    </row>
    <row r="289" spans="1:49" s="54" customFormat="1" ht="12.75" hidden="1" customHeight="1" x14ac:dyDescent="0.2">
      <c r="A289" s="54" t="s">
        <v>57</v>
      </c>
      <c r="B289" s="55">
        <f>IF(AND(B283&gt;D283,$AK263&gt;0,$AK262&gt;3,ISNUMBER(B283),ISNUMBER(D283)),1,0)</f>
        <v>0</v>
      </c>
      <c r="C289" s="55"/>
      <c r="D289" s="56">
        <f>IF(AND(D283&gt;B283,$AK263&gt;0,$AK262&gt;3,ISNUMBER(B283),ISNUMBER(D283)),1,0)</f>
        <v>0</v>
      </c>
      <c r="E289" s="55">
        <f>IF(AND(E283&gt;G283,$AK263&gt;1,$AK262&gt;3,ISNUMBER(E283),ISNUMBER(G283)),1,0)</f>
        <v>0</v>
      </c>
      <c r="F289" s="55"/>
      <c r="G289" s="56">
        <f>IF(AND(G283&gt;E283,$AK263&gt;1,$AK262&gt;3,ISNUMBER(E283),ISNUMBER(G283)),1,0)</f>
        <v>0</v>
      </c>
      <c r="H289" s="55">
        <f>IF(AND(H283&gt;J283,$AK263&gt;2,$AK262&gt;3,ISNUMBER(H283),ISNUMBER(J283)),1,0)</f>
        <v>0</v>
      </c>
      <c r="I289" s="55"/>
      <c r="J289" s="56">
        <f>IF(AND(J283&gt;H283,$AK263&gt;2,$AK262&gt;3,ISNUMBER(H283),ISNUMBER(J283)),1,0)</f>
        <v>0</v>
      </c>
      <c r="K289" s="55">
        <f>IF(AND(K283&gt;M283,$AK263&gt;3,$AK262&gt;3,ISNUMBER(K283),ISNUMBER(M283)),1,0)</f>
        <v>0</v>
      </c>
      <c r="L289" s="55"/>
      <c r="M289" s="56">
        <f>IF(AND(M283&gt;K283,$AK263&gt;3,$AK262&gt;3,ISNUMBER(K283),ISNUMBER(M283)),1,0)</f>
        <v>0</v>
      </c>
      <c r="N289" s="55">
        <f>IF(AND(N283&gt;P283,$AK263&gt;4,$AK262&gt;3,ISNUMBER(N283),ISNUMBER(P283)),1,0)</f>
        <v>0</v>
      </c>
      <c r="O289" s="55"/>
      <c r="P289" s="56">
        <f>IF(AND(P283&gt;N283,$AK263&gt;4,$AK262&gt;3,ISNUMBER(N283),ISNUMBER(P283)),1,0)</f>
        <v>0</v>
      </c>
      <c r="Q289" s="55">
        <f>IF(AND(Q283&gt;S283,$AK263&gt;5,$AK262&gt;3,ISNUMBER(Q283),ISNUMBER(S283)),1,0)</f>
        <v>0</v>
      </c>
      <c r="R289" s="55"/>
      <c r="S289" s="56">
        <f>IF(AND(S283&gt;Q283,$AK263&gt;5,$AK262&gt;3,ISNUMBER(Q283),ISNUMBER(S283)),1,0)</f>
        <v>0</v>
      </c>
      <c r="T289" s="55">
        <f>IF(AND(T283&gt;V283,$AK263&gt;6,$AK262&gt;3,ISNUMBER(T283),ISNUMBER(V283)),1,0)</f>
        <v>0</v>
      </c>
      <c r="U289" s="55"/>
      <c r="V289" s="56">
        <f>IF(AND(V283&gt;T283,$AK263&gt;6,$AK262&gt;3,ISNUMBER(T283),ISNUMBER(V283)),1,0)</f>
        <v>0</v>
      </c>
      <c r="W289" s="55">
        <f>IF(AND(W283&gt;Y283,$AK263&gt;7,$AK262&gt;3,ISNUMBER(W283),ISNUMBER(Y283)),1,0)</f>
        <v>0</v>
      </c>
      <c r="X289" s="55"/>
      <c r="Y289" s="56">
        <f>IF(AND(Y283&gt;W283,$AK263&gt;7,$AK262&gt;3,ISNUMBER(W283),ISNUMBER(Y283)),1,0)</f>
        <v>0</v>
      </c>
      <c r="Z289" s="55">
        <f>IF(AND(Z283&gt;AB283,$AK263&gt;8,$AK262&gt;3,ISNUMBER(Z283),ISNUMBER(AB283)),1,0)</f>
        <v>0</v>
      </c>
      <c r="AA289" s="55"/>
      <c r="AB289" s="56">
        <f>IF(AND(AB283&gt;Z283,$AK263&gt;8,$AK262&gt;3,ISNUMBER(Z283),ISNUMBER(AB283)),1,0)</f>
        <v>0</v>
      </c>
      <c r="AC289" s="55">
        <f>IF(AND(AC283&gt;AE283,$AK263&gt;9,$AK262&gt;3,ISNUMBER(AC283),ISNUMBER(AE283)),1,0)</f>
        <v>0</v>
      </c>
      <c r="AD289" s="55"/>
      <c r="AE289" s="56">
        <f>IF(AND(AE283&gt;AC283,$AK263&gt;9,$AK262&gt;3,ISNUMBER(AC283),ISNUMBER(AE283)),1,0)</f>
        <v>0</v>
      </c>
      <c r="AW289" s="146"/>
    </row>
    <row r="290" spans="1:49" s="54" customFormat="1" ht="12.75" hidden="1" customHeight="1" x14ac:dyDescent="0.2">
      <c r="A290" s="54" t="s">
        <v>58</v>
      </c>
      <c r="B290" s="55">
        <f>IF(AND(B284&gt;D284,$AK263&gt;0,$AK262&gt;4,ISNUMBER(B284),ISNUMBER(D284)),1,0)</f>
        <v>0</v>
      </c>
      <c r="C290" s="55"/>
      <c r="D290" s="56">
        <f>IF(AND(D284&gt;B284,$AK263&gt;0,$AK262&gt;4,ISNUMBER(B284),ISNUMBER(D284)),1,0)</f>
        <v>0</v>
      </c>
      <c r="E290" s="55">
        <f>IF(AND(E284&gt;G284,$AK263&gt;1,$AK262&gt;4,ISNUMBER(E284),ISNUMBER(G284)),1,0)</f>
        <v>0</v>
      </c>
      <c r="F290" s="55"/>
      <c r="G290" s="56">
        <f>IF(AND(G284&gt;E284,$AK263&gt;1,$AK262&gt;4,ISNUMBER(E284),ISNUMBER(G284)),1,0)</f>
        <v>0</v>
      </c>
      <c r="H290" s="55">
        <f>IF(AND(H284&gt;J284,$AK263&gt;2,$AK262&gt;4,ISNUMBER(H284),ISNUMBER(J284)),1,0)</f>
        <v>0</v>
      </c>
      <c r="I290" s="55"/>
      <c r="J290" s="56">
        <f>IF(AND(J284&gt;H284,$AK263&gt;2,$AK262&gt;4,ISNUMBER(H284),ISNUMBER(J284)),1,0)</f>
        <v>0</v>
      </c>
      <c r="K290" s="55">
        <f>IF(AND(K284&gt;M284,$AK263&gt;3,$AK262&gt;4,ISNUMBER(K284),ISNUMBER(M284)),1,0)</f>
        <v>0</v>
      </c>
      <c r="L290" s="55"/>
      <c r="M290" s="56">
        <f>IF(AND(M284&gt;K284,$AK263&gt;3,$AK262&gt;4,ISNUMBER(K284),ISNUMBER(M284)),1,0)</f>
        <v>0</v>
      </c>
      <c r="N290" s="55">
        <f>IF(AND(N284&gt;P284,$AK263&gt;4,$AK262&gt;4,ISNUMBER(N284),ISNUMBER(P284)),1,0)</f>
        <v>0</v>
      </c>
      <c r="O290" s="55"/>
      <c r="P290" s="56">
        <f>IF(AND(P284&gt;N284,$AK263&gt;4,$AK262&gt;4,ISNUMBER(N284),ISNUMBER(P284)),1,0)</f>
        <v>0</v>
      </c>
      <c r="Q290" s="55">
        <f>IF(AND(Q284&gt;S284,$AK263&gt;5,$AK262&gt;4,ISNUMBER(Q284),ISNUMBER(S284)),1,0)</f>
        <v>0</v>
      </c>
      <c r="R290" s="55"/>
      <c r="S290" s="56">
        <f>IF(AND(S284&gt;Q284,$AK263&gt;5,$AK262&gt;4,ISNUMBER(Q284),ISNUMBER(S284)),1,0)</f>
        <v>0</v>
      </c>
      <c r="T290" s="55">
        <f>IF(AND(T284&gt;V284,$AK263&gt;6,$AK262&gt;4,ISNUMBER(T284),ISNUMBER(V284)),1,0)</f>
        <v>0</v>
      </c>
      <c r="U290" s="55"/>
      <c r="V290" s="56">
        <f>IF(AND(V284&gt;T284,$AK263&gt;6,$AK262&gt;4,ISNUMBER(T284),ISNUMBER(V284)),1,0)</f>
        <v>0</v>
      </c>
      <c r="W290" s="55">
        <f>IF(AND(W284&gt;Y284,$AK263&gt;7,$AK262&gt;4,ISNUMBER(W284),ISNUMBER(Y284)),1,0)</f>
        <v>0</v>
      </c>
      <c r="X290" s="55"/>
      <c r="Y290" s="56">
        <f>IF(AND(Y284&gt;W284,$AK263&gt;7,$AK262&gt;4,ISNUMBER(W284),ISNUMBER(Y284)),1,0)</f>
        <v>0</v>
      </c>
      <c r="Z290" s="55">
        <f>IF(AND(Z284&gt;AB284,$AK263&gt;8,$AK262&gt;4,ISNUMBER(Z284),ISNUMBER(AB284)),1,0)</f>
        <v>0</v>
      </c>
      <c r="AA290" s="55"/>
      <c r="AB290" s="56">
        <f>IF(AND(AB284&gt;Z284,$AK263&gt;8,$AK262&gt;4,ISNUMBER(Z284),ISNUMBER(AB284)),1,0)</f>
        <v>0</v>
      </c>
      <c r="AC290" s="55">
        <f>IF(AND(AC284&gt;AE284,$AK263&gt;9,$AK262&gt;4,ISNUMBER(AC284),ISNUMBER(AE284)),1,0)</f>
        <v>0</v>
      </c>
      <c r="AD290" s="55"/>
      <c r="AE290" s="56">
        <f>IF(AND(AE284&gt;AC284,$AK263&gt;9,$AK262&gt;4,ISNUMBER(AC284),ISNUMBER(AE284)),1,0)</f>
        <v>0</v>
      </c>
      <c r="AW290" s="146"/>
    </row>
    <row r="291" spans="1:49" s="54" customFormat="1" ht="38.25" hidden="1" customHeight="1" x14ac:dyDescent="0.2">
      <c r="A291" s="57" t="s">
        <v>59</v>
      </c>
      <c r="B291" s="54">
        <f>SUM(B286:B290)</f>
        <v>2</v>
      </c>
      <c r="D291" s="58">
        <f>SUM(D286:D290)</f>
        <v>0</v>
      </c>
      <c r="E291" s="54">
        <f>SUM(E286:E290)</f>
        <v>2</v>
      </c>
      <c r="G291" s="58">
        <f>SUM(G286:G290)</f>
        <v>0</v>
      </c>
      <c r="H291" s="54">
        <f>SUM(H286:H290)</f>
        <v>2</v>
      </c>
      <c r="J291" s="58">
        <f>SUM(J286:J290)</f>
        <v>0</v>
      </c>
      <c r="K291" s="54">
        <f>SUM(K286:K290)</f>
        <v>2</v>
      </c>
      <c r="M291" s="58">
        <f>SUM(M286:M290)</f>
        <v>0</v>
      </c>
      <c r="N291" s="54">
        <f>SUM(N286:N290)</f>
        <v>2</v>
      </c>
      <c r="P291" s="58">
        <f>SUM(P286:P290)</f>
        <v>0</v>
      </c>
      <c r="Q291" s="54">
        <f>SUM(Q286:Q290)</f>
        <v>2</v>
      </c>
      <c r="S291" s="58">
        <f>SUM(S286:S290)</f>
        <v>0</v>
      </c>
      <c r="T291" s="54">
        <f>SUM(T286:T290)</f>
        <v>1</v>
      </c>
      <c r="V291" s="58">
        <f>SUM(V286:V290)</f>
        <v>1</v>
      </c>
      <c r="W291" s="54">
        <f>SUM(W286:W290)</f>
        <v>2</v>
      </c>
      <c r="Y291" s="58">
        <f>SUM(Y286:Y290)</f>
        <v>0</v>
      </c>
      <c r="Z291" s="54">
        <f>SUM(Z286:Z290)</f>
        <v>1</v>
      </c>
      <c r="AB291" s="58">
        <f>SUM(AB286:AB290)</f>
        <v>1</v>
      </c>
      <c r="AC291" s="54">
        <f>SUM(AC286:AC290)</f>
        <v>0</v>
      </c>
      <c r="AE291" s="58">
        <f>SUM(AE286:AE290)</f>
        <v>2</v>
      </c>
      <c r="AW291" s="146"/>
    </row>
    <row r="292" spans="1:49" s="54" customFormat="1" ht="25.5" hidden="1" customHeight="1" x14ac:dyDescent="0.2">
      <c r="A292" s="57" t="s">
        <v>60</v>
      </c>
      <c r="B292" s="54">
        <f>IF(B291&gt;D291,IF(C326=AK262,1,IF(C326=AK262-1,1,0)),0)</f>
        <v>1</v>
      </c>
      <c r="C292" s="54">
        <f>B292+D292</f>
        <v>1</v>
      </c>
      <c r="D292" s="58">
        <f>IF(D291&gt;B291,IF(C326=AK262,1,IF(C326=AK262-1,1,0)),0)</f>
        <v>0</v>
      </c>
      <c r="E292" s="54">
        <f>IF(E291&gt;G291,IF(F326=AK262,1,IF(F326=AK262-1,1,0)),0)</f>
        <v>1</v>
      </c>
      <c r="F292" s="54">
        <f>E292+G292</f>
        <v>1</v>
      </c>
      <c r="G292" s="58">
        <f>IF(G291&gt;E291,IF(F326=AK262,1,IF(F326=AK262-1,1,0)),0)</f>
        <v>0</v>
      </c>
      <c r="H292" s="54">
        <f>IF(H291&gt;J291,IF(I326=AK262,1,IF(I326=AK262-1,1,0)),0)</f>
        <v>1</v>
      </c>
      <c r="I292" s="54">
        <f>H292+J292</f>
        <v>1</v>
      </c>
      <c r="J292" s="58">
        <f>IF(J291&gt;H291,IF(I326=AK262,1,IF(I326=AK262-1,1,0)),0)</f>
        <v>0</v>
      </c>
      <c r="K292" s="54">
        <f>IF(K291&gt;M291,IF(L326=AK262,1,IF(L326=AK262-1,1,0)),0)</f>
        <v>1</v>
      </c>
      <c r="L292" s="54">
        <f>K292+M292</f>
        <v>1</v>
      </c>
      <c r="M292" s="58">
        <f>IF(M291&gt;K291,IF(L326=AK262,1,IF(L326=AK262-1,1,0)),0)</f>
        <v>0</v>
      </c>
      <c r="N292" s="54">
        <f>IF(N291&gt;P291,IF(O326=AK262,1,IF(O326=AK262-1,1,0)),0)</f>
        <v>1</v>
      </c>
      <c r="O292" s="54">
        <f>N292+P292</f>
        <v>1</v>
      </c>
      <c r="P292" s="58">
        <f>IF(P291&gt;N291,IF(O326=AK262,1,IF(O326=AK262-1,1,0)),0)</f>
        <v>0</v>
      </c>
      <c r="Q292" s="54">
        <f>IF(Q291&gt;S291,IF(R326=AK262,1,IF(R326=AK262-1,1,0)),0)</f>
        <v>1</v>
      </c>
      <c r="R292" s="54">
        <f>Q292+S292</f>
        <v>1</v>
      </c>
      <c r="S292" s="58">
        <f>IF(S291&gt;Q291,IF(R326=AK262,1,IF(R326=AK262-1,1,0)),0)</f>
        <v>0</v>
      </c>
      <c r="T292" s="54">
        <f>IF(T291&gt;V291,IF(U326=AK262,1,IF(U326=AK262-1,1,0)),0)</f>
        <v>0</v>
      </c>
      <c r="U292" s="54">
        <f>T292+V292</f>
        <v>0</v>
      </c>
      <c r="V292" s="58">
        <f>IF(V291&gt;T291,IF(U326=AK262,1,IF(U326=AK262-1,1,0)),0)</f>
        <v>0</v>
      </c>
      <c r="W292" s="54">
        <f>IF(W291&gt;Y291,IF(X326=AK262,1,IF(X326=AK262-1,1,0)),0)</f>
        <v>1</v>
      </c>
      <c r="X292" s="54">
        <f>W292+Y292</f>
        <v>1</v>
      </c>
      <c r="Y292" s="58">
        <f>IF(Y291&gt;W291,IF(X326=AK262,1,IF(X326=AK262-1,1,0)),0)</f>
        <v>0</v>
      </c>
      <c r="Z292" s="54">
        <f>IF(Z291&gt;AB291,IF(AA326=AK262,1,IF(AA326=AK262-1,1,0)),0)</f>
        <v>0</v>
      </c>
      <c r="AA292" s="54">
        <f>Z292+AB292</f>
        <v>0</v>
      </c>
      <c r="AB292" s="58">
        <f>IF(AB291&gt;Z291,IF(AA326=AK262,1,IF(AA326=AK262-1,1,0)),0)</f>
        <v>0</v>
      </c>
      <c r="AC292" s="54">
        <f>IF(AC291&gt;AE291,IF(AD326=AK262,1,IF(AD326=AK262-1,1,0)),0)</f>
        <v>0</v>
      </c>
      <c r="AD292" s="54">
        <f>AC292+AE292</f>
        <v>1</v>
      </c>
      <c r="AE292" s="58">
        <f>IF(AE291&gt;AC291,IF(AD326=AK262,1,IF(AD326=AK262-1,1,0)),0)</f>
        <v>1</v>
      </c>
      <c r="AW292" s="146"/>
    </row>
    <row r="293" spans="1:49" s="54" customFormat="1" ht="25.5" hidden="1" customHeight="1" x14ac:dyDescent="0.2">
      <c r="A293" s="57"/>
      <c r="D293" s="58"/>
      <c r="G293" s="58"/>
      <c r="J293" s="58"/>
      <c r="M293" s="58"/>
      <c r="P293" s="58"/>
      <c r="S293" s="58"/>
      <c r="V293" s="58"/>
      <c r="Y293" s="58"/>
      <c r="AB293" s="58"/>
      <c r="AE293" s="58"/>
      <c r="AW293" s="146"/>
    </row>
    <row r="294" spans="1:49" s="54" customFormat="1" ht="12.75" hidden="1" customHeight="1" x14ac:dyDescent="0.2">
      <c r="A294" s="54" t="s">
        <v>61</v>
      </c>
      <c r="B294" s="54">
        <f>IF(B286=1,B280,0)</f>
        <v>25</v>
      </c>
      <c r="D294" s="58">
        <f t="shared" ref="D294:E298" si="30">IF(D286=1,D280,0)</f>
        <v>0</v>
      </c>
      <c r="E294" s="54">
        <f t="shared" si="30"/>
        <v>25</v>
      </c>
      <c r="G294" s="58">
        <f t="shared" ref="G294:H298" si="31">IF(G286=1,G280,0)</f>
        <v>0</v>
      </c>
      <c r="H294" s="54">
        <f t="shared" si="31"/>
        <v>25</v>
      </c>
      <c r="J294" s="58">
        <f t="shared" ref="J294:K298" si="32">IF(J286=1,J280,0)</f>
        <v>0</v>
      </c>
      <c r="K294" s="54">
        <f t="shared" si="32"/>
        <v>25</v>
      </c>
      <c r="M294" s="58">
        <f t="shared" ref="M294:N298" si="33">IF(M286=1,M280,0)</f>
        <v>0</v>
      </c>
      <c r="N294" s="54">
        <f t="shared" si="33"/>
        <v>25</v>
      </c>
      <c r="P294" s="58">
        <f t="shared" ref="P294:Q298" si="34">IF(P286=1,P280,0)</f>
        <v>0</v>
      </c>
      <c r="Q294" s="54">
        <f t="shared" si="34"/>
        <v>25</v>
      </c>
      <c r="S294" s="58">
        <f t="shared" ref="S294:T298" si="35">IF(S286=1,S280,0)</f>
        <v>0</v>
      </c>
      <c r="T294" s="54">
        <f t="shared" si="35"/>
        <v>25</v>
      </c>
      <c r="V294" s="58">
        <f t="shared" ref="V294:W298" si="36">IF(V286=1,V280,0)</f>
        <v>0</v>
      </c>
      <c r="W294" s="54">
        <f t="shared" si="36"/>
        <v>25</v>
      </c>
      <c r="Y294" s="58">
        <f t="shared" ref="Y294:Z298" si="37">IF(Y286=1,Y280,0)</f>
        <v>0</v>
      </c>
      <c r="Z294" s="54">
        <f t="shared" si="37"/>
        <v>0</v>
      </c>
      <c r="AB294" s="58">
        <f t="shared" ref="AB294:AC298" si="38">IF(AB286=1,AB280,0)</f>
        <v>25</v>
      </c>
      <c r="AC294" s="54">
        <f t="shared" si="38"/>
        <v>0</v>
      </c>
      <c r="AE294" s="58">
        <f>IF(AE286=1,AE280,0)</f>
        <v>25</v>
      </c>
      <c r="AW294" s="146"/>
    </row>
    <row r="295" spans="1:49" s="54" customFormat="1" ht="12.75" hidden="1" customHeight="1" x14ac:dyDescent="0.2">
      <c r="A295" s="54" t="s">
        <v>62</v>
      </c>
      <c r="B295" s="54">
        <f>IF(B287=1,B281,0)</f>
        <v>25</v>
      </c>
      <c r="D295" s="58">
        <f t="shared" si="30"/>
        <v>0</v>
      </c>
      <c r="E295" s="54">
        <f t="shared" si="30"/>
        <v>25</v>
      </c>
      <c r="G295" s="58">
        <f t="shared" si="31"/>
        <v>0</v>
      </c>
      <c r="H295" s="54">
        <f t="shared" si="31"/>
        <v>25</v>
      </c>
      <c r="J295" s="58">
        <f t="shared" si="32"/>
        <v>0</v>
      </c>
      <c r="K295" s="54">
        <f t="shared" si="32"/>
        <v>25</v>
      </c>
      <c r="M295" s="58">
        <f t="shared" si="33"/>
        <v>0</v>
      </c>
      <c r="N295" s="54">
        <f t="shared" si="33"/>
        <v>25</v>
      </c>
      <c r="P295" s="58">
        <f t="shared" si="34"/>
        <v>0</v>
      </c>
      <c r="Q295" s="54">
        <f t="shared" si="34"/>
        <v>27</v>
      </c>
      <c r="S295" s="58">
        <f t="shared" si="35"/>
        <v>0</v>
      </c>
      <c r="T295" s="54">
        <f t="shared" si="35"/>
        <v>0</v>
      </c>
      <c r="V295" s="58">
        <f t="shared" si="36"/>
        <v>27</v>
      </c>
      <c r="W295" s="54">
        <f t="shared" si="36"/>
        <v>25</v>
      </c>
      <c r="Y295" s="58">
        <f t="shared" si="37"/>
        <v>0</v>
      </c>
      <c r="Z295" s="54">
        <f t="shared" si="37"/>
        <v>25</v>
      </c>
      <c r="AB295" s="58">
        <f t="shared" si="38"/>
        <v>0</v>
      </c>
      <c r="AC295" s="54">
        <f t="shared" si="38"/>
        <v>0</v>
      </c>
      <c r="AE295" s="58">
        <f>IF(AE287=1,AE281,0)</f>
        <v>25</v>
      </c>
      <c r="AW295" s="146"/>
    </row>
    <row r="296" spans="1:49" s="54" customFormat="1" ht="12.75" hidden="1" customHeight="1" x14ac:dyDescent="0.2">
      <c r="A296" s="54" t="s">
        <v>63</v>
      </c>
      <c r="B296" s="54">
        <f>IF(B288=1,B282,0)</f>
        <v>0</v>
      </c>
      <c r="D296" s="58">
        <f t="shared" si="30"/>
        <v>0</v>
      </c>
      <c r="E296" s="54">
        <f t="shared" si="30"/>
        <v>0</v>
      </c>
      <c r="G296" s="58">
        <f t="shared" si="31"/>
        <v>0</v>
      </c>
      <c r="H296" s="54">
        <f t="shared" si="31"/>
        <v>0</v>
      </c>
      <c r="J296" s="58">
        <f t="shared" si="32"/>
        <v>0</v>
      </c>
      <c r="K296" s="54">
        <f t="shared" si="32"/>
        <v>0</v>
      </c>
      <c r="M296" s="58">
        <f t="shared" si="33"/>
        <v>0</v>
      </c>
      <c r="N296" s="54">
        <f t="shared" si="33"/>
        <v>0</v>
      </c>
      <c r="P296" s="58">
        <f t="shared" si="34"/>
        <v>0</v>
      </c>
      <c r="Q296" s="54">
        <f t="shared" si="34"/>
        <v>0</v>
      </c>
      <c r="S296" s="58">
        <f t="shared" si="35"/>
        <v>0</v>
      </c>
      <c r="T296" s="54">
        <f t="shared" si="35"/>
        <v>0</v>
      </c>
      <c r="V296" s="58">
        <f t="shared" si="36"/>
        <v>0</v>
      </c>
      <c r="W296" s="54">
        <f t="shared" si="36"/>
        <v>0</v>
      </c>
      <c r="Y296" s="58">
        <f t="shared" si="37"/>
        <v>0</v>
      </c>
      <c r="Z296" s="54">
        <f t="shared" si="37"/>
        <v>0</v>
      </c>
      <c r="AB296" s="58">
        <f t="shared" si="38"/>
        <v>0</v>
      </c>
      <c r="AC296" s="54">
        <f t="shared" si="38"/>
        <v>0</v>
      </c>
      <c r="AE296" s="58">
        <f>IF(AE288=1,AE282,0)</f>
        <v>0</v>
      </c>
      <c r="AW296" s="146"/>
    </row>
    <row r="297" spans="1:49" s="54" customFormat="1" ht="12.75" hidden="1" customHeight="1" x14ac:dyDescent="0.2">
      <c r="A297" s="54" t="s">
        <v>64</v>
      </c>
      <c r="B297" s="54">
        <f>IF(B289=1,B283,0)</f>
        <v>0</v>
      </c>
      <c r="D297" s="58">
        <f t="shared" si="30"/>
        <v>0</v>
      </c>
      <c r="E297" s="54">
        <f t="shared" si="30"/>
        <v>0</v>
      </c>
      <c r="G297" s="58">
        <f t="shared" si="31"/>
        <v>0</v>
      </c>
      <c r="H297" s="54">
        <f t="shared" si="31"/>
        <v>0</v>
      </c>
      <c r="J297" s="58">
        <f t="shared" si="32"/>
        <v>0</v>
      </c>
      <c r="K297" s="54">
        <f t="shared" si="32"/>
        <v>0</v>
      </c>
      <c r="M297" s="58">
        <f t="shared" si="33"/>
        <v>0</v>
      </c>
      <c r="N297" s="54">
        <f t="shared" si="33"/>
        <v>0</v>
      </c>
      <c r="P297" s="58">
        <f t="shared" si="34"/>
        <v>0</v>
      </c>
      <c r="Q297" s="54">
        <f t="shared" si="34"/>
        <v>0</v>
      </c>
      <c r="S297" s="58">
        <f t="shared" si="35"/>
        <v>0</v>
      </c>
      <c r="T297" s="54">
        <f t="shared" si="35"/>
        <v>0</v>
      </c>
      <c r="V297" s="58">
        <f t="shared" si="36"/>
        <v>0</v>
      </c>
      <c r="W297" s="54">
        <f t="shared" si="36"/>
        <v>0</v>
      </c>
      <c r="Y297" s="58">
        <f t="shared" si="37"/>
        <v>0</v>
      </c>
      <c r="Z297" s="54">
        <f t="shared" si="37"/>
        <v>0</v>
      </c>
      <c r="AB297" s="58">
        <f t="shared" si="38"/>
        <v>0</v>
      </c>
      <c r="AC297" s="54">
        <f t="shared" si="38"/>
        <v>0</v>
      </c>
      <c r="AE297" s="58">
        <f>IF(AE289=1,AE283,0)</f>
        <v>0</v>
      </c>
      <c r="AW297" s="146"/>
    </row>
    <row r="298" spans="1:49" s="54" customFormat="1" ht="12.75" hidden="1" customHeight="1" x14ac:dyDescent="0.2">
      <c r="A298" s="54" t="s">
        <v>65</v>
      </c>
      <c r="B298" s="54">
        <f>IF(B290=1,B284,0)</f>
        <v>0</v>
      </c>
      <c r="D298" s="58">
        <f t="shared" si="30"/>
        <v>0</v>
      </c>
      <c r="E298" s="54">
        <f t="shared" si="30"/>
        <v>0</v>
      </c>
      <c r="G298" s="58">
        <f t="shared" si="31"/>
        <v>0</v>
      </c>
      <c r="H298" s="54">
        <f t="shared" si="31"/>
        <v>0</v>
      </c>
      <c r="J298" s="58">
        <f t="shared" si="32"/>
        <v>0</v>
      </c>
      <c r="K298" s="54">
        <f t="shared" si="32"/>
        <v>0</v>
      </c>
      <c r="M298" s="58">
        <f t="shared" si="33"/>
        <v>0</v>
      </c>
      <c r="N298" s="54">
        <f t="shared" si="33"/>
        <v>0</v>
      </c>
      <c r="P298" s="58">
        <f t="shared" si="34"/>
        <v>0</v>
      </c>
      <c r="Q298" s="54">
        <f t="shared" si="34"/>
        <v>0</v>
      </c>
      <c r="S298" s="58">
        <f t="shared" si="35"/>
        <v>0</v>
      </c>
      <c r="T298" s="54">
        <f t="shared" si="35"/>
        <v>0</v>
      </c>
      <c r="V298" s="58">
        <f t="shared" si="36"/>
        <v>0</v>
      </c>
      <c r="W298" s="54">
        <f t="shared" si="36"/>
        <v>0</v>
      </c>
      <c r="Y298" s="58">
        <f t="shared" si="37"/>
        <v>0</v>
      </c>
      <c r="Z298" s="54">
        <f t="shared" si="37"/>
        <v>0</v>
      </c>
      <c r="AB298" s="58">
        <f t="shared" si="38"/>
        <v>0</v>
      </c>
      <c r="AC298" s="54">
        <f t="shared" si="38"/>
        <v>0</v>
      </c>
      <c r="AE298" s="58">
        <f>IF(AE290=1,AE284,0)</f>
        <v>0</v>
      </c>
      <c r="AW298" s="146"/>
    </row>
    <row r="299" spans="1:49" s="54" customFormat="1" ht="38.25" hidden="1" customHeight="1" x14ac:dyDescent="0.2">
      <c r="A299" s="57" t="s">
        <v>66</v>
      </c>
      <c r="B299" s="54">
        <f>SUM(B294:D298)</f>
        <v>50</v>
      </c>
      <c r="D299" s="58"/>
      <c r="E299" s="54">
        <f>SUM(E294:G298)</f>
        <v>50</v>
      </c>
      <c r="G299" s="58"/>
      <c r="H299" s="54">
        <f>SUM(H294:J298)</f>
        <v>50</v>
      </c>
      <c r="J299" s="58"/>
      <c r="K299" s="54">
        <f>SUM(K294:M298)</f>
        <v>50</v>
      </c>
      <c r="M299" s="58"/>
      <c r="N299" s="54">
        <f>SUM(N294:P298)</f>
        <v>50</v>
      </c>
      <c r="P299" s="58"/>
      <c r="Q299" s="54">
        <f>SUM(Q294:S298)</f>
        <v>52</v>
      </c>
      <c r="S299" s="58"/>
      <c r="T299" s="54">
        <f>SUM(T294:V298)</f>
        <v>52</v>
      </c>
      <c r="V299" s="58"/>
      <c r="W299" s="54">
        <f>SUM(W294:Y298)</f>
        <v>50</v>
      </c>
      <c r="Y299" s="58"/>
      <c r="Z299" s="54">
        <f>SUM(Z294:AB298)</f>
        <v>50</v>
      </c>
      <c r="AB299" s="58"/>
      <c r="AC299" s="54">
        <f>SUM(AC294:AE298)</f>
        <v>50</v>
      </c>
      <c r="AE299" s="58"/>
      <c r="AW299" s="146"/>
    </row>
    <row r="300" spans="1:49" s="54" customFormat="1" ht="38.25" hidden="1" customHeight="1" x14ac:dyDescent="0.2">
      <c r="A300" s="54" t="s">
        <v>67</v>
      </c>
      <c r="D300" s="58"/>
      <c r="G300" s="58"/>
      <c r="J300" s="58"/>
      <c r="M300" s="58"/>
      <c r="P300" s="58"/>
      <c r="S300" s="58"/>
      <c r="V300" s="58"/>
      <c r="Y300" s="58"/>
      <c r="AB300" s="58"/>
      <c r="AE300" s="58"/>
      <c r="AF300" s="57" t="s">
        <v>68</v>
      </c>
      <c r="AG300" s="54" t="s">
        <v>69</v>
      </c>
      <c r="AW300" s="146"/>
    </row>
    <row r="301" spans="1:49" s="54" customFormat="1" ht="12.75" hidden="1" customHeight="1" x14ac:dyDescent="0.2">
      <c r="A301" s="54" t="s">
        <v>70</v>
      </c>
      <c r="B301" s="54">
        <f>IF(B279=1,IF(B292=1,1,0),0)</f>
        <v>0</v>
      </c>
      <c r="D301" s="58">
        <f>IF(D279=1,IF(D292=1,1,0),0)</f>
        <v>0</v>
      </c>
      <c r="E301" s="54">
        <f>IF(E279=1,IF(E292=1,1,0),0)</f>
        <v>1</v>
      </c>
      <c r="G301" s="58">
        <f>IF(G279=1,IF(G292=1,1,0),0)</f>
        <v>0</v>
      </c>
      <c r="H301" s="54">
        <f>IF(H279=1,IF(H292=1,1,0),0)</f>
        <v>0</v>
      </c>
      <c r="J301" s="58">
        <f>IF(J279=1,IF(J292=1,1,0),0)</f>
        <v>0</v>
      </c>
      <c r="K301" s="54">
        <f>IF(K279=1,IF(K292=1,1,0),0)</f>
        <v>0</v>
      </c>
      <c r="M301" s="58">
        <f>IF(M279=1,IF(M292=1,1,0),0)</f>
        <v>0</v>
      </c>
      <c r="N301" s="54">
        <f>IF(N279=1,IF(N292=1,1,0),0)</f>
        <v>1</v>
      </c>
      <c r="P301" s="58">
        <f>IF(P279=1,IF(P292=1,1,0),0)</f>
        <v>0</v>
      </c>
      <c r="Q301" s="54">
        <f>IF(Q279=1,IF(Q292=1,1,0),0)</f>
        <v>0</v>
      </c>
      <c r="S301" s="58">
        <f>IF(S279=1,IF(S292=1,1,0),0)</f>
        <v>0</v>
      </c>
      <c r="T301" s="54">
        <f>IF(T279=1,IF(T292=1,1,0),0)</f>
        <v>0</v>
      </c>
      <c r="V301" s="58">
        <f>IF(V279=1,IF(V292=1,1,0),0)</f>
        <v>0</v>
      </c>
      <c r="W301" s="54">
        <f>IF(W279=1,IF(W292=1,1,0),0)</f>
        <v>1</v>
      </c>
      <c r="Y301" s="58">
        <f>IF(Y279=1,IF(Y292=1,1,0),0)</f>
        <v>0</v>
      </c>
      <c r="Z301" s="54">
        <f>IF(Z279=1,IF(Z292=1,1,0),0)</f>
        <v>0</v>
      </c>
      <c r="AB301" s="58">
        <f>IF(AB279=1,IF(AB292=1,1,0),0)</f>
        <v>0</v>
      </c>
      <c r="AC301" s="54">
        <f>IF(AC279=1,IF(AC292=1,1,0),0)</f>
        <v>0</v>
      </c>
      <c r="AE301" s="58">
        <f>IF(AE279=1,IF(AE292=1,1,0),0)</f>
        <v>0</v>
      </c>
      <c r="AF301" s="54">
        <f>SUM(B301:AE301)</f>
        <v>3</v>
      </c>
      <c r="AG301" s="54">
        <f>AF307-AF301</f>
        <v>1</v>
      </c>
      <c r="AW301" s="146"/>
    </row>
    <row r="302" spans="1:49" s="54" customFormat="1" ht="12.75" hidden="1" customHeight="1" x14ac:dyDescent="0.2">
      <c r="A302" s="54" t="s">
        <v>71</v>
      </c>
      <c r="B302" s="54">
        <f>IF(B279=2,IF(B292=1,1,0),0)</f>
        <v>1</v>
      </c>
      <c r="D302" s="58">
        <f>IF(D279=2,IF(D292=1,1,0),0)</f>
        <v>0</v>
      </c>
      <c r="E302" s="54">
        <f>IF(E279=2,IF(E292=1,1,0),0)</f>
        <v>0</v>
      </c>
      <c r="G302" s="58">
        <f>IF(G279=2,IF(G292=1,1,0),0)</f>
        <v>0</v>
      </c>
      <c r="H302" s="54">
        <f>IF(H279=2,IF(H292=1,1,0),0)</f>
        <v>0</v>
      </c>
      <c r="J302" s="58">
        <f>IF(J279=2,IF(J292=1,1,0),0)</f>
        <v>0</v>
      </c>
      <c r="K302" s="54">
        <f>IF(K279=2,IF(K292=1,1,0),0)</f>
        <v>1</v>
      </c>
      <c r="M302" s="58">
        <f>IF(M279=2,IF(M292=1,1,0),0)</f>
        <v>0</v>
      </c>
      <c r="N302" s="54">
        <f>IF(N279=2,IF(N292=1,1,0),0)</f>
        <v>0</v>
      </c>
      <c r="P302" s="58">
        <f>IF(P279=2,IF(P292=1,1,0),0)</f>
        <v>0</v>
      </c>
      <c r="Q302" s="54">
        <f>IF(Q279=2,IF(Q292=1,1,0),0)</f>
        <v>0</v>
      </c>
      <c r="S302" s="58">
        <f>IF(S279=2,IF(S292=1,1,0),0)</f>
        <v>0</v>
      </c>
      <c r="T302" s="54">
        <f>IF(T279=2,IF(T292=1,1,0),0)</f>
        <v>0</v>
      </c>
      <c r="V302" s="58">
        <f>IF(V279=2,IF(V292=1,1,0),0)</f>
        <v>0</v>
      </c>
      <c r="W302" s="54">
        <f>IF(W279=2,IF(W292=1,1,0),0)</f>
        <v>0</v>
      </c>
      <c r="Y302" s="58">
        <f>IF(Y279=2,IF(Y292=1,1,0),0)</f>
        <v>0</v>
      </c>
      <c r="Z302" s="54">
        <f>IF(Z279=2,IF(Z292=1,1,0),0)</f>
        <v>0</v>
      </c>
      <c r="AB302" s="58">
        <f>IF(AB279=2,IF(AB292=1,1,0),0)</f>
        <v>0</v>
      </c>
      <c r="AC302" s="54">
        <f>IF(AC279=2,IF(AC292=1,1,0),0)</f>
        <v>0</v>
      </c>
      <c r="AE302" s="58">
        <f>IF(AE279=2,IF(AE292=1,1,0),0)</f>
        <v>1</v>
      </c>
      <c r="AF302" s="54">
        <f>SUM(B302:AE302)</f>
        <v>3</v>
      </c>
      <c r="AG302" s="54">
        <f>AF308-AF302</f>
        <v>0</v>
      </c>
      <c r="AW302" s="146"/>
    </row>
    <row r="303" spans="1:49" s="54" customFormat="1" ht="12.75" hidden="1" customHeight="1" x14ac:dyDescent="0.2">
      <c r="A303" s="54" t="s">
        <v>72</v>
      </c>
      <c r="B303" s="54">
        <f>IF(B279=3,IF(B292=1,1,0),0)</f>
        <v>0</v>
      </c>
      <c r="D303" s="58">
        <f>IF(D279=3,IF(D292=1,1,0),0)</f>
        <v>0</v>
      </c>
      <c r="E303" s="54">
        <f>IF(E279=3,IF(E292=1,1,0),0)</f>
        <v>0</v>
      </c>
      <c r="G303" s="58">
        <f>IF(G279=3,IF(G292=1,1,0),0)</f>
        <v>0</v>
      </c>
      <c r="H303" s="54">
        <f>IF(H279=3,IF(H292=1,1,0),0)</f>
        <v>1</v>
      </c>
      <c r="J303" s="58">
        <f>IF(J279=3,IF(J292=1,1,0),0)</f>
        <v>0</v>
      </c>
      <c r="K303" s="54">
        <f>IF(K279=3,IF(K292=1,1,0),0)</f>
        <v>0</v>
      </c>
      <c r="M303" s="58">
        <f>IF(M279=3,IF(M292=1,1,0),0)</f>
        <v>0</v>
      </c>
      <c r="N303" s="54">
        <f>IF(N279=3,IF(N292=1,1,0),0)</f>
        <v>0</v>
      </c>
      <c r="P303" s="58">
        <f>IF(P279=3,IF(P292=1,1,0),0)</f>
        <v>0</v>
      </c>
      <c r="Q303" s="54">
        <f>IF(Q279=3,IF(Q292=1,1,0),0)</f>
        <v>0</v>
      </c>
      <c r="S303" s="58">
        <f>IF(S279=3,IF(S292=1,1,0),0)</f>
        <v>0</v>
      </c>
      <c r="T303" s="54">
        <f>IF(T279=3,IF(T292=1,1,0),0)</f>
        <v>0</v>
      </c>
      <c r="V303" s="58">
        <f>IF(V279=3,IF(V292=1,1,0),0)</f>
        <v>0</v>
      </c>
      <c r="W303" s="54">
        <f>IF(W279=3,IF(W292=1,1,0),0)</f>
        <v>0</v>
      </c>
      <c r="Y303" s="58">
        <f>IF(Y279=3,IF(Y292=1,1,0),0)</f>
        <v>0</v>
      </c>
      <c r="Z303" s="54">
        <f>IF(Z279=3,IF(Z292=1,1,0),0)</f>
        <v>0</v>
      </c>
      <c r="AB303" s="58">
        <f>IF(AB279=3,IF(AB292=1,1,0),0)</f>
        <v>0</v>
      </c>
      <c r="AC303" s="54">
        <f>IF(AC279=3,IF(AC292=1,1,0),0)</f>
        <v>0</v>
      </c>
      <c r="AE303" s="58">
        <f>IF(AE279=3,IF(AE292=1,1,0),0)</f>
        <v>0</v>
      </c>
      <c r="AF303" s="54">
        <f>SUM(B303:AE303)</f>
        <v>1</v>
      </c>
      <c r="AG303" s="54">
        <f>AF309-AF303</f>
        <v>1</v>
      </c>
      <c r="AW303" s="146"/>
    </row>
    <row r="304" spans="1:49" s="54" customFormat="1" ht="12.75" hidden="1" customHeight="1" x14ac:dyDescent="0.2">
      <c r="A304" s="54" t="s">
        <v>73</v>
      </c>
      <c r="B304" s="54">
        <f>IF(B279=4,IF(B292=1,1,0),0)</f>
        <v>0</v>
      </c>
      <c r="D304" s="58">
        <f>IF(D279=4,IF(D292=1,1,0),0)</f>
        <v>0</v>
      </c>
      <c r="E304" s="54">
        <f>IF(E279=4,IF(E292=1,1,0),0)</f>
        <v>0</v>
      </c>
      <c r="G304" s="58">
        <f>IF(G279=4,IF(G292=1,1,0),0)</f>
        <v>0</v>
      </c>
      <c r="H304" s="54">
        <f>IF(H279=4,IF(H292=1,1,0),0)</f>
        <v>0</v>
      </c>
      <c r="J304" s="58">
        <f>IF(J279=4,IF(J292=1,1,0),0)</f>
        <v>0</v>
      </c>
      <c r="K304" s="54">
        <f>IF(K279=4,IF(K292=1,1,0),0)</f>
        <v>0</v>
      </c>
      <c r="M304" s="58">
        <f>IF(M279=4,IF(M292=1,1,0),0)</f>
        <v>0</v>
      </c>
      <c r="N304" s="54">
        <f>IF(N279=4,IF(N292=1,1,0),0)</f>
        <v>0</v>
      </c>
      <c r="P304" s="58">
        <f>IF(P279=4,IF(P292=1,1,0),0)</f>
        <v>0</v>
      </c>
      <c r="Q304" s="54">
        <f>IF(Q279=4,IF(Q292=1,1,0),0)</f>
        <v>1</v>
      </c>
      <c r="S304" s="58">
        <f>IF(S279=4,IF(S292=1,1,0),0)</f>
        <v>0</v>
      </c>
      <c r="T304" s="54">
        <f>IF(T279=4,IF(T292=1,1,0),0)</f>
        <v>0</v>
      </c>
      <c r="V304" s="58">
        <f>IF(V279=4,IF(V292=1,1,0),0)</f>
        <v>0</v>
      </c>
      <c r="W304" s="54">
        <f>IF(W279=4,IF(W292=1,1,0),0)</f>
        <v>0</v>
      </c>
      <c r="Y304" s="58">
        <f>IF(Y279=4,IF(Y292=1,1,0),0)</f>
        <v>0</v>
      </c>
      <c r="Z304" s="54">
        <f>IF(Z279=4,IF(Z292=1,1,0),0)</f>
        <v>0</v>
      </c>
      <c r="AB304" s="58">
        <f>IF(AB279=4,IF(AB292=1,1,0),0)</f>
        <v>0</v>
      </c>
      <c r="AC304" s="54">
        <f>IF(AC279=4,IF(AC292=1,1,0),0)</f>
        <v>0</v>
      </c>
      <c r="AE304" s="58">
        <f>IF(AE279=4,IF(AE292=1,1,0),0)</f>
        <v>0</v>
      </c>
      <c r="AF304" s="54">
        <f>SUM(B304:AE304)</f>
        <v>1</v>
      </c>
      <c r="AG304" s="54">
        <f>AF310-AF304</f>
        <v>2</v>
      </c>
      <c r="AW304" s="146"/>
    </row>
    <row r="305" spans="1:49" s="54" customFormat="1" ht="12.75" hidden="1" customHeight="1" x14ac:dyDescent="0.2">
      <c r="A305" s="54" t="s">
        <v>74</v>
      </c>
      <c r="B305" s="54">
        <f>IF(B279=5,IF(B292=1,1,0),0)</f>
        <v>0</v>
      </c>
      <c r="D305" s="58">
        <f>IF(D279=5,IF(D292=1,1,0),0)</f>
        <v>0</v>
      </c>
      <c r="E305" s="54">
        <f>IF(E279=5,IF(E292=1,1,0),0)</f>
        <v>0</v>
      </c>
      <c r="G305" s="58">
        <f>IF(G279=5,IF(G292=1,1,0),0)</f>
        <v>0</v>
      </c>
      <c r="H305" s="54">
        <f>IF(H279=5,IF(H292=1,1,0),0)</f>
        <v>0</v>
      </c>
      <c r="J305" s="58">
        <f>IF(J279=5,IF(J292=1,1,0),0)</f>
        <v>0</v>
      </c>
      <c r="K305" s="54">
        <f>IF(K279=5,IF(K292=1,1,0),0)</f>
        <v>0</v>
      </c>
      <c r="M305" s="58">
        <f>IF(M279=5,IF(M292=1,1,0),0)</f>
        <v>0</v>
      </c>
      <c r="N305" s="54">
        <f>IF(N279=5,IF(N292=1,1,0),0)</f>
        <v>0</v>
      </c>
      <c r="P305" s="58">
        <f>IF(P279=5,IF(P292=1,1,0),0)</f>
        <v>0</v>
      </c>
      <c r="Q305" s="54">
        <f>IF(Q279=5,IF(Q292=1,1,0),0)</f>
        <v>0</v>
      </c>
      <c r="S305" s="58">
        <f>IF(S279=5,IF(S292=1,1,0),0)</f>
        <v>0</v>
      </c>
      <c r="T305" s="54">
        <f>IF(T279=5,IF(T292=1,1,0),0)</f>
        <v>0</v>
      </c>
      <c r="V305" s="58">
        <f>IF(V279=5,IF(V292=1,1,0),0)</f>
        <v>0</v>
      </c>
      <c r="W305" s="54">
        <f>IF(W279=5,IF(W292=1,1,0),0)</f>
        <v>0</v>
      </c>
      <c r="Y305" s="58">
        <f>IF(Y279=5,IF(Y292=1,1,0),0)</f>
        <v>0</v>
      </c>
      <c r="Z305" s="54">
        <f>IF(Z279=5,IF(Z292=1,1,0),0)</f>
        <v>0</v>
      </c>
      <c r="AB305" s="58">
        <f>IF(AB279=5,IF(AB292=1,1,0),0)</f>
        <v>0</v>
      </c>
      <c r="AC305" s="54">
        <f>IF(AC279=5,IF(AC292=1,1,0),0)</f>
        <v>0</v>
      </c>
      <c r="AE305" s="58">
        <f>IF(AE279=5,IF(AE292=1,1,0),0)</f>
        <v>0</v>
      </c>
      <c r="AF305" s="54">
        <f>SUM(B305:AE305)</f>
        <v>0</v>
      </c>
      <c r="AG305" s="54">
        <f>AF311-AF305</f>
        <v>4</v>
      </c>
      <c r="AW305" s="146"/>
    </row>
    <row r="306" spans="1:49" s="54" customFormat="1" ht="38.25" hidden="1" customHeight="1" x14ac:dyDescent="0.2">
      <c r="A306" s="57"/>
      <c r="D306" s="58"/>
      <c r="G306" s="58"/>
      <c r="J306" s="58"/>
      <c r="M306" s="58"/>
      <c r="P306" s="58"/>
      <c r="S306" s="58"/>
      <c r="V306" s="58"/>
      <c r="Y306" s="58"/>
      <c r="AB306" s="58"/>
      <c r="AE306" s="58"/>
      <c r="AF306" s="57" t="s">
        <v>75</v>
      </c>
      <c r="AW306" s="146"/>
    </row>
    <row r="307" spans="1:49" s="54" customFormat="1" ht="12.75" hidden="1" customHeight="1" x14ac:dyDescent="0.2">
      <c r="A307" s="54" t="s">
        <v>76</v>
      </c>
      <c r="B307" s="54">
        <f>IF(B279=1,IF(C292=1,1,0),0)</f>
        <v>0</v>
      </c>
      <c r="D307" s="58">
        <f>IF(D279=1,IF(C292=1,1,0),0)</f>
        <v>0</v>
      </c>
      <c r="E307" s="54">
        <f>IF(E279=1,IF(F292=1,1,0),0)</f>
        <v>1</v>
      </c>
      <c r="G307" s="58">
        <f>IF(G279=1,IF(F292=1,1,0),0)</f>
        <v>0</v>
      </c>
      <c r="H307" s="54">
        <f>IF(H279=1,IF(I292=1,1,0),0)</f>
        <v>0</v>
      </c>
      <c r="J307" s="58">
        <f>IF(J279=1,IF(I292=1,1,0),0)</f>
        <v>0</v>
      </c>
      <c r="K307" s="54">
        <f>IF(K279=1,IF(L292=1,1,0),0)</f>
        <v>0</v>
      </c>
      <c r="M307" s="58">
        <f>IF(M279=1,IF(L292=1,1,0),0)</f>
        <v>0</v>
      </c>
      <c r="N307" s="54">
        <f>IF(N279=1,IF(O292=1,1,0),0)</f>
        <v>1</v>
      </c>
      <c r="P307" s="58">
        <f>IF(P279=1,IF(O292=1,1,0),0)</f>
        <v>0</v>
      </c>
      <c r="Q307" s="54">
        <f>IF(Q279=1,IF(R292=1,1,0),0)</f>
        <v>0</v>
      </c>
      <c r="S307" s="58">
        <f>IF(S279=1,IF(R292=1,1,0),0)</f>
        <v>0</v>
      </c>
      <c r="T307" s="54">
        <f>IF(T279=1,IF(U292=1,1,0),0)</f>
        <v>0</v>
      </c>
      <c r="V307" s="58">
        <f>IF(V279=1,IF(U292=1,1,0),0)</f>
        <v>0</v>
      </c>
      <c r="W307" s="54">
        <f>IF(W279=1,IF(X292=1,1,0),0)</f>
        <v>1</v>
      </c>
      <c r="Y307" s="58">
        <f>IF(Y279=1,IF(X292=1,1,0),0)</f>
        <v>0</v>
      </c>
      <c r="Z307" s="54">
        <f>IF(Z279=1,IF(AA292=1,1,0),0)</f>
        <v>0</v>
      </c>
      <c r="AB307" s="58">
        <f>IF(AB279=1,IF(AA292=1,1,0),0)</f>
        <v>0</v>
      </c>
      <c r="AC307" s="54">
        <f>IF(AC279=1,IF(AD292=1,1,0),0)</f>
        <v>1</v>
      </c>
      <c r="AE307" s="58">
        <f>IF(AE279=1,IF(AD292=1,1,0),0)</f>
        <v>0</v>
      </c>
      <c r="AF307" s="54">
        <f>SUM(B307:AE307)</f>
        <v>4</v>
      </c>
      <c r="AW307" s="146"/>
    </row>
    <row r="308" spans="1:49" s="54" customFormat="1" ht="12.75" hidden="1" customHeight="1" x14ac:dyDescent="0.2">
      <c r="A308" s="54" t="s">
        <v>77</v>
      </c>
      <c r="B308" s="54">
        <f>IF(B279=2,IF(C292=1,1,0),0)</f>
        <v>1</v>
      </c>
      <c r="D308" s="58">
        <f>IF(D279=2,IF(C292=1,1,0),0)</f>
        <v>0</v>
      </c>
      <c r="E308" s="54">
        <f>IF(E279=2,IF(F292=1,1,0),0)</f>
        <v>0</v>
      </c>
      <c r="G308" s="58">
        <f>IF(G279=2,IF(F292=1,1,0),0)</f>
        <v>0</v>
      </c>
      <c r="H308" s="54">
        <f>IF(H279=2,IF(I292=1,1,0),0)</f>
        <v>0</v>
      </c>
      <c r="J308" s="58">
        <f>IF(J279=2,IF(I292=1,1,0),0)</f>
        <v>0</v>
      </c>
      <c r="K308" s="54">
        <f>IF(K279=2,IF(L292=1,1,0),0)</f>
        <v>1</v>
      </c>
      <c r="M308" s="58">
        <f>IF(M279=2,IF(L292=1,1,0),0)</f>
        <v>0</v>
      </c>
      <c r="N308" s="54">
        <f>IF(N279=2,IF(O292=1,1,0),0)</f>
        <v>0</v>
      </c>
      <c r="P308" s="58">
        <f>IF(P279=2,IF(O292=1,1,0),0)</f>
        <v>0</v>
      </c>
      <c r="Q308" s="54">
        <f>IF(Q279=2,IF(R292=1,1,0),0)</f>
        <v>0</v>
      </c>
      <c r="S308" s="58">
        <f>IF(S279=2,IF(R292=1,1,0),0)</f>
        <v>0</v>
      </c>
      <c r="T308" s="54">
        <f>IF(T279=2,IF(U292=1,1,0),0)</f>
        <v>0</v>
      </c>
      <c r="V308" s="58">
        <f>IF(V279=2,IF(U292=1,1,0),0)</f>
        <v>0</v>
      </c>
      <c r="W308" s="54">
        <f>IF(W279=2,IF(X292=1,1,0),0)</f>
        <v>0</v>
      </c>
      <c r="Y308" s="58">
        <f>IF(Y279=2,IF(X292=1,1,0),0)</f>
        <v>0</v>
      </c>
      <c r="Z308" s="54">
        <f>IF(Z279=2,IF(AA292=1,1,0),0)</f>
        <v>0</v>
      </c>
      <c r="AB308" s="58">
        <f>IF(AB279=2,IF(AA292=1,1,0),0)</f>
        <v>0</v>
      </c>
      <c r="AC308" s="54">
        <f>IF(AC279=2,IF(AD292=1,1,0),0)</f>
        <v>0</v>
      </c>
      <c r="AE308" s="58">
        <f>IF(AE279=2,IF(AD292=1,1,0),0)</f>
        <v>1</v>
      </c>
      <c r="AF308" s="54">
        <f>SUM(B308:AE308)</f>
        <v>3</v>
      </c>
      <c r="AW308" s="146"/>
    </row>
    <row r="309" spans="1:49" s="54" customFormat="1" ht="12.75" hidden="1" customHeight="1" x14ac:dyDescent="0.2">
      <c r="A309" s="54" t="s">
        <v>78</v>
      </c>
      <c r="B309" s="54">
        <f>IF(B279=3,IF(C292=1,1,0),0)</f>
        <v>0</v>
      </c>
      <c r="D309" s="58">
        <f>IF(D279=3,IF(C292=1,1,0),0)</f>
        <v>0</v>
      </c>
      <c r="E309" s="54">
        <f>IF(E279=3,IF(F292=1,1,0),0)</f>
        <v>0</v>
      </c>
      <c r="G309" s="58">
        <f>IF(G279=3,IF(F292=1,1,0),0)</f>
        <v>0</v>
      </c>
      <c r="H309" s="54">
        <f>IF(H279=3,IF(I292=1,1,0),0)</f>
        <v>1</v>
      </c>
      <c r="J309" s="58">
        <f>IF(J279=3,IF(I292=1,1,0),0)</f>
        <v>0</v>
      </c>
      <c r="K309" s="54">
        <f>IF(K279=3,IF(L292=1,1,0),0)</f>
        <v>0</v>
      </c>
      <c r="M309" s="58">
        <f>IF(M279=3,IF(L292=1,1,0),0)</f>
        <v>0</v>
      </c>
      <c r="N309" s="54">
        <f>IF(N279=3,IF(O292=1,1,0),0)</f>
        <v>0</v>
      </c>
      <c r="P309" s="58">
        <f>IF(P279=3,IF(O292=1,1,0),0)</f>
        <v>1</v>
      </c>
      <c r="Q309" s="54">
        <f>IF(Q279=3,IF(R292=1,1,0),0)</f>
        <v>0</v>
      </c>
      <c r="S309" s="58">
        <f>IF(S279=3,IF(R292=1,1,0),0)</f>
        <v>0</v>
      </c>
      <c r="T309" s="54">
        <f>IF(T279=3,IF(U292=1,1,0),0)</f>
        <v>0</v>
      </c>
      <c r="V309" s="58">
        <f>IF(V279=3,IF(U292=1,1,0),0)</f>
        <v>0</v>
      </c>
      <c r="W309" s="54">
        <f>IF(W279=3,IF(X292=1,1,0),0)</f>
        <v>0</v>
      </c>
      <c r="Y309" s="58">
        <f>IF(Y279=3,IF(X292=1,1,0),0)</f>
        <v>0</v>
      </c>
      <c r="Z309" s="54">
        <f>IF(Z279=3,IF(AA292=1,1,0),0)</f>
        <v>0</v>
      </c>
      <c r="AB309" s="58">
        <f>IF(AB279=3,IF(AA292=1,1,0),0)</f>
        <v>0</v>
      </c>
      <c r="AC309" s="54">
        <f>IF(AC279=3,IF(AD292=1,1,0),0)</f>
        <v>0</v>
      </c>
      <c r="AE309" s="58">
        <f>IF(AE279=3,IF(AD292=1,1,0),0)</f>
        <v>0</v>
      </c>
      <c r="AF309" s="54">
        <f>SUM(B309:AE309)</f>
        <v>2</v>
      </c>
      <c r="AW309" s="146"/>
    </row>
    <row r="310" spans="1:49" s="54" customFormat="1" ht="12.75" hidden="1" customHeight="1" x14ac:dyDescent="0.2">
      <c r="A310" s="54" t="s">
        <v>79</v>
      </c>
      <c r="B310" s="54">
        <f>IF(B279=4,IF(C292=1,1,0),0)</f>
        <v>0</v>
      </c>
      <c r="D310" s="58">
        <f>IF(D279=4,IF(C292=1,1,0),0)</f>
        <v>0</v>
      </c>
      <c r="E310" s="54">
        <f>IF(E279=4,IF(F292=1,1,0),0)</f>
        <v>0</v>
      </c>
      <c r="G310" s="58">
        <f>IF(G279=4,IF(F292=1,1,0),0)</f>
        <v>1</v>
      </c>
      <c r="H310" s="54">
        <f>IF(H279=4,IF(I292=1,1,0),0)</f>
        <v>0</v>
      </c>
      <c r="J310" s="58">
        <f>IF(J279=4,IF(I292=1,1,0),0)</f>
        <v>0</v>
      </c>
      <c r="K310" s="54">
        <f>IF(K279=4,IF(L292=1,1,0),0)</f>
        <v>0</v>
      </c>
      <c r="M310" s="58">
        <f>IF(M279=4,IF(L292=1,1,0),0)</f>
        <v>1</v>
      </c>
      <c r="N310" s="54">
        <f>IF(N279=4,IF(O292=1,1,0),0)</f>
        <v>0</v>
      </c>
      <c r="P310" s="58">
        <f>IF(P279=4,IF(O292=1,1,0),0)</f>
        <v>0</v>
      </c>
      <c r="Q310" s="54">
        <f>IF(Q279=4,IF(R292=1,1,0),0)</f>
        <v>1</v>
      </c>
      <c r="S310" s="58">
        <f>IF(S279=4,IF(R292=1,1,0),0)</f>
        <v>0</v>
      </c>
      <c r="T310" s="54">
        <f>IF(T279=4,IF(U292=1,1,0),0)</f>
        <v>0</v>
      </c>
      <c r="V310" s="58">
        <f>IF(V279=4,IF(U292=1,1,0),0)</f>
        <v>0</v>
      </c>
      <c r="W310" s="54">
        <f>IF(W279=4,IF(X292=1,1,0),0)</f>
        <v>0</v>
      </c>
      <c r="Y310" s="58">
        <f>IF(Y279=4,IF(X292=1,1,0),0)</f>
        <v>0</v>
      </c>
      <c r="Z310" s="54">
        <f>IF(Z279=4,IF(AA292=1,1,0),0)</f>
        <v>0</v>
      </c>
      <c r="AB310" s="58">
        <f>IF(AB279=4,IF(AA292=1,1,0),0)</f>
        <v>0</v>
      </c>
      <c r="AC310" s="54">
        <f>IF(AC279=4,IF(AD292=1,1,0),0)</f>
        <v>0</v>
      </c>
      <c r="AE310" s="58">
        <f>IF(AE279=4,IF(AD292=1,1,0),0)</f>
        <v>0</v>
      </c>
      <c r="AF310" s="54">
        <f>SUM(B310:AE310)</f>
        <v>3</v>
      </c>
      <c r="AW310" s="146"/>
    </row>
    <row r="311" spans="1:49" s="54" customFormat="1" ht="12.75" hidden="1" customHeight="1" x14ac:dyDescent="0.2">
      <c r="A311" s="54" t="s">
        <v>80</v>
      </c>
      <c r="B311" s="54">
        <f>IF(B279=5,IF(C292=1,1,0),0)</f>
        <v>0</v>
      </c>
      <c r="D311" s="58">
        <f>IF(D279=5,IF(C292=1,1,0),0)</f>
        <v>1</v>
      </c>
      <c r="E311" s="54">
        <f>IF(E279=5,IF(F292=1,1,0),0)</f>
        <v>0</v>
      </c>
      <c r="G311" s="58">
        <f>IF(G279=5,IF(F292=1,1,0),0)</f>
        <v>0</v>
      </c>
      <c r="H311" s="54">
        <f>IF(H279=5,IF(I292=1,1,0),0)</f>
        <v>0</v>
      </c>
      <c r="J311" s="58">
        <f>IF(J279=5,IF(I292=1,1,0),0)</f>
        <v>1</v>
      </c>
      <c r="K311" s="54">
        <f>IF(K279=5,IF(L292=1,1,0),0)</f>
        <v>0</v>
      </c>
      <c r="M311" s="58">
        <f>IF(M279=5,IF(L292=1,1,0),0)</f>
        <v>0</v>
      </c>
      <c r="N311" s="54">
        <f>IF(N279=5,IF(O292=1,1,0),0)</f>
        <v>0</v>
      </c>
      <c r="P311" s="58">
        <f>IF(P279=5,IF(O292=1,1,0),0)</f>
        <v>0</v>
      </c>
      <c r="Q311" s="54">
        <f>IF(Q279=5,IF(R292=1,1,0),0)</f>
        <v>0</v>
      </c>
      <c r="S311" s="58">
        <f>IF(S279=5,IF(R292=1,1,0),0)</f>
        <v>1</v>
      </c>
      <c r="T311" s="54">
        <f>IF(T279=5,IF(U292=1,1,0),0)</f>
        <v>0</v>
      </c>
      <c r="V311" s="58">
        <f>IF(V279=5,IF(U292=1,1,0),0)</f>
        <v>0</v>
      </c>
      <c r="W311" s="54">
        <f>IF(W279=5,IF(X292=1,1,0),0)</f>
        <v>0</v>
      </c>
      <c r="Y311" s="58">
        <f>IF(Y279=5,IF(X292=1,1,0),0)</f>
        <v>1</v>
      </c>
      <c r="Z311" s="54">
        <f>IF(Z279=5,IF(AA292=1,1,0),0)</f>
        <v>0</v>
      </c>
      <c r="AB311" s="58">
        <f>IF(AB279=5,IF(AA292=1,1,0),0)</f>
        <v>0</v>
      </c>
      <c r="AC311" s="54">
        <f>IF(AC279=5,IF(AD292=1,1,0),0)</f>
        <v>0</v>
      </c>
      <c r="AE311" s="58">
        <f>IF(AE279=5,IF(AD292=1,1,0),0)</f>
        <v>0</v>
      </c>
      <c r="AF311" s="54">
        <f>SUM(B311:AE311)</f>
        <v>4</v>
      </c>
      <c r="AW311" s="146"/>
    </row>
    <row r="312" spans="1:49" s="54" customFormat="1" ht="38.25" hidden="1" customHeight="1" x14ac:dyDescent="0.2">
      <c r="A312" s="57"/>
      <c r="D312" s="58"/>
      <c r="G312" s="58"/>
      <c r="J312" s="58"/>
      <c r="M312" s="58"/>
      <c r="P312" s="58"/>
      <c r="S312" s="58"/>
      <c r="V312" s="58"/>
      <c r="Y312" s="58"/>
      <c r="AB312" s="58"/>
      <c r="AE312" s="58"/>
      <c r="AF312" s="57" t="s">
        <v>81</v>
      </c>
      <c r="AG312" s="789"/>
      <c r="AH312" s="789"/>
      <c r="AI312" s="789"/>
      <c r="AJ312" s="789"/>
      <c r="AK312" s="789"/>
      <c r="AW312" s="146"/>
    </row>
    <row r="313" spans="1:49" s="54" customFormat="1" ht="12.75" hidden="1" customHeight="1" x14ac:dyDescent="0.2">
      <c r="A313" s="54" t="s">
        <v>76</v>
      </c>
      <c r="B313" s="54">
        <f>IF(B279=1,B299,0)</f>
        <v>0</v>
      </c>
      <c r="D313" s="58">
        <f>IF(D279=1,B299,0)</f>
        <v>0</v>
      </c>
      <c r="E313" s="54">
        <f>IF(E279=1,E299,0)</f>
        <v>50</v>
      </c>
      <c r="G313" s="58">
        <f>IF(G279=1,E299,0)</f>
        <v>0</v>
      </c>
      <c r="H313" s="54">
        <f>IF(H279=1,H299,0)</f>
        <v>0</v>
      </c>
      <c r="J313" s="58">
        <f>IF(J279=1,H299,0)</f>
        <v>0</v>
      </c>
      <c r="K313" s="54">
        <f>IF(K279=1,K299,0)</f>
        <v>0</v>
      </c>
      <c r="M313" s="58">
        <f>IF(M279=1,K299,0)</f>
        <v>0</v>
      </c>
      <c r="N313" s="54">
        <f>IF(N279=1,N299,0)</f>
        <v>50</v>
      </c>
      <c r="P313" s="58">
        <f>IF(P279=1,N299,0)</f>
        <v>0</v>
      </c>
      <c r="Q313" s="54">
        <f>IF(Q279=1,Q299,0)</f>
        <v>0</v>
      </c>
      <c r="S313" s="58">
        <f>IF(S279=1,Q299,0)</f>
        <v>0</v>
      </c>
      <c r="T313" s="54">
        <f>IF(T279=1,T299,0)</f>
        <v>0</v>
      </c>
      <c r="V313" s="58">
        <f>IF(V279=1,T299,0)</f>
        <v>0</v>
      </c>
      <c r="W313" s="54">
        <f>IF(W279=1,W299,0)</f>
        <v>50</v>
      </c>
      <c r="Y313" s="58">
        <f>IF(Y279=1,W299,0)</f>
        <v>0</v>
      </c>
      <c r="Z313" s="54">
        <f>IF(Z279=1,Z299,0)</f>
        <v>0</v>
      </c>
      <c r="AB313" s="58">
        <f>IF(AB279=1,Z299,0)</f>
        <v>0</v>
      </c>
      <c r="AC313" s="54">
        <f>IF(AC279=1,AC299,0)</f>
        <v>50</v>
      </c>
      <c r="AE313" s="58">
        <f>IF(AE279=1,AC299,0)</f>
        <v>0</v>
      </c>
      <c r="AF313" s="54">
        <f>SUM(B313:AE313)</f>
        <v>200</v>
      </c>
      <c r="AW313" s="146"/>
    </row>
    <row r="314" spans="1:49" s="54" customFormat="1" ht="12.75" hidden="1" customHeight="1" x14ac:dyDescent="0.2">
      <c r="A314" s="54" t="s">
        <v>77</v>
      </c>
      <c r="B314" s="54">
        <f>IF(B279=2,B299,0)</f>
        <v>50</v>
      </c>
      <c r="D314" s="58">
        <f>IF(D279=2,B299,0)</f>
        <v>0</v>
      </c>
      <c r="E314" s="54">
        <f>IF(E279=2,E299,0)</f>
        <v>0</v>
      </c>
      <c r="G314" s="58">
        <f>IF(G279=2,E299,0)</f>
        <v>0</v>
      </c>
      <c r="H314" s="54">
        <f>IF(H279=2,H299,0)</f>
        <v>0</v>
      </c>
      <c r="J314" s="58">
        <f>IF(J279=2,H299,0)</f>
        <v>0</v>
      </c>
      <c r="K314" s="54">
        <f>IF(K279=2,K299,0)</f>
        <v>50</v>
      </c>
      <c r="M314" s="58">
        <f>IF(M279=2,K299,0)</f>
        <v>0</v>
      </c>
      <c r="N314" s="54">
        <f>IF(N279=2,N299,0)</f>
        <v>0</v>
      </c>
      <c r="P314" s="58">
        <f>IF(P279=2,N299,0)</f>
        <v>0</v>
      </c>
      <c r="Q314" s="54">
        <f>IF(Q279=2,Q299,0)</f>
        <v>0</v>
      </c>
      <c r="S314" s="58">
        <f>IF(S279=2,Q299,0)</f>
        <v>0</v>
      </c>
      <c r="T314" s="54">
        <f>IF(T279=2,T299,0)</f>
        <v>52</v>
      </c>
      <c r="V314" s="58">
        <f>IF(V279=2,T299,0)</f>
        <v>0</v>
      </c>
      <c r="W314" s="54">
        <f>IF(W279=2,W299,0)</f>
        <v>0</v>
      </c>
      <c r="Y314" s="58">
        <f>IF(Y279=2,W299,0)</f>
        <v>0</v>
      </c>
      <c r="Z314" s="54">
        <f>IF(Z279=2,Z299,0)</f>
        <v>0</v>
      </c>
      <c r="AB314" s="58">
        <f>IF(AB279=2,Z299,0)</f>
        <v>0</v>
      </c>
      <c r="AC314" s="54">
        <f>IF(AC279=2,AC299,0)</f>
        <v>0</v>
      </c>
      <c r="AE314" s="58">
        <f>IF(AE279=2,AC299,0)</f>
        <v>50</v>
      </c>
      <c r="AF314" s="54">
        <f>SUM(B314:AE314)</f>
        <v>202</v>
      </c>
      <c r="AW314" s="146"/>
    </row>
    <row r="315" spans="1:49" s="54" customFormat="1" ht="12.75" hidden="1" customHeight="1" x14ac:dyDescent="0.2">
      <c r="A315" s="54" t="s">
        <v>78</v>
      </c>
      <c r="B315" s="54">
        <f>IF(B279=3,B299,0)</f>
        <v>0</v>
      </c>
      <c r="D315" s="58">
        <f>IF(D279=3,B299,0)</f>
        <v>0</v>
      </c>
      <c r="E315" s="54">
        <f>IF(E279=3,E299,0)</f>
        <v>0</v>
      </c>
      <c r="G315" s="58">
        <f>IF(G279=3,E299,0)</f>
        <v>0</v>
      </c>
      <c r="H315" s="54">
        <f>IF(H279=3,H299,0)</f>
        <v>50</v>
      </c>
      <c r="J315" s="58">
        <f>IF(J279=3,H299,0)</f>
        <v>0</v>
      </c>
      <c r="K315" s="54">
        <f>IF(K279=3,K299,0)</f>
        <v>0</v>
      </c>
      <c r="M315" s="58">
        <f>IF(M279=3,K299,0)</f>
        <v>0</v>
      </c>
      <c r="N315" s="54">
        <f>IF(N279=3,N299,0)</f>
        <v>0</v>
      </c>
      <c r="P315" s="58">
        <f>IF(P279=3,N299,0)</f>
        <v>50</v>
      </c>
      <c r="Q315" s="54">
        <f>IF(Q279=3,Q299,0)</f>
        <v>0</v>
      </c>
      <c r="S315" s="58">
        <f>IF(S279=3,Q299,0)</f>
        <v>0</v>
      </c>
      <c r="T315" s="54">
        <f>IF(T279=3,T299,0)</f>
        <v>0</v>
      </c>
      <c r="V315" s="58">
        <f>IF(V279=3,T299,0)</f>
        <v>52</v>
      </c>
      <c r="W315" s="54">
        <f>IF(W279=3,W299,0)</f>
        <v>0</v>
      </c>
      <c r="Y315" s="58">
        <f>IF(Y279=3,W299,0)</f>
        <v>0</v>
      </c>
      <c r="Z315" s="54">
        <f>IF(Z279=3,Z299,0)</f>
        <v>50</v>
      </c>
      <c r="AB315" s="58">
        <f>IF(AB279=3,Z299,0)</f>
        <v>0</v>
      </c>
      <c r="AC315" s="54">
        <f>IF(AC279=3,AC299,0)</f>
        <v>0</v>
      </c>
      <c r="AE315" s="58">
        <f>IF(AE279=3,AC299,0)</f>
        <v>0</v>
      </c>
      <c r="AF315" s="54">
        <f>SUM(B315:AE315)</f>
        <v>202</v>
      </c>
      <c r="AW315" s="146"/>
    </row>
    <row r="316" spans="1:49" s="54" customFormat="1" ht="12.75" hidden="1" customHeight="1" x14ac:dyDescent="0.2">
      <c r="A316" s="54" t="s">
        <v>79</v>
      </c>
      <c r="B316" s="54">
        <f>IF(B279=4,B299,0)</f>
        <v>0</v>
      </c>
      <c r="D316" s="58">
        <f>IF(D279=4,B299,0)</f>
        <v>0</v>
      </c>
      <c r="E316" s="54">
        <f>IF(E279=4,E299,0)</f>
        <v>0</v>
      </c>
      <c r="G316" s="58">
        <f>IF(G279=4,E299,0)</f>
        <v>50</v>
      </c>
      <c r="H316" s="54">
        <f>IF(H279=4,H299,0)</f>
        <v>0</v>
      </c>
      <c r="J316" s="58">
        <f>IF(J279=4,H299,0)</f>
        <v>0</v>
      </c>
      <c r="K316" s="54">
        <f>IF(K279=4,K299,0)</f>
        <v>0</v>
      </c>
      <c r="M316" s="58">
        <f>IF(M279=4,K299,0)</f>
        <v>50</v>
      </c>
      <c r="N316" s="54">
        <f>IF(N279=4,N299,0)</f>
        <v>0</v>
      </c>
      <c r="P316" s="58">
        <f>IF(P279=4,N299,0)</f>
        <v>0</v>
      </c>
      <c r="Q316" s="54">
        <f>IF(Q279=4,Q299,0)</f>
        <v>52</v>
      </c>
      <c r="S316" s="58">
        <f>IF(S279=4,Q299,0)</f>
        <v>0</v>
      </c>
      <c r="T316" s="54">
        <f>IF(T279=4,T299,0)</f>
        <v>0</v>
      </c>
      <c r="V316" s="58">
        <f>IF(V279=4,T299,0)</f>
        <v>0</v>
      </c>
      <c r="W316" s="54">
        <f>IF(W279=4,W299,0)</f>
        <v>0</v>
      </c>
      <c r="Y316" s="58">
        <f>IF(Y279=4,W299,0)</f>
        <v>0</v>
      </c>
      <c r="Z316" s="54">
        <f>IF(Z279=4,Z299,0)</f>
        <v>0</v>
      </c>
      <c r="AB316" s="58">
        <f>IF(AB279=4,Z299,0)</f>
        <v>50</v>
      </c>
      <c r="AC316" s="54">
        <f>IF(AC279=4,AC299,0)</f>
        <v>0</v>
      </c>
      <c r="AE316" s="58">
        <f>IF(AE279=4,AC299,0)</f>
        <v>0</v>
      </c>
      <c r="AF316" s="54">
        <f>SUM(B316:AE316)</f>
        <v>202</v>
      </c>
      <c r="AW316" s="146"/>
    </row>
    <row r="317" spans="1:49" s="54" customFormat="1" ht="12.75" hidden="1" customHeight="1" x14ac:dyDescent="0.2">
      <c r="A317" s="54" t="s">
        <v>80</v>
      </c>
      <c r="B317" s="54">
        <f>IF(B279=5,B299,0)</f>
        <v>0</v>
      </c>
      <c r="D317" s="58">
        <f>IF(D279=5,B299,0)</f>
        <v>50</v>
      </c>
      <c r="E317" s="54">
        <f>IF(E279=5,E299,0)</f>
        <v>0</v>
      </c>
      <c r="G317" s="58">
        <f>IF(G279=5,E299,0)</f>
        <v>0</v>
      </c>
      <c r="H317" s="54">
        <f>IF(H279=5,H299,0)</f>
        <v>0</v>
      </c>
      <c r="J317" s="58">
        <f>IF(J279=5,H299,0)</f>
        <v>50</v>
      </c>
      <c r="K317" s="54">
        <f>IF(K279=5,K299,0)</f>
        <v>0</v>
      </c>
      <c r="M317" s="58">
        <f>IF(M279=5,K299,0)</f>
        <v>0</v>
      </c>
      <c r="N317" s="54">
        <f>IF(N279=5,N299,0)</f>
        <v>0</v>
      </c>
      <c r="P317" s="58">
        <f>IF(P279=5,N299,0)</f>
        <v>0</v>
      </c>
      <c r="Q317" s="54">
        <f>IF(Q279=5,Q299,0)</f>
        <v>0</v>
      </c>
      <c r="S317" s="58">
        <f>IF(S279=5,Q299,0)</f>
        <v>52</v>
      </c>
      <c r="T317" s="54">
        <f>IF(T279=5,T299,0)</f>
        <v>0</v>
      </c>
      <c r="V317" s="58">
        <f>IF(V279=5,T299,0)</f>
        <v>0</v>
      </c>
      <c r="W317" s="54">
        <f>IF(W279=5,W299,0)</f>
        <v>0</v>
      </c>
      <c r="Y317" s="58">
        <f>IF(Y279=5,W299,0)</f>
        <v>50</v>
      </c>
      <c r="Z317" s="54">
        <f>IF(Z279=5,Z299,0)</f>
        <v>0</v>
      </c>
      <c r="AB317" s="58">
        <f>IF(AB279=5,Z299,0)</f>
        <v>0</v>
      </c>
      <c r="AC317" s="54">
        <f>IF(AC279=5,AC299,0)</f>
        <v>0</v>
      </c>
      <c r="AE317" s="58">
        <f>IF(AE279=5,AC299,0)</f>
        <v>0</v>
      </c>
      <c r="AF317" s="54">
        <f>SUM(B317:AE317)</f>
        <v>202</v>
      </c>
      <c r="AW317" s="146"/>
    </row>
    <row r="318" spans="1:49" s="54" customFormat="1" ht="38.25" hidden="1" customHeight="1" x14ac:dyDescent="0.2">
      <c r="A318" s="54" t="s">
        <v>82</v>
      </c>
      <c r="D318" s="58"/>
      <c r="G318" s="58"/>
      <c r="J318" s="58"/>
      <c r="M318" s="58"/>
      <c r="P318" s="58"/>
      <c r="S318" s="58"/>
      <c r="V318" s="58"/>
      <c r="Y318" s="58"/>
      <c r="AB318" s="58"/>
      <c r="AE318" s="58"/>
      <c r="AF318" s="57" t="s">
        <v>83</v>
      </c>
      <c r="AG318" s="54" t="s">
        <v>84</v>
      </c>
      <c r="AW318" s="146"/>
    </row>
    <row r="319" spans="1:49" s="54" customFormat="1" ht="12.75" hidden="1" customHeight="1" x14ac:dyDescent="0.2">
      <c r="A319" s="54" t="s">
        <v>70</v>
      </c>
      <c r="B319" s="54">
        <f>IF(B279=1,SUMIF(B286:B290,"&gt;0"),0)</f>
        <v>0</v>
      </c>
      <c r="D319" s="58">
        <f>IF(D279=1,SUMIF(D286:D290,"&gt;0"),0)</f>
        <v>0</v>
      </c>
      <c r="E319" s="54">
        <f>IF(E279=1,SUMIF(E286:E290,"&gt;0"),0)</f>
        <v>2</v>
      </c>
      <c r="G319" s="58">
        <f>IF(G279=1,SUMIF(G286:G290,"&gt;0"),0)</f>
        <v>0</v>
      </c>
      <c r="H319" s="54">
        <f>IF(H279=1,SUMIF(H286:H290,"&gt;0"),0)</f>
        <v>0</v>
      </c>
      <c r="J319" s="58">
        <f>IF(J279=1,SUMIF(J286:J290,"&gt;0"),0)</f>
        <v>0</v>
      </c>
      <c r="K319" s="54">
        <f>IF(K279=1,SUMIF(K286:K290,"&gt;0"),0)</f>
        <v>0</v>
      </c>
      <c r="M319" s="58">
        <f>IF(M279=1,SUMIF(M286:M290,"&gt;0"),0)</f>
        <v>0</v>
      </c>
      <c r="N319" s="54">
        <f>IF(N279=1,SUMIF(N286:N290,"&gt;0"),0)</f>
        <v>2</v>
      </c>
      <c r="P319" s="58">
        <f>IF(P279=1,SUMIF(P286:P290,"&gt;0"),0)</f>
        <v>0</v>
      </c>
      <c r="Q319" s="54">
        <f>IF(Q279=1,SUMIF(Q286:Q290,"&gt;0"),0)</f>
        <v>0</v>
      </c>
      <c r="S319" s="58">
        <f>IF(S279=1,SUMIF(S286:S290,"&gt;0"),0)</f>
        <v>0</v>
      </c>
      <c r="T319" s="54">
        <f>IF(T279=1,SUMIF(T286:T290,"&gt;0"),0)</f>
        <v>0</v>
      </c>
      <c r="V319" s="58">
        <f>IF(V279=1,SUMIF(V286:V290,"&gt;0"),0)</f>
        <v>0</v>
      </c>
      <c r="W319" s="54">
        <f>IF(W279=1,SUMIF(W286:W290,"&gt;0"),0)</f>
        <v>2</v>
      </c>
      <c r="Y319" s="58">
        <f>IF(Y279=1,SUMIF(Y286:Y290,"&gt;0"),0)</f>
        <v>0</v>
      </c>
      <c r="Z319" s="54">
        <f>IF(Z279=1,SUMIF(Z286:Z290,"&gt;0"),0)</f>
        <v>0</v>
      </c>
      <c r="AB319" s="58">
        <f>IF(AB279=1,SUMIF(AB286:AB290,"&gt;0"),0)</f>
        <v>0</v>
      </c>
      <c r="AC319" s="54">
        <f>IF(AC279=1,SUMIF(AC286:AC290,"&gt;0"),0)</f>
        <v>0</v>
      </c>
      <c r="AE319" s="58">
        <f>IF(AE279=1,SUMIF(AE286:AE290,"&gt;0"),0)</f>
        <v>0</v>
      </c>
      <c r="AF319" s="54">
        <f>SUM(B319:AE319)</f>
        <v>6</v>
      </c>
      <c r="AG319" s="54">
        <f>AF327-AF319</f>
        <v>2</v>
      </c>
      <c r="AW319" s="146"/>
    </row>
    <row r="320" spans="1:49" s="54" customFormat="1" ht="12.75" hidden="1" customHeight="1" x14ac:dyDescent="0.2">
      <c r="A320" s="54" t="s">
        <v>71</v>
      </c>
      <c r="B320" s="54">
        <f>IF(B279=2,SUMIF(B286:B290,"&gt;0"),0)</f>
        <v>2</v>
      </c>
      <c r="D320" s="58">
        <f>IF(D279=2,SUMIF(D286:D290,"&gt;0"),0)</f>
        <v>0</v>
      </c>
      <c r="E320" s="54">
        <f>IF(E279=2,SUMIF(E286:E290,"&gt;0"),0)</f>
        <v>0</v>
      </c>
      <c r="G320" s="58">
        <f>IF(G279=2,SUMIF(G286:G290,"&gt;0"),0)</f>
        <v>0</v>
      </c>
      <c r="H320" s="54">
        <f>IF(H279=2,SUMIF(H286:H290,"&gt;0"),0)</f>
        <v>0</v>
      </c>
      <c r="J320" s="58">
        <f>IF(J279=2,SUMIF(J286:J290,"&gt;0"),0)</f>
        <v>0</v>
      </c>
      <c r="K320" s="54">
        <f>IF(K279=2,SUMIF(K286:K290,"&gt;0"),0)</f>
        <v>2</v>
      </c>
      <c r="M320" s="58">
        <f>IF(M279=2,SUMIF(M286:M290,"&gt;0"),0)</f>
        <v>0</v>
      </c>
      <c r="N320" s="54">
        <f>IF(N279=2,SUMIF(N286:N290,"&gt;0"),0)</f>
        <v>0</v>
      </c>
      <c r="P320" s="58">
        <f>IF(P279=2,SUMIF(P286:P290,"&gt;0"),0)</f>
        <v>0</v>
      </c>
      <c r="Q320" s="54">
        <f>IF(Q279=2,SUMIF(Q286:Q290,"&gt;0"),0)</f>
        <v>0</v>
      </c>
      <c r="S320" s="58">
        <f>IF(S279=2,SUMIF(S286:S290,"&gt;0"),0)</f>
        <v>0</v>
      </c>
      <c r="T320" s="54">
        <f>IF(T279=2,SUMIF(T286:T290,"&gt;0"),0)</f>
        <v>1</v>
      </c>
      <c r="V320" s="58">
        <f>IF(V279=2,SUMIF(V286:V290,"&gt;0"),0)</f>
        <v>0</v>
      </c>
      <c r="W320" s="54">
        <f>IF(W279=2,SUMIF(W286:W290,"&gt;0"),0)</f>
        <v>0</v>
      </c>
      <c r="Y320" s="58">
        <f>IF(Y279=2,SUMIF(Y286:Y290,"&gt;0"),0)</f>
        <v>0</v>
      </c>
      <c r="Z320" s="54">
        <f>IF(Z279=2,SUMIF(Z286:Z290,"&gt;0"),0)</f>
        <v>0</v>
      </c>
      <c r="AB320" s="58">
        <f>IF(AB279=2,SUMIF(AB286:AB290,"&gt;0"),0)</f>
        <v>0</v>
      </c>
      <c r="AC320" s="54">
        <f>IF(AC279=2,SUMIF(AC286:AC290,"&gt;0"),0)</f>
        <v>0</v>
      </c>
      <c r="AE320" s="58">
        <f>IF(AE279=2,SUMIF(AE286:AE290,"&gt;0"),0)</f>
        <v>2</v>
      </c>
      <c r="AF320" s="54">
        <f>SUM(B320:AE320)</f>
        <v>7</v>
      </c>
      <c r="AG320" s="54">
        <f>AF328-AF320</f>
        <v>1</v>
      </c>
      <c r="AW320" s="146"/>
    </row>
    <row r="321" spans="1:54" s="54" customFormat="1" ht="12.75" hidden="1" customHeight="1" x14ac:dyDescent="0.2">
      <c r="A321" s="54" t="s">
        <v>72</v>
      </c>
      <c r="B321" s="54">
        <f>IF(B279=3,SUMIF(B286:B290,"&gt;0"),0)</f>
        <v>0</v>
      </c>
      <c r="D321" s="58">
        <f>IF(D279=3,SUMIF(D286:D290,"&gt;0"),0)</f>
        <v>0</v>
      </c>
      <c r="E321" s="54">
        <f>IF(E279=3,SUMIF(E286:E290,"&gt;0"),0)</f>
        <v>0</v>
      </c>
      <c r="G321" s="58">
        <f>IF(G279=3,SUMIF(G286:G290,"&gt;0"),0)</f>
        <v>0</v>
      </c>
      <c r="H321" s="54">
        <f>IF(H279=3,SUMIF(H286:H290,"&gt;0"),0)</f>
        <v>2</v>
      </c>
      <c r="J321" s="58">
        <f>IF(J279=3,SUMIF(J286:J290,"&gt;0"),0)</f>
        <v>0</v>
      </c>
      <c r="K321" s="54">
        <f>IF(K279=3,SUMIF(K286:K290,"&gt;0"),0)</f>
        <v>0</v>
      </c>
      <c r="M321" s="58">
        <f>IF(M279=3,SUMIF(M286:M290,"&gt;0"),0)</f>
        <v>0</v>
      </c>
      <c r="N321" s="54">
        <f>IF(N279=3,SUMIF(N286:N290,"&gt;0"),0)</f>
        <v>0</v>
      </c>
      <c r="P321" s="58">
        <f>IF(P279=3,SUMIF(P286:P290,"&gt;0"),0)</f>
        <v>0</v>
      </c>
      <c r="Q321" s="54">
        <f>IF(Q279=3,SUMIF(Q286:Q290,"&gt;0"),0)</f>
        <v>0</v>
      </c>
      <c r="S321" s="58">
        <f>IF(S279=3,SUMIF(S286:S290,"&gt;0"),0)</f>
        <v>0</v>
      </c>
      <c r="T321" s="54">
        <f>IF(T279=3,SUMIF(T286:T290,"&gt;0"),0)</f>
        <v>0</v>
      </c>
      <c r="V321" s="58">
        <f>IF(V279=3,SUMIF(V286:V290,"&gt;0"),0)</f>
        <v>1</v>
      </c>
      <c r="W321" s="54">
        <f>IF(W279=3,SUMIF(W286:W290,"&gt;0"),0)</f>
        <v>0</v>
      </c>
      <c r="Y321" s="58">
        <f>IF(Y279=3,SUMIF(Y286:Y290,"&gt;0"),0)</f>
        <v>0</v>
      </c>
      <c r="Z321" s="54">
        <f>IF(Z279=3,SUMIF(Z286:Z290,"&gt;0"),0)</f>
        <v>1</v>
      </c>
      <c r="AB321" s="58">
        <f>IF(AB279=3,SUMIF(AB286:AB290,"&gt;0"),0)</f>
        <v>0</v>
      </c>
      <c r="AC321" s="54">
        <f>IF(AC279=3,SUMIF(AC286:AC290,"&gt;0"),0)</f>
        <v>0</v>
      </c>
      <c r="AE321" s="58">
        <f>IF(AE279=3,SUMIF(AE286:AE290,"&gt;0"),0)</f>
        <v>0</v>
      </c>
      <c r="AF321" s="54">
        <f>SUM(B321:AE321)</f>
        <v>4</v>
      </c>
      <c r="AG321" s="54">
        <f>AF329-AF321</f>
        <v>4</v>
      </c>
      <c r="AW321" s="146"/>
    </row>
    <row r="322" spans="1:54" s="54" customFormat="1" ht="12.75" hidden="1" customHeight="1" x14ac:dyDescent="0.2">
      <c r="A322" s="54" t="s">
        <v>73</v>
      </c>
      <c r="B322" s="54">
        <f>IF(B279=4,SUMIF(B286:B290,"&gt;0"),0)</f>
        <v>0</v>
      </c>
      <c r="D322" s="58">
        <f>IF(D279=4,SUMIF(D286:D290,"&gt;0"),0)</f>
        <v>0</v>
      </c>
      <c r="E322" s="54">
        <f>IF(E279=4,SUMIF(E286:E290,"&gt;0"),0)</f>
        <v>0</v>
      </c>
      <c r="G322" s="58">
        <f>IF(G279=4,SUMIF(G286:G290,"&gt;0"),0)</f>
        <v>0</v>
      </c>
      <c r="H322" s="54">
        <f>IF(H279=4,SUMIF(H286:H290,"&gt;0"),0)</f>
        <v>0</v>
      </c>
      <c r="J322" s="58">
        <f>IF(J279=4,SUMIF(J286:J290,"&gt;0"),0)</f>
        <v>0</v>
      </c>
      <c r="K322" s="54">
        <f>IF(K279=4,SUMIF(K286:K290,"&gt;0"),0)</f>
        <v>0</v>
      </c>
      <c r="M322" s="58">
        <f>IF(M279=4,SUMIF(M286:M290,"&gt;0"),0)</f>
        <v>0</v>
      </c>
      <c r="N322" s="54">
        <f>IF(N279=4,SUMIF(N286:N290,"&gt;0"),0)</f>
        <v>0</v>
      </c>
      <c r="P322" s="58">
        <f>IF(P279=4,SUMIF(P286:P290,"&gt;0"),0)</f>
        <v>0</v>
      </c>
      <c r="Q322" s="54">
        <f>IF(Q279=4,SUMIF(Q286:Q290,"&gt;0"),0)</f>
        <v>2</v>
      </c>
      <c r="S322" s="58">
        <f>IF(S279=4,SUMIF(S286:S290,"&gt;0"),0)</f>
        <v>0</v>
      </c>
      <c r="T322" s="54">
        <f>IF(T279=4,SUMIF(T286:T290,"&gt;0"),0)</f>
        <v>0</v>
      </c>
      <c r="V322" s="58">
        <f>IF(V279=4,SUMIF(V286:V290,"&gt;0"),0)</f>
        <v>0</v>
      </c>
      <c r="W322" s="54">
        <f>IF(W279=4,SUMIF(W286:W290,"&gt;0"),0)</f>
        <v>0</v>
      </c>
      <c r="Y322" s="58">
        <f>IF(Y279=4,SUMIF(Y286:Y290,"&gt;0"),0)</f>
        <v>0</v>
      </c>
      <c r="Z322" s="54">
        <f>IF(Z279=4,SUMIF(Z286:Z290,"&gt;0"),0)</f>
        <v>0</v>
      </c>
      <c r="AB322" s="58">
        <f>IF(AB279=4,SUMIF(AB286:AB290,"&gt;0"),0)</f>
        <v>1</v>
      </c>
      <c r="AC322" s="54">
        <f>IF(AC279=4,SUMIF(AC286:AC290,"&gt;0"),0)</f>
        <v>0</v>
      </c>
      <c r="AE322" s="58">
        <f>IF(AE279=4,SUMIF(AE286:AE290,"&gt;0"),0)</f>
        <v>0</v>
      </c>
      <c r="AF322" s="54">
        <f>SUM(B322:AE322)</f>
        <v>3</v>
      </c>
      <c r="AG322" s="54">
        <f>AF330-AF322</f>
        <v>5</v>
      </c>
      <c r="AW322" s="146"/>
    </row>
    <row r="323" spans="1:54" s="54" customFormat="1" ht="12.75" hidden="1" customHeight="1" x14ac:dyDescent="0.2">
      <c r="A323" s="54" t="s">
        <v>74</v>
      </c>
      <c r="B323" s="54">
        <f>IF(B279=5,SUMIF(B286:B290,"&gt;0"),0)</f>
        <v>0</v>
      </c>
      <c r="D323" s="58">
        <f>IF(D279=5,SUMIF(D286:D290,"&gt;0"),0)</f>
        <v>0</v>
      </c>
      <c r="E323" s="54">
        <f>IF(E279=5,SUMIF(E286:E290,"&gt;0"),0)</f>
        <v>0</v>
      </c>
      <c r="G323" s="58">
        <f>IF(G279=5,SUMIF(G286:G290,"&gt;0"),0)</f>
        <v>0</v>
      </c>
      <c r="H323" s="54">
        <f>IF(H279=5,SUMIF(H286:H290,"&gt;0"),0)</f>
        <v>0</v>
      </c>
      <c r="J323" s="58">
        <f>IF(J279=5,SUMIF(J286:J290,"&gt;0"),0)</f>
        <v>0</v>
      </c>
      <c r="K323" s="54">
        <f>IF(K279=5,SUMIF(K286:K290,"&gt;0"),0)</f>
        <v>0</v>
      </c>
      <c r="M323" s="58">
        <f>IF(M279=5,SUMIF(M286:M290,"&gt;0"),0)</f>
        <v>0</v>
      </c>
      <c r="N323" s="54">
        <f>IF(N279=5,SUMIF(N286:N290,"&gt;0"),0)</f>
        <v>0</v>
      </c>
      <c r="P323" s="58">
        <f>IF(P279=5,SUMIF(P286:P290,"&gt;0"),0)</f>
        <v>0</v>
      </c>
      <c r="Q323" s="54">
        <f>IF(Q279=5,SUMIF(Q286:Q290,"&gt;0"),0)</f>
        <v>0</v>
      </c>
      <c r="S323" s="58">
        <f>IF(S279=5,SUMIF(S286:S290,"&gt;0"),0)</f>
        <v>0</v>
      </c>
      <c r="T323" s="54">
        <f>IF(T279=5,SUMIF(T286:T290,"&gt;0"),0)</f>
        <v>0</v>
      </c>
      <c r="V323" s="58">
        <f>IF(V279=5,SUMIF(V286:V290,"&gt;0"),0)</f>
        <v>0</v>
      </c>
      <c r="W323" s="54">
        <f>IF(W279=5,SUMIF(W286:W290,"&gt;0"),0)</f>
        <v>0</v>
      </c>
      <c r="Y323" s="58">
        <f>IF(Y279=5,SUMIF(Y286:Y290,"&gt;0"),0)</f>
        <v>0</v>
      </c>
      <c r="Z323" s="54">
        <f>IF(Z279=5,SUMIF(Z286:Z290,"&gt;0"),0)</f>
        <v>0</v>
      </c>
      <c r="AB323" s="58">
        <f>IF(AB279=5,SUMIF(AB286:AB290,"&gt;0"),0)</f>
        <v>0</v>
      </c>
      <c r="AC323" s="54">
        <f>IF(AC279=5,SUMIF(AC286:AC290,"&gt;0"),0)</f>
        <v>0</v>
      </c>
      <c r="AE323" s="58">
        <f>IF(AE279=5,SUMIF(AE286:AE290,"&gt;0"),0)</f>
        <v>0</v>
      </c>
      <c r="AF323" s="54">
        <f>SUM(B323:AE323)</f>
        <v>0</v>
      </c>
      <c r="AG323" s="54">
        <f>AF331-AF323</f>
        <v>8</v>
      </c>
      <c r="AW323" s="146"/>
    </row>
    <row r="324" spans="1:54" s="54" customFormat="1" ht="12.75" hidden="1" customHeight="1" x14ac:dyDescent="0.2">
      <c r="D324" s="58"/>
      <c r="G324" s="58"/>
      <c r="J324" s="58"/>
      <c r="M324" s="58"/>
      <c r="P324" s="58"/>
      <c r="S324" s="58"/>
      <c r="V324" s="58"/>
      <c r="Y324" s="58"/>
      <c r="AB324" s="58"/>
      <c r="AE324" s="58"/>
      <c r="AW324" s="146"/>
    </row>
    <row r="325" spans="1:54" s="54" customFormat="1" ht="12.75" hidden="1" customHeight="1" x14ac:dyDescent="0.2">
      <c r="D325" s="58"/>
      <c r="G325" s="58"/>
      <c r="J325" s="58"/>
      <c r="M325" s="58"/>
      <c r="P325" s="58"/>
      <c r="S325" s="58"/>
      <c r="V325" s="58"/>
      <c r="Y325" s="58"/>
      <c r="AB325" s="58"/>
      <c r="AE325" s="58"/>
      <c r="AW325" s="146"/>
    </row>
    <row r="326" spans="1:54" s="54" customFormat="1" ht="51" hidden="1" customHeight="1" x14ac:dyDescent="0.2">
      <c r="A326" s="57" t="s">
        <v>85</v>
      </c>
      <c r="C326" s="54">
        <f>SUMIF(B319:D323,"&gt;0")</f>
        <v>2</v>
      </c>
      <c r="D326" s="58"/>
      <c r="F326" s="54">
        <f>SUMIF(E319:G323,"&gt;0")</f>
        <v>2</v>
      </c>
      <c r="G326" s="58"/>
      <c r="I326" s="54">
        <f>SUMIF(H319:J323,"&gt;0")</f>
        <v>2</v>
      </c>
      <c r="J326" s="58"/>
      <c r="L326" s="54">
        <f>SUMIF(K319:M323,"&gt;0")</f>
        <v>2</v>
      </c>
      <c r="M326" s="58"/>
      <c r="O326" s="54">
        <f>SUMIF(N319:P323,"&gt;0")</f>
        <v>2</v>
      </c>
      <c r="P326" s="58"/>
      <c r="R326" s="54">
        <f>SUMIF(Q319:S323,"&gt;0")</f>
        <v>2</v>
      </c>
      <c r="S326" s="58"/>
      <c r="U326" s="54">
        <f>SUMIF(T319:V323,"&gt;0")</f>
        <v>2</v>
      </c>
      <c r="V326" s="58"/>
      <c r="X326" s="54">
        <f>SUMIF(W319:Y323,"&gt;0")</f>
        <v>2</v>
      </c>
      <c r="Y326" s="58"/>
      <c r="AA326" s="54">
        <f>SUMIF(Z319:AB323,"&gt;0")</f>
        <v>2</v>
      </c>
      <c r="AB326" s="58"/>
      <c r="AD326" s="54">
        <f>SUMIF(AC319:AE323,"&gt;0")</f>
        <v>2</v>
      </c>
      <c r="AE326" s="58"/>
      <c r="AF326" s="57" t="s">
        <v>86</v>
      </c>
      <c r="AW326" s="146"/>
    </row>
    <row r="327" spans="1:54" s="54" customFormat="1" ht="12.75" hidden="1" customHeight="1" x14ac:dyDescent="0.2">
      <c r="A327" s="54" t="s">
        <v>76</v>
      </c>
      <c r="B327" s="54">
        <f>IF(B279=1,C326,0)</f>
        <v>0</v>
      </c>
      <c r="D327" s="58">
        <f>IF(D279=1,C326,0)</f>
        <v>0</v>
      </c>
      <c r="E327" s="54">
        <f>IF(E279=1,F326,0)</f>
        <v>2</v>
      </c>
      <c r="G327" s="58">
        <f>IF(G279=1,F326,0)</f>
        <v>0</v>
      </c>
      <c r="H327" s="54">
        <f>IF(H279=1,I326,0)</f>
        <v>0</v>
      </c>
      <c r="J327" s="58">
        <f>IF(J279=1,I326,0)</f>
        <v>0</v>
      </c>
      <c r="K327" s="54">
        <f>IF(K279=1,L326,0)</f>
        <v>0</v>
      </c>
      <c r="M327" s="58">
        <f>IF(M279=1,L326,0)</f>
        <v>0</v>
      </c>
      <c r="N327" s="54">
        <f>IF(N279=1,O326,0)</f>
        <v>2</v>
      </c>
      <c r="P327" s="58">
        <f>IF(P279=1,O326,0)</f>
        <v>0</v>
      </c>
      <c r="Q327" s="54">
        <f>IF(Q279=1,R326,0)</f>
        <v>0</v>
      </c>
      <c r="S327" s="58">
        <f>IF(S279=1,R326,0)</f>
        <v>0</v>
      </c>
      <c r="T327" s="54">
        <f>IF(T279=1,U326,0)</f>
        <v>0</v>
      </c>
      <c r="V327" s="58">
        <f>IF(V279=1,U326,0)</f>
        <v>0</v>
      </c>
      <c r="W327" s="54">
        <f>IF(W279=1,X326,0)</f>
        <v>2</v>
      </c>
      <c r="Y327" s="58">
        <f>IF(Y279=1,X326,0)</f>
        <v>0</v>
      </c>
      <c r="Z327" s="54">
        <f>IF(Z279=1,AA326,0)</f>
        <v>0</v>
      </c>
      <c r="AB327" s="58">
        <f>IF(AB279=1,AA326,0)</f>
        <v>0</v>
      </c>
      <c r="AC327" s="54">
        <f>IF(AC279=1,AD326,0)</f>
        <v>2</v>
      </c>
      <c r="AE327" s="58">
        <f>IF(AE279=1,AD326,0)</f>
        <v>0</v>
      </c>
      <c r="AF327" s="54">
        <f>SUM(B327:AE327)</f>
        <v>8</v>
      </c>
      <c r="AW327" s="146"/>
    </row>
    <row r="328" spans="1:54" s="54" customFormat="1" ht="12.75" hidden="1" customHeight="1" x14ac:dyDescent="0.2">
      <c r="A328" s="54" t="s">
        <v>77</v>
      </c>
      <c r="B328" s="54">
        <f>IF(B279=2,C326,0)</f>
        <v>2</v>
      </c>
      <c r="D328" s="58">
        <f>IF(D279=2,C326,0)</f>
        <v>0</v>
      </c>
      <c r="E328" s="54">
        <f>IF(E279=2,F326,0)</f>
        <v>0</v>
      </c>
      <c r="G328" s="58">
        <f>IF(G279=2,F326,0)</f>
        <v>0</v>
      </c>
      <c r="H328" s="54">
        <f>IF(H279=2,I326,0)</f>
        <v>0</v>
      </c>
      <c r="J328" s="58">
        <f>IF(J279=2,I326,0)</f>
        <v>0</v>
      </c>
      <c r="K328" s="54">
        <f>IF(K279=2,L326,0)</f>
        <v>2</v>
      </c>
      <c r="M328" s="58">
        <f>IF(M279=2,L326,0)</f>
        <v>0</v>
      </c>
      <c r="N328" s="54">
        <f>IF(N279=2,O326,0)</f>
        <v>0</v>
      </c>
      <c r="P328" s="58">
        <f>IF(P279=2,O326,0)</f>
        <v>0</v>
      </c>
      <c r="Q328" s="54">
        <f>IF(Q279=2,R326,0)</f>
        <v>0</v>
      </c>
      <c r="S328" s="58">
        <f>IF(S279=2,R326,0)</f>
        <v>0</v>
      </c>
      <c r="T328" s="54">
        <f>IF(T279=2,U326,0)</f>
        <v>2</v>
      </c>
      <c r="V328" s="58">
        <f>IF(V279=2,U326,0)</f>
        <v>0</v>
      </c>
      <c r="W328" s="54">
        <f>IF(W279=2,X326,0)</f>
        <v>0</v>
      </c>
      <c r="Y328" s="58">
        <f>IF(Y279=2,X326,0)</f>
        <v>0</v>
      </c>
      <c r="Z328" s="54">
        <f>IF(Z279=2,AA326,0)</f>
        <v>0</v>
      </c>
      <c r="AB328" s="58">
        <f>IF(AB279=2,AA326,0)</f>
        <v>0</v>
      </c>
      <c r="AC328" s="54">
        <f>IF(AC279=2,AD326,0)</f>
        <v>0</v>
      </c>
      <c r="AE328" s="58">
        <f>IF(AE279=2,AD326,0)</f>
        <v>2</v>
      </c>
      <c r="AF328" s="54">
        <f>SUM(B328:AE328)</f>
        <v>8</v>
      </c>
      <c r="AW328" s="146"/>
    </row>
    <row r="329" spans="1:54" s="54" customFormat="1" ht="12.75" hidden="1" customHeight="1" x14ac:dyDescent="0.2">
      <c r="A329" s="54" t="s">
        <v>78</v>
      </c>
      <c r="B329" s="54">
        <f>IF(B279=3,C326,0)</f>
        <v>0</v>
      </c>
      <c r="D329" s="58">
        <f>IF(D279=3,C326,0)</f>
        <v>0</v>
      </c>
      <c r="E329" s="54">
        <f>IF(E279=3,F326,0)</f>
        <v>0</v>
      </c>
      <c r="G329" s="58">
        <f>IF(G279=3,F326,0)</f>
        <v>0</v>
      </c>
      <c r="H329" s="54">
        <f>IF(H279=3,I326,0)</f>
        <v>2</v>
      </c>
      <c r="J329" s="58">
        <f>IF(J279=3,I326,0)</f>
        <v>0</v>
      </c>
      <c r="K329" s="54">
        <f>IF(K279=3,L326,0)</f>
        <v>0</v>
      </c>
      <c r="M329" s="58">
        <f>IF(M279=3,L326,0)</f>
        <v>0</v>
      </c>
      <c r="N329" s="54">
        <f>IF(N279=3,O326,0)</f>
        <v>0</v>
      </c>
      <c r="P329" s="58">
        <f>IF(P279=3,O326,0)</f>
        <v>2</v>
      </c>
      <c r="Q329" s="54">
        <f>IF(Q279=3,R326,0)</f>
        <v>0</v>
      </c>
      <c r="S329" s="58">
        <f>IF(S279=3,R326,0)</f>
        <v>0</v>
      </c>
      <c r="T329" s="54">
        <f>IF(T279=3,U326,0)</f>
        <v>0</v>
      </c>
      <c r="V329" s="58">
        <f>IF(V279=3,U326,0)</f>
        <v>2</v>
      </c>
      <c r="W329" s="54">
        <f>IF(W279=3,X326,0)</f>
        <v>0</v>
      </c>
      <c r="Y329" s="58">
        <f>IF(Y279=3,X326,0)</f>
        <v>0</v>
      </c>
      <c r="Z329" s="54">
        <f>IF(Z279=3,AA326,0)</f>
        <v>2</v>
      </c>
      <c r="AB329" s="58">
        <f>IF(AB279=3,AA326,0)</f>
        <v>0</v>
      </c>
      <c r="AC329" s="54">
        <f>IF(AC279=3,AD326,0)</f>
        <v>0</v>
      </c>
      <c r="AE329" s="58">
        <f>IF(AE279=3,AD326,0)</f>
        <v>0</v>
      </c>
      <c r="AF329" s="54">
        <f>SUM(B329:AE329)</f>
        <v>8</v>
      </c>
      <c r="AW329" s="146"/>
    </row>
    <row r="330" spans="1:54" s="54" customFormat="1" ht="12.75" hidden="1" customHeight="1" x14ac:dyDescent="0.2">
      <c r="A330" s="54" t="s">
        <v>79</v>
      </c>
      <c r="B330" s="54">
        <f>IF(B279=4,C326,0)</f>
        <v>0</v>
      </c>
      <c r="D330" s="58">
        <f>IF(D279=4,C326,0)</f>
        <v>0</v>
      </c>
      <c r="E330" s="54">
        <f>IF(E279=4,F326,0)</f>
        <v>0</v>
      </c>
      <c r="G330" s="58">
        <f>IF(G279=4,F326,0)</f>
        <v>2</v>
      </c>
      <c r="H330" s="54">
        <f>IF(H279=4,I326,0)</f>
        <v>0</v>
      </c>
      <c r="J330" s="58">
        <f>IF(J279=4,I326,0)</f>
        <v>0</v>
      </c>
      <c r="K330" s="54">
        <f>IF(K279=4,L326,0)</f>
        <v>0</v>
      </c>
      <c r="M330" s="58">
        <f>IF(M279=4,L326,0)</f>
        <v>2</v>
      </c>
      <c r="N330" s="54">
        <f>IF(N279=4,O326,0)</f>
        <v>0</v>
      </c>
      <c r="P330" s="58">
        <f>IF(P279=4,O326,0)</f>
        <v>0</v>
      </c>
      <c r="Q330" s="54">
        <f>IF(Q279=4,R326,0)</f>
        <v>2</v>
      </c>
      <c r="S330" s="58">
        <f>IF(S279=4,R326,0)</f>
        <v>0</v>
      </c>
      <c r="T330" s="54">
        <f>IF(T279=4,U326,0)</f>
        <v>0</v>
      </c>
      <c r="V330" s="58">
        <f>IF(V279=4,U326,0)</f>
        <v>0</v>
      </c>
      <c r="W330" s="54">
        <f>IF(W279=4,X326,0)</f>
        <v>0</v>
      </c>
      <c r="Y330" s="58">
        <f>IF(Y279=4,X326,0)</f>
        <v>0</v>
      </c>
      <c r="Z330" s="54">
        <f>IF(Z279=4,AA326,0)</f>
        <v>0</v>
      </c>
      <c r="AB330" s="58">
        <f>IF(AB279=4,AA326,0)</f>
        <v>2</v>
      </c>
      <c r="AC330" s="54">
        <f>IF(AC279=4,AD326,0)</f>
        <v>0</v>
      </c>
      <c r="AE330" s="58">
        <f>IF(AE279=4,AD326,0)</f>
        <v>0</v>
      </c>
      <c r="AF330" s="54">
        <f>SUM(B330:AE330)</f>
        <v>8</v>
      </c>
      <c r="AW330" s="146"/>
    </row>
    <row r="331" spans="1:54" s="54" customFormat="1" ht="12.75" hidden="1" customHeight="1" x14ac:dyDescent="0.2">
      <c r="A331" s="54" t="s">
        <v>80</v>
      </c>
      <c r="B331" s="54">
        <f>IF(B279=5,C326,0)</f>
        <v>0</v>
      </c>
      <c r="D331" s="58">
        <f>IF(D279=5,C326,0)</f>
        <v>2</v>
      </c>
      <c r="E331" s="54">
        <f>IF(E279=5,F326,0)</f>
        <v>0</v>
      </c>
      <c r="G331" s="58">
        <f>IF(G279=5,F326,0)</f>
        <v>0</v>
      </c>
      <c r="H331" s="54">
        <f>IF(H279=5,I326,0)</f>
        <v>0</v>
      </c>
      <c r="J331" s="58">
        <f>IF(J279=5,I326,0)</f>
        <v>2</v>
      </c>
      <c r="K331" s="54">
        <f>IF(K279=5,L326,0)</f>
        <v>0</v>
      </c>
      <c r="M331" s="58">
        <f>IF(M279=5,L326,0)</f>
        <v>0</v>
      </c>
      <c r="N331" s="54">
        <f>IF(N279=5,O326,0)</f>
        <v>0</v>
      </c>
      <c r="P331" s="58">
        <f>IF(P279=5,O326,0)</f>
        <v>0</v>
      </c>
      <c r="Q331" s="54">
        <f>IF(Q279=5,R326,0)</f>
        <v>0</v>
      </c>
      <c r="S331" s="58">
        <f>IF(S279=5,R326,0)</f>
        <v>2</v>
      </c>
      <c r="T331" s="54">
        <f>IF(T279=5,U326,0)</f>
        <v>0</v>
      </c>
      <c r="V331" s="58">
        <f>IF(V279=5,U326,0)</f>
        <v>0</v>
      </c>
      <c r="W331" s="54">
        <f>IF(W279=5,X326,0)</f>
        <v>0</v>
      </c>
      <c r="Y331" s="58">
        <f>IF(Y279=5,X326,0)</f>
        <v>2</v>
      </c>
      <c r="Z331" s="54">
        <f>IF(Z279=5,AA326,0)</f>
        <v>0</v>
      </c>
      <c r="AB331" s="58">
        <f>IF(AB279=5,AA326,0)</f>
        <v>0</v>
      </c>
      <c r="AC331" s="54">
        <f>IF(AC279=5,AD326,0)</f>
        <v>0</v>
      </c>
      <c r="AE331" s="58">
        <f>IF(AE279=5,AD326,0)</f>
        <v>0</v>
      </c>
      <c r="AF331" s="54">
        <f>SUM(B331:AE331)</f>
        <v>8</v>
      </c>
      <c r="AT331" s="61"/>
      <c r="AU331" s="61"/>
      <c r="AV331" s="61"/>
      <c r="AW331" s="146"/>
    </row>
    <row r="332" spans="1:54" hidden="1" x14ac:dyDescent="0.2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  <c r="X332" s="59"/>
      <c r="Y332" s="59"/>
      <c r="Z332" s="59"/>
      <c r="AA332" s="59"/>
      <c r="AB332" s="59"/>
      <c r="AC332" s="59"/>
      <c r="AD332" s="59"/>
      <c r="AE332" s="59"/>
      <c r="AF332" s="59"/>
      <c r="AG332" s="59"/>
      <c r="AH332" s="59"/>
      <c r="AI332" s="59"/>
      <c r="AJ332" s="59"/>
      <c r="AK332" s="59"/>
      <c r="AL332" s="59"/>
      <c r="AM332" s="59"/>
      <c r="AN332" s="60"/>
      <c r="AO332" s="60"/>
      <c r="AP332" s="60"/>
      <c r="AQ332" s="60"/>
      <c r="AR332" s="61"/>
      <c r="AS332" s="61"/>
      <c r="AT332" s="61"/>
      <c r="AU332" s="61"/>
      <c r="AV332" s="61"/>
      <c r="BB332" s="62"/>
    </row>
    <row r="333" spans="1:54" s="61" customFormat="1" hidden="1" x14ac:dyDescent="0.2">
      <c r="A333" s="63"/>
      <c r="B333" s="63"/>
      <c r="C333" s="63" t="s">
        <v>87</v>
      </c>
      <c r="D333" s="63">
        <v>1</v>
      </c>
      <c r="E333" s="63"/>
      <c r="F333" s="63"/>
      <c r="G333" s="63">
        <v>2</v>
      </c>
      <c r="H333" s="63"/>
      <c r="I333" s="63"/>
      <c r="J333" s="63">
        <v>3</v>
      </c>
      <c r="K333" s="63"/>
      <c r="L333" s="63"/>
      <c r="M333" s="63">
        <v>4</v>
      </c>
      <c r="N333" s="63"/>
      <c r="O333" s="63"/>
      <c r="P333" s="63">
        <v>5</v>
      </c>
      <c r="Q333" s="63"/>
      <c r="R333" s="63"/>
      <c r="S333" s="63">
        <v>6</v>
      </c>
      <c r="T333" s="63"/>
      <c r="U333" s="63"/>
      <c r="V333" s="63">
        <v>7</v>
      </c>
      <c r="W333" s="63"/>
      <c r="X333" s="63"/>
      <c r="Y333" s="63">
        <v>8</v>
      </c>
      <c r="Z333" s="63"/>
      <c r="AA333" s="63"/>
      <c r="AB333" s="63">
        <v>9</v>
      </c>
      <c r="AC333" s="63"/>
      <c r="AD333" s="63"/>
      <c r="AE333" s="63">
        <v>10</v>
      </c>
      <c r="AF333" s="4"/>
      <c r="AG333" s="63"/>
      <c r="AI333" s="64"/>
      <c r="AJ333" s="4"/>
      <c r="AK333" s="4"/>
      <c r="AL333" s="4"/>
      <c r="AM333" s="4"/>
      <c r="AN333" s="4"/>
      <c r="AO333" s="4"/>
      <c r="AT333" s="64" t="s">
        <v>88</v>
      </c>
      <c r="AW333" s="65"/>
      <c r="BB333" s="65"/>
    </row>
    <row r="334" spans="1:54" s="61" customFormat="1" hidden="1" x14ac:dyDescent="0.2">
      <c r="A334" s="66">
        <v>1</v>
      </c>
      <c r="B334" s="66" t="str">
        <f>E263</f>
        <v>C1VB 13 Regional Grvl</v>
      </c>
      <c r="C334" s="66">
        <f>VLOOKUP(B334,AU$3:BB$33,3,FALSE)</f>
        <v>1718.3151948204377</v>
      </c>
      <c r="D334" s="66">
        <f>IF(B327,B342,IF(D327,D342,C334))</f>
        <v>1718.3151948204377</v>
      </c>
      <c r="E334" s="66"/>
      <c r="F334" s="66"/>
      <c r="G334" s="66">
        <f>IF(E327,E342,IF(G327,G342,D334))</f>
        <v>1743.6527185976147</v>
      </c>
      <c r="H334" s="66"/>
      <c r="I334" s="66"/>
      <c r="J334" s="66">
        <f>IF(H327,H342,IF(J327,J342,G334))</f>
        <v>1743.6527185976147</v>
      </c>
      <c r="K334" s="66"/>
      <c r="L334" s="66"/>
      <c r="M334" s="66">
        <f>IF(K327,K342,IF(M327,M342,J334))</f>
        <v>1743.6527185976147</v>
      </c>
      <c r="N334" s="66"/>
      <c r="O334" s="66"/>
      <c r="P334" s="66">
        <f>IF(N327,N342,IF(P327,P342,M334))</f>
        <v>1760.658429773712</v>
      </c>
      <c r="Q334" s="66"/>
      <c r="R334" s="66"/>
      <c r="S334" s="66">
        <f>IF(Q327,Q342,IF(S327,S342,P334))</f>
        <v>1760.658429773712</v>
      </c>
      <c r="T334" s="66"/>
      <c r="U334" s="66"/>
      <c r="V334" s="66">
        <f>IF(T327,T342,IF(V327,V342,S334))</f>
        <v>1760.658429773712</v>
      </c>
      <c r="W334" s="66"/>
      <c r="X334" s="66"/>
      <c r="Y334" s="66">
        <f>IF(W327,W342,IF(Y327,Y342,V334))</f>
        <v>1772.4148917412554</v>
      </c>
      <c r="Z334" s="66"/>
      <c r="AA334" s="66"/>
      <c r="AB334" s="66">
        <f>IF(Z327,Z342,IF(AB327,AB342,Y334))</f>
        <v>1772.4148917412554</v>
      </c>
      <c r="AC334" s="66"/>
      <c r="AD334" s="66"/>
      <c r="AE334" s="66">
        <f>IF(AC327,AC342,IF(AE327,AE342,AB334))</f>
        <v>1740.3377839503121</v>
      </c>
      <c r="AF334" s="4"/>
      <c r="AG334" s="4"/>
      <c r="AJ334" s="4"/>
      <c r="AK334" s="4"/>
      <c r="AL334" s="4"/>
      <c r="AM334" s="4"/>
      <c r="AN334" s="4"/>
      <c r="AO334" s="4"/>
      <c r="AT334" s="61" t="str">
        <f>B334</f>
        <v>C1VB 13 Regional Grvl</v>
      </c>
      <c r="AU334" s="61">
        <f>AE334</f>
        <v>1740.3377839503121</v>
      </c>
      <c r="AW334" s="65"/>
      <c r="BB334" s="65"/>
    </row>
    <row r="335" spans="1:54" s="61" customFormat="1" hidden="1" x14ac:dyDescent="0.2">
      <c r="A335" s="66">
        <v>2</v>
      </c>
      <c r="B335" s="66" t="str">
        <f>E265</f>
        <v>Vision 13 Regional Ben</v>
      </c>
      <c r="C335" s="66">
        <f>VLOOKUP(B335,AU$3:BB$33,3,FALSE)</f>
        <v>1754.9535955038507</v>
      </c>
      <c r="D335" s="66">
        <f>IF(B328,B342,IF(D328,D342,C335))</f>
        <v>1771.9715138722001</v>
      </c>
      <c r="E335" s="66"/>
      <c r="F335" s="66"/>
      <c r="G335" s="66">
        <f>IF(E328,E342,IF(G328,G342,D335))</f>
        <v>1771.9715138722001</v>
      </c>
      <c r="H335" s="66"/>
      <c r="I335" s="66"/>
      <c r="J335" s="66">
        <f>IF(H328,H342,IF(J328,J342,G335))</f>
        <v>1771.9715138722001</v>
      </c>
      <c r="K335" s="66"/>
      <c r="L335" s="66"/>
      <c r="M335" s="66">
        <f>IF(K328,K342,IF(M328,M342,J335))</f>
        <v>1790.7706114376078</v>
      </c>
      <c r="N335" s="66"/>
      <c r="O335" s="66"/>
      <c r="P335" s="66">
        <f>IF(N328,N342,IF(P328,P342,M335))</f>
        <v>1790.7706114376078</v>
      </c>
      <c r="Q335" s="66"/>
      <c r="R335" s="66"/>
      <c r="S335" s="66">
        <f>IF(Q328,Q342,IF(S328,S342,P335))</f>
        <v>1790.7706114376078</v>
      </c>
      <c r="T335" s="66"/>
      <c r="U335" s="66"/>
      <c r="V335" s="66">
        <f>IF(T328,T342,IF(V328,V342,S335))</f>
        <v>1771.5777029179799</v>
      </c>
      <c r="W335" s="66"/>
      <c r="X335" s="66"/>
      <c r="Y335" s="66">
        <f>IF(W328,W342,IF(Y328,Y342,V335))</f>
        <v>1771.5777029179799</v>
      </c>
      <c r="Z335" s="66"/>
      <c r="AA335" s="66"/>
      <c r="AB335" s="66">
        <f>IF(Z328,Z342,IF(AB328,AB342,Y335))</f>
        <v>1771.5777029179799</v>
      </c>
      <c r="AC335" s="66"/>
      <c r="AD335" s="66"/>
      <c r="AE335" s="66">
        <f>IF(AC328,AC342,IF(AE328,AE342,AB335))</f>
        <v>1803.6548107089232</v>
      </c>
      <c r="AF335" s="4"/>
      <c r="AG335" s="4"/>
      <c r="AJ335" s="4"/>
      <c r="AL335" s="4"/>
      <c r="AM335" s="4"/>
      <c r="AN335" s="4"/>
      <c r="AO335" s="4"/>
      <c r="AT335" s="61" t="str">
        <f>B335</f>
        <v>Vision 13 Regional Ben</v>
      </c>
      <c r="AU335" s="61">
        <f>AE335</f>
        <v>1803.6548107089232</v>
      </c>
      <c r="AW335" s="65"/>
      <c r="BB335" s="65"/>
    </row>
    <row r="336" spans="1:54" s="61" customFormat="1" hidden="1" x14ac:dyDescent="0.2">
      <c r="A336" s="66">
        <v>3</v>
      </c>
      <c r="B336" s="66" t="str">
        <f>E267</f>
        <v>PRV - 13U Brittany</v>
      </c>
      <c r="C336" s="66">
        <f>VLOOKUP(B336,AU$3:BB$33,3,FALSE)</f>
        <v>1532.3959580712301</v>
      </c>
      <c r="D336" s="66">
        <f>IF(B329,B342,IF(D329,D342,C336))</f>
        <v>1532.3959580712301</v>
      </c>
      <c r="E336" s="66"/>
      <c r="F336" s="66"/>
      <c r="G336" s="66">
        <f>IF(E329,E342,IF(G329,G342,D336))</f>
        <v>1532.3959580712301</v>
      </c>
      <c r="H336" s="66"/>
      <c r="I336" s="66"/>
      <c r="J336" s="66">
        <f>IF(H329,H342,IF(J329,J342,G336))</f>
        <v>1567.0726054261982</v>
      </c>
      <c r="K336" s="66"/>
      <c r="L336" s="66"/>
      <c r="M336" s="66">
        <f>IF(K329,K342,IF(M329,M342,J336))</f>
        <v>1567.0726054261982</v>
      </c>
      <c r="N336" s="66"/>
      <c r="O336" s="66"/>
      <c r="P336" s="66">
        <f>IF(N329,N342,IF(P329,P342,M336))</f>
        <v>1550.0668942501009</v>
      </c>
      <c r="Q336" s="66"/>
      <c r="R336" s="66"/>
      <c r="S336" s="66">
        <f>IF(Q329,Q342,IF(S329,S342,P336))</f>
        <v>1550.0668942501009</v>
      </c>
      <c r="T336" s="66"/>
      <c r="U336" s="66"/>
      <c r="V336" s="66">
        <f>IF(T329,T342,IF(V329,V342,S336))</f>
        <v>1569.2598027697288</v>
      </c>
      <c r="W336" s="66"/>
      <c r="X336" s="66"/>
      <c r="Y336" s="66">
        <f>IF(W329,W342,IF(Y329,Y342,V336))</f>
        <v>1569.2598027697288</v>
      </c>
      <c r="Z336" s="66"/>
      <c r="AA336" s="66"/>
      <c r="AB336" s="66">
        <f>IF(Z329,Z342,IF(AB329,AB342,Y336))</f>
        <v>1574.4452714225863</v>
      </c>
      <c r="AC336" s="66"/>
      <c r="AD336" s="66"/>
      <c r="AE336" s="66">
        <f>IF(AC329,AC342,IF(AE329,AE342,AB336))</f>
        <v>1574.4452714225863</v>
      </c>
      <c r="AF336" s="4"/>
      <c r="AG336" s="4"/>
      <c r="AJ336" s="4"/>
      <c r="AL336" s="4"/>
      <c r="AM336" s="4"/>
      <c r="AN336" s="4"/>
      <c r="AO336" s="4"/>
      <c r="AT336" s="61" t="str">
        <f>B336</f>
        <v>PRV - 13U Brittany</v>
      </c>
      <c r="AU336" s="61">
        <f>AE336</f>
        <v>1574.4452714225863</v>
      </c>
      <c r="AW336" s="65"/>
      <c r="BB336" s="65"/>
    </row>
    <row r="337" spans="1:54" s="61" customFormat="1" hidden="1" x14ac:dyDescent="0.2">
      <c r="A337" s="66">
        <v>4</v>
      </c>
      <c r="B337" s="66" t="str">
        <f>E269</f>
        <v>Branchville U14 Juniors</v>
      </c>
      <c r="C337" s="66">
        <f>VLOOKUP(B337,AU$3:BB$33,3,FALSE)</f>
        <v>1644.9049961515773</v>
      </c>
      <c r="D337" s="66">
        <f>IF(B330,B342,IF(D330,D342,C337))</f>
        <v>1644.9049961515773</v>
      </c>
      <c r="E337" s="66"/>
      <c r="F337" s="66"/>
      <c r="G337" s="66">
        <f>IF(E330,E342,IF(G330,G342,D337))</f>
        <v>1619.5674723744003</v>
      </c>
      <c r="H337" s="66"/>
      <c r="I337" s="66"/>
      <c r="J337" s="66">
        <f>IF(H330,H342,IF(J330,J342,G337))</f>
        <v>1619.5674723744003</v>
      </c>
      <c r="K337" s="66"/>
      <c r="L337" s="66"/>
      <c r="M337" s="66">
        <f>IF(K330,K342,IF(M330,M342,J337))</f>
        <v>1600.7683748089926</v>
      </c>
      <c r="N337" s="66"/>
      <c r="O337" s="66"/>
      <c r="P337" s="66">
        <f>IF(N330,N342,IF(P330,P342,M337))</f>
        <v>1600.7683748089926</v>
      </c>
      <c r="Q337" s="66"/>
      <c r="R337" s="66"/>
      <c r="S337" s="66">
        <f>IF(Q330,Q342,IF(S330,S342,P337))</f>
        <v>1626.0610221175791</v>
      </c>
      <c r="T337" s="66"/>
      <c r="U337" s="66"/>
      <c r="V337" s="66">
        <f>IF(T330,T342,IF(V330,V342,S337))</f>
        <v>1626.0610221175791</v>
      </c>
      <c r="W337" s="66"/>
      <c r="X337" s="66"/>
      <c r="Y337" s="66">
        <f>IF(W330,W342,IF(Y330,Y342,V337))</f>
        <v>1626.0610221175791</v>
      </c>
      <c r="Z337" s="66"/>
      <c r="AA337" s="66"/>
      <c r="AB337" s="66">
        <f>IF(Z330,Z342,IF(AB330,AB342,Y337))</f>
        <v>1620.8755534647216</v>
      </c>
      <c r="AC337" s="66"/>
      <c r="AD337" s="66"/>
      <c r="AE337" s="66">
        <f>IF(AC330,AC342,IF(AE330,AE342,AB337))</f>
        <v>1620.8755534647216</v>
      </c>
      <c r="AF337" s="4"/>
      <c r="AG337" s="4"/>
      <c r="AJ337" s="4"/>
      <c r="AL337" s="4"/>
      <c r="AM337" s="4"/>
      <c r="AN337" s="4"/>
      <c r="AO337" s="4"/>
      <c r="AT337" s="61" t="str">
        <f>B337</f>
        <v>Branchville U14 Juniors</v>
      </c>
      <c r="AU337" s="61">
        <f>AE337</f>
        <v>1620.8755534647216</v>
      </c>
      <c r="AW337" s="65"/>
      <c r="BB337" s="65"/>
    </row>
    <row r="338" spans="1:54" s="61" customFormat="1" hidden="1" x14ac:dyDescent="0.2">
      <c r="A338" s="66">
        <v>5</v>
      </c>
      <c r="B338" s="66" t="str">
        <f>E271</f>
        <v>NETVC 13HS</v>
      </c>
      <c r="C338" s="66">
        <f>VLOOKUP(B338,AU$3:BB$33,3,FALSE)</f>
        <v>1578.5432678949517</v>
      </c>
      <c r="D338" s="66">
        <f>IF(B331,B342,IF(D331,D342,C338))</f>
        <v>1561.5253495266022</v>
      </c>
      <c r="E338" s="66"/>
      <c r="F338" s="66"/>
      <c r="G338" s="66">
        <f>IF(E331,E342,IF(G331,G342,D338))</f>
        <v>1561.5253495266022</v>
      </c>
      <c r="H338" s="66"/>
      <c r="I338" s="66"/>
      <c r="J338" s="66">
        <f>IF(H331,H342,IF(J331,J342,G338))</f>
        <v>1526.8487021716342</v>
      </c>
      <c r="K338" s="66"/>
      <c r="L338" s="66"/>
      <c r="M338" s="66">
        <f>IF(K331,K342,IF(M331,M342,J338))</f>
        <v>1526.8487021716342</v>
      </c>
      <c r="N338" s="66"/>
      <c r="O338" s="66"/>
      <c r="P338" s="66">
        <f>IF(N331,N342,IF(P331,P342,M338))</f>
        <v>1526.8487021716342</v>
      </c>
      <c r="Q338" s="66"/>
      <c r="R338" s="66"/>
      <c r="S338" s="66">
        <f>IF(Q331,Q342,IF(S331,S342,P338))</f>
        <v>1501.5560548630476</v>
      </c>
      <c r="T338" s="66"/>
      <c r="U338" s="66"/>
      <c r="V338" s="66">
        <f>IF(T331,T342,IF(V331,V342,S338))</f>
        <v>1501.5560548630476</v>
      </c>
      <c r="W338" s="66"/>
      <c r="X338" s="66"/>
      <c r="Y338" s="66">
        <f>IF(W331,W342,IF(Y331,Y342,V338))</f>
        <v>1489.7995928955042</v>
      </c>
      <c r="Z338" s="66"/>
      <c r="AA338" s="66"/>
      <c r="AB338" s="66">
        <f>IF(Z331,Z342,IF(AB331,AB342,Y338))</f>
        <v>1489.7995928955042</v>
      </c>
      <c r="AC338" s="66"/>
      <c r="AD338" s="66"/>
      <c r="AE338" s="66">
        <f>IF(AC331,AC342,IF(AE331,AE342,AB338))</f>
        <v>1489.7995928955042</v>
      </c>
      <c r="AF338" s="4"/>
      <c r="AG338" s="4"/>
      <c r="AJ338" s="4"/>
      <c r="AL338" s="4"/>
      <c r="AM338" s="4"/>
      <c r="AN338" s="4"/>
      <c r="AO338" s="4"/>
      <c r="AT338" s="61" t="str">
        <f>B338</f>
        <v>NETVC 13HS</v>
      </c>
      <c r="AU338" s="61">
        <f>AE338</f>
        <v>1489.7995928955042</v>
      </c>
      <c r="AW338" s="65"/>
      <c r="BB338" s="65"/>
    </row>
    <row r="339" spans="1:54" s="61" customFormat="1" hidden="1" x14ac:dyDescent="0.2">
      <c r="A339" s="66"/>
      <c r="B339" s="66"/>
      <c r="C339" s="66"/>
      <c r="D339" s="66"/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  <c r="AA339" s="66"/>
      <c r="AB339" s="66"/>
      <c r="AC339" s="66"/>
      <c r="AD339" s="66"/>
      <c r="AE339" s="66"/>
      <c r="AF339" s="4"/>
      <c r="AG339" s="4"/>
      <c r="AJ339" s="4"/>
      <c r="AL339" s="4"/>
      <c r="AM339" s="4"/>
      <c r="AN339" s="4"/>
      <c r="AO339" s="4"/>
      <c r="AW339" s="65"/>
      <c r="BB339" s="65"/>
    </row>
    <row r="340" spans="1:54" s="61" customFormat="1" hidden="1" x14ac:dyDescent="0.2">
      <c r="A340" s="66" t="s">
        <v>89</v>
      </c>
      <c r="B340" s="66">
        <f>VLOOKUP(B279,$A334:$AE338,3*C340,FALSE)</f>
        <v>1754.9535955038507</v>
      </c>
      <c r="C340" s="66">
        <v>1</v>
      </c>
      <c r="D340" s="66">
        <f>VLOOKUP(D279,$A334:$AE338,2+C340,FALSE)</f>
        <v>1578.5432678949517</v>
      </c>
      <c r="E340" s="66">
        <f>VLOOKUP(E279,$A334:$AE338,3*F340-2,FALSE)</f>
        <v>1718.3151948204377</v>
      </c>
      <c r="F340" s="66">
        <v>2</v>
      </c>
      <c r="G340" s="66">
        <f>VLOOKUP(G279,$A334:$AE338,3*F340-2,FALSE)</f>
        <v>1644.9049961515773</v>
      </c>
      <c r="H340" s="66">
        <f>VLOOKUP(H279,$A334:$AE338,3*I340-2,FALSE)</f>
        <v>1532.3959580712301</v>
      </c>
      <c r="I340" s="66">
        <v>3</v>
      </c>
      <c r="J340" s="66">
        <f>VLOOKUP(J279,$A334:$AE338,3*I340-2,FALSE)</f>
        <v>1561.5253495266022</v>
      </c>
      <c r="K340" s="66">
        <f>VLOOKUP(K279,$A334:$AE338,3*L340-2,FALSE)</f>
        <v>1771.9715138722001</v>
      </c>
      <c r="L340" s="66">
        <v>4</v>
      </c>
      <c r="M340" s="66">
        <f>VLOOKUP(M279,$A334:$AE338,3*L340-2,FALSE)</f>
        <v>1619.5674723744003</v>
      </c>
      <c r="N340" s="66">
        <f>VLOOKUP(N279,$A334:$AE338,3*O340-2,FALSE)</f>
        <v>1743.6527185976147</v>
      </c>
      <c r="O340" s="66">
        <v>5</v>
      </c>
      <c r="P340" s="66">
        <f>VLOOKUP(P279,$A334:$AE338,3*O340-2,FALSE)</f>
        <v>1567.0726054261982</v>
      </c>
      <c r="Q340" s="66">
        <f>VLOOKUP(Q279,$A334:$AE338,3*R340-2,FALSE)</f>
        <v>1600.7683748089926</v>
      </c>
      <c r="R340" s="66">
        <v>6</v>
      </c>
      <c r="S340" s="66">
        <f>VLOOKUP(S279,$A334:$AE338,3*R340-2,FALSE)</f>
        <v>1526.8487021716342</v>
      </c>
      <c r="T340" s="66">
        <f>VLOOKUP(T279,$A334:$AE338,3*U340-2,FALSE)</f>
        <v>1790.7706114376078</v>
      </c>
      <c r="U340" s="66">
        <v>7</v>
      </c>
      <c r="V340" s="66">
        <f>VLOOKUP(V279,$A334:$AE338,3*U340-2,FALSE)</f>
        <v>1550.0668942501009</v>
      </c>
      <c r="W340" s="66">
        <f>VLOOKUP(W279,$A334:$AE338,3*X340-2,FALSE)</f>
        <v>1760.658429773712</v>
      </c>
      <c r="X340" s="66">
        <v>8</v>
      </c>
      <c r="Y340" s="66">
        <f>VLOOKUP(Y279,$A334:$AE338,3*X340-2,FALSE)</f>
        <v>1501.5560548630476</v>
      </c>
      <c r="Z340" s="66">
        <f>VLOOKUP(Z279,$A334:$AE338,3*AA340-2,FALSE)</f>
        <v>1569.2598027697288</v>
      </c>
      <c r="AA340" s="66">
        <v>9</v>
      </c>
      <c r="AB340" s="66">
        <f>VLOOKUP(AB279,$A334:$AE338,3*AA340-2,FALSE)</f>
        <v>1626.0610221175791</v>
      </c>
      <c r="AC340" s="66">
        <f>VLOOKUP(AC279,$A334:$AE338,3*AD340-2,FALSE)</f>
        <v>1772.4148917412554</v>
      </c>
      <c r="AD340" s="66">
        <v>10</v>
      </c>
      <c r="AE340" s="66">
        <f>VLOOKUP(AE279,$A334:$AE338,3*AD340-2,FALSE)</f>
        <v>1771.5777029179799</v>
      </c>
      <c r="AF340" s="4"/>
      <c r="AG340" s="59"/>
      <c r="AH340" s="59"/>
      <c r="AI340" s="59"/>
      <c r="AJ340" s="59"/>
      <c r="AK340" s="59"/>
      <c r="AL340" s="59"/>
      <c r="AM340" s="59"/>
      <c r="AN340" s="60"/>
      <c r="AO340" s="60"/>
      <c r="AP340" s="60"/>
      <c r="AQ340" s="60"/>
      <c r="AW340" s="65"/>
      <c r="BB340" s="65"/>
    </row>
    <row r="341" spans="1:54" s="71" customFormat="1" hidden="1" x14ac:dyDescent="0.2">
      <c r="A341" s="67" t="s">
        <v>90</v>
      </c>
      <c r="B341" s="67">
        <f>1/(1+(10^-((B340-D340)/400)))*(B291+D291)</f>
        <v>1.468190050989082</v>
      </c>
      <c r="C341" s="67"/>
      <c r="D341" s="67">
        <f>1/(1+(10^-((D340-B340)/400)))*(B291+D291)</f>
        <v>0.53180994901091794</v>
      </c>
      <c r="E341" s="67">
        <f>1/(1+(10^-((E340-G340)/400)))*(E291+G291)</f>
        <v>1.2082023819632168</v>
      </c>
      <c r="F341" s="67"/>
      <c r="G341" s="67">
        <f>1/(1+(10^-((G340-E340)/400)))*(E291+G291)</f>
        <v>0.79179761803678328</v>
      </c>
      <c r="H341" s="67">
        <f>1/(1+(10^-((H340-J340)/400)))*(H291+J291)</f>
        <v>0.91635477015724964</v>
      </c>
      <c r="I341" s="67"/>
      <c r="J341" s="67">
        <f>1/(1+(10^-((J340-H340)/400)))*(H291+J291)</f>
        <v>1.0836452298427501</v>
      </c>
      <c r="K341" s="67">
        <f>1/(1+(10^-((K340-M340)/400)))*(K291+M291)</f>
        <v>1.4125282010810076</v>
      </c>
      <c r="L341" s="67"/>
      <c r="M341" s="67">
        <f>1/(1+(10^-((M340-K340)/400)))*(K291+M291)</f>
        <v>0.58747179891899237</v>
      </c>
      <c r="N341" s="67">
        <f>1/(1+(10^-((N340-P340)/400)))*(N291+P291)</f>
        <v>1.4685715257469574</v>
      </c>
      <c r="O341" s="67"/>
      <c r="P341" s="67">
        <f>1/(1+(10^-((P340-N340)/400)))*(N291+P291)</f>
        <v>0.53142847425304263</v>
      </c>
      <c r="Q341" s="67">
        <f>1/(1+(10^-((Q340-S340)/400)))*(Q291+S291)</f>
        <v>1.209604771606668</v>
      </c>
      <c r="R341" s="67"/>
      <c r="S341" s="67">
        <f>1/(1+(10^-((S340-Q340)/400)))*(Q291+S291)</f>
        <v>0.79039522839333198</v>
      </c>
      <c r="T341" s="67">
        <f>1/(1+(10^-((T340-V340)/400)))*(T291+V291)</f>
        <v>1.5997783912383758</v>
      </c>
      <c r="U341" s="67"/>
      <c r="V341" s="67">
        <f>1/(1+(10^-((V340-T340)/400)))*(T291+V291)</f>
        <v>0.40022160876162421</v>
      </c>
      <c r="W341" s="67">
        <f>1/(1+(10^-((W340-Y340)/400)))*(W291+Y291)</f>
        <v>1.6326105635142669</v>
      </c>
      <c r="X341" s="67"/>
      <c r="Y341" s="67">
        <f>1/(1+(10^-((Y340-W340)/400)))*(W291+Y291)</f>
        <v>0.36738943648573313</v>
      </c>
      <c r="Z341" s="67">
        <f>1/(1+(10^-((Z340-AB340)/400)))*(Z291+AB291)</f>
        <v>0.83795410459820407</v>
      </c>
      <c r="AA341" s="67"/>
      <c r="AB341" s="67">
        <f>1/(1+(10^-((AB340-Z340)/400)))*(Z291+AB291)</f>
        <v>1.162045895401796</v>
      </c>
      <c r="AC341" s="67">
        <f>1/(1+(10^-((AC340-AE340)/400)))*(AC291+AE291)</f>
        <v>1.0024096184669782</v>
      </c>
      <c r="AD341" s="67"/>
      <c r="AE341" s="67">
        <f>1/(1+(10^-((AE340-AC340)/400)))*(AC291+AE291)</f>
        <v>0.99759038153302182</v>
      </c>
      <c r="AF341" s="68"/>
      <c r="AG341" s="69"/>
      <c r="AH341" s="69"/>
      <c r="AI341" s="69"/>
      <c r="AJ341" s="69"/>
      <c r="AK341" s="69"/>
      <c r="AL341" s="69"/>
      <c r="AM341" s="69"/>
      <c r="AN341" s="70"/>
      <c r="AO341" s="70"/>
      <c r="AP341" s="70"/>
      <c r="AQ341" s="70"/>
      <c r="AW341" s="72"/>
      <c r="BB341" s="72"/>
    </row>
    <row r="342" spans="1:54" s="77" customFormat="1" hidden="1" x14ac:dyDescent="0.2">
      <c r="A342" s="73" t="s">
        <v>91</v>
      </c>
      <c r="B342" s="73">
        <f>B340+(B291-B341)*$BA$1</f>
        <v>1771.9715138722001</v>
      </c>
      <c r="C342" s="73"/>
      <c r="D342" s="73">
        <f>D340+(D291-D341)*$BA$1</f>
        <v>1561.5253495266022</v>
      </c>
      <c r="E342" s="73">
        <f>E340+(E291-E341)*$BA$1</f>
        <v>1743.6527185976147</v>
      </c>
      <c r="F342" s="73"/>
      <c r="G342" s="73">
        <f>G340+(G291-G341)*$BA$1</f>
        <v>1619.5674723744003</v>
      </c>
      <c r="H342" s="73">
        <f>H340+(H291-H341)*$BA$1</f>
        <v>1567.0726054261982</v>
      </c>
      <c r="I342" s="73"/>
      <c r="J342" s="73">
        <f>J340+(J291-J341)*$BA$1</f>
        <v>1526.8487021716342</v>
      </c>
      <c r="K342" s="73">
        <f>K340+(K291-K341)*$BA$1</f>
        <v>1790.7706114376078</v>
      </c>
      <c r="L342" s="73"/>
      <c r="M342" s="73">
        <f>M340+(M291-M341)*$BA$1</f>
        <v>1600.7683748089926</v>
      </c>
      <c r="N342" s="73">
        <f>N340+(N291-N341)*$BA$1</f>
        <v>1760.658429773712</v>
      </c>
      <c r="O342" s="73"/>
      <c r="P342" s="73">
        <f>P340+(P291-P341)*$BA$1</f>
        <v>1550.0668942501009</v>
      </c>
      <c r="Q342" s="73">
        <f>Q340+(Q291-Q341)*$BA$1</f>
        <v>1626.0610221175791</v>
      </c>
      <c r="R342" s="73"/>
      <c r="S342" s="73">
        <f>S340+(S291-S341)*$BA$1</f>
        <v>1501.5560548630476</v>
      </c>
      <c r="T342" s="73">
        <f>T340+(T291-T341)*$BA$1</f>
        <v>1771.5777029179799</v>
      </c>
      <c r="U342" s="73"/>
      <c r="V342" s="73">
        <f>V340+(V291-V341)*$BA$1</f>
        <v>1569.2598027697288</v>
      </c>
      <c r="W342" s="73">
        <f>W340+(W291-W341)*$BA$1</f>
        <v>1772.4148917412554</v>
      </c>
      <c r="X342" s="73"/>
      <c r="Y342" s="73">
        <f>Y340+(Y291-Y341)*$BA$1</f>
        <v>1489.7995928955042</v>
      </c>
      <c r="Z342" s="73">
        <f>Z340+(Z291-Z341)*$BA$1</f>
        <v>1574.4452714225863</v>
      </c>
      <c r="AA342" s="73"/>
      <c r="AB342" s="73">
        <f>AB340+(AB291-AB341)*$BA$1</f>
        <v>1620.8755534647216</v>
      </c>
      <c r="AC342" s="73">
        <f>AC340+(AC291-AC341)*$BA$1</f>
        <v>1740.3377839503121</v>
      </c>
      <c r="AD342" s="73"/>
      <c r="AE342" s="73">
        <f>AE340+(AE291-AE341)*$BA$1</f>
        <v>1803.6548107089232</v>
      </c>
      <c r="AF342" s="74"/>
      <c r="AG342" s="75"/>
      <c r="AH342" s="75"/>
      <c r="AI342" s="75"/>
      <c r="AJ342" s="75"/>
      <c r="AK342" s="75"/>
      <c r="AL342" s="75"/>
      <c r="AM342" s="75"/>
      <c r="AN342" s="76"/>
      <c r="AO342" s="76"/>
      <c r="AP342" s="76"/>
      <c r="AQ342" s="76"/>
      <c r="AW342" s="78"/>
      <c r="BB342" s="78"/>
    </row>
    <row r="343" spans="1:54" s="77" customFormat="1" hidden="1" x14ac:dyDescent="0.2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O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  <c r="Z343" s="73"/>
      <c r="AA343" s="73"/>
      <c r="AB343" s="73"/>
      <c r="AC343" s="73"/>
      <c r="AD343" s="73"/>
      <c r="AE343" s="73"/>
      <c r="AF343" s="74"/>
      <c r="AG343" s="75"/>
      <c r="AH343" s="75"/>
      <c r="AI343" s="75"/>
      <c r="AJ343" s="75"/>
      <c r="AK343" s="75"/>
      <c r="AL343" s="75"/>
      <c r="AM343" s="75"/>
      <c r="AN343" s="76"/>
      <c r="AO343" s="76"/>
      <c r="AP343" s="76"/>
      <c r="AQ343" s="76"/>
      <c r="AW343" s="78"/>
      <c r="BB343" s="78"/>
    </row>
    <row r="344" spans="1:54" s="61" customFormat="1" x14ac:dyDescent="0.2">
      <c r="A344" s="790" t="str">
        <f>IF($AK265=1,"Pool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344" s="790"/>
      <c r="C344" s="790"/>
      <c r="D344" s="790"/>
      <c r="E344" s="790"/>
      <c r="F344" s="790"/>
      <c r="G344" s="790"/>
      <c r="H344" s="790"/>
      <c r="I344" s="790"/>
      <c r="J344" s="790"/>
      <c r="K344" s="790"/>
      <c r="L344" s="790"/>
      <c r="M344" s="790"/>
      <c r="N344" s="790"/>
      <c r="O344" s="790"/>
      <c r="P344" s="790"/>
      <c r="Q344" s="790"/>
      <c r="R344" s="790"/>
      <c r="S344" s="790"/>
      <c r="T344" s="790"/>
      <c r="U344" s="790"/>
      <c r="V344" s="790"/>
      <c r="W344" s="790"/>
      <c r="X344" s="790"/>
      <c r="Y344" s="790"/>
      <c r="Z344" s="790"/>
      <c r="AA344" s="790"/>
      <c r="AB344" s="790"/>
      <c r="AC344" s="790"/>
      <c r="AD344" s="790"/>
      <c r="AE344" s="790"/>
      <c r="AF344" s="790"/>
      <c r="AG344" s="790"/>
      <c r="AH344" s="790"/>
      <c r="AI344" s="790"/>
      <c r="AJ344" s="790"/>
      <c r="AK344" s="790"/>
      <c r="AL344" s="790"/>
      <c r="AM344" s="790"/>
      <c r="AN344" s="768"/>
      <c r="AO344" s="768"/>
      <c r="AP344" s="768"/>
      <c r="AQ344" s="768"/>
      <c r="AW344" s="65"/>
    </row>
    <row r="345" spans="1:54" s="61" customFormat="1" x14ac:dyDescent="0.2">
      <c r="A345" s="791"/>
      <c r="B345" s="791"/>
      <c r="C345" s="791"/>
      <c r="D345" s="791"/>
      <c r="E345" s="791"/>
      <c r="F345" s="791"/>
      <c r="G345" s="791"/>
      <c r="H345" s="791"/>
      <c r="I345" s="791"/>
      <c r="J345" s="791"/>
      <c r="K345" s="791"/>
      <c r="L345" s="791"/>
      <c r="M345" s="791"/>
      <c r="N345" s="791"/>
      <c r="O345" s="791"/>
      <c r="P345" s="791"/>
      <c r="Q345" s="791"/>
      <c r="R345" s="791"/>
      <c r="S345" s="791"/>
      <c r="T345" s="791"/>
      <c r="U345" s="791"/>
      <c r="V345" s="791"/>
      <c r="W345" s="791"/>
      <c r="X345" s="791"/>
      <c r="Y345" s="791"/>
      <c r="Z345" s="791"/>
      <c r="AA345" s="791"/>
      <c r="AB345" s="791"/>
      <c r="AC345" s="791"/>
      <c r="AD345" s="791"/>
      <c r="AE345" s="791"/>
      <c r="AF345" s="791"/>
      <c r="AG345" s="791"/>
      <c r="AH345" s="791"/>
      <c r="AI345" s="791"/>
      <c r="AJ345" s="791"/>
      <c r="AK345" s="791"/>
      <c r="AL345" s="791"/>
      <c r="AM345" s="791"/>
      <c r="AN345" s="791"/>
      <c r="AO345" s="791"/>
      <c r="AP345" s="791"/>
      <c r="AQ345" s="791"/>
      <c r="AT345" s="4"/>
      <c r="AU345" s="4"/>
      <c r="AV345" s="4"/>
      <c r="AW345" s="65"/>
    </row>
    <row r="346" spans="1:54" ht="21" thickBot="1" x14ac:dyDescent="0.35">
      <c r="A346" s="780" t="s">
        <v>93</v>
      </c>
      <c r="B346" s="780"/>
      <c r="C346" s="780"/>
      <c r="D346" s="780"/>
      <c r="E346" s="780"/>
      <c r="F346" s="780"/>
      <c r="G346" s="780"/>
      <c r="H346" s="780"/>
      <c r="I346" s="780"/>
      <c r="J346" s="780"/>
      <c r="K346" s="780"/>
      <c r="L346" s="780"/>
      <c r="M346" s="780"/>
      <c r="N346" s="780"/>
      <c r="O346" s="780"/>
      <c r="P346" s="780"/>
      <c r="Q346" s="780"/>
      <c r="R346" s="780"/>
      <c r="S346" s="780"/>
      <c r="T346" s="780"/>
      <c r="U346" s="780"/>
      <c r="V346" s="780"/>
      <c r="W346" s="780"/>
      <c r="X346" s="780"/>
      <c r="Y346" s="780"/>
      <c r="Z346" s="780"/>
      <c r="AA346" s="780"/>
      <c r="AB346" s="780"/>
      <c r="AC346" s="780"/>
      <c r="AD346" s="780"/>
      <c r="AE346" s="780"/>
      <c r="AF346" s="780"/>
      <c r="AG346" s="780"/>
      <c r="AH346" s="780"/>
      <c r="AI346" s="780"/>
      <c r="AJ346" s="780"/>
      <c r="AK346" s="780"/>
      <c r="AL346" s="780"/>
      <c r="AM346" s="780"/>
      <c r="AN346" s="780"/>
      <c r="AO346" s="780"/>
      <c r="AP346" s="780"/>
      <c r="AQ346" s="780"/>
    </row>
    <row r="347" spans="1:54" ht="13.5" thickBot="1" x14ac:dyDescent="0.25">
      <c r="A347" s="781" t="s">
        <v>94</v>
      </c>
      <c r="B347" s="783" t="s">
        <v>95</v>
      </c>
      <c r="C347" s="784"/>
      <c r="D347" s="784"/>
      <c r="E347" s="784"/>
      <c r="F347" s="784"/>
      <c r="G347" s="784"/>
      <c r="H347" s="784"/>
      <c r="I347" s="784"/>
      <c r="J347" s="784"/>
      <c r="K347" s="785"/>
      <c r="L347" s="783" t="s">
        <v>96</v>
      </c>
      <c r="M347" s="784"/>
      <c r="N347" s="784"/>
      <c r="O347" s="784"/>
      <c r="P347" s="784"/>
      <c r="Q347" s="784"/>
      <c r="R347" s="784"/>
      <c r="S347" s="784"/>
      <c r="T347" s="784"/>
      <c r="U347" s="785"/>
      <c r="V347" s="783" t="s">
        <v>97</v>
      </c>
      <c r="W347" s="784"/>
      <c r="X347" s="784"/>
      <c r="Y347" s="784"/>
      <c r="Z347" s="784"/>
      <c r="AA347" s="784"/>
      <c r="AB347" s="784"/>
      <c r="AC347" s="784"/>
      <c r="AD347" s="784"/>
      <c r="AE347" s="785"/>
      <c r="AF347" s="783" t="s">
        <v>98</v>
      </c>
      <c r="AG347" s="784"/>
      <c r="AH347" s="784"/>
      <c r="AI347" s="784"/>
      <c r="AJ347" s="784"/>
      <c r="AK347" s="784"/>
      <c r="AL347" s="784"/>
      <c r="AM347" s="784"/>
      <c r="AN347" s="784"/>
      <c r="AO347" s="785"/>
    </row>
    <row r="348" spans="1:54" ht="13.5" thickBot="1" x14ac:dyDescent="0.25">
      <c r="A348" s="782"/>
      <c r="B348" s="777" t="s">
        <v>7</v>
      </c>
      <c r="C348" s="778"/>
      <c r="D348" s="778"/>
      <c r="E348" s="778"/>
      <c r="F348" s="778"/>
      <c r="G348" s="779"/>
      <c r="H348" s="777" t="s">
        <v>99</v>
      </c>
      <c r="I348" s="778"/>
      <c r="J348" s="778"/>
      <c r="K348" s="779"/>
      <c r="L348" s="777" t="s">
        <v>7</v>
      </c>
      <c r="M348" s="778"/>
      <c r="N348" s="778"/>
      <c r="O348" s="778"/>
      <c r="P348" s="778"/>
      <c r="Q348" s="779"/>
      <c r="R348" s="777" t="s">
        <v>99</v>
      </c>
      <c r="S348" s="778"/>
      <c r="T348" s="778"/>
      <c r="U348" s="779"/>
      <c r="V348" s="777" t="s">
        <v>7</v>
      </c>
      <c r="W348" s="778"/>
      <c r="X348" s="778"/>
      <c r="Y348" s="778"/>
      <c r="Z348" s="778"/>
      <c r="AA348" s="779"/>
      <c r="AB348" s="777" t="s">
        <v>99</v>
      </c>
      <c r="AC348" s="778"/>
      <c r="AD348" s="778"/>
      <c r="AE348" s="779"/>
      <c r="AF348" s="777" t="s">
        <v>7</v>
      </c>
      <c r="AG348" s="778"/>
      <c r="AH348" s="778"/>
      <c r="AI348" s="778"/>
      <c r="AJ348" s="778"/>
      <c r="AK348" s="779"/>
      <c r="AL348" s="777" t="s">
        <v>99</v>
      </c>
      <c r="AM348" s="778"/>
      <c r="AN348" s="778"/>
      <c r="AO348" s="779"/>
    </row>
    <row r="349" spans="1:54" x14ac:dyDescent="0.2">
      <c r="A349" s="157" t="s">
        <v>100</v>
      </c>
      <c r="B349" s="769" t="str">
        <f>IF($AF$8=1,$E$8,IF($AF$10=1,$E$10,IF($AF$12=1,$E$12,IF($AF$14=1,$E$14,IF($AF$16=1,$E$16,"1st Place "&amp;$A349)))))</f>
        <v>Extreme 13-1</v>
      </c>
      <c r="C349" s="770"/>
      <c r="D349" s="770"/>
      <c r="E349" s="770"/>
      <c r="F349" s="770"/>
      <c r="G349" s="770"/>
      <c r="H349" s="771" t="str">
        <f>IF($AF$8=1,$E$9,IF($AF$10=1,$E$11,IF($AF$12=1,$E$13,IF($AF$14=1,$E$15,IF($AF$16=1,$E$17,"1st Place "&amp;$A349)))))</f>
        <v>fj3extvb1so</v>
      </c>
      <c r="I349" s="771"/>
      <c r="J349" s="771"/>
      <c r="K349" s="772"/>
      <c r="L349" s="769" t="str">
        <f>IF($AF$8=2,$E$8,IF($AF$10=2,$E$10,IF($AF$12=2,$E$12,IF($AF$14=2,$E$14,IF($AF$16=2,$E$16,"2nd Place "&amp;$A349)))))</f>
        <v>BVA 13 Black</v>
      </c>
      <c r="M349" s="770"/>
      <c r="N349" s="770"/>
      <c r="O349" s="770"/>
      <c r="P349" s="770"/>
      <c r="Q349" s="770"/>
      <c r="R349" s="771" t="str">
        <f>IF($AF$8=2,$E$9,IF($AF$10=2,$E$11,IF($AF$12=2,$E$13,IF($AF$14=2,$E$15,IF($AF$16=2,$E$17,"2nd Place "&amp;$A349)))))</f>
        <v>fj3biltm1cr</v>
      </c>
      <c r="S349" s="771"/>
      <c r="T349" s="771"/>
      <c r="U349" s="772"/>
      <c r="V349" s="769" t="str">
        <f>IF($AF$8=3,$E$8,IF($AF$10=3,$E$10,IF($AF$12=3,$E$12,IF($AF$14=3,$E$14,IF($AF$16=3,$E$16,"3rd Place "&amp;$A349)))))</f>
        <v>PRV - 13U Bayley</v>
      </c>
      <c r="W349" s="770"/>
      <c r="X349" s="770"/>
      <c r="Y349" s="770"/>
      <c r="Z349" s="770"/>
      <c r="AA349" s="770"/>
      <c r="AB349" s="771" t="str">
        <f>IF($AF$8=3,$E$9,IF($AF$10=3,$E$11,IF($AF$12=3,$E$13,IF($AF$14=3,$E$15,IF($AF$16=3,$E$17,"3rd Place "&amp;$A349)))))</f>
        <v>fj3prage1pm</v>
      </c>
      <c r="AC349" s="771"/>
      <c r="AD349" s="771"/>
      <c r="AE349" s="772"/>
      <c r="AF349" s="769" t="str">
        <f>IF($AF$8=4,$E$8,IF($AF$10=4,$E$10,IF($AF$12=4,$E$12,IF($AF$14=4,$E$14,IF($AF$16=4,$E$16,"4th Place "&amp;$A349)))))</f>
        <v>Foothills 13 May</v>
      </c>
      <c r="AG349" s="770"/>
      <c r="AH349" s="770"/>
      <c r="AI349" s="770"/>
      <c r="AJ349" s="770"/>
      <c r="AK349" s="770"/>
      <c r="AL349" s="771" t="str">
        <f>IF($AF$8=4,$E$9,IF($AF$10=4,$E$11,IF($AF$12=4,$E$13,IF($AF$14=4,$E$15,IF($AF$16=4,$E$17,"4th Place "&amp;$A349)))))</f>
        <v>fj3footh1pm</v>
      </c>
      <c r="AM349" s="771"/>
      <c r="AN349" s="771"/>
      <c r="AO349" s="772"/>
    </row>
    <row r="350" spans="1:54" x14ac:dyDescent="0.2">
      <c r="A350" s="157" t="s">
        <v>101</v>
      </c>
      <c r="B350" s="934" t="str">
        <f>IF($AF$93=1,$E$93,IF($AF$95=1,$E$95,IF($AF$97=1,$E$97,IF($AF$99=1,$E$99,IF($AF$101=1,$E$101,"1st Place "&amp;$A350)))))</f>
        <v>C1VB 12 Reg Black Pickens</v>
      </c>
      <c r="C350" s="935"/>
      <c r="D350" s="935"/>
      <c r="E350" s="935"/>
      <c r="F350" s="935"/>
      <c r="G350" s="935"/>
      <c r="H350" s="936" t="str">
        <f>IF($AF$93=1,$E$94,IF($AF$95=1,$E$96,IF($AF$97=1,$E$98,IF($AF$99=1,$E$100,IF($AF$101=1,$E$102,"1st Place "&amp;$A350)))))</f>
        <v>fj2crone2pm</v>
      </c>
      <c r="I350" s="936"/>
      <c r="J350" s="936"/>
      <c r="K350" s="937"/>
      <c r="L350" s="934" t="str">
        <f>IF($AF$93=2,$E$93,IF($AF$95=2,$E$95,IF($AF$97=2,$E$97,IF($AF$99=2,$E$99,IF($AF$101=2,$E$101,"2nd Place "&amp;$A350)))))</f>
        <v>Chas Jrs 13 Blue</v>
      </c>
      <c r="M350" s="935"/>
      <c r="N350" s="935"/>
      <c r="O350" s="935"/>
      <c r="P350" s="935"/>
      <c r="Q350" s="935"/>
      <c r="R350" s="936" t="str">
        <f>IF($AF$93=2,$E$94,IF($AF$95=2,$E$96,IF($AF$97=2,$E$98,IF($AF$99=2,$E$100,IF($AF$101=2,$E$102,"2nd Place "&amp;$A350)))))</f>
        <v>fj3charl2pm</v>
      </c>
      <c r="S350" s="936"/>
      <c r="T350" s="936"/>
      <c r="U350" s="937"/>
      <c r="V350" s="934" t="str">
        <f>IF($AF$93=3,$E$93,IF($AF$95=3,$E$95,IF($AF$97=3,$E$97,IF($AF$99=3,$E$99,IF($AF$101=3,$E$101,"3rd Place "&amp;$A350)))))</f>
        <v>MBVC 14 Black</v>
      </c>
      <c r="W350" s="935"/>
      <c r="X350" s="935"/>
      <c r="Y350" s="935"/>
      <c r="Z350" s="935"/>
      <c r="AA350" s="935"/>
      <c r="AB350" s="936" t="str">
        <f>IF($AF$93=3,$E$94,IF($AF$95=3,$E$96,IF($AF$97=3,$E$98,IF($AF$99=3,$E$100,IF($AF$101=3,$E$102,"3rd Place "&amp;$A350)))))</f>
        <v>fj4mbeac1pm</v>
      </c>
      <c r="AC350" s="936"/>
      <c r="AD350" s="936"/>
      <c r="AE350" s="937"/>
      <c r="AF350" s="934" t="str">
        <f>IF($AF$93=4,$E$93,IF($AF$95=4,$E$95,IF($AF$97=4,$E$97,IF($AF$99=4,$E$99,IF($AF$101=4,$E$101,"4th Place "&amp;$A350)))))</f>
        <v>SOAR WINGS 13U</v>
      </c>
      <c r="AG350" s="935"/>
      <c r="AH350" s="935"/>
      <c r="AI350" s="935"/>
      <c r="AJ350" s="935"/>
      <c r="AK350" s="935"/>
      <c r="AL350" s="936" t="str">
        <f>IF($AF$93=4,$E$94,IF($AF$95=4,$E$96,IF($AF$97=4,$E$98,IF($AF$99=4,$E$100,IF($AF$101=4,$E$102,"4th Place "&amp;$A350)))))</f>
        <v>fj3soarj1pm</v>
      </c>
      <c r="AM350" s="936"/>
      <c r="AN350" s="936"/>
      <c r="AO350" s="937"/>
    </row>
    <row r="351" spans="1:54" x14ac:dyDescent="0.2">
      <c r="A351" s="157" t="s">
        <v>144</v>
      </c>
      <c r="B351" s="934" t="str">
        <f>IF($AF$178=1,$E$178,IF($AF$180=1,$E$180,IF($AF$182=1,$E$182,IF($AF$184=1,$E$184,IF($AF$186=1,$E$186,"1st Place "&amp;$A351)))))</f>
        <v>KVC 13-1</v>
      </c>
      <c r="C351" s="935"/>
      <c r="D351" s="935"/>
      <c r="E351" s="935"/>
      <c r="F351" s="935"/>
      <c r="G351" s="935"/>
      <c r="H351" s="936" t="str">
        <f>IF($AF$178=1,$E$179,IF($AF$180=1,$E$181,IF($AF$182=1,$E$183,IF($AF$184=1,$E$185,IF($AF$186=1,$E$187,"1st Place "&amp;$A351)))))</f>
        <v>fj3kvctn1so</v>
      </c>
      <c r="I351" s="936"/>
      <c r="J351" s="936"/>
      <c r="K351" s="937"/>
      <c r="L351" s="934" t="str">
        <f>IF($AF$178=2,$E$178,IF($AF$180=2,$E$180,IF($AF$182=2,$E$182,IF($AF$184=2,$E$184,IF($AF$186=2,$E$186,"2nd Place "&amp;$A351)))))</f>
        <v>Lake Murray 13 Black</v>
      </c>
      <c r="M351" s="935"/>
      <c r="N351" s="935"/>
      <c r="O351" s="935"/>
      <c r="P351" s="935"/>
      <c r="Q351" s="935"/>
      <c r="R351" s="936" t="str">
        <f>IF($AF$178=2,$E$179,IF($AF$180=2,$E$181,IF($AF$182=2,$E$183,IF($AF$184=2,$E$185,IF($AF$186=2,$E$187,"2nd Place "&amp;$A351)))))</f>
        <v>fj3lakem2pm</v>
      </c>
      <c r="S351" s="936"/>
      <c r="T351" s="936"/>
      <c r="U351" s="937"/>
      <c r="V351" s="934" t="str">
        <f>IF($AF$178=3,$E$178,IF($AF$180=3,$E$180,IF($AF$182=3,$E$182,IF($AF$184=3,$E$184,IF($AF$186=3,$E$186,"3rd Place "&amp;$A351)))))</f>
        <v>MOTO 13-1 IGNITE</v>
      </c>
      <c r="W351" s="935"/>
      <c r="X351" s="935"/>
      <c r="Y351" s="935"/>
      <c r="Z351" s="935"/>
      <c r="AA351" s="935"/>
      <c r="AB351" s="936" t="str">
        <f>IF($AF$178=3,$E$179,IF($AF$180=3,$E$181,IF($AF$182=3,$E$183,IF($AF$184=3,$E$185,IF($AF$186=3,$E$187,"3rd Place "&amp;$A351)))))</f>
        <v>fj3motojapm</v>
      </c>
      <c r="AC351" s="936"/>
      <c r="AD351" s="936"/>
      <c r="AE351" s="937"/>
      <c r="AF351" s="934" t="str">
        <f>IF($AF$178=4,$E$178,IF($AF$180=4,$E$180,IF($AF$182=4,$E$182,IF($AF$184=4,$E$184,IF($AF$186=4,$E$186,"4th Place "&amp;$A351)))))</f>
        <v>Vision 13 Regional</v>
      </c>
      <c r="AG351" s="935"/>
      <c r="AH351" s="935"/>
      <c r="AI351" s="935"/>
      <c r="AJ351" s="935"/>
      <c r="AK351" s="935"/>
      <c r="AL351" s="936" t="str">
        <f>IF($AF$178=4,$E$179,IF($AF$180=4,$E$181,IF($AF$182=4,$E$183,IF($AF$184=4,$E$185,IF($AF$186=4,$E$187,"4th Place "&amp;$A351)))))</f>
        <v>fj3vison3pm</v>
      </c>
      <c r="AM351" s="936"/>
      <c r="AN351" s="936"/>
      <c r="AO351" s="937"/>
    </row>
    <row r="352" spans="1:54" ht="13.5" thickBot="1" x14ac:dyDescent="0.25">
      <c r="A352" s="157" t="s">
        <v>263</v>
      </c>
      <c r="B352" s="773" t="str">
        <f>IF($AF$263=1,$E$263,IF($AF$265=1,$E$265,IF($AF$267=1,$E$267,IF($AF$269=1,$E$269,IF($AF$271=1,$E$271,"1st Place "&amp;$A352)))))</f>
        <v>Vision 13 Regional Ben</v>
      </c>
      <c r="C352" s="774"/>
      <c r="D352" s="774"/>
      <c r="E352" s="774"/>
      <c r="F352" s="774"/>
      <c r="G352" s="774"/>
      <c r="H352" s="775" t="str">
        <f>IF($AF$263=1,$E$264,IF($AF$265=1,$E$266,IF($AF$267=1,$E$268,IF($AF$269=1,$E$270,IF($AF$271=1,$E$272,"1st Place "&amp;$A352)))))</f>
        <v>fj3vison2pm</v>
      </c>
      <c r="I352" s="775"/>
      <c r="J352" s="775"/>
      <c r="K352" s="776"/>
      <c r="L352" s="773" t="str">
        <f>IF($AF$263=2,$E$263,IF($AF$265=2,$E$265,IF($AF$267=2,$E$267,IF($AF$269=2,$E$269,IF($AF$271=2,$E$271,"2nd Place "&amp;$A352)))))</f>
        <v>C1VB 13 Regional Grvl</v>
      </c>
      <c r="M352" s="774"/>
      <c r="N352" s="774"/>
      <c r="O352" s="774"/>
      <c r="P352" s="774"/>
      <c r="Q352" s="774"/>
      <c r="R352" s="775" t="str">
        <f>IF($AF$263=2,$E$264,IF($AF$265=2,$E$266,IF($AF$267=2,$E$268,IF($AF$269=2,$E$270,IF($AF$271=2,$E$272,"2nd Place "&amp;$A352)))))</f>
        <v>fj3crone2pm</v>
      </c>
      <c r="S352" s="775"/>
      <c r="T352" s="775"/>
      <c r="U352" s="776"/>
      <c r="V352" s="773" t="str">
        <f>IF($AF$263=3,$E$263,IF($AF$265=3,$E$265,IF($AF$267=3,$E$267,IF($AF$269=3,$E$269,IF($AF$271=3,$E$271,"3rd Place "&amp;$A352)))))</f>
        <v>PRV - 13U Brittany</v>
      </c>
      <c r="W352" s="774"/>
      <c r="X352" s="774"/>
      <c r="Y352" s="774"/>
      <c r="Z352" s="774"/>
      <c r="AA352" s="774"/>
      <c r="AB352" s="775" t="str">
        <f>IF($AF$263=3,$E$264,IF($AF$265=3,$E$266,IF($AF$267=3,$E$268,IF($AF$269=3,$E$270,IF($AF$271=3,$E$272,"3rd Place "&amp;$A352)))))</f>
        <v>fj3prage2pm</v>
      </c>
      <c r="AC352" s="775"/>
      <c r="AD352" s="775"/>
      <c r="AE352" s="776"/>
      <c r="AF352" s="773" t="str">
        <f>IF($AF$263=4,$E$263,IF($AF$265=4,$E$265,IF($AF$267=4,$E$267,IF($AF$269=4,$E$269,IF($AF$271=4,$E$271,"4th Place "&amp;$A352)))))</f>
        <v>Branchville U14 Juniors</v>
      </c>
      <c r="AG352" s="774"/>
      <c r="AH352" s="774"/>
      <c r="AI352" s="774"/>
      <c r="AJ352" s="774"/>
      <c r="AK352" s="774"/>
      <c r="AL352" s="775" t="str">
        <f>IF($AF$263=4,$E$264,IF($AF$265=4,$E$266,IF($AF$267=4,$E$268,IF($AF$269=4,$E$270,IF($AF$271=4,$E$272,"4th Place "&amp;$A352)))))</f>
        <v>fj4branc3pm</v>
      </c>
      <c r="AM352" s="775"/>
      <c r="AN352" s="775"/>
      <c r="AO352" s="776"/>
    </row>
    <row r="353" spans="1:53" s="3" customFormat="1" x14ac:dyDescent="0.2">
      <c r="A353" s="80"/>
      <c r="B353" s="81"/>
      <c r="C353" s="81"/>
      <c r="D353" s="81"/>
      <c r="E353" s="81"/>
      <c r="F353" s="81"/>
      <c r="G353" s="81"/>
      <c r="H353" s="81"/>
      <c r="I353" s="81"/>
      <c r="J353" s="81"/>
      <c r="K353" s="81"/>
      <c r="L353" s="81"/>
      <c r="M353" s="81"/>
      <c r="N353" s="81"/>
      <c r="O353" s="81"/>
      <c r="P353" s="81"/>
      <c r="Q353" s="81"/>
      <c r="R353" s="81"/>
      <c r="S353" s="81"/>
      <c r="T353" s="81"/>
      <c r="U353" s="81"/>
      <c r="V353" s="81"/>
      <c r="W353" s="81"/>
      <c r="X353" s="81"/>
      <c r="Y353" s="81"/>
      <c r="Z353" s="81"/>
      <c r="AA353" s="81"/>
      <c r="AB353" s="81"/>
      <c r="AC353" s="81"/>
      <c r="AD353" s="81"/>
      <c r="AE353" s="81"/>
      <c r="AF353" s="81"/>
      <c r="AG353" s="81"/>
      <c r="AH353" s="81"/>
      <c r="AI353" s="81"/>
      <c r="AJ353" s="81"/>
      <c r="AK353" s="81"/>
      <c r="AL353" s="81"/>
      <c r="AM353" s="81"/>
      <c r="AN353" s="81"/>
      <c r="AO353" s="81"/>
      <c r="AW353" s="62"/>
      <c r="AX353" s="4"/>
      <c r="AY353" s="4"/>
      <c r="AZ353" s="4"/>
      <c r="BA353" s="4"/>
    </row>
    <row r="354" spans="1:53" ht="15.75" x14ac:dyDescent="0.25">
      <c r="A354" s="763" t="s">
        <v>102</v>
      </c>
      <c r="B354" s="763"/>
      <c r="C354" s="763"/>
      <c r="D354" s="763"/>
      <c r="E354" s="763"/>
      <c r="F354" s="763"/>
      <c r="G354" s="763"/>
      <c r="H354" s="763"/>
      <c r="I354" s="763"/>
      <c r="J354" s="763"/>
      <c r="K354" s="763"/>
      <c r="L354" s="763"/>
      <c r="M354" s="763"/>
      <c r="N354" s="763"/>
      <c r="O354" s="763"/>
      <c r="P354" s="763"/>
      <c r="Q354" s="763"/>
      <c r="R354" s="763"/>
      <c r="S354" s="763"/>
      <c r="T354" s="763"/>
      <c r="U354" s="763"/>
      <c r="V354" s="763"/>
      <c r="W354" s="763"/>
      <c r="X354" s="763"/>
      <c r="Y354" s="763"/>
      <c r="Z354" s="763"/>
      <c r="AA354" s="763"/>
      <c r="AB354" s="763"/>
      <c r="AC354" s="763"/>
      <c r="AD354" s="763"/>
      <c r="AE354" s="763"/>
      <c r="AF354" s="763"/>
      <c r="AG354" s="763"/>
      <c r="AH354" s="763"/>
      <c r="AI354" s="763"/>
      <c r="AJ354" s="763"/>
      <c r="AK354" s="763"/>
      <c r="AL354" s="763"/>
      <c r="AM354" s="763"/>
      <c r="AN354" s="763"/>
      <c r="AO354" s="763"/>
      <c r="AP354" s="763"/>
      <c r="AQ354" s="763"/>
      <c r="AT354" s="83"/>
      <c r="AU354" s="83"/>
      <c r="AV354" s="83"/>
    </row>
    <row r="355" spans="1:53" ht="36" customHeight="1" x14ac:dyDescent="0.25">
      <c r="A355" s="764" t="s">
        <v>350</v>
      </c>
      <c r="B355" s="765"/>
      <c r="C355" s="765"/>
      <c r="D355" s="765"/>
      <c r="E355" s="765"/>
      <c r="F355" s="765"/>
      <c r="G355" s="765"/>
      <c r="H355" s="765"/>
      <c r="I355" s="765"/>
      <c r="J355" s="765"/>
      <c r="K355" s="765"/>
      <c r="L355" s="765"/>
      <c r="M355" s="765"/>
      <c r="N355" s="765"/>
      <c r="O355" s="765"/>
      <c r="P355" s="765"/>
      <c r="Q355" s="765"/>
      <c r="R355" s="765"/>
      <c r="S355" s="765"/>
      <c r="T355" s="765"/>
      <c r="U355" s="765"/>
      <c r="V355" s="765"/>
      <c r="W355" s="765"/>
      <c r="X355" s="765"/>
      <c r="Y355" s="765"/>
      <c r="Z355" s="765"/>
      <c r="AA355" s="765"/>
      <c r="AB355" s="765"/>
      <c r="AC355" s="765"/>
      <c r="AD355" s="765"/>
      <c r="AE355" s="765"/>
      <c r="AF355" s="765"/>
      <c r="AG355" s="765"/>
      <c r="AH355" s="765"/>
      <c r="AI355" s="765"/>
      <c r="AJ355" s="765"/>
      <c r="AK355" s="765"/>
      <c r="AL355" s="765"/>
      <c r="AM355" s="765"/>
      <c r="AN355" s="765"/>
      <c r="AO355" s="765"/>
      <c r="AP355" s="765"/>
      <c r="AQ355" s="765"/>
    </row>
    <row r="356" spans="1:53" x14ac:dyDescent="0.2">
      <c r="A356" s="766" t="s">
        <v>264</v>
      </c>
      <c r="B356" s="766"/>
      <c r="C356" s="766"/>
      <c r="D356" s="766"/>
      <c r="E356" s="766"/>
      <c r="F356" s="766"/>
      <c r="G356" s="766"/>
      <c r="H356" s="766"/>
      <c r="I356" s="766"/>
      <c r="J356" s="766"/>
      <c r="K356" s="766"/>
      <c r="L356" s="766"/>
      <c r="M356" s="766"/>
      <c r="N356" s="766"/>
      <c r="O356" s="766"/>
      <c r="P356" s="766"/>
      <c r="Q356" s="766"/>
      <c r="R356" s="766"/>
      <c r="S356" s="766"/>
      <c r="T356" s="766"/>
      <c r="U356" s="766"/>
      <c r="V356" s="766"/>
      <c r="W356" s="766"/>
      <c r="X356" s="766"/>
      <c r="Y356" s="766"/>
      <c r="Z356" s="766"/>
      <c r="AA356" s="766"/>
      <c r="AB356" s="766"/>
      <c r="AC356" s="766"/>
      <c r="AD356" s="766"/>
      <c r="AE356" s="766"/>
      <c r="AF356" s="766"/>
      <c r="AG356" s="766"/>
      <c r="AH356" s="766"/>
      <c r="AI356" s="766"/>
      <c r="AJ356" s="766"/>
      <c r="AK356" s="766"/>
      <c r="AL356" s="766"/>
      <c r="AM356" s="766"/>
      <c r="AN356" s="766"/>
      <c r="AO356" s="766"/>
      <c r="AP356" s="766"/>
      <c r="AQ356" s="766"/>
    </row>
    <row r="357" spans="1:53" x14ac:dyDescent="0.2">
      <c r="A357" s="766"/>
      <c r="B357" s="766"/>
      <c r="C357" s="766"/>
      <c r="D357" s="766"/>
      <c r="E357" s="766"/>
      <c r="F357" s="766"/>
      <c r="G357" s="766"/>
      <c r="H357" s="766"/>
      <c r="I357" s="766"/>
      <c r="J357" s="766"/>
      <c r="K357" s="766"/>
      <c r="L357" s="766"/>
      <c r="M357" s="766"/>
      <c r="N357" s="766"/>
      <c r="O357" s="766"/>
      <c r="P357" s="766"/>
      <c r="Q357" s="766"/>
      <c r="R357" s="766"/>
      <c r="S357" s="766"/>
      <c r="T357" s="766"/>
      <c r="U357" s="766"/>
      <c r="V357" s="766"/>
      <c r="W357" s="766"/>
      <c r="X357" s="766"/>
      <c r="Y357" s="766"/>
      <c r="Z357" s="766"/>
      <c r="AA357" s="766"/>
      <c r="AB357" s="766"/>
      <c r="AC357" s="766"/>
      <c r="AD357" s="766"/>
      <c r="AE357" s="766"/>
      <c r="AF357" s="766"/>
      <c r="AG357" s="766"/>
      <c r="AH357" s="766"/>
      <c r="AI357" s="766"/>
      <c r="AJ357" s="766"/>
      <c r="AK357" s="766"/>
      <c r="AL357" s="766"/>
      <c r="AM357" s="766"/>
      <c r="AN357" s="766"/>
      <c r="AO357" s="766"/>
      <c r="AP357" s="766"/>
      <c r="AQ357" s="766"/>
    </row>
    <row r="358" spans="1:53" x14ac:dyDescent="0.2">
      <c r="A358" s="767" t="s">
        <v>104</v>
      </c>
      <c r="B358" s="767"/>
      <c r="C358" s="767"/>
      <c r="D358" s="767"/>
      <c r="E358" s="767"/>
      <c r="F358" s="767"/>
      <c r="G358" s="767"/>
      <c r="H358" s="767"/>
      <c r="I358" s="767"/>
      <c r="J358" s="767"/>
      <c r="K358" s="767"/>
      <c r="L358" s="84"/>
    </row>
    <row r="359" spans="1:53" x14ac:dyDescent="0.2">
      <c r="C359" s="3"/>
      <c r="D359" s="3"/>
      <c r="E359" s="3"/>
      <c r="L359" s="84"/>
    </row>
    <row r="360" spans="1:53" x14ac:dyDescent="0.2">
      <c r="A360" s="768" t="s">
        <v>105</v>
      </c>
      <c r="B360" s="768"/>
      <c r="C360" s="768"/>
      <c r="D360" s="768"/>
      <c r="E360" s="768"/>
      <c r="F360" s="768"/>
      <c r="G360" s="768"/>
      <c r="H360" s="768"/>
      <c r="I360" s="768"/>
      <c r="J360" s="768"/>
      <c r="K360" s="768"/>
      <c r="L360" s="768"/>
      <c r="M360" s="768"/>
      <c r="N360" s="768"/>
      <c r="O360" s="768"/>
      <c r="P360" s="62"/>
      <c r="R360" s="768" t="s">
        <v>106</v>
      </c>
      <c r="S360" s="768"/>
      <c r="T360" s="768"/>
      <c r="U360" s="768"/>
      <c r="V360" s="768"/>
      <c r="W360" s="768"/>
      <c r="X360" s="768"/>
      <c r="Y360" s="768"/>
      <c r="Z360" s="768"/>
      <c r="AA360" s="768"/>
      <c r="AB360" s="768"/>
      <c r="AC360" s="768"/>
      <c r="AD360" s="768"/>
      <c r="AE360" s="768"/>
      <c r="AF360" s="768"/>
    </row>
    <row r="361" spans="1:53" x14ac:dyDescent="0.2">
      <c r="U361" s="88"/>
      <c r="V361" s="88"/>
      <c r="W361" s="88"/>
      <c r="X361" s="88"/>
      <c r="Y361" s="88"/>
      <c r="Z361" s="88"/>
      <c r="AA361" s="88"/>
      <c r="AB361" s="88"/>
      <c r="AC361" s="88"/>
      <c r="AD361" s="88"/>
      <c r="AE361" s="88"/>
      <c r="AF361" s="88"/>
      <c r="AG361" s="88"/>
      <c r="AH361" s="88"/>
      <c r="AI361" s="88"/>
      <c r="AJ361" s="88"/>
      <c r="AK361" s="88"/>
    </row>
    <row r="362" spans="1:53" ht="13.5" thickBot="1" x14ac:dyDescent="0.25">
      <c r="A362" s="736" t="str">
        <f>IF(B390=1,B382,IF(B390=2,B383,IF(B390=3,B384,IF(B390=4,B385,IF(OR(B390="B",B390="b"),"BYE","invalid")))))</f>
        <v>Extreme 13-1</v>
      </c>
      <c r="B362" s="736"/>
      <c r="C362" s="736"/>
      <c r="D362" s="736"/>
      <c r="E362" s="736"/>
      <c r="F362" s="88"/>
      <c r="G362" s="88"/>
      <c r="H362" s="88"/>
      <c r="I362" s="88"/>
      <c r="J362" s="88"/>
      <c r="K362" s="88"/>
      <c r="L362" s="88"/>
      <c r="M362" s="88"/>
      <c r="N362" s="88"/>
      <c r="S362" s="89"/>
      <c r="T362" s="89"/>
      <c r="U362" s="736" t="str">
        <f>IF(W390=1,X382,IF(W390=2,X383,IF(W390=3,X384,IF(W390=4,X385,IF(OR(W390="B",W390="b"),"BYE","invalid")))))</f>
        <v>BVA 13 Black</v>
      </c>
      <c r="V362" s="736"/>
      <c r="W362" s="736"/>
      <c r="X362" s="736"/>
      <c r="Y362" s="736"/>
      <c r="Z362" s="736"/>
      <c r="AA362" s="736"/>
      <c r="AB362" s="88"/>
      <c r="AC362" s="88"/>
      <c r="AD362" s="88"/>
      <c r="AE362" s="88"/>
      <c r="AF362" s="88"/>
      <c r="AG362" s="88"/>
      <c r="AH362" s="88"/>
      <c r="AK362" s="88"/>
    </row>
    <row r="363" spans="1:53" x14ac:dyDescent="0.2">
      <c r="A363" s="738" t="s">
        <v>107</v>
      </c>
      <c r="B363" s="738"/>
      <c r="C363" s="738"/>
      <c r="D363" s="738"/>
      <c r="E363" s="738"/>
      <c r="F363" s="91"/>
      <c r="G363" s="88"/>
      <c r="H363" s="88"/>
      <c r="I363" s="88"/>
      <c r="J363" s="88"/>
      <c r="K363" s="88"/>
      <c r="L363" s="88"/>
      <c r="M363" s="88"/>
      <c r="N363" s="88"/>
      <c r="S363" s="92"/>
      <c r="T363" s="92"/>
      <c r="U363" s="738" t="s">
        <v>265</v>
      </c>
      <c r="V363" s="738"/>
      <c r="W363" s="738"/>
      <c r="X363" s="738"/>
      <c r="Y363" s="738"/>
      <c r="Z363" s="738"/>
      <c r="AA363" s="933"/>
      <c r="AB363" s="91"/>
      <c r="AC363" s="88"/>
      <c r="AD363" s="88"/>
      <c r="AE363" s="88"/>
      <c r="AF363" s="88"/>
      <c r="AG363" s="88"/>
      <c r="AH363" s="88"/>
      <c r="AI363" s="88"/>
      <c r="AJ363" s="88"/>
      <c r="AK363" s="88"/>
    </row>
    <row r="364" spans="1:53" x14ac:dyDescent="0.2">
      <c r="A364" s="88"/>
      <c r="B364" s="88"/>
      <c r="C364" s="88"/>
      <c r="D364" s="88"/>
      <c r="E364" s="88"/>
      <c r="F364" s="91"/>
      <c r="G364" s="88"/>
      <c r="H364" s="88"/>
      <c r="I364" s="88"/>
      <c r="J364" s="88"/>
      <c r="K364" s="88"/>
      <c r="L364" s="88"/>
      <c r="M364" s="88"/>
      <c r="N364" s="88"/>
      <c r="R364" s="88"/>
      <c r="S364" s="88"/>
      <c r="T364" s="88"/>
      <c r="U364" s="88"/>
      <c r="V364" s="88"/>
      <c r="W364" s="88"/>
      <c r="X364" s="88"/>
      <c r="Y364" s="88"/>
      <c r="AB364" s="91"/>
      <c r="AC364" s="88"/>
      <c r="AD364" s="88"/>
      <c r="AE364" s="88"/>
      <c r="AF364" s="88"/>
      <c r="AG364" s="88"/>
      <c r="AH364" s="88"/>
      <c r="AI364" s="88"/>
      <c r="AJ364" s="88"/>
      <c r="AK364" s="88"/>
    </row>
    <row r="365" spans="1:53" ht="13.5" thickBot="1" x14ac:dyDescent="0.25">
      <c r="A365" s="739" t="str">
        <f>B384&amp;" ref"</f>
        <v>KVC 13-1 ref</v>
      </c>
      <c r="B365" s="739"/>
      <c r="C365" s="739"/>
      <c r="D365" s="739"/>
      <c r="E365" s="752"/>
      <c r="F365" s="748" t="str">
        <f>IF(H390=1,B382,IF(H390=2,B383,IF(H390=3,B384,IF(H390=4,B385,"Winner Match 1"))))</f>
        <v>Extreme 13-1</v>
      </c>
      <c r="G365" s="749"/>
      <c r="H365" s="749"/>
      <c r="I365" s="749"/>
      <c r="J365" s="749"/>
      <c r="K365" s="749"/>
      <c r="L365" s="749"/>
      <c r="M365" s="749"/>
      <c r="N365" s="88"/>
      <c r="P365" s="96"/>
      <c r="Q365" s="96"/>
      <c r="R365" s="96"/>
      <c r="S365" s="96"/>
      <c r="T365" s="96"/>
      <c r="U365" s="739" t="str">
        <f>X384&amp;" ref"</f>
        <v>Lake Murray 13 Black ref</v>
      </c>
      <c r="V365" s="739"/>
      <c r="W365" s="739"/>
      <c r="X365" s="739"/>
      <c r="Y365" s="739"/>
      <c r="Z365" s="739"/>
      <c r="AA365" s="752"/>
      <c r="AB365" s="748" t="str">
        <f>IF(AC390=1,X382,IF(AC390=2,X383,IF(AC390=3,X384,IF(AC390=4,X385,"Winner Match 1"))))</f>
        <v>C1VB 13 Regional Grvl</v>
      </c>
      <c r="AC365" s="749"/>
      <c r="AD365" s="749"/>
      <c r="AE365" s="749"/>
      <c r="AF365" s="749"/>
      <c r="AG365" s="749"/>
      <c r="AH365" s="749"/>
      <c r="AI365" s="158"/>
      <c r="AJ365" s="88"/>
      <c r="AK365" s="88"/>
    </row>
    <row r="366" spans="1:53" x14ac:dyDescent="0.2">
      <c r="A366" s="746" t="s">
        <v>109</v>
      </c>
      <c r="B366" s="746"/>
      <c r="C366" s="746"/>
      <c r="D366" s="746"/>
      <c r="E366" s="746"/>
      <c r="F366" s="759"/>
      <c r="G366" s="760"/>
      <c r="H366" s="760"/>
      <c r="I366" s="761"/>
      <c r="J366" s="744"/>
      <c r="K366" s="745"/>
      <c r="L366" s="745"/>
      <c r="M366" s="745"/>
      <c r="N366" s="88"/>
      <c r="O366" s="88"/>
      <c r="P366" s="95"/>
      <c r="Q366" s="10"/>
      <c r="R366" s="102"/>
      <c r="S366" s="102"/>
      <c r="T366" s="159"/>
      <c r="U366" s="746" t="s">
        <v>110</v>
      </c>
      <c r="V366" s="746"/>
      <c r="W366" s="746"/>
      <c r="X366" s="746"/>
      <c r="Y366" s="746"/>
      <c r="Z366" s="746"/>
      <c r="AA366" s="747"/>
      <c r="AB366" s="97"/>
      <c r="AC366" s="98"/>
      <c r="AD366" s="98"/>
      <c r="AE366" s="99"/>
      <c r="AF366" s="100"/>
      <c r="AG366" s="101"/>
      <c r="AH366" s="101"/>
      <c r="AI366" s="101"/>
      <c r="AJ366" s="88"/>
      <c r="AK366" s="88"/>
    </row>
    <row r="367" spans="1:53" ht="13.5" thickBot="1" x14ac:dyDescent="0.25">
      <c r="A367" s="736" t="str">
        <f>IF(D390=1,B382,IF(D390=2,B383,IF(D390=3,B384,IF(D390=4,B385,IF(OR(D390="B",D390="b"),"BYE","invalid")))))</f>
        <v>Vision 13 Regional Ben</v>
      </c>
      <c r="B367" s="736"/>
      <c r="C367" s="736"/>
      <c r="D367" s="736"/>
      <c r="E367" s="737"/>
      <c r="F367" s="91"/>
      <c r="G367" s="88"/>
      <c r="H367" s="88"/>
      <c r="I367" s="88"/>
      <c r="J367" s="91"/>
      <c r="K367" s="88"/>
      <c r="L367" s="88"/>
      <c r="M367" s="88"/>
      <c r="N367" s="88"/>
      <c r="O367" s="88"/>
      <c r="P367" s="88"/>
      <c r="T367" s="88"/>
      <c r="U367" s="736" t="str">
        <f>IF(Y390=1,X382,IF(Y390=2,X383,IF(Y390=3,X384,IF(Y390=4,X385,IF(OR(Y390="B",Y390="b"),"BYE","invalid")))))</f>
        <v>C1VB 13 Regional Grvl</v>
      </c>
      <c r="V367" s="736"/>
      <c r="W367" s="736"/>
      <c r="X367" s="736"/>
      <c r="Y367" s="736"/>
      <c r="Z367" s="736"/>
      <c r="AA367" s="737"/>
      <c r="AB367" s="91"/>
      <c r="AC367" s="88"/>
      <c r="AD367" s="88"/>
      <c r="AE367" s="88"/>
      <c r="AF367" s="91"/>
      <c r="AG367" s="88"/>
      <c r="AH367" s="88"/>
      <c r="AI367" s="88"/>
      <c r="AJ367" s="88"/>
      <c r="AK367" s="88"/>
      <c r="AT367" s="104"/>
      <c r="AU367" s="104"/>
    </row>
    <row r="368" spans="1:53" x14ac:dyDescent="0.2">
      <c r="A368" s="738" t="s">
        <v>266</v>
      </c>
      <c r="B368" s="738"/>
      <c r="C368" s="738"/>
      <c r="D368" s="738"/>
      <c r="E368" s="738"/>
      <c r="F368" s="88"/>
      <c r="G368" s="88"/>
      <c r="H368" s="88"/>
      <c r="I368" s="88"/>
      <c r="J368" s="91"/>
      <c r="K368" s="88"/>
      <c r="L368" s="88"/>
      <c r="M368" s="88"/>
      <c r="N368" s="88"/>
      <c r="O368" s="88"/>
      <c r="P368" s="88"/>
      <c r="U368" s="738" t="s">
        <v>267</v>
      </c>
      <c r="V368" s="738"/>
      <c r="W368" s="738"/>
      <c r="X368" s="738"/>
      <c r="Y368" s="738"/>
      <c r="Z368" s="738"/>
      <c r="AA368" s="738"/>
      <c r="AB368" s="88"/>
      <c r="AC368" s="88"/>
      <c r="AD368" s="88"/>
      <c r="AE368" s="88"/>
      <c r="AF368" s="91"/>
      <c r="AG368" s="88"/>
      <c r="AH368" s="88"/>
      <c r="AI368" s="88"/>
      <c r="AJ368" s="88"/>
      <c r="AK368" s="88"/>
      <c r="AQ368" s="104"/>
      <c r="AR368" s="104"/>
      <c r="AS368" s="104"/>
    </row>
    <row r="369" spans="1:53" x14ac:dyDescent="0.2">
      <c r="A369" s="88"/>
      <c r="B369" s="88"/>
      <c r="C369" s="88"/>
      <c r="D369" s="88"/>
      <c r="E369" s="88"/>
      <c r="F369" s="751" t="s">
        <v>113</v>
      </c>
      <c r="G369" s="751"/>
      <c r="H369" s="751"/>
      <c r="I369" s="758"/>
      <c r="J369" s="91"/>
      <c r="K369" s="88"/>
      <c r="L369" s="88"/>
      <c r="M369" s="88"/>
      <c r="N369" s="88"/>
      <c r="O369" s="88"/>
      <c r="P369" s="88"/>
      <c r="R369" s="88"/>
      <c r="S369" s="88"/>
      <c r="T369" s="88"/>
      <c r="U369" s="88"/>
      <c r="V369" s="88"/>
      <c r="W369" s="88"/>
      <c r="X369" s="88"/>
      <c r="Y369" s="88"/>
      <c r="AB369" s="751" t="s">
        <v>113</v>
      </c>
      <c r="AC369" s="751"/>
      <c r="AD369" s="751"/>
      <c r="AE369" s="758"/>
      <c r="AF369" s="91"/>
      <c r="AG369" s="88"/>
      <c r="AH369" s="88"/>
      <c r="AI369" s="88"/>
      <c r="AJ369" s="88"/>
      <c r="AK369" s="88"/>
    </row>
    <row r="370" spans="1:53" ht="13.5" thickBot="1" x14ac:dyDescent="0.25">
      <c r="A370" s="88"/>
      <c r="B370" s="88"/>
      <c r="C370" s="88"/>
      <c r="D370" s="88"/>
      <c r="E370" s="88"/>
      <c r="F370" s="88"/>
      <c r="G370" s="88"/>
      <c r="H370" s="88"/>
      <c r="I370" s="88"/>
      <c r="J370" s="753" t="str">
        <f>IF(K395=1,B382,IF(K395=2,B383,IF(K395=3,B384,IF(K395=4,B385,"Division Winner"))))</f>
        <v>C1VB 12 Reg Black Pickens</v>
      </c>
      <c r="K370" s="754"/>
      <c r="L370" s="754"/>
      <c r="M370" s="754"/>
      <c r="N370" s="754"/>
      <c r="O370" s="754"/>
      <c r="P370" s="754"/>
      <c r="Q370" s="89"/>
      <c r="R370" s="88"/>
      <c r="S370" s="88"/>
      <c r="T370" s="88"/>
      <c r="U370" s="88"/>
      <c r="V370" s="88"/>
      <c r="W370" s="88"/>
      <c r="X370" s="88"/>
      <c r="Y370" s="88"/>
      <c r="AB370" s="88"/>
      <c r="AC370" s="88"/>
      <c r="AD370" s="88"/>
      <c r="AE370" s="88"/>
      <c r="AF370" s="753" t="str">
        <f>IF(AF395=1,X382,IF(AF395=2,X383,IF(AF395=3,X384,IF(AF395=4,X385,"Division Winner"))))</f>
        <v>Chas Jrs 13 Blue</v>
      </c>
      <c r="AG370" s="754"/>
      <c r="AH370" s="754"/>
      <c r="AI370" s="754"/>
      <c r="AJ370" s="754"/>
      <c r="AK370" s="107"/>
    </row>
    <row r="371" spans="1:53" ht="13.5" thickBot="1" x14ac:dyDescent="0.25">
      <c r="A371" s="736" t="str">
        <f>IF(E390=1,B382,IF(E390=2,B383,IF(E390=3,B384,IF(E390=4,B385,IF(OR(E390="B",E390="b"),"BYE","invalid")))))</f>
        <v>C1VB 12 Reg Black Pickens</v>
      </c>
      <c r="B371" s="736"/>
      <c r="C371" s="736"/>
      <c r="D371" s="736"/>
      <c r="E371" s="736"/>
      <c r="F371" s="746" t="s">
        <v>114</v>
      </c>
      <c r="G371" s="746"/>
      <c r="H371" s="746"/>
      <c r="I371" s="746"/>
      <c r="J371" s="750" t="s">
        <v>115</v>
      </c>
      <c r="K371" s="751"/>
      <c r="L371" s="751"/>
      <c r="M371" s="751"/>
      <c r="N371" s="751"/>
      <c r="O371" s="751"/>
      <c r="P371" s="751"/>
      <c r="R371" s="107"/>
      <c r="S371" s="107"/>
      <c r="T371" s="107"/>
      <c r="U371" s="736" t="str">
        <f>IF(Z390=1,X382,IF(Z390=2,X383,IF(Z390=3,X384,IF(Z390=4,X385,IF(OR(Z390="B",Z390="b"),"BYE","invalid")))))</f>
        <v>Chas Jrs 13 Blue</v>
      </c>
      <c r="V371" s="736"/>
      <c r="W371" s="736"/>
      <c r="X371" s="736"/>
      <c r="Y371" s="736"/>
      <c r="Z371" s="736"/>
      <c r="AA371" s="736"/>
      <c r="AB371" s="746" t="s">
        <v>116</v>
      </c>
      <c r="AC371" s="746"/>
      <c r="AD371" s="746"/>
      <c r="AE371" s="747"/>
      <c r="AF371" s="755" t="s">
        <v>268</v>
      </c>
      <c r="AG371" s="756"/>
      <c r="AH371" s="756"/>
      <c r="AI371" s="756"/>
      <c r="AJ371" s="756"/>
      <c r="AK371" s="88"/>
      <c r="AW371" s="146"/>
      <c r="AX371" s="54"/>
      <c r="AY371" s="54"/>
      <c r="AZ371" s="54"/>
      <c r="BA371" s="54"/>
    </row>
    <row r="372" spans="1:53" x14ac:dyDescent="0.2">
      <c r="A372" s="738" t="s">
        <v>118</v>
      </c>
      <c r="B372" s="738"/>
      <c r="C372" s="738"/>
      <c r="D372" s="738"/>
      <c r="E372" s="738"/>
      <c r="F372" s="91"/>
      <c r="G372" s="88"/>
      <c r="H372" s="88"/>
      <c r="I372" s="88"/>
      <c r="J372" s="750"/>
      <c r="K372" s="751"/>
      <c r="L372" s="751"/>
      <c r="M372" s="751"/>
      <c r="N372" s="751"/>
      <c r="O372" s="751"/>
      <c r="P372" s="751"/>
      <c r="Q372" s="88"/>
      <c r="R372" s="104"/>
      <c r="S372" s="104"/>
      <c r="T372" s="104"/>
      <c r="U372" s="738" t="s">
        <v>269</v>
      </c>
      <c r="V372" s="738"/>
      <c r="W372" s="738"/>
      <c r="X372" s="738"/>
      <c r="Y372" s="738"/>
      <c r="Z372" s="738"/>
      <c r="AA372" s="933"/>
      <c r="AB372" s="91"/>
      <c r="AC372" s="88"/>
      <c r="AD372" s="88"/>
      <c r="AE372" s="88"/>
      <c r="AF372" s="106"/>
      <c r="AG372" s="35"/>
      <c r="AH372" s="35"/>
      <c r="AI372" s="35"/>
      <c r="AJ372" s="35"/>
      <c r="AK372" s="88"/>
      <c r="AW372" s="146"/>
      <c r="AX372" s="54"/>
      <c r="AY372" s="54"/>
      <c r="AZ372" s="54"/>
      <c r="BA372" s="54"/>
    </row>
    <row r="373" spans="1:53" x14ac:dyDescent="0.2">
      <c r="A373" s="88"/>
      <c r="B373" s="88"/>
      <c r="C373" s="88"/>
      <c r="D373" s="88"/>
      <c r="E373" s="88"/>
      <c r="F373" s="91"/>
      <c r="G373" s="88"/>
      <c r="H373" s="88"/>
      <c r="I373" s="88"/>
      <c r="J373" s="91"/>
      <c r="K373" s="88"/>
      <c r="L373" s="88"/>
      <c r="M373" s="88"/>
      <c r="N373" s="88"/>
      <c r="P373" s="88"/>
      <c r="Q373" s="88"/>
      <c r="R373" s="88"/>
      <c r="S373" s="88"/>
      <c r="T373" s="88"/>
      <c r="U373" s="88"/>
      <c r="V373" s="88"/>
      <c r="W373" s="88"/>
      <c r="X373" s="88"/>
      <c r="Y373" s="88"/>
      <c r="AB373" s="91"/>
      <c r="AC373" s="88"/>
      <c r="AD373" s="88"/>
      <c r="AE373" s="88"/>
      <c r="AF373" s="91"/>
      <c r="AG373" s="88"/>
      <c r="AH373" s="88"/>
      <c r="AI373" s="88"/>
      <c r="AJ373" s="88"/>
      <c r="AK373" s="88"/>
      <c r="AW373" s="146"/>
      <c r="AX373" s="54"/>
      <c r="AY373" s="54"/>
      <c r="AZ373" s="54"/>
      <c r="BA373" s="54"/>
    </row>
    <row r="374" spans="1:53" ht="13.5" thickBot="1" x14ac:dyDescent="0.25">
      <c r="A374" s="751" t="s">
        <v>120</v>
      </c>
      <c r="B374" s="751"/>
      <c r="C374" s="751"/>
      <c r="D374" s="751"/>
      <c r="E374" s="95"/>
      <c r="F374" s="741"/>
      <c r="G374" s="742"/>
      <c r="H374" s="742"/>
      <c r="I374" s="743"/>
      <c r="J374" s="744"/>
      <c r="K374" s="745"/>
      <c r="L374" s="745"/>
      <c r="M374" s="745"/>
      <c r="N374" s="88"/>
      <c r="Q374" s="96"/>
      <c r="R374" s="96"/>
      <c r="S374" s="96"/>
      <c r="T374" s="96"/>
      <c r="U374" s="751" t="s">
        <v>120</v>
      </c>
      <c r="V374" s="751"/>
      <c r="W374" s="751"/>
      <c r="X374" s="751"/>
      <c r="Y374" s="751"/>
      <c r="Z374" s="751"/>
      <c r="AB374" s="109"/>
      <c r="AC374" s="110"/>
      <c r="AD374" s="110"/>
      <c r="AE374" s="111"/>
      <c r="AF374" s="100"/>
      <c r="AG374" s="101"/>
      <c r="AH374" s="101"/>
      <c r="AI374" s="101"/>
      <c r="AJ374" s="88"/>
      <c r="AK374" s="88"/>
      <c r="AW374" s="146"/>
      <c r="AX374" s="54"/>
      <c r="AY374" s="54"/>
      <c r="AZ374" s="54"/>
      <c r="BA374" s="54"/>
    </row>
    <row r="375" spans="1:53" x14ac:dyDescent="0.2">
      <c r="A375" s="746" t="s">
        <v>109</v>
      </c>
      <c r="B375" s="746"/>
      <c r="C375" s="746"/>
      <c r="D375" s="746"/>
      <c r="E375" s="747"/>
      <c r="F375" s="748" t="str">
        <f>IF(J390=1,B382,IF(J390=2,B383,IF(J390=3,B384,IF(J390=4,B385,"Winner Match 2"))))</f>
        <v>C1VB 12 Reg Black Pickens</v>
      </c>
      <c r="G375" s="749"/>
      <c r="H375" s="749"/>
      <c r="I375" s="749"/>
      <c r="J375" s="749"/>
      <c r="K375" s="749"/>
      <c r="L375" s="749"/>
      <c r="M375" s="749"/>
      <c r="N375" s="88"/>
      <c r="P375" s="95"/>
      <c r="Q375" s="95"/>
      <c r="S375" s="102"/>
      <c r="T375" s="102"/>
      <c r="U375" s="746" t="s">
        <v>110</v>
      </c>
      <c r="V375" s="746"/>
      <c r="W375" s="746"/>
      <c r="X375" s="746"/>
      <c r="Y375" s="746"/>
      <c r="Z375" s="746"/>
      <c r="AA375" s="747"/>
      <c r="AB375" s="748" t="str">
        <f>IF(AE390=1,X382,IF(AE390=2,X383,IF(AE390=3,X384,IF(AE390=4,X385,"Winner Match 2"))))</f>
        <v>Chas Jrs 13 Blue</v>
      </c>
      <c r="AC375" s="749"/>
      <c r="AD375" s="749"/>
      <c r="AE375" s="749"/>
      <c r="AF375" s="749"/>
      <c r="AG375" s="749"/>
      <c r="AH375" s="749"/>
      <c r="AI375" s="158"/>
      <c r="AJ375" s="88"/>
      <c r="AK375" s="88"/>
      <c r="AW375" s="146"/>
      <c r="AX375" s="54"/>
      <c r="AY375" s="54"/>
      <c r="AZ375" s="54"/>
      <c r="BA375" s="54"/>
    </row>
    <row r="376" spans="1:53" ht="13.5" thickBot="1" x14ac:dyDescent="0.25">
      <c r="A376" s="736" t="str">
        <f>IF(G390=1,B382,IF(G390=2,B383,IF(G390=3,B384,IF(G390=4,B385,IF(OR(G390="B",G390="b"),"BYE","invalid")))))</f>
        <v>KVC 13-1</v>
      </c>
      <c r="B376" s="736"/>
      <c r="C376" s="736"/>
      <c r="D376" s="736"/>
      <c r="E376" s="737"/>
      <c r="F376" s="91"/>
      <c r="G376" s="88"/>
      <c r="H376" s="88"/>
      <c r="I376" s="88"/>
      <c r="J376" s="88"/>
      <c r="K376" s="88"/>
      <c r="L376" s="88"/>
      <c r="M376" s="88"/>
      <c r="N376" s="88"/>
      <c r="P376" s="88"/>
      <c r="Q376" s="88"/>
      <c r="R376" s="88"/>
      <c r="S376" s="107"/>
      <c r="T376" s="107"/>
      <c r="U376" s="736" t="str">
        <f>IF(AB390=1,X382,IF(AB390=2,X383,IF(AB390=3,X384,IF(AB390=4,X385,IF(OR(AB390="B",AB390="b"),"BYE","invalid")))))</f>
        <v>Lake Murray 13 Black</v>
      </c>
      <c r="V376" s="736"/>
      <c r="W376" s="736"/>
      <c r="X376" s="736"/>
      <c r="Y376" s="736"/>
      <c r="Z376" s="736"/>
      <c r="AA376" s="737"/>
      <c r="AB376" s="91"/>
      <c r="AC376" s="88"/>
      <c r="AD376" s="88"/>
      <c r="AE376" s="88"/>
      <c r="AF376" s="88"/>
      <c r="AG376" s="88"/>
      <c r="AH376" s="88"/>
      <c r="AI376" s="88"/>
      <c r="AJ376" s="88"/>
      <c r="AK376" s="88"/>
      <c r="AW376" s="146"/>
      <c r="AX376" s="54"/>
      <c r="AY376" s="54"/>
      <c r="AZ376" s="54"/>
      <c r="BA376" s="54"/>
    </row>
    <row r="377" spans="1:53" x14ac:dyDescent="0.2">
      <c r="A377" s="738" t="s">
        <v>158</v>
      </c>
      <c r="B377" s="738"/>
      <c r="C377" s="738"/>
      <c r="D377" s="738"/>
      <c r="E377" s="738"/>
      <c r="S377" s="104"/>
      <c r="T377" s="104"/>
      <c r="U377" s="738" t="s">
        <v>270</v>
      </c>
      <c r="V377" s="738"/>
      <c r="W377" s="738"/>
      <c r="X377" s="738"/>
      <c r="Y377" s="738"/>
      <c r="Z377" s="738"/>
      <c r="AA377" s="738"/>
      <c r="AK377" s="88"/>
      <c r="AW377" s="146"/>
      <c r="AX377" s="54"/>
      <c r="AY377" s="54"/>
      <c r="AZ377" s="54"/>
      <c r="BA377" s="54"/>
    </row>
    <row r="378" spans="1:53" x14ac:dyDescent="0.2">
      <c r="U378" s="88"/>
      <c r="V378" s="88"/>
      <c r="W378" s="88"/>
      <c r="X378" s="88"/>
      <c r="Y378" s="88"/>
      <c r="Z378" s="88"/>
      <c r="AA378" s="88"/>
      <c r="AB378" s="88"/>
      <c r="AC378" s="88"/>
      <c r="AD378" s="88"/>
      <c r="AE378" s="88"/>
      <c r="AF378" s="88"/>
      <c r="AG378" s="88"/>
      <c r="AH378" s="88"/>
      <c r="AI378" s="88"/>
      <c r="AJ378" s="88"/>
      <c r="AK378" s="88"/>
      <c r="AW378" s="146"/>
      <c r="AX378" s="54"/>
      <c r="AY378" s="54"/>
      <c r="AZ378" s="54"/>
      <c r="BA378" s="54"/>
    </row>
    <row r="379" spans="1:53" x14ac:dyDescent="0.2">
      <c r="AW379" s="146"/>
      <c r="AX379" s="54"/>
      <c r="AY379" s="54"/>
      <c r="AZ379" s="54"/>
      <c r="BA379" s="54"/>
    </row>
    <row r="380" spans="1:53" ht="16.5" thickBot="1" x14ac:dyDescent="0.3">
      <c r="A380" s="740" t="s">
        <v>123</v>
      </c>
      <c r="B380" s="740"/>
      <c r="C380" s="740"/>
      <c r="D380" s="740"/>
      <c r="E380" s="740"/>
      <c r="F380" s="740"/>
      <c r="G380" s="740"/>
      <c r="H380" s="740"/>
      <c r="I380" s="740"/>
      <c r="J380" s="740"/>
      <c r="Q380" s="82"/>
      <c r="R380" s="82"/>
      <c r="S380" s="82"/>
      <c r="U380" s="740" t="s">
        <v>124</v>
      </c>
      <c r="V380" s="740"/>
      <c r="W380" s="740"/>
      <c r="X380" s="740"/>
      <c r="Y380" s="740"/>
      <c r="Z380" s="740"/>
      <c r="AA380" s="740"/>
      <c r="AB380" s="740"/>
      <c r="AC380" s="740"/>
      <c r="AD380" s="740"/>
      <c r="AE380" s="740"/>
      <c r="AF380" s="740"/>
      <c r="AW380" s="146"/>
      <c r="AX380" s="54"/>
      <c r="AY380" s="54"/>
      <c r="AZ380" s="54"/>
      <c r="BA380" s="54"/>
    </row>
    <row r="381" spans="1:53" ht="13.5" thickBot="1" x14ac:dyDescent="0.25">
      <c r="A381" s="113" t="s">
        <v>125</v>
      </c>
      <c r="B381" s="730" t="s">
        <v>126</v>
      </c>
      <c r="C381" s="731"/>
      <c r="D381" s="731"/>
      <c r="E381" s="731"/>
      <c r="F381" s="731"/>
      <c r="G381" s="731"/>
      <c r="H381" s="731"/>
      <c r="I381" s="731"/>
      <c r="J381" s="732"/>
      <c r="K381" s="733" t="s">
        <v>127</v>
      </c>
      <c r="L381" s="734"/>
      <c r="M381" s="734"/>
      <c r="N381" s="734"/>
      <c r="O381" s="734"/>
      <c r="P381" s="734"/>
      <c r="Q381" s="735"/>
      <c r="U381" s="718" t="s">
        <v>125</v>
      </c>
      <c r="V381" s="719"/>
      <c r="W381" s="720"/>
      <c r="X381" s="730" t="s">
        <v>126</v>
      </c>
      <c r="Y381" s="731"/>
      <c r="Z381" s="731"/>
      <c r="AA381" s="731"/>
      <c r="AB381" s="731"/>
      <c r="AC381" s="731"/>
      <c r="AD381" s="731"/>
      <c r="AE381" s="731"/>
      <c r="AF381" s="732"/>
      <c r="AG381" s="733" t="s">
        <v>127</v>
      </c>
      <c r="AH381" s="734"/>
      <c r="AI381" s="734"/>
      <c r="AJ381" s="734"/>
      <c r="AK381" s="734"/>
      <c r="AL381" s="734"/>
      <c r="AM381" s="735"/>
      <c r="AW381" s="146"/>
      <c r="AX381" s="54"/>
      <c r="AY381" s="54"/>
      <c r="AZ381" s="54"/>
      <c r="BA381" s="54"/>
    </row>
    <row r="382" spans="1:53" ht="13.5" thickBot="1" x14ac:dyDescent="0.25">
      <c r="A382" s="113">
        <v>1</v>
      </c>
      <c r="B382" s="712" t="str">
        <f>B349</f>
        <v>Extreme 13-1</v>
      </c>
      <c r="C382" s="713"/>
      <c r="D382" s="713"/>
      <c r="E382" s="713"/>
      <c r="F382" s="713"/>
      <c r="G382" s="713"/>
      <c r="H382" s="713"/>
      <c r="I382" s="713"/>
      <c r="J382" s="714"/>
      <c r="K382" s="715" t="str">
        <f>H349</f>
        <v>fj3extvb1so</v>
      </c>
      <c r="L382" s="716"/>
      <c r="M382" s="716"/>
      <c r="N382" s="716"/>
      <c r="O382" s="716"/>
      <c r="P382" s="716"/>
      <c r="Q382" s="717"/>
      <c r="U382" s="718">
        <v>1</v>
      </c>
      <c r="V382" s="719"/>
      <c r="W382" s="720"/>
      <c r="X382" s="712" t="str">
        <f>L349</f>
        <v>BVA 13 Black</v>
      </c>
      <c r="Y382" s="713"/>
      <c r="Z382" s="713"/>
      <c r="AA382" s="713"/>
      <c r="AB382" s="713"/>
      <c r="AC382" s="713"/>
      <c r="AD382" s="713"/>
      <c r="AE382" s="713"/>
      <c r="AF382" s="714"/>
      <c r="AG382" s="715" t="str">
        <f>R349</f>
        <v>fj3biltm1cr</v>
      </c>
      <c r="AH382" s="716"/>
      <c r="AI382" s="716"/>
      <c r="AJ382" s="716"/>
      <c r="AK382" s="716"/>
      <c r="AL382" s="716"/>
      <c r="AM382" s="717"/>
      <c r="AW382" s="146"/>
      <c r="AX382" s="54"/>
      <c r="AY382" s="54"/>
      <c r="AZ382" s="54"/>
      <c r="BA382" s="54"/>
    </row>
    <row r="383" spans="1:53" ht="13.5" thickBot="1" x14ac:dyDescent="0.25">
      <c r="A383" s="113">
        <v>2</v>
      </c>
      <c r="B383" s="712" t="str">
        <f>B350</f>
        <v>C1VB 12 Reg Black Pickens</v>
      </c>
      <c r="C383" s="713"/>
      <c r="D383" s="713"/>
      <c r="E383" s="713"/>
      <c r="F383" s="713"/>
      <c r="G383" s="713"/>
      <c r="H383" s="713"/>
      <c r="I383" s="713"/>
      <c r="J383" s="714"/>
      <c r="K383" s="715" t="str">
        <f>H350</f>
        <v>fj2crone2pm</v>
      </c>
      <c r="L383" s="716"/>
      <c r="M383" s="716"/>
      <c r="N383" s="716"/>
      <c r="O383" s="716"/>
      <c r="P383" s="716"/>
      <c r="Q383" s="717"/>
      <c r="U383" s="718">
        <v>2</v>
      </c>
      <c r="V383" s="719"/>
      <c r="W383" s="720"/>
      <c r="X383" s="712" t="str">
        <f>L350</f>
        <v>Chas Jrs 13 Blue</v>
      </c>
      <c r="Y383" s="713"/>
      <c r="Z383" s="713"/>
      <c r="AA383" s="713"/>
      <c r="AB383" s="713"/>
      <c r="AC383" s="713"/>
      <c r="AD383" s="713"/>
      <c r="AE383" s="713"/>
      <c r="AF383" s="714"/>
      <c r="AG383" s="715" t="str">
        <f>R350</f>
        <v>fj3charl2pm</v>
      </c>
      <c r="AH383" s="716"/>
      <c r="AI383" s="716"/>
      <c r="AJ383" s="716"/>
      <c r="AK383" s="716"/>
      <c r="AL383" s="716"/>
      <c r="AM383" s="717"/>
      <c r="AW383" s="146"/>
      <c r="AX383" s="54"/>
      <c r="AY383" s="54"/>
      <c r="AZ383" s="54"/>
      <c r="BA383" s="54"/>
    </row>
    <row r="384" spans="1:53" ht="13.5" thickBot="1" x14ac:dyDescent="0.25">
      <c r="A384" s="113">
        <v>3</v>
      </c>
      <c r="B384" s="712" t="str">
        <f>B351</f>
        <v>KVC 13-1</v>
      </c>
      <c r="C384" s="713"/>
      <c r="D384" s="713"/>
      <c r="E384" s="713"/>
      <c r="F384" s="713"/>
      <c r="G384" s="713"/>
      <c r="H384" s="713"/>
      <c r="I384" s="713"/>
      <c r="J384" s="714"/>
      <c r="K384" s="715" t="str">
        <f>H351</f>
        <v>fj3kvctn1so</v>
      </c>
      <c r="L384" s="716"/>
      <c r="M384" s="716"/>
      <c r="N384" s="716"/>
      <c r="O384" s="716"/>
      <c r="P384" s="716"/>
      <c r="Q384" s="717"/>
      <c r="U384" s="718">
        <v>3</v>
      </c>
      <c r="V384" s="719"/>
      <c r="W384" s="720"/>
      <c r="X384" s="712" t="str">
        <f>L351</f>
        <v>Lake Murray 13 Black</v>
      </c>
      <c r="Y384" s="713"/>
      <c r="Z384" s="713"/>
      <c r="AA384" s="713"/>
      <c r="AB384" s="713"/>
      <c r="AC384" s="713"/>
      <c r="AD384" s="713"/>
      <c r="AE384" s="713"/>
      <c r="AF384" s="714"/>
      <c r="AG384" s="715" t="str">
        <f>R351</f>
        <v>fj3lakem2pm</v>
      </c>
      <c r="AH384" s="716"/>
      <c r="AI384" s="716"/>
      <c r="AJ384" s="716"/>
      <c r="AK384" s="716"/>
      <c r="AL384" s="716"/>
      <c r="AM384" s="717"/>
      <c r="AW384" s="146"/>
      <c r="AX384" s="54"/>
      <c r="AY384" s="54"/>
      <c r="AZ384" s="54"/>
      <c r="BA384" s="54"/>
    </row>
    <row r="385" spans="1:53" ht="13.5" thickBot="1" x14ac:dyDescent="0.25">
      <c r="A385" s="113">
        <v>4</v>
      </c>
      <c r="B385" s="712" t="str">
        <f>B352</f>
        <v>Vision 13 Regional Ben</v>
      </c>
      <c r="C385" s="713"/>
      <c r="D385" s="713"/>
      <c r="E385" s="713"/>
      <c r="F385" s="713"/>
      <c r="G385" s="713"/>
      <c r="H385" s="713"/>
      <c r="I385" s="713"/>
      <c r="J385" s="714"/>
      <c r="K385" s="715" t="str">
        <f>H352</f>
        <v>fj3vison2pm</v>
      </c>
      <c r="L385" s="716"/>
      <c r="M385" s="716"/>
      <c r="N385" s="716"/>
      <c r="O385" s="716"/>
      <c r="P385" s="716"/>
      <c r="Q385" s="717"/>
      <c r="U385" s="718">
        <v>4</v>
      </c>
      <c r="V385" s="719"/>
      <c r="W385" s="720"/>
      <c r="X385" s="712" t="str">
        <f>L352</f>
        <v>C1VB 13 Regional Grvl</v>
      </c>
      <c r="Y385" s="713"/>
      <c r="Z385" s="713"/>
      <c r="AA385" s="713"/>
      <c r="AB385" s="713"/>
      <c r="AC385" s="713"/>
      <c r="AD385" s="713"/>
      <c r="AE385" s="713"/>
      <c r="AF385" s="714"/>
      <c r="AG385" s="715" t="str">
        <f>R352</f>
        <v>fj3crone2pm</v>
      </c>
      <c r="AH385" s="716"/>
      <c r="AI385" s="716"/>
      <c r="AJ385" s="716"/>
      <c r="AK385" s="716"/>
      <c r="AL385" s="716"/>
      <c r="AM385" s="717"/>
      <c r="AW385" s="146"/>
      <c r="AX385" s="54"/>
      <c r="AY385" s="54"/>
      <c r="AZ385" s="54"/>
      <c r="BA385" s="54"/>
    </row>
    <row r="386" spans="1:53" ht="13.5" thickBot="1" x14ac:dyDescent="0.25">
      <c r="AW386" s="146"/>
      <c r="AX386" s="54"/>
      <c r="AY386" s="54"/>
      <c r="AZ386" s="54"/>
      <c r="BA386" s="54"/>
    </row>
    <row r="387" spans="1:53" ht="12.75" customHeight="1" x14ac:dyDescent="0.2">
      <c r="B387" s="721" t="s">
        <v>128</v>
      </c>
      <c r="C387" s="693"/>
      <c r="D387" s="694"/>
      <c r="E387" s="692" t="s">
        <v>128</v>
      </c>
      <c r="F387" s="693"/>
      <c r="G387" s="694"/>
      <c r="H387" s="692" t="s">
        <v>11</v>
      </c>
      <c r="I387" s="693"/>
      <c r="J387" s="695"/>
      <c r="K387" s="696" t="s">
        <v>129</v>
      </c>
      <c r="L387" s="722"/>
      <c r="M387" s="722"/>
      <c r="N387" s="722"/>
      <c r="O387" s="722"/>
      <c r="P387" s="722"/>
      <c r="Q387" s="723"/>
      <c r="R387" s="85"/>
      <c r="S387" s="85"/>
      <c r="T387" s="85"/>
      <c r="U387" s="85"/>
      <c r="W387" s="721" t="s">
        <v>128</v>
      </c>
      <c r="X387" s="693"/>
      <c r="Y387" s="694"/>
      <c r="Z387" s="692" t="s">
        <v>128</v>
      </c>
      <c r="AA387" s="693"/>
      <c r="AB387" s="694"/>
      <c r="AC387" s="692" t="s">
        <v>11</v>
      </c>
      <c r="AD387" s="693"/>
      <c r="AE387" s="695"/>
      <c r="AF387" s="696" t="s">
        <v>129</v>
      </c>
      <c r="AG387" s="697"/>
      <c r="AH387" s="697"/>
      <c r="AI387" s="697"/>
      <c r="AJ387" s="698"/>
      <c r="AK387" s="160"/>
      <c r="AL387" s="160"/>
      <c r="AM387" s="160"/>
      <c r="AN387" s="160"/>
      <c r="AO387" s="160"/>
      <c r="AP387" s="160"/>
      <c r="AQ387" s="160"/>
      <c r="AW387" s="146"/>
      <c r="AX387" s="54"/>
      <c r="AY387" s="54"/>
      <c r="AZ387" s="54"/>
      <c r="BA387" s="54"/>
    </row>
    <row r="388" spans="1:53" x14ac:dyDescent="0.2">
      <c r="A388" s="41" t="s">
        <v>130</v>
      </c>
      <c r="B388" s="705">
        <v>3</v>
      </c>
      <c r="C388" s="706"/>
      <c r="D388" s="707"/>
      <c r="E388" s="708" t="s">
        <v>131</v>
      </c>
      <c r="F388" s="706"/>
      <c r="G388" s="707"/>
      <c r="H388" s="708" t="s">
        <v>132</v>
      </c>
      <c r="I388" s="706"/>
      <c r="J388" s="709"/>
      <c r="K388" s="724"/>
      <c r="L388" s="725"/>
      <c r="M388" s="725"/>
      <c r="N388" s="725"/>
      <c r="O388" s="725"/>
      <c r="P388" s="725"/>
      <c r="Q388" s="726"/>
      <c r="R388" s="85"/>
      <c r="S388" s="85"/>
      <c r="T388" s="710" t="s">
        <v>130</v>
      </c>
      <c r="U388" s="710"/>
      <c r="V388" s="711"/>
      <c r="W388" s="705">
        <v>3</v>
      </c>
      <c r="X388" s="706"/>
      <c r="Y388" s="707"/>
      <c r="Z388" s="708" t="s">
        <v>131</v>
      </c>
      <c r="AA388" s="706"/>
      <c r="AB388" s="707"/>
      <c r="AC388" s="708" t="s">
        <v>132</v>
      </c>
      <c r="AD388" s="706"/>
      <c r="AE388" s="709"/>
      <c r="AF388" s="699"/>
      <c r="AG388" s="700"/>
      <c r="AH388" s="700"/>
      <c r="AI388" s="700"/>
      <c r="AJ388" s="701"/>
      <c r="AK388" s="160"/>
      <c r="AL388" s="160"/>
      <c r="AM388" s="160"/>
      <c r="AN388" s="160"/>
      <c r="AO388" s="160"/>
      <c r="AP388" s="160"/>
      <c r="AQ388" s="160"/>
      <c r="AW388" s="146"/>
      <c r="AX388" s="54"/>
      <c r="AY388" s="54"/>
      <c r="AZ388" s="54"/>
      <c r="BA388" s="54"/>
    </row>
    <row r="389" spans="1:53" ht="13.5" thickBot="1" x14ac:dyDescent="0.25">
      <c r="A389" s="11"/>
      <c r="B389" s="690" t="s">
        <v>43</v>
      </c>
      <c r="C389" s="685"/>
      <c r="D389" s="691"/>
      <c r="E389" s="684" t="s">
        <v>133</v>
      </c>
      <c r="F389" s="685"/>
      <c r="G389" s="691"/>
      <c r="H389" s="684" t="s">
        <v>134</v>
      </c>
      <c r="I389" s="685"/>
      <c r="J389" s="686"/>
      <c r="K389" s="727"/>
      <c r="L389" s="728"/>
      <c r="M389" s="728"/>
      <c r="N389" s="728"/>
      <c r="O389" s="728"/>
      <c r="P389" s="728"/>
      <c r="Q389" s="729"/>
      <c r="R389" s="85"/>
      <c r="S389" s="85"/>
      <c r="T389" s="671"/>
      <c r="U389" s="671"/>
      <c r="V389" s="672"/>
      <c r="W389" s="690" t="s">
        <v>43</v>
      </c>
      <c r="X389" s="685"/>
      <c r="Y389" s="691"/>
      <c r="Z389" s="684" t="s">
        <v>133</v>
      </c>
      <c r="AA389" s="685"/>
      <c r="AB389" s="691"/>
      <c r="AC389" s="684" t="s">
        <v>134</v>
      </c>
      <c r="AD389" s="685"/>
      <c r="AE389" s="686"/>
      <c r="AF389" s="702"/>
      <c r="AG389" s="703"/>
      <c r="AH389" s="703"/>
      <c r="AI389" s="703"/>
      <c r="AJ389" s="704"/>
      <c r="AK389" s="160"/>
      <c r="AL389" s="160"/>
      <c r="AM389" s="160"/>
      <c r="AN389" s="160"/>
      <c r="AO389" s="160"/>
      <c r="AP389" s="160"/>
      <c r="AQ389" s="160"/>
      <c r="AW389" s="146"/>
      <c r="AX389" s="54"/>
      <c r="AY389" s="54"/>
      <c r="AZ389" s="54"/>
      <c r="BA389" s="54"/>
    </row>
    <row r="390" spans="1:53" ht="13.5" thickBot="1" x14ac:dyDescent="0.25">
      <c r="A390" s="11"/>
      <c r="B390" s="117">
        <v>1</v>
      </c>
      <c r="C390" s="118" t="s">
        <v>51</v>
      </c>
      <c r="D390" s="119">
        <v>4</v>
      </c>
      <c r="E390" s="120">
        <v>2</v>
      </c>
      <c r="F390" s="118" t="s">
        <v>51</v>
      </c>
      <c r="G390" s="119">
        <v>3</v>
      </c>
      <c r="H390" s="121">
        <f>IF(OR(AND(OR(B394&gt;0,D394&gt;0),B394&gt;D394),OR(D390="b",D390="B")),B390,IF(OR(AND(OR(B394&gt;0,D394&gt;0),D394&gt;B394),OR(B390="b",B390="B")),D390,"W1"))</f>
        <v>1</v>
      </c>
      <c r="I390" s="122" t="s">
        <v>51</v>
      </c>
      <c r="J390" s="123">
        <f>IF(OR(AND(OR(E394&gt;0,G394&gt;0),E394&gt;G394),OR(G390="b",G390="B")),E390,IF(OR(AND(OR(E394&gt;0,G394&gt;0),G394&gt;E394),OR(E390="b",E390="B")),G390,"W2"))</f>
        <v>2</v>
      </c>
      <c r="K390" s="930" t="s">
        <v>135</v>
      </c>
      <c r="L390" s="931"/>
      <c r="M390" s="931"/>
      <c r="N390" s="932"/>
      <c r="O390" s="161"/>
      <c r="P390" s="162"/>
      <c r="Q390" s="162"/>
      <c r="R390" s="162"/>
      <c r="S390" s="85"/>
      <c r="T390" s="671"/>
      <c r="U390" s="671"/>
      <c r="V390" s="672"/>
      <c r="W390" s="117">
        <v>1</v>
      </c>
      <c r="X390" s="118" t="s">
        <v>51</v>
      </c>
      <c r="Y390" s="119">
        <v>4</v>
      </c>
      <c r="Z390" s="120">
        <v>2</v>
      </c>
      <c r="AA390" s="118" t="s">
        <v>51</v>
      </c>
      <c r="AB390" s="119">
        <v>3</v>
      </c>
      <c r="AC390" s="121">
        <f>IF(OR(AND(OR(W394&gt;0,Y394&gt;0),W394&gt;Y394),OR(Y390="b",Y390="B")),W390,IF(OR(AND(OR(W394&gt;0,Y394&gt;0),Y394&gt;W394),OR(W390="b",W390="B")),Y390,"W1"))</f>
        <v>4</v>
      </c>
      <c r="AD390" s="122" t="s">
        <v>51</v>
      </c>
      <c r="AE390" s="123">
        <f>IF(OR(AND(OR(Z394&gt;0,AB394&gt;0),Z394&gt;AB394),OR(AB394="b",AB394="B")),Z390,IF(OR(AND(OR(Z394&gt;0,AB394&gt;0),AB394&gt;Z394),OR(Z394="b",Z394="B")),AB390,"W2"))</f>
        <v>2</v>
      </c>
      <c r="AF390" s="687" t="s">
        <v>135</v>
      </c>
      <c r="AG390" s="689"/>
      <c r="AH390" s="85"/>
      <c r="AI390" s="85"/>
      <c r="AJ390" s="85"/>
      <c r="AW390" s="146"/>
      <c r="AX390" s="54"/>
      <c r="AY390" s="54"/>
      <c r="AZ390" s="54"/>
      <c r="BA390" s="54"/>
    </row>
    <row r="391" spans="1:53" ht="13.5" hidden="1" customHeight="1" thickBot="1" x14ac:dyDescent="0.25">
      <c r="A391" s="11"/>
      <c r="B391" s="129">
        <f>IF(B395&gt;D395,1,0)</f>
        <v>1</v>
      </c>
      <c r="C391" s="130"/>
      <c r="D391" s="131">
        <f>IF(D395&gt;B395,1,0)</f>
        <v>0</v>
      </c>
      <c r="E391" s="129">
        <f>IF(E395&gt;G395,1,0)</f>
        <v>1</v>
      </c>
      <c r="F391" s="130"/>
      <c r="G391" s="131">
        <f>IF(G395&gt;E395,1,0)</f>
        <v>0</v>
      </c>
      <c r="H391" s="129">
        <f>IF(H395&gt;J395,1,0)</f>
        <v>0</v>
      </c>
      <c r="I391" s="130"/>
      <c r="J391" s="131">
        <f>IF(J395&gt;H395,1,0)</f>
        <v>1</v>
      </c>
      <c r="K391" s="132"/>
      <c r="L391" s="133"/>
      <c r="M391" s="133"/>
      <c r="N391" s="134"/>
      <c r="O391" s="163"/>
      <c r="P391" s="162"/>
      <c r="Q391" s="162"/>
      <c r="R391" s="162"/>
      <c r="S391" s="85"/>
      <c r="T391" s="671"/>
      <c r="U391" s="671"/>
      <c r="V391" s="672"/>
      <c r="W391" s="129">
        <f>IF(W395&gt;Y395,1,0)</f>
        <v>0</v>
      </c>
      <c r="X391" s="130"/>
      <c r="Y391" s="131">
        <f>IF(Y395&gt;W395,1,0)</f>
        <v>1</v>
      </c>
      <c r="Z391" s="129">
        <f>IF(Z395&gt;AB395,1,0)</f>
        <v>1</v>
      </c>
      <c r="AA391" s="130"/>
      <c r="AB391" s="131">
        <f>IF(AB395&gt;Z395,1,0)</f>
        <v>0</v>
      </c>
      <c r="AC391" s="129">
        <f>IF(AC395&gt;AE395,1,0)</f>
        <v>0</v>
      </c>
      <c r="AD391" s="130"/>
      <c r="AE391" s="131">
        <f>IF(AE395&gt;AC395,1,0)</f>
        <v>1</v>
      </c>
      <c r="AF391" s="124"/>
      <c r="AG391" s="125"/>
      <c r="AH391" s="85"/>
      <c r="AI391" s="85"/>
      <c r="AJ391" s="85"/>
      <c r="AW391" s="146"/>
      <c r="AX391" s="54"/>
      <c r="AY391" s="54"/>
      <c r="AZ391" s="54"/>
      <c r="BA391" s="54"/>
    </row>
    <row r="392" spans="1:53" ht="13.5" hidden="1" customHeight="1" thickBot="1" x14ac:dyDescent="0.25">
      <c r="A392" s="11"/>
      <c r="B392" s="129">
        <f>IF(B396&gt;D396,1,0)</f>
        <v>0</v>
      </c>
      <c r="C392" s="130"/>
      <c r="D392" s="131">
        <f>IF(D396&gt;B396,1,0)</f>
        <v>0</v>
      </c>
      <c r="E392" s="129">
        <f>IF(E396&gt;G396,1,0)</f>
        <v>0</v>
      </c>
      <c r="F392" s="130"/>
      <c r="G392" s="131">
        <f>IF(G396&gt;E396,1,0)</f>
        <v>0</v>
      </c>
      <c r="H392" s="129">
        <f>IF(H396&gt;J396,1,0)</f>
        <v>0</v>
      </c>
      <c r="I392" s="130"/>
      <c r="J392" s="131">
        <f>IF(J396&gt;H396,1,0)</f>
        <v>1</v>
      </c>
      <c r="K392" s="132"/>
      <c r="L392" s="133"/>
      <c r="M392" s="133"/>
      <c r="N392" s="134"/>
      <c r="O392" s="163"/>
      <c r="P392" s="162"/>
      <c r="Q392" s="162"/>
      <c r="R392" s="162"/>
      <c r="S392" s="85"/>
      <c r="T392" s="671"/>
      <c r="U392" s="671"/>
      <c r="V392" s="672"/>
      <c r="W392" s="129">
        <f>IF(W396&gt;Y396,1,0)</f>
        <v>0</v>
      </c>
      <c r="X392" s="130"/>
      <c r="Y392" s="131">
        <f>IF(Y396&gt;W396,1,0)</f>
        <v>0</v>
      </c>
      <c r="Z392" s="129">
        <f>IF(Z396&gt;AB396,1,0)</f>
        <v>0</v>
      </c>
      <c r="AA392" s="130"/>
      <c r="AB392" s="131">
        <f>IF(AB396&gt;Z396,1,0)</f>
        <v>0</v>
      </c>
      <c r="AC392" s="129">
        <f>IF(AC396&gt;AE396,1,0)</f>
        <v>0</v>
      </c>
      <c r="AD392" s="130"/>
      <c r="AE392" s="131">
        <f>IF(AE396&gt;AC396,1,0)</f>
        <v>1</v>
      </c>
      <c r="AF392" s="124"/>
      <c r="AG392" s="125"/>
      <c r="AH392" s="85"/>
      <c r="AI392" s="85"/>
      <c r="AJ392" s="85"/>
      <c r="AW392" s="146"/>
      <c r="AX392" s="54"/>
      <c r="AY392" s="54"/>
      <c r="AZ392" s="54"/>
      <c r="BA392" s="54"/>
    </row>
    <row r="393" spans="1:53" ht="13.5" hidden="1" customHeight="1" thickBot="1" x14ac:dyDescent="0.25">
      <c r="A393" s="11"/>
      <c r="B393" s="129">
        <f>IF(B397&gt;D397,1,0)</f>
        <v>0</v>
      </c>
      <c r="C393" s="130"/>
      <c r="D393" s="131">
        <f>IF(D397&gt;B397,1,0)</f>
        <v>0</v>
      </c>
      <c r="E393" s="129">
        <f>IF(E397&gt;G397,1,0)</f>
        <v>0</v>
      </c>
      <c r="F393" s="130"/>
      <c r="G393" s="131">
        <f>IF(G397&gt;E397,1,0)</f>
        <v>0</v>
      </c>
      <c r="H393" s="129">
        <f>IF(H397&gt;J397,1,0)</f>
        <v>0</v>
      </c>
      <c r="I393" s="130"/>
      <c r="J393" s="131">
        <f>IF(J397&gt;H397,1,0)</f>
        <v>0</v>
      </c>
      <c r="K393" s="132"/>
      <c r="L393" s="133"/>
      <c r="M393" s="133"/>
      <c r="N393" s="134"/>
      <c r="O393" s="163"/>
      <c r="P393" s="162"/>
      <c r="Q393" s="162"/>
      <c r="R393" s="162"/>
      <c r="S393" s="85"/>
      <c r="T393" s="671"/>
      <c r="U393" s="671"/>
      <c r="V393" s="672"/>
      <c r="W393" s="129">
        <f>IF(W397&gt;Y397,1,0)</f>
        <v>0</v>
      </c>
      <c r="X393" s="130"/>
      <c r="Y393" s="131">
        <f>IF(Y397&gt;W397,1,0)</f>
        <v>0</v>
      </c>
      <c r="Z393" s="129">
        <f>IF(Z397&gt;AB397,1,0)</f>
        <v>0</v>
      </c>
      <c r="AA393" s="130"/>
      <c r="AB393" s="131">
        <f>IF(AB397&gt;Z397,1,0)</f>
        <v>0</v>
      </c>
      <c r="AC393" s="129">
        <f>IF(AC397&gt;AE397,1,0)</f>
        <v>0</v>
      </c>
      <c r="AD393" s="130"/>
      <c r="AE393" s="131">
        <f>IF(AE397&gt;AC397,1,0)</f>
        <v>0</v>
      </c>
      <c r="AF393" s="124"/>
      <c r="AG393" s="125"/>
      <c r="AH393" s="85"/>
      <c r="AI393" s="85"/>
      <c r="AJ393" s="85"/>
      <c r="AW393" s="146"/>
      <c r="AX393" s="54"/>
      <c r="AY393" s="54"/>
      <c r="AZ393" s="54"/>
      <c r="BA393" s="54"/>
    </row>
    <row r="394" spans="1:53" ht="13.5" hidden="1" customHeight="1" thickBot="1" x14ac:dyDescent="0.25">
      <c r="A394" s="11"/>
      <c r="B394" s="129">
        <f>SUM(B391:B393)</f>
        <v>1</v>
      </c>
      <c r="C394" s="130"/>
      <c r="D394" s="129">
        <f>SUM(D391:D393)</f>
        <v>0</v>
      </c>
      <c r="E394" s="129">
        <f>SUM(E391:E393)</f>
        <v>1</v>
      </c>
      <c r="F394" s="130"/>
      <c r="G394" s="129">
        <f>SUM(G391:G393)</f>
        <v>0</v>
      </c>
      <c r="H394" s="129">
        <f>SUM(H391:H393)</f>
        <v>0</v>
      </c>
      <c r="I394" s="130"/>
      <c r="J394" s="129">
        <f>SUM(J391:J393)</f>
        <v>2</v>
      </c>
      <c r="K394" s="132"/>
      <c r="L394" s="133"/>
      <c r="M394" s="133"/>
      <c r="N394" s="134"/>
      <c r="O394" s="163"/>
      <c r="P394" s="162"/>
      <c r="Q394" s="162"/>
      <c r="R394" s="162"/>
      <c r="S394" s="85"/>
      <c r="T394" s="671"/>
      <c r="U394" s="671"/>
      <c r="V394" s="672"/>
      <c r="W394" s="129">
        <f>SUM(W391:W393)</f>
        <v>0</v>
      </c>
      <c r="X394" s="130"/>
      <c r="Y394" s="129">
        <f>SUM(Y391:Y393)</f>
        <v>1</v>
      </c>
      <c r="Z394" s="129">
        <f>SUM(Z391:Z393)</f>
        <v>1</v>
      </c>
      <c r="AA394" s="130"/>
      <c r="AB394" s="129">
        <f>SUM(AB391:AB393)</f>
        <v>0</v>
      </c>
      <c r="AC394" s="129">
        <f>SUM(AC391:AC393)</f>
        <v>0</v>
      </c>
      <c r="AD394" s="130"/>
      <c r="AE394" s="129">
        <f>SUM(AE391:AE393)</f>
        <v>2</v>
      </c>
      <c r="AF394" s="124"/>
      <c r="AG394" s="125"/>
      <c r="AH394" s="85"/>
      <c r="AI394" s="85"/>
      <c r="AJ394" s="85"/>
      <c r="AW394" s="146"/>
      <c r="AX394" s="54"/>
      <c r="AY394" s="54"/>
      <c r="AZ394" s="54"/>
      <c r="BA394" s="54"/>
    </row>
    <row r="395" spans="1:53" ht="12.75" customHeight="1" x14ac:dyDescent="0.2">
      <c r="A395" s="9" t="s">
        <v>52</v>
      </c>
      <c r="B395" s="135">
        <v>25</v>
      </c>
      <c r="C395" s="50" t="s">
        <v>53</v>
      </c>
      <c r="D395" s="136">
        <v>13</v>
      </c>
      <c r="E395" s="137">
        <v>25</v>
      </c>
      <c r="F395" s="50" t="s">
        <v>53</v>
      </c>
      <c r="G395" s="136">
        <v>17</v>
      </c>
      <c r="H395" s="137">
        <v>15</v>
      </c>
      <c r="I395" s="50" t="s">
        <v>53</v>
      </c>
      <c r="J395" s="138">
        <v>25</v>
      </c>
      <c r="K395" s="673">
        <f>IF(AND(OR(H394&gt;0,J394&gt;0),AND(1&lt;=H390,H390&lt;=4),AND(1&lt;=J390,J390&lt;=4)),IF(H394&gt;J394,H390,IF(J394&gt;H394,J390,"")),"")</f>
        <v>2</v>
      </c>
      <c r="L395" s="674"/>
      <c r="M395" s="674"/>
      <c r="N395" s="675"/>
      <c r="O395" s="163"/>
      <c r="P395" s="162"/>
      <c r="Q395" s="162"/>
      <c r="R395" s="162"/>
      <c r="S395" s="85"/>
      <c r="T395" s="86"/>
      <c r="U395" s="86"/>
      <c r="V395" s="9" t="s">
        <v>52</v>
      </c>
      <c r="W395" s="135">
        <v>16</v>
      </c>
      <c r="X395" s="50" t="s">
        <v>53</v>
      </c>
      <c r="Y395" s="136">
        <v>25</v>
      </c>
      <c r="Z395" s="137">
        <v>25</v>
      </c>
      <c r="AA395" s="50" t="s">
        <v>53</v>
      </c>
      <c r="AB395" s="136">
        <v>17</v>
      </c>
      <c r="AC395" s="137">
        <v>23</v>
      </c>
      <c r="AD395" s="50" t="s">
        <v>53</v>
      </c>
      <c r="AE395" s="138">
        <v>25</v>
      </c>
      <c r="AF395" s="673">
        <f>IF(AND(OR(AC394&gt;0,AE394&gt;0),AND(1&lt;=AC390,AC390&lt;=4),AND(1&lt;=AE390,AE390&lt;=4)),IF(AC394&gt;AE394,AC390,IF(AE394&gt;AC394,AE390,"")),"")</f>
        <v>2</v>
      </c>
      <c r="AG395" s="675"/>
      <c r="AH395" s="85"/>
      <c r="AI395" s="85"/>
      <c r="AJ395" s="85"/>
      <c r="AW395" s="146"/>
      <c r="AX395" s="54"/>
      <c r="AY395" s="54"/>
      <c r="AZ395" s="54"/>
      <c r="BA395" s="54"/>
    </row>
    <row r="396" spans="1:53" ht="12.75" customHeight="1" x14ac:dyDescent="0.2">
      <c r="A396" s="9" t="s">
        <v>136</v>
      </c>
      <c r="B396" s="135"/>
      <c r="C396" s="50" t="s">
        <v>53</v>
      </c>
      <c r="D396" s="136"/>
      <c r="E396" s="137"/>
      <c r="F396" s="50" t="s">
        <v>53</v>
      </c>
      <c r="G396" s="136"/>
      <c r="H396" s="137">
        <v>25</v>
      </c>
      <c r="I396" s="50" t="s">
        <v>53</v>
      </c>
      <c r="J396" s="138">
        <v>27</v>
      </c>
      <c r="K396" s="676"/>
      <c r="L396" s="677"/>
      <c r="M396" s="677"/>
      <c r="N396" s="678"/>
      <c r="O396" s="163"/>
      <c r="P396" s="162"/>
      <c r="Q396" s="162"/>
      <c r="R396" s="162"/>
      <c r="S396" s="85"/>
      <c r="T396" s="86"/>
      <c r="U396" s="86"/>
      <c r="V396" s="9" t="s">
        <v>136</v>
      </c>
      <c r="W396" s="135"/>
      <c r="X396" s="50" t="s">
        <v>53</v>
      </c>
      <c r="Y396" s="136"/>
      <c r="Z396" s="137"/>
      <c r="AA396" s="50" t="s">
        <v>53</v>
      </c>
      <c r="AB396" s="136"/>
      <c r="AC396" s="137">
        <v>22</v>
      </c>
      <c r="AD396" s="50" t="s">
        <v>53</v>
      </c>
      <c r="AE396" s="138">
        <v>25</v>
      </c>
      <c r="AF396" s="676"/>
      <c r="AG396" s="678"/>
      <c r="AH396" s="85"/>
      <c r="AI396" s="85"/>
      <c r="AJ396" s="85"/>
      <c r="AW396" s="146"/>
      <c r="AX396" s="54"/>
      <c r="AY396" s="54"/>
      <c r="AZ396" s="54"/>
      <c r="BA396" s="54"/>
    </row>
    <row r="397" spans="1:53" ht="13.5" customHeight="1" thickBot="1" x14ac:dyDescent="0.25">
      <c r="A397" s="9" t="s">
        <v>137</v>
      </c>
      <c r="B397" s="141"/>
      <c r="C397" s="142" t="s">
        <v>53</v>
      </c>
      <c r="D397" s="143"/>
      <c r="E397" s="144"/>
      <c r="F397" s="142" t="s">
        <v>53</v>
      </c>
      <c r="G397" s="143"/>
      <c r="H397" s="144"/>
      <c r="I397" s="142" t="s">
        <v>53</v>
      </c>
      <c r="J397" s="145"/>
      <c r="K397" s="679"/>
      <c r="L397" s="680"/>
      <c r="M397" s="680"/>
      <c r="N397" s="681"/>
      <c r="O397" s="163"/>
      <c r="P397" s="162"/>
      <c r="Q397" s="162"/>
      <c r="R397" s="162"/>
      <c r="S397" s="85"/>
      <c r="T397" s="86"/>
      <c r="U397" s="86"/>
      <c r="V397" s="9" t="s">
        <v>137</v>
      </c>
      <c r="W397" s="141"/>
      <c r="X397" s="142" t="s">
        <v>53</v>
      </c>
      <c r="Y397" s="143"/>
      <c r="Z397" s="144"/>
      <c r="AA397" s="142" t="s">
        <v>53</v>
      </c>
      <c r="AB397" s="143"/>
      <c r="AC397" s="144"/>
      <c r="AD397" s="142" t="s">
        <v>53</v>
      </c>
      <c r="AE397" s="145"/>
      <c r="AF397" s="679"/>
      <c r="AG397" s="681"/>
      <c r="AH397" s="85"/>
      <c r="AI397" s="85"/>
      <c r="AJ397" s="85"/>
      <c r="AW397" s="146"/>
      <c r="AX397" s="54"/>
      <c r="AY397" s="54"/>
      <c r="AZ397" s="54"/>
      <c r="BA397" s="54"/>
    </row>
    <row r="398" spans="1:53" hidden="1" x14ac:dyDescent="0.2">
      <c r="B398" s="3"/>
      <c r="C398" s="90" t="s">
        <v>87</v>
      </c>
      <c r="D398" s="3" t="s">
        <v>138</v>
      </c>
      <c r="E398" s="3"/>
      <c r="F398" s="90"/>
      <c r="G398" s="4" t="s">
        <v>139</v>
      </c>
      <c r="J398" s="4" t="s">
        <v>140</v>
      </c>
      <c r="W398" s="3"/>
      <c r="X398" s="90" t="s">
        <v>87</v>
      </c>
      <c r="Y398" s="3" t="s">
        <v>138</v>
      </c>
      <c r="Z398" s="3"/>
      <c r="AA398" s="90"/>
      <c r="AB398" s="4" t="s">
        <v>139</v>
      </c>
      <c r="AE398" s="4" t="s">
        <v>140</v>
      </c>
      <c r="AT398" s="4" t="str">
        <f>B399</f>
        <v>Extreme 13-1</v>
      </c>
      <c r="AU398" s="4">
        <f>J399</f>
        <v>2031.5628240207368</v>
      </c>
      <c r="AW398" s="146"/>
      <c r="AX398" s="54"/>
      <c r="AY398" s="54"/>
      <c r="AZ398" s="54"/>
      <c r="BA398" s="54"/>
    </row>
    <row r="399" spans="1:53" hidden="1" x14ac:dyDescent="0.2">
      <c r="A399" s="4">
        <v>1</v>
      </c>
      <c r="B399" s="4" t="str">
        <f>B382</f>
        <v>Extreme 13-1</v>
      </c>
      <c r="C399" s="4">
        <f>VLOOKUP(B399,AU$2:AY$22,4,FALSE)</f>
        <v>2055.7363571869355</v>
      </c>
      <c r="D399" s="4">
        <f>IF(A399=B390,B405,IF(A399=D390,D405,C399))</f>
        <v>2058.7736793626468</v>
      </c>
      <c r="G399" s="4">
        <f>IF(A399=E390,E405,IF(A399=G390,G405,D399))</f>
        <v>2058.7736793626468</v>
      </c>
      <c r="J399" s="4">
        <f>IF(A399=H390,H405,IF(A399=J390,J405,G399))</f>
        <v>2031.5628240207368</v>
      </c>
      <c r="U399" s="164"/>
      <c r="V399" s="164">
        <v>1</v>
      </c>
      <c r="W399" s="4" t="str">
        <f>X382</f>
        <v>BVA 13 Black</v>
      </c>
      <c r="X399" s="4">
        <f>VLOOKUP(W399,AU$2:AY$22,4,FALSE)</f>
        <v>1986.8442842578486</v>
      </c>
      <c r="Y399" s="4">
        <f>IF(V399=W390,W405,IF(V399=Y390,Y405,X399))</f>
        <v>1973.9613648967495</v>
      </c>
      <c r="AB399" s="4">
        <f>IF(V399=Z390,Z405,IF(V399=AB390,AB405,Y399))</f>
        <v>1973.9613648967495</v>
      </c>
      <c r="AE399" s="4">
        <f>IF(V399=AC390,AC405,IF(V399=AE390,AE405,AB399))</f>
        <v>1973.9613648967495</v>
      </c>
      <c r="AT399" s="4" t="str">
        <f>B400</f>
        <v>C1VB 12 Reg Black Pickens</v>
      </c>
      <c r="AU399" s="4">
        <f>J400</f>
        <v>1784.1908394018988</v>
      </c>
      <c r="AW399" s="146"/>
      <c r="AX399" s="54"/>
      <c r="AY399" s="54"/>
      <c r="AZ399" s="54"/>
      <c r="BA399" s="54"/>
    </row>
    <row r="400" spans="1:53" hidden="1" x14ac:dyDescent="0.2">
      <c r="A400" s="4">
        <v>2</v>
      </c>
      <c r="B400" s="4" t="str">
        <f>B383</f>
        <v>C1VB 12 Reg Black Pickens</v>
      </c>
      <c r="C400" s="4">
        <f>VLOOKUP(B400,AU$2:AY$22,4,FALSE)</f>
        <v>1744.1269044240819</v>
      </c>
      <c r="D400" s="4">
        <f>IF(A400=B390,B405,IF(A400=D390,D405,C400))</f>
        <v>1744.1269044240819</v>
      </c>
      <c r="G400" s="4">
        <f>IF(A400=E390,E405,IF(A400=G390,G405,D400))</f>
        <v>1756.9799840599887</v>
      </c>
      <c r="J400" s="4">
        <f>IF(A400=H390,H405,IF(A400=J390,J405,G400))</f>
        <v>1784.1908394018988</v>
      </c>
      <c r="U400" s="164"/>
      <c r="V400" s="164">
        <v>2</v>
      </c>
      <c r="W400" s="4" t="str">
        <f>X383</f>
        <v>Chas Jrs 13 Blue</v>
      </c>
      <c r="X400" s="4">
        <f>VLOOKUP(W400,AU$2:AY$22,4,FALSE)</f>
        <v>1820.9197353686502</v>
      </c>
      <c r="Y400" s="4">
        <f>IF(V400=W390,W405,IF(V400=Y390,Y405,X400))</f>
        <v>1820.9197353686502</v>
      </c>
      <c r="AB400" s="4">
        <f>IF(V400=Z390,Z405,IF(V400=AB390,AB405,Y400))</f>
        <v>1828.1220803545559</v>
      </c>
      <c r="AE400" s="4">
        <f>IF(V400=AC390,AC405,IF(V400=AE390,AE405,AB400))</f>
        <v>1840.7252067753311</v>
      </c>
      <c r="AT400" s="4" t="str">
        <f>B401</f>
        <v>KVC 13-1</v>
      </c>
      <c r="AU400" s="4">
        <f>J401</f>
        <v>1975.7224030177772</v>
      </c>
      <c r="AW400" s="146"/>
      <c r="AX400" s="54"/>
      <c r="AY400" s="54"/>
      <c r="AZ400" s="54"/>
      <c r="BA400" s="54"/>
    </row>
    <row r="401" spans="1:53" hidden="1" x14ac:dyDescent="0.2">
      <c r="A401" s="4">
        <v>3</v>
      </c>
      <c r="B401" s="4" t="str">
        <f>B384</f>
        <v>KVC 13-1</v>
      </c>
      <c r="C401" s="4">
        <f>VLOOKUP(B401,AU$2:AY$22,4,FALSE)</f>
        <v>1988.575482653684</v>
      </c>
      <c r="D401" s="4">
        <f>IF(A401=B390,B405,IF(A401=D390,D405,C401))</f>
        <v>1988.575482653684</v>
      </c>
      <c r="G401" s="4">
        <f>IF(A401=E390,E405,IF(A401=G390,G405,D401))</f>
        <v>1975.7224030177772</v>
      </c>
      <c r="J401" s="4">
        <f>IF(A401=H390,H405,IF(A401=J390,J405,G401))</f>
        <v>1975.7224030177772</v>
      </c>
      <c r="U401" s="164"/>
      <c r="V401" s="164">
        <v>3</v>
      </c>
      <c r="W401" s="4" t="str">
        <f>X384</f>
        <v>Lake Murray 13 Black</v>
      </c>
      <c r="X401" s="4">
        <f>VLOOKUP(W401,AU$2:AY$22,4,FALSE)</f>
        <v>1786.1625321837212</v>
      </c>
      <c r="Y401" s="4">
        <f>IF(V401=W390,W405,IF(V401=Y390,Y405,X401))</f>
        <v>1786.1625321837212</v>
      </c>
      <c r="AB401" s="4">
        <f>IF(V401=Z390,Z405,IF(V401=AB390,AB405,Y401))</f>
        <v>1778.9601871978155</v>
      </c>
      <c r="AE401" s="4">
        <f>IF(V401=AC390,AC405,IF(V401=AE390,AE405,AB401))</f>
        <v>1778.9601871978155</v>
      </c>
      <c r="AT401" s="4" t="str">
        <f>B402</f>
        <v>Vision 13 Regional Ben</v>
      </c>
      <c r="AU401" s="4">
        <f>J402</f>
        <v>1800.6174885332118</v>
      </c>
      <c r="AW401" s="146"/>
      <c r="AX401" s="54"/>
      <c r="AY401" s="54"/>
      <c r="AZ401" s="54"/>
      <c r="BA401" s="54"/>
    </row>
    <row r="402" spans="1:53" hidden="1" x14ac:dyDescent="0.2">
      <c r="A402" s="4">
        <v>4</v>
      </c>
      <c r="B402" s="4" t="str">
        <f>B385</f>
        <v>Vision 13 Regional Ben</v>
      </c>
      <c r="C402" s="4">
        <f>VLOOKUP(B402,AU$2:AY$22,4,FALSE)</f>
        <v>1803.6548107089232</v>
      </c>
      <c r="D402" s="4">
        <f>IF(A402=B390,B405,IF(A402=D390,D405,C402))</f>
        <v>1800.6174885332118</v>
      </c>
      <c r="G402" s="4">
        <f>IF(A402=E390,E405,IF(A402=G390,G405,D402))</f>
        <v>1800.6174885332118</v>
      </c>
      <c r="J402" s="4">
        <f>IF(A402=H390,H405,IF(A402=J390,J405,G402))</f>
        <v>1800.6174885332118</v>
      </c>
      <c r="U402" s="164"/>
      <c r="V402" s="164">
        <v>4</v>
      </c>
      <c r="W402" s="4" t="str">
        <f>X385</f>
        <v>C1VB 13 Regional Grvl</v>
      </c>
      <c r="X402" s="4">
        <f>VLOOKUP(W402,AU$2:AY$22,4,FALSE)</f>
        <v>1740.3377839503121</v>
      </c>
      <c r="Y402" s="4">
        <f>IF(V402=W390,W405,IF(V402=Y390,Y405,X402))</f>
        <v>1753.2207033114112</v>
      </c>
      <c r="AB402" s="4">
        <f>IF(V402=Z390,Z405,IF(V402=AB390,AB405,Y402))</f>
        <v>1753.2207033114112</v>
      </c>
      <c r="AE402" s="4">
        <f>IF(V402=AC390,AC405,IF(V402=AE390,AE405,AB402))</f>
        <v>1740.617576890636</v>
      </c>
      <c r="AT402" s="4" t="str">
        <f>W399</f>
        <v>BVA 13 Black</v>
      </c>
      <c r="AU402" s="4">
        <f>AE399</f>
        <v>1973.9613648967495</v>
      </c>
      <c r="AW402" s="146"/>
      <c r="AX402" s="54"/>
      <c r="AY402" s="54"/>
      <c r="AZ402" s="54"/>
      <c r="BA402" s="54"/>
    </row>
    <row r="403" spans="1:53" hidden="1" x14ac:dyDescent="0.2">
      <c r="A403" s="4" t="s">
        <v>89</v>
      </c>
      <c r="B403" s="4">
        <f>VLOOKUP(B390,$A399:$J402,3,FALSE)</f>
        <v>2055.7363571869355</v>
      </c>
      <c r="D403" s="4">
        <f>VLOOKUP(D390,$A399:$J402,3,FALSE)</f>
        <v>1803.6548107089232</v>
      </c>
      <c r="E403" s="4">
        <f>VLOOKUP(E390,$A399:$J402,4,FALSE)</f>
        <v>1744.1269044240819</v>
      </c>
      <c r="G403" s="4">
        <f>VLOOKUP(G390,$A399:$J402,4,FALSE)</f>
        <v>1988.575482653684</v>
      </c>
      <c r="H403" s="4">
        <f>VLOOKUP(H390,$A399:$J402,7,FALSE)</f>
        <v>2058.7736793626468</v>
      </c>
      <c r="J403" s="4">
        <f>VLOOKUP(J390,$A399:$J402,7,FALSE)</f>
        <v>1756.9799840599887</v>
      </c>
      <c r="T403" s="682" t="s">
        <v>89</v>
      </c>
      <c r="U403" s="682"/>
      <c r="V403" s="682"/>
      <c r="W403" s="4">
        <f>VLOOKUP(W390,$V399:$AE402,3,FALSE)</f>
        <v>1986.8442842578486</v>
      </c>
      <c r="Y403" s="4">
        <f>VLOOKUP(Y390,$V399:$AE402,3,FALSE)</f>
        <v>1740.3377839503121</v>
      </c>
      <c r="Z403" s="4">
        <f>VLOOKUP(Z390,$V399:$AE402,4,FALSE)</f>
        <v>1820.9197353686502</v>
      </c>
      <c r="AB403" s="4">
        <f>VLOOKUP(AB390,$V399:$AE402,4,FALSE)</f>
        <v>1786.1625321837212</v>
      </c>
      <c r="AC403" s="4">
        <f>VLOOKUP(AC390,$V399:$AE402,7,FALSE)</f>
        <v>1753.2207033114112</v>
      </c>
      <c r="AE403" s="4">
        <f>VLOOKUP(AE390,$V399:$AE402,7,FALSE)</f>
        <v>1828.1220803545559</v>
      </c>
      <c r="AT403" s="4" t="str">
        <f>W400</f>
        <v>Chas Jrs 13 Blue</v>
      </c>
      <c r="AU403" s="4">
        <f>AE400</f>
        <v>1840.7252067753311</v>
      </c>
      <c r="AW403" s="146"/>
      <c r="AX403" s="54"/>
      <c r="AY403" s="54"/>
      <c r="AZ403" s="54"/>
      <c r="BA403" s="54"/>
    </row>
    <row r="404" spans="1:53" hidden="1" x14ac:dyDescent="0.2">
      <c r="A404" s="68" t="s">
        <v>90</v>
      </c>
      <c r="B404" s="68">
        <f>1/(1+(10^-((B403-D403)/400)))*(B394+D394)</f>
        <v>0.81016736401803724</v>
      </c>
      <c r="C404" s="68"/>
      <c r="D404" s="68">
        <f>1/(1+(10^-((D403-B403)/400)))*(B394+D394)</f>
        <v>0.18983263598196276</v>
      </c>
      <c r="E404" s="68">
        <f>1/(1+(10^-((E403-G403)/400)))*(E394+G394)</f>
        <v>0.19668252275581496</v>
      </c>
      <c r="G404" s="68">
        <f>1/(1+(10^-((G403-E403)/400)))*(E394+G394)</f>
        <v>0.80331747724418501</v>
      </c>
      <c r="H404" s="68">
        <f>1/(1+(10^-((H403-J403)/400)))*(H394+J394)</f>
        <v>1.7006784588693715</v>
      </c>
      <c r="J404" s="68">
        <f>1/(1+(10^-((J403-H403)/400)))*(H394+J394)</f>
        <v>0.2993215411306287</v>
      </c>
      <c r="T404" s="683" t="s">
        <v>90</v>
      </c>
      <c r="U404" s="683"/>
      <c r="V404" s="683"/>
      <c r="W404" s="68">
        <f>1/(1+(10^-((W403-Y403)/400)))*(W394+Y394)</f>
        <v>0.80518246006868777</v>
      </c>
      <c r="X404" s="68"/>
      <c r="Y404" s="68">
        <f>1/(1+(10^-((Y403-W403)/400)))*(W394+Y394)</f>
        <v>0.19481753993131226</v>
      </c>
      <c r="Z404" s="68">
        <f>1/(1+(10^-((Z403-AB403)/400)))*(Z394+AB394)</f>
        <v>0.54985343838088785</v>
      </c>
      <c r="AB404" s="68">
        <f>1/(1+(10^-((AB403-Z403)/400)))*(Z394+AB394)</f>
        <v>0.4501465616191121</v>
      </c>
      <c r="AC404" s="68">
        <f>1/(1+(10^-((AC403-AE403)/400)))*(AC394+AE394)</f>
        <v>0.78769540129844928</v>
      </c>
      <c r="AE404" s="68">
        <f>1/(1+(10^-((AE403-AC403)/400)))*(AC394+AE394)</f>
        <v>1.2123045987015511</v>
      </c>
      <c r="AT404" s="4" t="str">
        <f>W401</f>
        <v>Lake Murray 13 Black</v>
      </c>
      <c r="AU404" s="4">
        <f>AE401</f>
        <v>1778.9601871978155</v>
      </c>
      <c r="AW404" s="146"/>
      <c r="AX404" s="54"/>
      <c r="AY404" s="54"/>
      <c r="AZ404" s="54"/>
      <c r="BA404" s="54"/>
    </row>
    <row r="405" spans="1:53" hidden="1" x14ac:dyDescent="0.2">
      <c r="A405" s="74" t="s">
        <v>91</v>
      </c>
      <c r="B405" s="74">
        <f>B403+(B394-B404)*$BA$2</f>
        <v>2058.7736793626468</v>
      </c>
      <c r="C405" s="74"/>
      <c r="D405" s="74">
        <f>D403+(D394-D404)*$BA$2</f>
        <v>1800.6174885332118</v>
      </c>
      <c r="E405" s="74">
        <f>E403+(E394-E404)*$BA$2</f>
        <v>1756.9799840599887</v>
      </c>
      <c r="G405" s="74">
        <f>G403+(G394-G404)*$BA$2</f>
        <v>1975.7224030177772</v>
      </c>
      <c r="H405" s="74">
        <f>H403+(H394-H404)*$BA$2</f>
        <v>2031.5628240207368</v>
      </c>
      <c r="J405" s="74">
        <f>J403+(J394-J404)*$BA$2</f>
        <v>1784.1908394018988</v>
      </c>
      <c r="T405" s="669" t="s">
        <v>91</v>
      </c>
      <c r="U405" s="669"/>
      <c r="V405" s="669"/>
      <c r="W405" s="74">
        <f>W403+(W394-W404)*$BA$2</f>
        <v>1973.9613648967495</v>
      </c>
      <c r="X405" s="74"/>
      <c r="Y405" s="74">
        <f>Y403+(Y394-Y404)*$BA$2</f>
        <v>1753.2207033114112</v>
      </c>
      <c r="Z405" s="74">
        <f>Z403+(Z394-Z404)*$BA$2</f>
        <v>1828.1220803545559</v>
      </c>
      <c r="AB405" s="74">
        <f>AB403+(AB394-AB404)*$BA$2</f>
        <v>1778.9601871978155</v>
      </c>
      <c r="AC405" s="74">
        <f>AC403+(AC394-AC404)*$BA$2</f>
        <v>1740.617576890636</v>
      </c>
      <c r="AE405" s="74">
        <f>AE403+(AE394-AE404)*$BA$2</f>
        <v>1840.7252067753311</v>
      </c>
      <c r="AT405" s="4" t="str">
        <f>W402</f>
        <v>C1VB 13 Regional Grvl</v>
      </c>
      <c r="AU405" s="4">
        <f>AE402</f>
        <v>1740.617576890636</v>
      </c>
      <c r="AW405" s="146"/>
      <c r="AX405" s="54"/>
      <c r="AY405" s="54"/>
      <c r="AZ405" s="54"/>
      <c r="BA405" s="54"/>
    </row>
    <row r="406" spans="1:53" x14ac:dyDescent="0.2">
      <c r="A406" s="670" t="s">
        <v>141</v>
      </c>
      <c r="B406" s="670"/>
      <c r="C406" s="670"/>
      <c r="D406" s="670"/>
      <c r="E406" s="670"/>
      <c r="F406" s="670"/>
      <c r="G406" s="670"/>
      <c r="H406" s="670"/>
      <c r="I406" s="670"/>
      <c r="J406" s="670"/>
      <c r="K406" s="670"/>
      <c r="L406" s="670"/>
      <c r="M406" s="670"/>
      <c r="R406" s="85"/>
      <c r="S406" s="85"/>
      <c r="T406" s="86"/>
      <c r="U406" s="86"/>
      <c r="V406" s="670" t="s">
        <v>141</v>
      </c>
      <c r="W406" s="670"/>
      <c r="X406" s="670"/>
      <c r="Y406" s="670"/>
      <c r="Z406" s="670"/>
      <c r="AA406" s="670"/>
      <c r="AB406" s="670"/>
      <c r="AC406" s="670"/>
      <c r="AD406" s="670"/>
      <c r="AE406" s="670"/>
      <c r="AF406" s="670"/>
      <c r="AG406" s="670"/>
      <c r="AH406" s="85"/>
      <c r="AI406" s="85"/>
      <c r="AJ406" s="85"/>
      <c r="AW406" s="146"/>
      <c r="AX406" s="54"/>
      <c r="AY406" s="54"/>
      <c r="AZ406" s="54"/>
      <c r="BA406" s="54"/>
    </row>
    <row r="407" spans="1:53" x14ac:dyDescent="0.2">
      <c r="AW407" s="146"/>
      <c r="AX407" s="54"/>
      <c r="AY407" s="54"/>
      <c r="AZ407" s="54"/>
      <c r="BA407" s="54"/>
    </row>
    <row r="408" spans="1:53" x14ac:dyDescent="0.2">
      <c r="A408" s="768" t="s">
        <v>160</v>
      </c>
      <c r="B408" s="768"/>
      <c r="C408" s="768"/>
      <c r="D408" s="768"/>
      <c r="E408" s="768"/>
      <c r="F408" s="768"/>
      <c r="G408" s="768"/>
      <c r="H408" s="768"/>
      <c r="I408" s="768"/>
      <c r="J408" s="768"/>
      <c r="K408" s="768"/>
      <c r="L408" s="768"/>
      <c r="M408" s="768"/>
      <c r="N408" s="768"/>
      <c r="O408" s="768"/>
      <c r="P408" s="62"/>
      <c r="R408" s="768" t="s">
        <v>271</v>
      </c>
      <c r="S408" s="768"/>
      <c r="T408" s="768"/>
      <c r="U408" s="768"/>
      <c r="V408" s="768"/>
      <c r="W408" s="768"/>
      <c r="X408" s="768"/>
      <c r="Y408" s="768"/>
      <c r="Z408" s="768"/>
      <c r="AA408" s="768"/>
      <c r="AB408" s="768"/>
      <c r="AC408" s="768"/>
      <c r="AD408" s="768"/>
      <c r="AE408" s="768"/>
      <c r="AF408" s="768"/>
      <c r="AW408" s="146"/>
      <c r="AX408" s="54"/>
      <c r="AY408" s="54"/>
      <c r="AZ408" s="54"/>
      <c r="BA408" s="54"/>
    </row>
    <row r="409" spans="1:53" x14ac:dyDescent="0.2">
      <c r="AW409" s="146"/>
      <c r="AX409" s="54"/>
      <c r="AY409" s="54"/>
      <c r="AZ409" s="54"/>
      <c r="BA409" s="54"/>
    </row>
    <row r="410" spans="1:53" ht="13.5" thickBot="1" x14ac:dyDescent="0.25">
      <c r="A410" s="736" t="str">
        <f>IF(B438=1,B430,IF(B438=2,B431,IF(B438=3,B432,IF(B438=4,B433,IF(OR(B438="B",B438="b"),"BYE","invalid")))))</f>
        <v>PRV - 13U Bayley</v>
      </c>
      <c r="B410" s="736"/>
      <c r="C410" s="736"/>
      <c r="D410" s="736"/>
      <c r="E410" s="736"/>
      <c r="F410" s="88"/>
      <c r="G410" s="88"/>
      <c r="H410" s="88"/>
      <c r="I410" s="88"/>
      <c r="J410" s="88"/>
      <c r="K410" s="88"/>
      <c r="L410" s="88"/>
      <c r="M410" s="88"/>
      <c r="N410" s="88"/>
      <c r="S410" s="89"/>
      <c r="T410" s="89"/>
      <c r="U410" s="736" t="str">
        <f>IF(W438=1,X430,IF(W438=2,X431,IF(W438=3,X432,IF(W438=4,X433,IF(OR(W438="B",W438="b"),"BYE","invalid")))))</f>
        <v>Foothills 13 May</v>
      </c>
      <c r="V410" s="736"/>
      <c r="W410" s="736"/>
      <c r="X410" s="736"/>
      <c r="Y410" s="736"/>
      <c r="Z410" s="736"/>
      <c r="AA410" s="736"/>
      <c r="AB410" s="88"/>
      <c r="AC410" s="88"/>
      <c r="AD410" s="88"/>
      <c r="AE410" s="88"/>
      <c r="AW410" s="146"/>
      <c r="AX410" s="54"/>
      <c r="AY410" s="54"/>
      <c r="AZ410" s="54"/>
      <c r="BA410" s="54"/>
    </row>
    <row r="411" spans="1:53" x14ac:dyDescent="0.2">
      <c r="A411" s="738" t="s">
        <v>272</v>
      </c>
      <c r="B411" s="738"/>
      <c r="C411" s="738"/>
      <c r="D411" s="738"/>
      <c r="E411" s="738"/>
      <c r="F411" s="91"/>
      <c r="G411" s="88"/>
      <c r="H411" s="88"/>
      <c r="I411" s="88"/>
      <c r="J411" s="88"/>
      <c r="K411" s="88"/>
      <c r="L411" s="88"/>
      <c r="M411" s="88"/>
      <c r="N411" s="88"/>
      <c r="S411" s="92"/>
      <c r="T411" s="92"/>
      <c r="U411" s="739" t="s">
        <v>164</v>
      </c>
      <c r="V411" s="739"/>
      <c r="W411" s="739"/>
      <c r="X411" s="739"/>
      <c r="Y411" s="739"/>
      <c r="Z411" s="739"/>
      <c r="AA411" s="752"/>
      <c r="AB411" s="88"/>
      <c r="AC411" s="88"/>
      <c r="AD411" s="88"/>
      <c r="AE411" s="88"/>
      <c r="AW411" s="146"/>
      <c r="AX411" s="54"/>
      <c r="AY411" s="54"/>
      <c r="AZ411" s="54"/>
      <c r="BA411" s="54"/>
    </row>
    <row r="412" spans="1:53" x14ac:dyDescent="0.2">
      <c r="A412" s="88"/>
      <c r="B412" s="88"/>
      <c r="C412" s="88"/>
      <c r="D412" s="88"/>
      <c r="E412" s="88"/>
      <c r="F412" s="91"/>
      <c r="G412" s="88"/>
      <c r="H412" s="88"/>
      <c r="I412" s="88"/>
      <c r="J412" s="88"/>
      <c r="K412" s="88"/>
      <c r="L412" s="88"/>
      <c r="M412" s="88"/>
      <c r="N412" s="88"/>
      <c r="R412" s="88"/>
      <c r="S412" s="88"/>
      <c r="T412" s="88"/>
      <c r="U412" s="88"/>
      <c r="V412" s="88"/>
      <c r="W412" s="88"/>
      <c r="X412" s="88"/>
      <c r="Y412" s="88"/>
      <c r="Z412" s="88"/>
      <c r="AA412" s="165"/>
      <c r="AB412" s="88"/>
      <c r="AC412" s="88"/>
      <c r="AD412" s="88"/>
      <c r="AE412" s="88"/>
      <c r="AW412" s="146"/>
      <c r="AX412" s="54"/>
      <c r="AY412" s="54"/>
      <c r="AZ412" s="54"/>
      <c r="BA412" s="54"/>
    </row>
    <row r="413" spans="1:53" ht="13.5" thickBot="1" x14ac:dyDescent="0.25">
      <c r="A413" s="739" t="str">
        <f>B432&amp;" ref"</f>
        <v>MOTO 13-1 IGNITE ref</v>
      </c>
      <c r="B413" s="739"/>
      <c r="C413" s="739"/>
      <c r="D413" s="739"/>
      <c r="E413" s="752"/>
      <c r="F413" s="748" t="str">
        <f>IF(H438=1,B430,IF(H438=2,B431,IF(H438=3,B432,IF(H438=4,B433,"Winner Match 1"))))</f>
        <v>PRV - 13U Bayley</v>
      </c>
      <c r="G413" s="749"/>
      <c r="H413" s="749"/>
      <c r="I413" s="749"/>
      <c r="J413" s="749"/>
      <c r="K413" s="749"/>
      <c r="L413" s="749"/>
      <c r="M413" s="749"/>
      <c r="N413" s="749"/>
      <c r="P413" s="96"/>
      <c r="Q413" s="96"/>
      <c r="R413" s="96"/>
      <c r="S413" s="96"/>
      <c r="T413" s="739" t="str">
        <f>X432&amp;" ref"</f>
        <v>Vision 13 Regional ref</v>
      </c>
      <c r="U413" s="739"/>
      <c r="V413" s="739"/>
      <c r="W413" s="739"/>
      <c r="X413" s="739"/>
      <c r="Y413" s="739"/>
      <c r="Z413" s="739"/>
      <c r="AA413" s="752"/>
      <c r="AB413" s="748" t="str">
        <f>IF(AC438=1,X430,IF(AC438=2,X431,IF(AC438=3,X432,IF(AC438=4,X433,"Winner Match 1"))))</f>
        <v>Foothills 13 May</v>
      </c>
      <c r="AC413" s="749"/>
      <c r="AD413" s="749"/>
      <c r="AE413" s="749"/>
      <c r="AF413" s="749"/>
      <c r="AG413" s="749"/>
      <c r="AH413" s="749"/>
      <c r="AW413" s="146"/>
      <c r="AX413" s="54"/>
      <c r="AY413" s="54"/>
      <c r="AZ413" s="54"/>
      <c r="BA413" s="54"/>
    </row>
    <row r="414" spans="1:53" x14ac:dyDescent="0.2">
      <c r="A414" s="746" t="s">
        <v>165</v>
      </c>
      <c r="B414" s="746"/>
      <c r="C414" s="746"/>
      <c r="D414" s="746"/>
      <c r="E414" s="746"/>
      <c r="F414" s="759"/>
      <c r="G414" s="760"/>
      <c r="H414" s="760"/>
      <c r="I414" s="761"/>
      <c r="J414" s="744"/>
      <c r="K414" s="745"/>
      <c r="L414" s="745"/>
      <c r="M414" s="745"/>
      <c r="N414" s="745"/>
      <c r="O414" s="88"/>
      <c r="P414" s="95"/>
      <c r="Q414" s="10"/>
      <c r="R414" s="102"/>
      <c r="S414" s="102"/>
      <c r="T414" s="762" t="s">
        <v>273</v>
      </c>
      <c r="U414" s="762"/>
      <c r="V414" s="762"/>
      <c r="W414" s="762"/>
      <c r="X414" s="762"/>
      <c r="Y414" s="762"/>
      <c r="Z414" s="762"/>
      <c r="AA414" s="165"/>
      <c r="AB414" s="759"/>
      <c r="AC414" s="760"/>
      <c r="AD414" s="760"/>
      <c r="AE414" s="761"/>
      <c r="AF414" s="744"/>
      <c r="AG414" s="745"/>
      <c r="AH414" s="745"/>
      <c r="AW414" s="146"/>
      <c r="AX414" s="54"/>
      <c r="AY414" s="54"/>
      <c r="AZ414" s="54"/>
      <c r="BA414" s="54"/>
    </row>
    <row r="415" spans="1:53" ht="13.5" thickBot="1" x14ac:dyDescent="0.25">
      <c r="A415" s="736" t="str">
        <f>IF(D438=1,B430,IF(D438=2,B431,IF(D438=3,B432,IF(D438=4,B433,IF(OR(D438="B",D438="b"),"BYE","invalid")))))</f>
        <v>PRV - 13U Brittany</v>
      </c>
      <c r="B415" s="736"/>
      <c r="C415" s="736"/>
      <c r="D415" s="736"/>
      <c r="E415" s="737"/>
      <c r="F415" s="91"/>
      <c r="G415" s="88"/>
      <c r="H415" s="88"/>
      <c r="I415" s="88"/>
      <c r="J415" s="91"/>
      <c r="K415" s="88"/>
      <c r="L415" s="88"/>
      <c r="M415" s="88"/>
      <c r="N415" s="88"/>
      <c r="O415" s="88"/>
      <c r="P415" s="88"/>
      <c r="T415" s="88"/>
      <c r="U415" s="736" t="str">
        <f>IF(Y438=1,X430,IF(Y438=2,X431,IF(Y438=3,X432,IF(Y438=4,X433,IF(OR(Y438="B",Y438="b"),"BYE","invalid")))))</f>
        <v>Branchville U14 Juniors</v>
      </c>
      <c r="V415" s="736"/>
      <c r="W415" s="736"/>
      <c r="X415" s="736"/>
      <c r="Y415" s="736"/>
      <c r="Z415" s="736"/>
      <c r="AA415" s="737"/>
      <c r="AB415" s="88"/>
      <c r="AC415" s="88"/>
      <c r="AD415" s="88"/>
      <c r="AE415" s="165"/>
      <c r="AF415" s="88"/>
      <c r="AG415" s="88"/>
      <c r="AT415" s="104"/>
      <c r="AU415" s="104"/>
      <c r="AW415" s="146"/>
      <c r="AX415" s="54"/>
      <c r="AY415" s="54"/>
      <c r="AZ415" s="54"/>
      <c r="BA415" s="54"/>
    </row>
    <row r="416" spans="1:53" x14ac:dyDescent="0.2">
      <c r="A416" s="738" t="s">
        <v>274</v>
      </c>
      <c r="B416" s="738"/>
      <c r="C416" s="738"/>
      <c r="D416" s="738"/>
      <c r="E416" s="738"/>
      <c r="F416" s="88"/>
      <c r="G416" s="88"/>
      <c r="H416" s="88"/>
      <c r="I416" s="88"/>
      <c r="J416" s="91"/>
      <c r="K416" s="88"/>
      <c r="L416" s="88"/>
      <c r="M416" s="88"/>
      <c r="N416" s="88"/>
      <c r="O416" s="88"/>
      <c r="P416" s="88"/>
      <c r="U416" s="757" t="s">
        <v>275</v>
      </c>
      <c r="V416" s="757"/>
      <c r="W416" s="757"/>
      <c r="X416" s="757"/>
      <c r="Y416" s="757"/>
      <c r="Z416" s="757"/>
      <c r="AA416" s="757"/>
      <c r="AB416" s="88"/>
      <c r="AC416" s="88"/>
      <c r="AD416" s="88"/>
      <c r="AE416" s="165"/>
      <c r="AF416" s="88"/>
      <c r="AG416" s="88"/>
      <c r="AQ416" s="104"/>
      <c r="AR416" s="104"/>
      <c r="AS416" s="104"/>
      <c r="AW416" s="146"/>
      <c r="AX416" s="54"/>
      <c r="AY416" s="54"/>
      <c r="AZ416" s="54"/>
      <c r="BA416" s="54"/>
    </row>
    <row r="417" spans="1:53" x14ac:dyDescent="0.2">
      <c r="A417" s="88"/>
      <c r="B417" s="88"/>
      <c r="C417" s="88"/>
      <c r="D417" s="88"/>
      <c r="E417" s="88"/>
      <c r="F417" s="751" t="s">
        <v>113</v>
      </c>
      <c r="G417" s="751"/>
      <c r="H417" s="751"/>
      <c r="I417" s="758"/>
      <c r="J417" s="91"/>
      <c r="K417" s="88"/>
      <c r="L417" s="88"/>
      <c r="M417" s="88"/>
      <c r="N417" s="88"/>
      <c r="O417" s="88"/>
      <c r="P417" s="88"/>
      <c r="R417" s="88"/>
      <c r="S417" s="88"/>
      <c r="T417" s="88"/>
      <c r="U417" s="88"/>
      <c r="V417" s="88"/>
      <c r="W417" s="96"/>
      <c r="X417" s="96"/>
      <c r="Y417" s="96"/>
      <c r="AA417" s="96"/>
      <c r="AB417" s="751" t="s">
        <v>113</v>
      </c>
      <c r="AC417" s="751"/>
      <c r="AD417" s="751"/>
      <c r="AE417" s="758"/>
      <c r="AF417" s="88"/>
      <c r="AG417" s="88"/>
    </row>
    <row r="418" spans="1:53" ht="13.5" thickBot="1" x14ac:dyDescent="0.25">
      <c r="A418" s="88"/>
      <c r="B418" s="88"/>
      <c r="C418" s="88"/>
      <c r="D418" s="88"/>
      <c r="E418" s="88"/>
      <c r="F418" s="88"/>
      <c r="G418" s="88"/>
      <c r="H418" s="88"/>
      <c r="I418" s="88"/>
      <c r="J418" s="753" t="str">
        <f>IF(K443=1,B430,IF(K443=2,B431,IF(K443=3,B432,IF(K443=4,B433,"Division Winner"))))</f>
        <v>PRV - 13U Bayley</v>
      </c>
      <c r="K418" s="754"/>
      <c r="L418" s="754"/>
      <c r="M418" s="754"/>
      <c r="N418" s="754"/>
      <c r="O418" s="754"/>
      <c r="P418" s="754"/>
      <c r="Q418" s="89"/>
      <c r="R418" s="88"/>
      <c r="S418" s="88"/>
      <c r="T418" s="88"/>
      <c r="U418" s="88"/>
      <c r="V418" s="88"/>
      <c r="W418" s="88"/>
      <c r="X418" s="88"/>
      <c r="Y418" s="88"/>
      <c r="Z418" s="88"/>
      <c r="AA418" s="107"/>
      <c r="AB418" s="107"/>
      <c r="AC418" s="107"/>
      <c r="AD418" s="107"/>
      <c r="AE418" s="166"/>
      <c r="AF418" s="754" t="str">
        <f>IF(AF443=1,X430,IF(AF443=2,X431,IF(AF443=3,X432,IF(AF443=4,X433,"Division Winner"))))</f>
        <v>SOAR WINGS 13U</v>
      </c>
      <c r="AG418" s="754"/>
      <c r="AH418" s="754"/>
      <c r="AI418" s="754"/>
      <c r="AJ418" s="754"/>
      <c r="AK418" s="107"/>
      <c r="AW418" s="65"/>
      <c r="AX418" s="61"/>
      <c r="AY418" s="61"/>
      <c r="AZ418" s="61"/>
      <c r="BA418" s="61"/>
    </row>
    <row r="419" spans="1:53" ht="13.5" thickBot="1" x14ac:dyDescent="0.25">
      <c r="A419" s="736" t="str">
        <f>IF(E438=1,B430,IF(E438=2,B431,IF(E438=3,B432,IF(E438=4,B433,IF(OR(E438="B",E438="b"),"BYE","invalid")))))</f>
        <v>MBVC 14 Black</v>
      </c>
      <c r="B419" s="736"/>
      <c r="C419" s="736"/>
      <c r="D419" s="736"/>
      <c r="E419" s="736"/>
      <c r="F419" s="746" t="s">
        <v>162</v>
      </c>
      <c r="G419" s="746"/>
      <c r="H419" s="746"/>
      <c r="I419" s="746"/>
      <c r="J419" s="750" t="s">
        <v>163</v>
      </c>
      <c r="K419" s="751"/>
      <c r="L419" s="751"/>
      <c r="M419" s="751"/>
      <c r="N419" s="751"/>
      <c r="O419" s="751"/>
      <c r="P419" s="751"/>
      <c r="R419" s="107"/>
      <c r="S419" s="107"/>
      <c r="T419" s="107"/>
      <c r="U419" s="736" t="str">
        <f>IF(Z438=1,X430,IF(Z438=2,X431,IF(Z438=3,X432,IF(Z438=4,X433,IF(OR(Z438="B",Z438="b"),"BYE","invalid")))))</f>
        <v>SOAR WINGS 13U</v>
      </c>
      <c r="V419" s="736"/>
      <c r="W419" s="736"/>
      <c r="X419" s="736"/>
      <c r="Y419" s="736"/>
      <c r="Z419" s="736"/>
      <c r="AA419" s="736"/>
      <c r="AB419" s="746" t="s">
        <v>276</v>
      </c>
      <c r="AC419" s="746"/>
      <c r="AD419" s="746"/>
      <c r="AE419" s="747"/>
      <c r="AF419" s="755" t="s">
        <v>277</v>
      </c>
      <c r="AG419" s="756"/>
      <c r="AH419" s="756"/>
      <c r="AI419" s="756"/>
      <c r="AJ419" s="756"/>
      <c r="AW419" s="65"/>
      <c r="AX419" s="61"/>
      <c r="AY419" s="61"/>
      <c r="AZ419" s="61"/>
      <c r="BA419" s="61"/>
    </row>
    <row r="420" spans="1:53" x14ac:dyDescent="0.2">
      <c r="A420" s="738" t="s">
        <v>278</v>
      </c>
      <c r="B420" s="738"/>
      <c r="C420" s="738"/>
      <c r="D420" s="738"/>
      <c r="E420" s="738"/>
      <c r="F420" s="91"/>
      <c r="G420" s="88"/>
      <c r="H420" s="88"/>
      <c r="I420" s="88"/>
      <c r="J420" s="750"/>
      <c r="K420" s="751"/>
      <c r="L420" s="751"/>
      <c r="M420" s="751"/>
      <c r="N420" s="751"/>
      <c r="O420" s="751"/>
      <c r="P420" s="751"/>
      <c r="Q420" s="88"/>
      <c r="R420" s="104"/>
      <c r="S420" s="104"/>
      <c r="T420" s="104"/>
      <c r="U420" s="739" t="s">
        <v>166</v>
      </c>
      <c r="V420" s="739"/>
      <c r="W420" s="739"/>
      <c r="X420" s="739"/>
      <c r="Y420" s="739"/>
      <c r="Z420" s="739"/>
      <c r="AA420" s="752"/>
      <c r="AB420" s="88"/>
      <c r="AC420" s="88"/>
      <c r="AD420" s="88"/>
      <c r="AE420" s="165"/>
      <c r="AF420" s="88"/>
      <c r="AG420" s="88"/>
      <c r="AW420" s="65"/>
      <c r="AX420" s="61"/>
      <c r="AY420" s="61"/>
      <c r="AZ420" s="61"/>
      <c r="BA420" s="61"/>
    </row>
    <row r="421" spans="1:53" x14ac:dyDescent="0.2">
      <c r="A421" s="88"/>
      <c r="B421" s="88"/>
      <c r="C421" s="88"/>
      <c r="D421" s="88"/>
      <c r="E421" s="88"/>
      <c r="F421" s="91"/>
      <c r="G421" s="88"/>
      <c r="H421" s="88"/>
      <c r="I421" s="88"/>
      <c r="J421" s="91"/>
      <c r="K421" s="88"/>
      <c r="L421" s="88"/>
      <c r="M421" s="88"/>
      <c r="N421" s="88"/>
      <c r="P421" s="88"/>
      <c r="Q421" s="88"/>
      <c r="R421" s="88"/>
      <c r="S421" s="88"/>
      <c r="T421" s="88"/>
      <c r="U421" s="88"/>
      <c r="V421" s="88"/>
      <c r="W421" s="88"/>
      <c r="X421" s="88"/>
      <c r="Y421" s="88"/>
      <c r="Z421" s="88"/>
      <c r="AA421" s="165"/>
      <c r="AB421" s="91"/>
      <c r="AC421" s="88"/>
      <c r="AD421" s="88"/>
      <c r="AE421" s="165"/>
      <c r="AF421" s="88"/>
      <c r="AG421" s="88"/>
      <c r="AW421" s="65"/>
      <c r="AX421" s="61"/>
      <c r="AY421" s="61"/>
      <c r="AZ421" s="61"/>
      <c r="BA421" s="61"/>
    </row>
    <row r="422" spans="1:53" ht="13.5" thickBot="1" x14ac:dyDescent="0.25">
      <c r="A422" s="751" t="s">
        <v>120</v>
      </c>
      <c r="B422" s="751"/>
      <c r="C422" s="751"/>
      <c r="D422" s="751"/>
      <c r="E422" s="95"/>
      <c r="F422" s="741"/>
      <c r="G422" s="742"/>
      <c r="H422" s="742"/>
      <c r="I422" s="743"/>
      <c r="J422" s="744"/>
      <c r="K422" s="745"/>
      <c r="L422" s="745"/>
      <c r="M422" s="745"/>
      <c r="N422" s="745"/>
      <c r="Q422" s="96"/>
      <c r="R422" s="96"/>
      <c r="S422" s="96"/>
      <c r="T422" s="751" t="s">
        <v>120</v>
      </c>
      <c r="U422" s="751"/>
      <c r="V422" s="751"/>
      <c r="W422" s="751"/>
      <c r="X422" s="751"/>
      <c r="Y422" s="751"/>
      <c r="Z422" s="751"/>
      <c r="AA422" s="88"/>
      <c r="AB422" s="741"/>
      <c r="AC422" s="742"/>
      <c r="AD422" s="742"/>
      <c r="AE422" s="743"/>
      <c r="AF422" s="744"/>
      <c r="AG422" s="745"/>
      <c r="AH422" s="745"/>
      <c r="AW422" s="65"/>
      <c r="AX422" s="61"/>
      <c r="AY422" s="61"/>
      <c r="AZ422" s="61"/>
      <c r="BA422" s="61"/>
    </row>
    <row r="423" spans="1:53" x14ac:dyDescent="0.2">
      <c r="A423" s="746" t="s">
        <v>165</v>
      </c>
      <c r="B423" s="746"/>
      <c r="C423" s="746"/>
      <c r="D423" s="746"/>
      <c r="E423" s="747"/>
      <c r="F423" s="748" t="str">
        <f>IF(J438=1,B430,IF(J438=2,B431,IF(J438=3,B432,IF(J438=4,B433,"Winner Match 2"))))</f>
        <v>MBVC 14 Black</v>
      </c>
      <c r="G423" s="749"/>
      <c r="H423" s="749"/>
      <c r="I423" s="749"/>
      <c r="J423" s="749"/>
      <c r="K423" s="749"/>
      <c r="L423" s="749"/>
      <c r="M423" s="749"/>
      <c r="N423" s="749"/>
      <c r="P423" s="95"/>
      <c r="Q423" s="95"/>
      <c r="S423" s="102"/>
      <c r="T423" s="746" t="s">
        <v>273</v>
      </c>
      <c r="U423" s="746"/>
      <c r="V423" s="746"/>
      <c r="W423" s="746"/>
      <c r="X423" s="746"/>
      <c r="Y423" s="746"/>
      <c r="Z423" s="746"/>
      <c r="AA423" s="165"/>
      <c r="AB423" s="748" t="str">
        <f>IF(AE438=1,X430,IF(AE438=2,X431,IF(AE438=3,X432,IF(AE438=4,X433,"Winner Match 2"))))</f>
        <v>SOAR WINGS 13U</v>
      </c>
      <c r="AC423" s="749"/>
      <c r="AD423" s="749"/>
      <c r="AE423" s="749"/>
      <c r="AF423" s="749"/>
      <c r="AG423" s="749"/>
      <c r="AH423" s="749"/>
      <c r="AW423" s="65"/>
      <c r="AX423" s="61"/>
      <c r="AY423" s="61"/>
      <c r="AZ423" s="61"/>
      <c r="BA423" s="61"/>
    </row>
    <row r="424" spans="1:53" ht="13.5" thickBot="1" x14ac:dyDescent="0.25">
      <c r="A424" s="736" t="str">
        <f>IF(G438=1,B430,IF(G438=2,B431,IF(G438=3,B432,IF(G438=4,B433,IF(OR(G438="B",G438="b"),"BYE","invalid")))))</f>
        <v>MOTO 13-1 IGNITE</v>
      </c>
      <c r="B424" s="736"/>
      <c r="C424" s="736"/>
      <c r="D424" s="736"/>
      <c r="E424" s="737"/>
      <c r="F424" s="91"/>
      <c r="G424" s="88"/>
      <c r="H424" s="88"/>
      <c r="I424" s="88"/>
      <c r="J424" s="88"/>
      <c r="K424" s="88"/>
      <c r="L424" s="88"/>
      <c r="M424" s="88"/>
      <c r="N424" s="88"/>
      <c r="P424" s="88"/>
      <c r="Q424" s="88"/>
      <c r="R424" s="88"/>
      <c r="S424" s="107"/>
      <c r="T424" s="107"/>
      <c r="U424" s="736" t="str">
        <f>IF(AB438=1,X430,IF(AB438=2,X431,IF(AB438=3,X432,IF(AB438=4,X433,IF(OR(AB438="B",AB438="b"),"BYE","invalid")))))</f>
        <v>Vision 13 Regional</v>
      </c>
      <c r="V424" s="736"/>
      <c r="W424" s="736"/>
      <c r="X424" s="736"/>
      <c r="Y424" s="736"/>
      <c r="Z424" s="736"/>
      <c r="AA424" s="737"/>
      <c r="AB424" s="88"/>
      <c r="AC424" s="88"/>
      <c r="AD424" s="88"/>
      <c r="AE424" s="88"/>
      <c r="AW424" s="65"/>
      <c r="AX424" s="61"/>
      <c r="AY424" s="61"/>
      <c r="AZ424" s="61"/>
      <c r="BA424" s="61"/>
    </row>
    <row r="425" spans="1:53" x14ac:dyDescent="0.2">
      <c r="A425" s="738" t="s">
        <v>279</v>
      </c>
      <c r="B425" s="738"/>
      <c r="C425" s="738"/>
      <c r="D425" s="738"/>
      <c r="E425" s="738"/>
      <c r="S425" s="104"/>
      <c r="T425" s="104"/>
      <c r="U425" s="739" t="s">
        <v>169</v>
      </c>
      <c r="V425" s="739"/>
      <c r="W425" s="739"/>
      <c r="X425" s="739"/>
      <c r="Y425" s="739"/>
      <c r="Z425" s="739"/>
      <c r="AA425" s="739"/>
      <c r="AW425" s="65"/>
      <c r="AX425" s="61"/>
      <c r="AY425" s="61"/>
      <c r="AZ425" s="61"/>
      <c r="BA425" s="61"/>
    </row>
    <row r="426" spans="1:53" x14ac:dyDescent="0.2">
      <c r="AW426" s="72"/>
      <c r="AX426" s="71"/>
      <c r="AY426" s="71"/>
      <c r="AZ426" s="71"/>
      <c r="BA426" s="71"/>
    </row>
    <row r="427" spans="1:53" x14ac:dyDescent="0.2">
      <c r="AW427" s="78"/>
      <c r="AX427" s="77"/>
      <c r="AY427" s="77"/>
      <c r="AZ427" s="77"/>
      <c r="BA427" s="77"/>
    </row>
    <row r="428" spans="1:53" ht="16.5" thickBot="1" x14ac:dyDescent="0.3">
      <c r="A428" s="740" t="s">
        <v>167</v>
      </c>
      <c r="B428" s="740"/>
      <c r="C428" s="740"/>
      <c r="D428" s="740"/>
      <c r="E428" s="740"/>
      <c r="F428" s="740"/>
      <c r="G428" s="740"/>
      <c r="H428" s="740"/>
      <c r="I428" s="740"/>
      <c r="J428" s="740"/>
      <c r="Q428" s="82"/>
      <c r="R428" s="82"/>
      <c r="S428" s="82"/>
      <c r="U428" s="740" t="s">
        <v>280</v>
      </c>
      <c r="V428" s="740"/>
      <c r="W428" s="740"/>
      <c r="X428" s="740"/>
      <c r="Y428" s="740"/>
      <c r="Z428" s="740"/>
      <c r="AA428" s="740"/>
      <c r="AB428" s="740"/>
      <c r="AC428" s="740"/>
      <c r="AD428" s="740"/>
      <c r="AE428" s="740"/>
      <c r="AF428" s="740"/>
      <c r="AW428" s="78"/>
      <c r="AX428" s="77"/>
      <c r="AY428" s="77"/>
      <c r="AZ428" s="77"/>
      <c r="BA428" s="77"/>
    </row>
    <row r="429" spans="1:53" ht="13.5" thickBot="1" x14ac:dyDescent="0.25">
      <c r="A429" s="113" t="s">
        <v>125</v>
      </c>
      <c r="B429" s="730" t="s">
        <v>126</v>
      </c>
      <c r="C429" s="731"/>
      <c r="D429" s="731"/>
      <c r="E429" s="731"/>
      <c r="F429" s="731"/>
      <c r="G429" s="731"/>
      <c r="H429" s="731"/>
      <c r="I429" s="731"/>
      <c r="J429" s="732"/>
      <c r="K429" s="733" t="s">
        <v>127</v>
      </c>
      <c r="L429" s="734"/>
      <c r="M429" s="734"/>
      <c r="N429" s="734"/>
      <c r="O429" s="734"/>
      <c r="P429" s="734"/>
      <c r="Q429" s="735"/>
      <c r="U429" s="718" t="s">
        <v>125</v>
      </c>
      <c r="V429" s="719"/>
      <c r="W429" s="720"/>
      <c r="X429" s="730" t="s">
        <v>126</v>
      </c>
      <c r="Y429" s="731"/>
      <c r="Z429" s="731"/>
      <c r="AA429" s="731"/>
      <c r="AB429" s="731"/>
      <c r="AC429" s="731"/>
      <c r="AD429" s="731"/>
      <c r="AE429" s="731"/>
      <c r="AF429" s="732"/>
      <c r="AG429" s="733" t="s">
        <v>127</v>
      </c>
      <c r="AH429" s="734"/>
      <c r="AI429" s="734"/>
      <c r="AJ429" s="734"/>
      <c r="AK429" s="734"/>
      <c r="AL429" s="734"/>
      <c r="AM429" s="735"/>
      <c r="AW429" s="65"/>
      <c r="AX429" s="61"/>
      <c r="AY429" s="61"/>
      <c r="AZ429" s="61"/>
      <c r="BA429" s="61"/>
    </row>
    <row r="430" spans="1:53" ht="13.5" thickBot="1" x14ac:dyDescent="0.25">
      <c r="A430" s="113">
        <v>1</v>
      </c>
      <c r="B430" s="712" t="str">
        <f>V349</f>
        <v>PRV - 13U Bayley</v>
      </c>
      <c r="C430" s="713"/>
      <c r="D430" s="713"/>
      <c r="E430" s="713"/>
      <c r="F430" s="713"/>
      <c r="G430" s="713"/>
      <c r="H430" s="713"/>
      <c r="I430" s="713"/>
      <c r="J430" s="714"/>
      <c r="K430" s="715" t="str">
        <f>AB349</f>
        <v>fj3prage1pm</v>
      </c>
      <c r="L430" s="716"/>
      <c r="M430" s="716"/>
      <c r="N430" s="716"/>
      <c r="O430" s="716"/>
      <c r="P430" s="716"/>
      <c r="Q430" s="717"/>
      <c r="U430" s="718">
        <v>1</v>
      </c>
      <c r="V430" s="719"/>
      <c r="W430" s="720"/>
      <c r="X430" s="712" t="str">
        <f>AF349</f>
        <v>Foothills 13 May</v>
      </c>
      <c r="Y430" s="713"/>
      <c r="Z430" s="713"/>
      <c r="AA430" s="713"/>
      <c r="AB430" s="713"/>
      <c r="AC430" s="713"/>
      <c r="AD430" s="713"/>
      <c r="AE430" s="713"/>
      <c r="AF430" s="714"/>
      <c r="AG430" s="715" t="str">
        <f>AL349</f>
        <v>fj3footh1pm</v>
      </c>
      <c r="AH430" s="716"/>
      <c r="AI430" s="716"/>
      <c r="AJ430" s="716"/>
      <c r="AK430" s="716"/>
      <c r="AL430" s="716"/>
      <c r="AM430" s="717"/>
      <c r="AW430" s="65"/>
      <c r="AX430" s="61"/>
      <c r="AY430" s="61"/>
      <c r="AZ430" s="61"/>
      <c r="BA430" s="61"/>
    </row>
    <row r="431" spans="1:53" ht="13.5" thickBot="1" x14ac:dyDescent="0.25">
      <c r="A431" s="113">
        <v>2</v>
      </c>
      <c r="B431" s="712" t="str">
        <f>V350</f>
        <v>MBVC 14 Black</v>
      </c>
      <c r="C431" s="713"/>
      <c r="D431" s="713"/>
      <c r="E431" s="713"/>
      <c r="F431" s="713"/>
      <c r="G431" s="713"/>
      <c r="H431" s="713"/>
      <c r="I431" s="713"/>
      <c r="J431" s="714"/>
      <c r="K431" s="715" t="str">
        <f>AB350</f>
        <v>fj4mbeac1pm</v>
      </c>
      <c r="L431" s="716"/>
      <c r="M431" s="716"/>
      <c r="N431" s="716"/>
      <c r="O431" s="716"/>
      <c r="P431" s="716"/>
      <c r="Q431" s="717"/>
      <c r="U431" s="718">
        <v>2</v>
      </c>
      <c r="V431" s="719"/>
      <c r="W431" s="720"/>
      <c r="X431" s="712" t="str">
        <f>AF350</f>
        <v>SOAR WINGS 13U</v>
      </c>
      <c r="Y431" s="713"/>
      <c r="Z431" s="713"/>
      <c r="AA431" s="713"/>
      <c r="AB431" s="713"/>
      <c r="AC431" s="713"/>
      <c r="AD431" s="713"/>
      <c r="AE431" s="713"/>
      <c r="AF431" s="714"/>
      <c r="AG431" s="715" t="str">
        <f>AL350</f>
        <v>fj3soarj1pm</v>
      </c>
      <c r="AH431" s="716"/>
      <c r="AI431" s="716"/>
      <c r="AJ431" s="716"/>
      <c r="AK431" s="716"/>
      <c r="AL431" s="716"/>
      <c r="AM431" s="717"/>
    </row>
    <row r="432" spans="1:53" ht="13.5" thickBot="1" x14ac:dyDescent="0.25">
      <c r="A432" s="113">
        <v>3</v>
      </c>
      <c r="B432" s="712" t="str">
        <f>V351</f>
        <v>MOTO 13-1 IGNITE</v>
      </c>
      <c r="C432" s="713"/>
      <c r="D432" s="713"/>
      <c r="E432" s="713"/>
      <c r="F432" s="713"/>
      <c r="G432" s="713"/>
      <c r="H432" s="713"/>
      <c r="I432" s="713"/>
      <c r="J432" s="714"/>
      <c r="K432" s="715" t="str">
        <f>AB351</f>
        <v>fj3motojapm</v>
      </c>
      <c r="L432" s="716"/>
      <c r="M432" s="716"/>
      <c r="N432" s="716"/>
      <c r="O432" s="716"/>
      <c r="P432" s="716"/>
      <c r="Q432" s="717"/>
      <c r="U432" s="718">
        <v>3</v>
      </c>
      <c r="V432" s="719"/>
      <c r="W432" s="720"/>
      <c r="X432" s="712" t="str">
        <f>AF351</f>
        <v>Vision 13 Regional</v>
      </c>
      <c r="Y432" s="713"/>
      <c r="Z432" s="713"/>
      <c r="AA432" s="713"/>
      <c r="AB432" s="713"/>
      <c r="AC432" s="713"/>
      <c r="AD432" s="713"/>
      <c r="AE432" s="713"/>
      <c r="AF432" s="714"/>
      <c r="AG432" s="715" t="str">
        <f>AL351</f>
        <v>fj3vison3pm</v>
      </c>
      <c r="AH432" s="716"/>
      <c r="AI432" s="716"/>
      <c r="AJ432" s="716"/>
      <c r="AK432" s="716"/>
      <c r="AL432" s="716"/>
      <c r="AM432" s="717"/>
    </row>
    <row r="433" spans="1:47" ht="13.5" thickBot="1" x14ac:dyDescent="0.25">
      <c r="A433" s="113">
        <v>4</v>
      </c>
      <c r="B433" s="712" t="str">
        <f>V352</f>
        <v>PRV - 13U Brittany</v>
      </c>
      <c r="C433" s="713"/>
      <c r="D433" s="713"/>
      <c r="E433" s="713"/>
      <c r="F433" s="713"/>
      <c r="G433" s="713"/>
      <c r="H433" s="713"/>
      <c r="I433" s="713"/>
      <c r="J433" s="714"/>
      <c r="K433" s="715" t="str">
        <f>AB352</f>
        <v>fj3prage2pm</v>
      </c>
      <c r="L433" s="716"/>
      <c r="M433" s="716"/>
      <c r="N433" s="716"/>
      <c r="O433" s="716"/>
      <c r="P433" s="716"/>
      <c r="Q433" s="717"/>
      <c r="U433" s="718">
        <v>4</v>
      </c>
      <c r="V433" s="719"/>
      <c r="W433" s="720"/>
      <c r="X433" s="712" t="str">
        <f>AF352</f>
        <v>Branchville U14 Juniors</v>
      </c>
      <c r="Y433" s="713"/>
      <c r="Z433" s="713"/>
      <c r="AA433" s="713"/>
      <c r="AB433" s="713"/>
      <c r="AC433" s="713"/>
      <c r="AD433" s="713"/>
      <c r="AE433" s="713"/>
      <c r="AF433" s="714"/>
      <c r="AG433" s="715" t="str">
        <f>AL352</f>
        <v>fj4branc3pm</v>
      </c>
      <c r="AH433" s="716"/>
      <c r="AI433" s="716"/>
      <c r="AJ433" s="716"/>
      <c r="AK433" s="716"/>
      <c r="AL433" s="716"/>
      <c r="AM433" s="717"/>
    </row>
    <row r="434" spans="1:47" ht="13.5" thickBot="1" x14ac:dyDescent="0.25"/>
    <row r="435" spans="1:47" x14ac:dyDescent="0.2">
      <c r="B435" s="721" t="s">
        <v>128</v>
      </c>
      <c r="C435" s="693"/>
      <c r="D435" s="694"/>
      <c r="E435" s="692" t="s">
        <v>128</v>
      </c>
      <c r="F435" s="693"/>
      <c r="G435" s="694"/>
      <c r="H435" s="692" t="s">
        <v>11</v>
      </c>
      <c r="I435" s="693"/>
      <c r="J435" s="695"/>
      <c r="K435" s="696" t="s">
        <v>129</v>
      </c>
      <c r="L435" s="722"/>
      <c r="M435" s="722"/>
      <c r="N435" s="722"/>
      <c r="O435" s="722"/>
      <c r="P435" s="722"/>
      <c r="Q435" s="723"/>
      <c r="R435" s="85"/>
      <c r="S435" s="85"/>
      <c r="T435" s="85"/>
      <c r="U435" s="85"/>
      <c r="W435" s="721" t="s">
        <v>128</v>
      </c>
      <c r="X435" s="693"/>
      <c r="Y435" s="694"/>
      <c r="Z435" s="692" t="s">
        <v>128</v>
      </c>
      <c r="AA435" s="693"/>
      <c r="AB435" s="694"/>
      <c r="AC435" s="692" t="s">
        <v>11</v>
      </c>
      <c r="AD435" s="693"/>
      <c r="AE435" s="695"/>
      <c r="AF435" s="696" t="s">
        <v>129</v>
      </c>
      <c r="AG435" s="697"/>
      <c r="AH435" s="697"/>
      <c r="AI435" s="697"/>
      <c r="AJ435" s="698"/>
    </row>
    <row r="436" spans="1:47" x14ac:dyDescent="0.2">
      <c r="A436" s="41" t="s">
        <v>130</v>
      </c>
      <c r="B436" s="705">
        <v>3</v>
      </c>
      <c r="C436" s="706"/>
      <c r="D436" s="707"/>
      <c r="E436" s="708" t="s">
        <v>131</v>
      </c>
      <c r="F436" s="706"/>
      <c r="G436" s="707"/>
      <c r="H436" s="708" t="s">
        <v>132</v>
      </c>
      <c r="I436" s="706"/>
      <c r="J436" s="709"/>
      <c r="K436" s="724"/>
      <c r="L436" s="725"/>
      <c r="M436" s="725"/>
      <c r="N436" s="725"/>
      <c r="O436" s="725"/>
      <c r="P436" s="725"/>
      <c r="Q436" s="726"/>
      <c r="R436" s="85"/>
      <c r="S436" s="85"/>
      <c r="T436" s="710" t="s">
        <v>130</v>
      </c>
      <c r="U436" s="710"/>
      <c r="V436" s="711"/>
      <c r="W436" s="705">
        <v>3</v>
      </c>
      <c r="X436" s="706"/>
      <c r="Y436" s="707"/>
      <c r="Z436" s="708" t="s">
        <v>131</v>
      </c>
      <c r="AA436" s="706"/>
      <c r="AB436" s="707"/>
      <c r="AC436" s="708" t="s">
        <v>132</v>
      </c>
      <c r="AD436" s="706"/>
      <c r="AE436" s="709"/>
      <c r="AF436" s="699"/>
      <c r="AG436" s="700"/>
      <c r="AH436" s="700"/>
      <c r="AI436" s="700"/>
      <c r="AJ436" s="701"/>
    </row>
    <row r="437" spans="1:47" ht="13.5" thickBot="1" x14ac:dyDescent="0.25">
      <c r="A437" s="11"/>
      <c r="B437" s="690" t="s">
        <v>43</v>
      </c>
      <c r="C437" s="685"/>
      <c r="D437" s="691"/>
      <c r="E437" s="684" t="s">
        <v>133</v>
      </c>
      <c r="F437" s="685"/>
      <c r="G437" s="691"/>
      <c r="H437" s="684" t="s">
        <v>134</v>
      </c>
      <c r="I437" s="685"/>
      <c r="J437" s="686"/>
      <c r="K437" s="727"/>
      <c r="L437" s="728"/>
      <c r="M437" s="728"/>
      <c r="N437" s="728"/>
      <c r="O437" s="728"/>
      <c r="P437" s="728"/>
      <c r="Q437" s="729"/>
      <c r="R437" s="85"/>
      <c r="S437" s="85"/>
      <c r="T437" s="671"/>
      <c r="U437" s="671"/>
      <c r="V437" s="672"/>
      <c r="W437" s="690" t="s">
        <v>43</v>
      </c>
      <c r="X437" s="685"/>
      <c r="Y437" s="691"/>
      <c r="Z437" s="684" t="s">
        <v>133</v>
      </c>
      <c r="AA437" s="685"/>
      <c r="AB437" s="691"/>
      <c r="AC437" s="684" t="s">
        <v>134</v>
      </c>
      <c r="AD437" s="685"/>
      <c r="AE437" s="686"/>
      <c r="AF437" s="702"/>
      <c r="AG437" s="703"/>
      <c r="AH437" s="703"/>
      <c r="AI437" s="703"/>
      <c r="AJ437" s="704"/>
    </row>
    <row r="438" spans="1:47" ht="13.5" thickBot="1" x14ac:dyDescent="0.25">
      <c r="A438" s="11"/>
      <c r="B438" s="117">
        <v>1</v>
      </c>
      <c r="C438" s="118" t="s">
        <v>51</v>
      </c>
      <c r="D438" s="119">
        <v>4</v>
      </c>
      <c r="E438" s="120">
        <v>2</v>
      </c>
      <c r="F438" s="118" t="s">
        <v>51</v>
      </c>
      <c r="G438" s="119">
        <v>3</v>
      </c>
      <c r="H438" s="121">
        <f>IF(OR(AND(OR(B442&gt;0,D442&gt;0),B442&gt;D442),OR(D438="b",D438="B")),B438,IF(OR(AND(OR(B442&gt;0,D442&gt;0),D442&gt;B442),OR(B438="b",B438="B")),D438,"W1"))</f>
        <v>1</v>
      </c>
      <c r="I438" s="122" t="s">
        <v>51</v>
      </c>
      <c r="J438" s="123">
        <f>IF(OR(AND(OR(E442&gt;0,G442&gt;0),E442&gt;G442),OR(G438="b",G438="B")),E438,IF(OR(AND(OR(E442&gt;0,G442&gt;0),G442&gt;E442),OR(E438="b",E438="B")),G438,"W2"))</f>
        <v>2</v>
      </c>
      <c r="K438" s="687" t="s">
        <v>135</v>
      </c>
      <c r="L438" s="688"/>
      <c r="M438" s="688"/>
      <c r="N438" s="689"/>
      <c r="R438" s="85"/>
      <c r="S438" s="85"/>
      <c r="T438" s="671"/>
      <c r="U438" s="671"/>
      <c r="V438" s="672"/>
      <c r="W438" s="117">
        <v>1</v>
      </c>
      <c r="X438" s="118" t="s">
        <v>51</v>
      </c>
      <c r="Y438" s="119">
        <v>4</v>
      </c>
      <c r="Z438" s="120">
        <v>2</v>
      </c>
      <c r="AA438" s="118" t="s">
        <v>51</v>
      </c>
      <c r="AB438" s="119">
        <v>3</v>
      </c>
      <c r="AC438" s="121">
        <f>IF(OR(AND(OR(W442&gt;0,Y442&gt;0),W442&gt;Y442),OR(Y438="b",Y438="B")),W438,IF(OR(AND(OR(W442&gt;0,Y442&gt;0),Y442&gt;W442),OR(W438="b",W438="B")),Y438,"W1"))</f>
        <v>1</v>
      </c>
      <c r="AD438" s="122" t="s">
        <v>51</v>
      </c>
      <c r="AE438" s="123">
        <f>IF(OR(AND(OR(Z442&gt;0,AB442&gt;0),Z442&gt;AB442),OR(AB438="b",AB438="B")),Z438,IF(OR(AND(OR(Z442&gt;0,AB442&gt;0),AB442&gt;Z442),OR(Z438="b",Z438="B")),AB438,"W2"))</f>
        <v>2</v>
      </c>
      <c r="AF438" s="687" t="s">
        <v>135</v>
      </c>
      <c r="AG438" s="689"/>
      <c r="AH438" s="85"/>
      <c r="AI438" s="85"/>
      <c r="AJ438" s="85"/>
    </row>
    <row r="439" spans="1:47" ht="13.5" hidden="1" customHeight="1" x14ac:dyDescent="0.2">
      <c r="A439" s="11"/>
      <c r="B439" s="129">
        <f>IF(B443&gt;D443,1,0)</f>
        <v>1</v>
      </c>
      <c r="C439" s="130"/>
      <c r="D439" s="131">
        <f>IF(D443&gt;B443,1,0)</f>
        <v>0</v>
      </c>
      <c r="E439" s="129">
        <f>IF(E443&gt;G443,1,0)</f>
        <v>1</v>
      </c>
      <c r="F439" s="130"/>
      <c r="G439" s="131">
        <f>IF(G443&gt;E443,1,0)</f>
        <v>0</v>
      </c>
      <c r="H439" s="129">
        <f>IF(H443&gt;J443,1,0)</f>
        <v>1</v>
      </c>
      <c r="I439" s="130"/>
      <c r="J439" s="131">
        <f>IF(J443&gt;H443,1,0)</f>
        <v>0</v>
      </c>
      <c r="K439" s="132"/>
      <c r="L439" s="133"/>
      <c r="M439" s="133"/>
      <c r="N439" s="134"/>
      <c r="R439" s="85"/>
      <c r="S439" s="85"/>
      <c r="T439" s="671"/>
      <c r="U439" s="671"/>
      <c r="V439" s="672"/>
      <c r="W439" s="129">
        <f>IF(W443&gt;Y443,1,0)</f>
        <v>1</v>
      </c>
      <c r="X439" s="130"/>
      <c r="Y439" s="131">
        <f>IF(Y443&gt;W443,1,0)</f>
        <v>0</v>
      </c>
      <c r="Z439" s="129">
        <f>IF(Z443&gt;AB443,1,0)</f>
        <v>1</v>
      </c>
      <c r="AA439" s="130"/>
      <c r="AB439" s="131">
        <f>IF(AB443&gt;Z443,1,0)</f>
        <v>0</v>
      </c>
      <c r="AC439" s="129">
        <f>IF(AC443&gt;AE443,1,0)</f>
        <v>1</v>
      </c>
      <c r="AD439" s="130"/>
      <c r="AE439" s="131">
        <f>IF(AE443&gt;AC443,1,0)</f>
        <v>0</v>
      </c>
      <c r="AF439" s="124"/>
      <c r="AG439" s="125"/>
      <c r="AH439" s="85"/>
      <c r="AI439" s="85"/>
      <c r="AJ439" s="85"/>
    </row>
    <row r="440" spans="1:47" ht="13.5" hidden="1" customHeight="1" x14ac:dyDescent="0.2">
      <c r="A440" s="11"/>
      <c r="B440" s="129">
        <f>IF(B444&gt;D444,1,0)</f>
        <v>0</v>
      </c>
      <c r="C440" s="130"/>
      <c r="D440" s="131">
        <f>IF(D444&gt;B444,1,0)</f>
        <v>0</v>
      </c>
      <c r="E440" s="129">
        <f>IF(E444&gt;G444,1,0)</f>
        <v>0</v>
      </c>
      <c r="F440" s="130"/>
      <c r="G440" s="131">
        <f>IF(G444&gt;E444,1,0)</f>
        <v>0</v>
      </c>
      <c r="H440" s="129">
        <f>IF(H444&gt;J444,1,0)</f>
        <v>0</v>
      </c>
      <c r="I440" s="130"/>
      <c r="J440" s="131">
        <f>IF(J444&gt;H444,1,0)</f>
        <v>1</v>
      </c>
      <c r="K440" s="132"/>
      <c r="L440" s="133"/>
      <c r="M440" s="133"/>
      <c r="N440" s="134"/>
      <c r="R440" s="85"/>
      <c r="S440" s="85"/>
      <c r="T440" s="671"/>
      <c r="U440" s="671"/>
      <c r="V440" s="672"/>
      <c r="W440" s="129">
        <f>IF(W444&gt;Y444,1,0)</f>
        <v>0</v>
      </c>
      <c r="X440" s="130"/>
      <c r="Y440" s="131">
        <f>IF(Y444&gt;W444,1,0)</f>
        <v>0</v>
      </c>
      <c r="Z440" s="129">
        <f>IF(Z444&gt;AB444,1,0)</f>
        <v>0</v>
      </c>
      <c r="AA440" s="130"/>
      <c r="AB440" s="131">
        <f>IF(AB444&gt;Z444,1,0)</f>
        <v>0</v>
      </c>
      <c r="AC440" s="129">
        <f>IF(AC444&gt;AE444,1,0)</f>
        <v>0</v>
      </c>
      <c r="AD440" s="130"/>
      <c r="AE440" s="131">
        <f>IF(AE444&gt;AC444,1,0)</f>
        <v>1</v>
      </c>
      <c r="AF440" s="124"/>
      <c r="AG440" s="125"/>
      <c r="AH440" s="85"/>
      <c r="AI440" s="85"/>
      <c r="AJ440" s="85"/>
    </row>
    <row r="441" spans="1:47" ht="13.5" hidden="1" customHeight="1" x14ac:dyDescent="0.2">
      <c r="A441" s="11"/>
      <c r="B441" s="129">
        <f>IF(B445&gt;D445,1,0)</f>
        <v>0</v>
      </c>
      <c r="C441" s="130"/>
      <c r="D441" s="131">
        <f>IF(D445&gt;B445,1,0)</f>
        <v>0</v>
      </c>
      <c r="E441" s="129">
        <f>IF(E445&gt;G445,1,0)</f>
        <v>0</v>
      </c>
      <c r="F441" s="130"/>
      <c r="G441" s="131">
        <f>IF(G445&gt;E445,1,0)</f>
        <v>0</v>
      </c>
      <c r="H441" s="129">
        <f>IF(H445&gt;J445,1,0)</f>
        <v>1</v>
      </c>
      <c r="I441" s="130"/>
      <c r="J441" s="131">
        <f>IF(J445&gt;H445,1,0)</f>
        <v>0</v>
      </c>
      <c r="K441" s="132"/>
      <c r="L441" s="133"/>
      <c r="M441" s="133"/>
      <c r="N441" s="134"/>
      <c r="R441" s="85"/>
      <c r="S441" s="85"/>
      <c r="T441" s="671"/>
      <c r="U441" s="671"/>
      <c r="V441" s="672"/>
      <c r="W441" s="129">
        <f>IF(W445&gt;Y445,1,0)</f>
        <v>0</v>
      </c>
      <c r="X441" s="130"/>
      <c r="Y441" s="131">
        <f>IF(Y445&gt;W445,1,0)</f>
        <v>0</v>
      </c>
      <c r="Z441" s="129">
        <f>IF(Z445&gt;AB445,1,0)</f>
        <v>0</v>
      </c>
      <c r="AA441" s="130"/>
      <c r="AB441" s="131">
        <f>IF(AB445&gt;Z445,1,0)</f>
        <v>0</v>
      </c>
      <c r="AC441" s="129">
        <f>IF(AC445&gt;AE445,1,0)</f>
        <v>0</v>
      </c>
      <c r="AD441" s="130"/>
      <c r="AE441" s="131">
        <f>IF(AE445&gt;AC445,1,0)</f>
        <v>1</v>
      </c>
      <c r="AF441" s="124"/>
      <c r="AG441" s="125"/>
      <c r="AH441" s="85"/>
      <c r="AI441" s="85"/>
      <c r="AJ441" s="85"/>
    </row>
    <row r="442" spans="1:47" ht="13.5" hidden="1" customHeight="1" x14ac:dyDescent="0.2">
      <c r="A442" s="11"/>
      <c r="B442" s="129">
        <f>SUM(B439:B441)</f>
        <v>1</v>
      </c>
      <c r="C442" s="130"/>
      <c r="D442" s="129">
        <f>SUM(D439:D441)</f>
        <v>0</v>
      </c>
      <c r="E442" s="129">
        <f>SUM(E439:E441)</f>
        <v>1</v>
      </c>
      <c r="F442" s="130"/>
      <c r="G442" s="129">
        <f>SUM(G439:G441)</f>
        <v>0</v>
      </c>
      <c r="H442" s="129">
        <f>SUM(H439:H441)</f>
        <v>2</v>
      </c>
      <c r="I442" s="130"/>
      <c r="J442" s="129">
        <f>SUM(J439:J441)</f>
        <v>1</v>
      </c>
      <c r="K442" s="132"/>
      <c r="L442" s="133"/>
      <c r="M442" s="133"/>
      <c r="N442" s="134"/>
      <c r="R442" s="85"/>
      <c r="S442" s="85"/>
      <c r="T442" s="671"/>
      <c r="U442" s="671"/>
      <c r="V442" s="672"/>
      <c r="W442" s="129">
        <f>SUM(W439:W441)</f>
        <v>1</v>
      </c>
      <c r="X442" s="130"/>
      <c r="Y442" s="129">
        <f>SUM(Y439:Y441)</f>
        <v>0</v>
      </c>
      <c r="Z442" s="129">
        <f>SUM(Z439:Z441)</f>
        <v>1</v>
      </c>
      <c r="AA442" s="130"/>
      <c r="AB442" s="129">
        <f>SUM(AB439:AB441)</f>
        <v>0</v>
      </c>
      <c r="AC442" s="129">
        <f>SUM(AC439:AC441)</f>
        <v>1</v>
      </c>
      <c r="AD442" s="130"/>
      <c r="AE442" s="129">
        <f>SUM(AE439:AE441)</f>
        <v>2</v>
      </c>
      <c r="AF442" s="124"/>
      <c r="AG442" s="125"/>
      <c r="AH442" s="85"/>
      <c r="AI442" s="85"/>
      <c r="AJ442" s="85"/>
    </row>
    <row r="443" spans="1:47" ht="12.75" customHeight="1" x14ac:dyDescent="0.2">
      <c r="A443" s="9" t="s">
        <v>52</v>
      </c>
      <c r="B443" s="135">
        <v>25</v>
      </c>
      <c r="C443" s="50" t="s">
        <v>53</v>
      </c>
      <c r="D443" s="136">
        <v>12</v>
      </c>
      <c r="E443" s="137">
        <v>25</v>
      </c>
      <c r="F443" s="50" t="s">
        <v>53</v>
      </c>
      <c r="G443" s="136">
        <v>16</v>
      </c>
      <c r="H443" s="137">
        <v>25</v>
      </c>
      <c r="I443" s="50" t="s">
        <v>53</v>
      </c>
      <c r="J443" s="138">
        <v>8</v>
      </c>
      <c r="K443" s="673">
        <f>IF(AND(OR(H442&gt;0,J442&gt;0),AND(1&lt;=H438,H438&lt;=4),AND(1&lt;=J438,J438&lt;=4)),IF(H442&gt;J442,H438,IF(J442&gt;H442,J438,"")),"")</f>
        <v>1</v>
      </c>
      <c r="L443" s="674"/>
      <c r="M443" s="674"/>
      <c r="N443" s="675"/>
      <c r="R443" s="85"/>
      <c r="S443" s="85"/>
      <c r="T443" s="86"/>
      <c r="U443" s="86"/>
      <c r="V443" s="9" t="s">
        <v>52</v>
      </c>
      <c r="W443" s="135">
        <v>28</v>
      </c>
      <c r="X443" s="50" t="s">
        <v>53</v>
      </c>
      <c r="Y443" s="136">
        <v>26</v>
      </c>
      <c r="Z443" s="137">
        <v>25</v>
      </c>
      <c r="AA443" s="50" t="s">
        <v>53</v>
      </c>
      <c r="AB443" s="136">
        <v>16</v>
      </c>
      <c r="AC443" s="137">
        <v>25</v>
      </c>
      <c r="AD443" s="50" t="s">
        <v>53</v>
      </c>
      <c r="AE443" s="138">
        <v>22</v>
      </c>
      <c r="AF443" s="673">
        <f>IF(AND(OR(AC442&gt;0,AE442&gt;0),AND(1&lt;=AC438,AC438&lt;=4),AND(1&lt;=AE438,AE438&lt;=4)),IF(AC442&gt;AE442,AC438,IF(AE442&gt;AC442,AE438,"")),"")</f>
        <v>2</v>
      </c>
      <c r="AG443" s="675"/>
      <c r="AH443" s="85"/>
      <c r="AI443" s="85"/>
      <c r="AJ443" s="85"/>
    </row>
    <row r="444" spans="1:47" ht="12.75" customHeight="1" x14ac:dyDescent="0.2">
      <c r="A444" s="9" t="s">
        <v>136</v>
      </c>
      <c r="B444" s="135"/>
      <c r="C444" s="50" t="s">
        <v>53</v>
      </c>
      <c r="D444" s="136"/>
      <c r="E444" s="137"/>
      <c r="F444" s="50" t="s">
        <v>53</v>
      </c>
      <c r="G444" s="136"/>
      <c r="H444" s="137">
        <v>23</v>
      </c>
      <c r="I444" s="50" t="s">
        <v>53</v>
      </c>
      <c r="J444" s="138">
        <v>25</v>
      </c>
      <c r="K444" s="676"/>
      <c r="L444" s="677"/>
      <c r="M444" s="677"/>
      <c r="N444" s="678"/>
      <c r="R444" s="85"/>
      <c r="S444" s="85"/>
      <c r="T444" s="86"/>
      <c r="U444" s="86"/>
      <c r="V444" s="9" t="s">
        <v>136</v>
      </c>
      <c r="W444" s="135"/>
      <c r="X444" s="50" t="s">
        <v>53</v>
      </c>
      <c r="Y444" s="136"/>
      <c r="Z444" s="137"/>
      <c r="AA444" s="50" t="s">
        <v>53</v>
      </c>
      <c r="AB444" s="136"/>
      <c r="AC444" s="137">
        <v>16</v>
      </c>
      <c r="AD444" s="50" t="s">
        <v>53</v>
      </c>
      <c r="AE444" s="138">
        <v>25</v>
      </c>
      <c r="AF444" s="676"/>
      <c r="AG444" s="678"/>
      <c r="AH444" s="85"/>
      <c r="AI444" s="85"/>
      <c r="AJ444" s="85"/>
    </row>
    <row r="445" spans="1:47" ht="13.5" customHeight="1" thickBot="1" x14ac:dyDescent="0.25">
      <c r="A445" s="9" t="s">
        <v>137</v>
      </c>
      <c r="B445" s="141"/>
      <c r="C445" s="142" t="s">
        <v>53</v>
      </c>
      <c r="D445" s="143"/>
      <c r="E445" s="144"/>
      <c r="F445" s="142" t="s">
        <v>53</v>
      </c>
      <c r="G445" s="143"/>
      <c r="H445" s="144">
        <v>15</v>
      </c>
      <c r="I445" s="142" t="s">
        <v>53</v>
      </c>
      <c r="J445" s="145">
        <v>13</v>
      </c>
      <c r="K445" s="679"/>
      <c r="L445" s="680"/>
      <c r="M445" s="680"/>
      <c r="N445" s="681"/>
      <c r="R445" s="85"/>
      <c r="S445" s="85"/>
      <c r="T445" s="86"/>
      <c r="U445" s="86"/>
      <c r="V445" s="9" t="s">
        <v>137</v>
      </c>
      <c r="W445" s="141"/>
      <c r="X445" s="142" t="s">
        <v>53</v>
      </c>
      <c r="Y445" s="143"/>
      <c r="Z445" s="144"/>
      <c r="AA445" s="142" t="s">
        <v>53</v>
      </c>
      <c r="AB445" s="143"/>
      <c r="AC445" s="144">
        <v>12</v>
      </c>
      <c r="AD445" s="142" t="s">
        <v>53</v>
      </c>
      <c r="AE445" s="145">
        <v>15</v>
      </c>
      <c r="AF445" s="679"/>
      <c r="AG445" s="681"/>
      <c r="AH445" s="85"/>
      <c r="AI445" s="85"/>
      <c r="AJ445" s="85"/>
    </row>
    <row r="446" spans="1:47" hidden="1" x14ac:dyDescent="0.2">
      <c r="B446" s="3"/>
      <c r="C446" s="90" t="s">
        <v>87</v>
      </c>
      <c r="D446" s="3" t="s">
        <v>138</v>
      </c>
      <c r="E446" s="3"/>
      <c r="F446" s="90"/>
      <c r="G446" s="4" t="s">
        <v>139</v>
      </c>
      <c r="J446" s="4" t="s">
        <v>140</v>
      </c>
      <c r="W446" s="3"/>
      <c r="X446" s="90" t="s">
        <v>87</v>
      </c>
      <c r="Y446" s="3" t="s">
        <v>138</v>
      </c>
      <c r="Z446" s="3"/>
      <c r="AA446" s="90"/>
      <c r="AB446" s="4" t="s">
        <v>139</v>
      </c>
      <c r="AE446" s="4" t="s">
        <v>140</v>
      </c>
      <c r="AT446" s="4" t="str">
        <f>B447</f>
        <v>PRV - 13U Bayley</v>
      </c>
      <c r="AU446" s="4">
        <f>J447</f>
        <v>1857.7120355940935</v>
      </c>
    </row>
    <row r="447" spans="1:47" hidden="1" x14ac:dyDescent="0.2">
      <c r="A447" s="4">
        <v>1</v>
      </c>
      <c r="B447" s="4" t="str">
        <f>B430</f>
        <v>PRV - 13U Bayley</v>
      </c>
      <c r="C447" s="4">
        <f>VLOOKUP(B447,AU$2:AY$22,4,FALSE)</f>
        <v>1861.2917168384377</v>
      </c>
      <c r="D447" s="4">
        <f>IF(A447=B438,B453,IF(A447=D438,D453,C447))</f>
        <v>1863.8668210523253</v>
      </c>
      <c r="G447" s="4">
        <f>IF(A447=E438,E453,IF(A447=G438,G453,D447))</f>
        <v>1863.8668210523253</v>
      </c>
      <c r="J447" s="4">
        <f>IF(A447=H438,H453,IF(A447=J438,J453,G447))</f>
        <v>1857.7120355940935</v>
      </c>
      <c r="U447" s="164"/>
      <c r="V447" s="164">
        <v>1</v>
      </c>
      <c r="W447" s="4" t="str">
        <f>X430</f>
        <v>Foothills 13 May</v>
      </c>
      <c r="X447" s="4">
        <f>VLOOKUP(W447,AU$2:AY$22,4,FALSE)</f>
        <v>1757.7047526785418</v>
      </c>
      <c r="Y447" s="4">
        <f>IF(V447=W438,W453,IF(V447=Y438,Y453,X447))</f>
        <v>1762.7075208832198</v>
      </c>
      <c r="AB447" s="4">
        <f>IF(V447=Z438,Z453,IF(V447=AB438,AB453,Y447))</f>
        <v>1762.7075208832198</v>
      </c>
      <c r="AE447" s="4">
        <f>IF(V447=AC438,AC453,IF(V447=AE438,AE453,AB447))</f>
        <v>1747.4620936172917</v>
      </c>
      <c r="AT447" s="4" t="str">
        <f>B448</f>
        <v>MBVC 14 Black</v>
      </c>
      <c r="AU447" s="4">
        <f>J448</f>
        <v>1634.6920739531975</v>
      </c>
    </row>
    <row r="448" spans="1:47" hidden="1" x14ac:dyDescent="0.2">
      <c r="A448" s="4">
        <v>2</v>
      </c>
      <c r="B448" s="4" t="str">
        <f>B431</f>
        <v>MBVC 14 Black</v>
      </c>
      <c r="C448" s="4">
        <f>VLOOKUP(B448,AU$2:AY$22,4,FALSE)</f>
        <v>1615.6024569517674</v>
      </c>
      <c r="D448" s="4">
        <f>IF(A448=B438,B453,IF(A448=D438,D453,C448))</f>
        <v>1615.6024569517674</v>
      </c>
      <c r="G448" s="4">
        <f>IF(A448=E438,E453,IF(A448=G438,G453,D448))</f>
        <v>1628.5372884949657</v>
      </c>
      <c r="J448" s="4">
        <f>IF(A448=H438,H453,IF(A448=J438,J453,G448))</f>
        <v>1634.6920739531975</v>
      </c>
      <c r="U448" s="164"/>
      <c r="V448" s="164">
        <v>2</v>
      </c>
      <c r="W448" s="4" t="str">
        <f>X431</f>
        <v>SOAR WINGS 13U</v>
      </c>
      <c r="X448" s="4">
        <f>VLOOKUP(W448,AU$2:AY$22,4,FALSE)</f>
        <v>1649.4978277891198</v>
      </c>
      <c r="Y448" s="4">
        <f>IF(V448=W438,W453,IF(V448=Y438,Y453,X448))</f>
        <v>1649.4978277891198</v>
      </c>
      <c r="AB448" s="4">
        <f>IF(V448=Z438,Z453,IF(V448=AB438,AB453,Y448))</f>
        <v>1654.4462766288889</v>
      </c>
      <c r="AE448" s="4">
        <f>IF(V448=AC438,AC453,IF(V448=AE438,AE453,AB448))</f>
        <v>1669.691703894817</v>
      </c>
      <c r="AT448" s="4" t="str">
        <f>B449</f>
        <v>MOTO 13-1 IGNITE</v>
      </c>
      <c r="AU448" s="4">
        <f>J449</f>
        <v>1852.7901971715694</v>
      </c>
    </row>
    <row r="449" spans="1:47" hidden="1" x14ac:dyDescent="0.2">
      <c r="A449" s="4">
        <v>3</v>
      </c>
      <c r="B449" s="4" t="str">
        <f>B432</f>
        <v>MOTO 13-1 IGNITE</v>
      </c>
      <c r="C449" s="4">
        <f>VLOOKUP(B449,AU$2:AY$22,4,FALSE)</f>
        <v>1865.7250287147676</v>
      </c>
      <c r="D449" s="4">
        <f>IF(A449=B438,B453,IF(A449=D438,D453,C449))</f>
        <v>1865.7250287147676</v>
      </c>
      <c r="G449" s="4">
        <f>IF(A449=E438,E453,IF(A449=G438,G453,D449))</f>
        <v>1852.7901971715694</v>
      </c>
      <c r="J449" s="4">
        <f>IF(A449=H438,H453,IF(A449=J438,J453,G449))</f>
        <v>1852.7901971715694</v>
      </c>
      <c r="U449" s="164"/>
      <c r="V449" s="164">
        <v>3</v>
      </c>
      <c r="W449" s="4" t="str">
        <f>X432</f>
        <v>Vision 13 Regional</v>
      </c>
      <c r="X449" s="4">
        <f>VLOOKUP(W449,AU$2:AY$22,4,FALSE)</f>
        <v>1509.9161662418283</v>
      </c>
      <c r="Y449" s="4">
        <f>IF(V449=W438,W453,IF(V449=Y438,Y453,X449))</f>
        <v>1509.9161662418283</v>
      </c>
      <c r="AB449" s="4">
        <f>IF(V449=Z438,Z453,IF(V449=AB438,AB453,Y449))</f>
        <v>1504.9677174020592</v>
      </c>
      <c r="AE449" s="4">
        <f>IF(V449=AC438,AC453,IF(V449=AE438,AE453,AB449))</f>
        <v>1504.9677174020592</v>
      </c>
      <c r="AT449" s="4" t="str">
        <f>B450</f>
        <v>PRV - 13U Brittany</v>
      </c>
      <c r="AU449" s="4">
        <f>J450</f>
        <v>1571.8701672086986</v>
      </c>
    </row>
    <row r="450" spans="1:47" hidden="1" x14ac:dyDescent="0.2">
      <c r="A450" s="4">
        <v>4</v>
      </c>
      <c r="B450" s="4" t="str">
        <f>B433</f>
        <v>PRV - 13U Brittany</v>
      </c>
      <c r="C450" s="4">
        <f>VLOOKUP(B450,AU$2:AY$22,4,FALSE)</f>
        <v>1574.4452714225863</v>
      </c>
      <c r="D450" s="4">
        <f>IF(A450=B438,B453,IF(A450=D438,D453,C450))</f>
        <v>1571.8701672086986</v>
      </c>
      <c r="G450" s="4">
        <f>IF(A450=E438,E453,IF(A450=G438,G453,D450))</f>
        <v>1571.8701672086986</v>
      </c>
      <c r="J450" s="4">
        <f>IF(A450=H438,H453,IF(A450=J438,J453,G450))</f>
        <v>1571.8701672086986</v>
      </c>
      <c r="U450" s="164"/>
      <c r="V450" s="164">
        <v>4</v>
      </c>
      <c r="W450" s="4" t="str">
        <f>X433</f>
        <v>Branchville U14 Juniors</v>
      </c>
      <c r="X450" s="4">
        <f>VLOOKUP(W450,AU$2:AY$22,4,FALSE)</f>
        <v>1620.8755534647216</v>
      </c>
      <c r="Y450" s="4">
        <f>IF(V450=W438,W453,IF(V450=Y438,Y453,X450))</f>
        <v>1615.8727852600437</v>
      </c>
      <c r="AB450" s="4">
        <f>IF(V450=Z438,Z453,IF(V450=AB438,AB453,Y450))</f>
        <v>1615.8727852600437</v>
      </c>
      <c r="AE450" s="4">
        <f>IF(V450=AC438,AC453,IF(V450=AE438,AE453,AB450))</f>
        <v>1615.8727852600437</v>
      </c>
      <c r="AT450" s="4" t="str">
        <f>W447</f>
        <v>Foothills 13 May</v>
      </c>
      <c r="AU450" s="4">
        <f>AE447</f>
        <v>1747.4620936172917</v>
      </c>
    </row>
    <row r="451" spans="1:47" hidden="1" x14ac:dyDescent="0.2">
      <c r="A451" s="4" t="s">
        <v>89</v>
      </c>
      <c r="B451" s="4">
        <f>VLOOKUP(B438,$A447:$J450,3,FALSE)</f>
        <v>1861.2917168384377</v>
      </c>
      <c r="D451" s="4">
        <f>VLOOKUP(D438,$A447:$J450,3,FALSE)</f>
        <v>1574.4452714225863</v>
      </c>
      <c r="E451" s="4">
        <f>VLOOKUP(E438,$A447:$J450,4,FALSE)</f>
        <v>1615.6024569517674</v>
      </c>
      <c r="G451" s="4">
        <f>VLOOKUP(G438,$A447:$J450,4,FALSE)</f>
        <v>1865.7250287147676</v>
      </c>
      <c r="H451" s="4">
        <f>VLOOKUP(H438,$A447:$J450,7,FALSE)</f>
        <v>1863.8668210523253</v>
      </c>
      <c r="J451" s="4">
        <f>VLOOKUP(J438,$A447:$J450,7,FALSE)</f>
        <v>1628.5372884949657</v>
      </c>
      <c r="T451" s="682" t="s">
        <v>89</v>
      </c>
      <c r="U451" s="682"/>
      <c r="V451" s="682"/>
      <c r="W451" s="4">
        <f>VLOOKUP(W438,$V447:$AE450,3,FALSE)</f>
        <v>1757.7047526785418</v>
      </c>
      <c r="Y451" s="4">
        <f>VLOOKUP(Y438,$V447:$AE450,3,FALSE)</f>
        <v>1620.8755534647216</v>
      </c>
      <c r="Z451" s="4">
        <f>VLOOKUP(Z438,$V447:$AE450,4,FALSE)</f>
        <v>1649.4978277891198</v>
      </c>
      <c r="AB451" s="4">
        <f>VLOOKUP(AB438,$V447:$AE450,4,FALSE)</f>
        <v>1509.9161662418283</v>
      </c>
      <c r="AC451" s="4">
        <f>VLOOKUP(AC438,$V447:$AE450,7,FALSE)</f>
        <v>1762.7075208832198</v>
      </c>
      <c r="AE451" s="4">
        <f>VLOOKUP(AE438,$V447:$AE450,7,FALSE)</f>
        <v>1654.4462766288889</v>
      </c>
      <c r="AT451" s="4" t="str">
        <f>W448</f>
        <v>SOAR WINGS 13U</v>
      </c>
      <c r="AU451" s="4">
        <f>AE448</f>
        <v>1669.691703894817</v>
      </c>
    </row>
    <row r="452" spans="1:47" hidden="1" x14ac:dyDescent="0.2">
      <c r="A452" s="68" t="s">
        <v>90</v>
      </c>
      <c r="B452" s="68">
        <f>1/(1+(10^-((B451-D451)/400)))*(B442+D442)</f>
        <v>0.83905598663202241</v>
      </c>
      <c r="C452" s="68"/>
      <c r="D452" s="68">
        <f>1/(1+(10^-((D451-B451)/400)))*(B442+D442)</f>
        <v>0.16094401336797756</v>
      </c>
      <c r="E452" s="68">
        <f>1/(1+(10^-((E451-G451)/400)))*(E442+G442)</f>
        <v>0.19157302855010616</v>
      </c>
      <c r="G452" s="68">
        <f>1/(1+(10^-((G451-E451)/400)))*(E442+G442)</f>
        <v>0.80842697144989384</v>
      </c>
      <c r="H452" s="68">
        <f>1/(1+(10^-((H451-J451)/400)))*(H442+J442)</f>
        <v>2.3846740911394924</v>
      </c>
      <c r="J452" s="68">
        <f>1/(1+(10^-((J451-H451)/400)))*(H442+J442)</f>
        <v>0.61532590886050731</v>
      </c>
      <c r="T452" s="683" t="s">
        <v>90</v>
      </c>
      <c r="U452" s="683"/>
      <c r="V452" s="683"/>
      <c r="W452" s="68">
        <f>1/(1+(10^-((W451-Y451)/400)))*(W442+Y442)</f>
        <v>0.68732698720762953</v>
      </c>
      <c r="X452" s="68"/>
      <c r="Y452" s="68">
        <f>1/(1+(10^-((Y451-W451)/400)))*(W442+Y442)</f>
        <v>0.31267301279237053</v>
      </c>
      <c r="Z452" s="68">
        <f>1/(1+(10^-((Z451-AB451)/400)))*(Z442+AB442)</f>
        <v>0.69072194751444005</v>
      </c>
      <c r="AB452" s="68">
        <f>1/(1+(10^-((AB451-Z451)/400)))*(Z442+AB442)</f>
        <v>0.3092780524855599</v>
      </c>
      <c r="AC452" s="68">
        <f>1/(1+(10^-((AC451-AE451)/400)))*(AC442+AE442)</f>
        <v>1.9528392041205134</v>
      </c>
      <c r="AE452" s="68">
        <f>1/(1+(10^-((AE451-AC451)/400)))*(AC442+AE442)</f>
        <v>1.0471607958794866</v>
      </c>
      <c r="AT452" s="4" t="str">
        <f>W449</f>
        <v>Vision 13 Regional</v>
      </c>
      <c r="AU452" s="4">
        <f>AE449</f>
        <v>1504.9677174020592</v>
      </c>
    </row>
    <row r="453" spans="1:47" hidden="1" x14ac:dyDescent="0.2">
      <c r="A453" s="74" t="s">
        <v>91</v>
      </c>
      <c r="B453" s="74">
        <f>B451+(B442-B452)*$BA$2</f>
        <v>1863.8668210523253</v>
      </c>
      <c r="C453" s="74"/>
      <c r="D453" s="74">
        <f>D451+(D442-D452)*$BA$2</f>
        <v>1571.8701672086986</v>
      </c>
      <c r="E453" s="74">
        <f>E451+(E442-E452)*$BA$2</f>
        <v>1628.5372884949657</v>
      </c>
      <c r="G453" s="74">
        <f>G451+(G442-G452)*$BA$2</f>
        <v>1852.7901971715694</v>
      </c>
      <c r="H453" s="74">
        <f>H451+(H442-H452)*$BA$2</f>
        <v>1857.7120355940935</v>
      </c>
      <c r="J453" s="74">
        <f>J451+(J442-J452)*$BA$2</f>
        <v>1634.6920739531975</v>
      </c>
      <c r="T453" s="669" t="s">
        <v>91</v>
      </c>
      <c r="U453" s="669"/>
      <c r="V453" s="669"/>
      <c r="W453" s="74">
        <f>W451+(W442-W452)*$BA$2</f>
        <v>1762.7075208832198</v>
      </c>
      <c r="X453" s="74"/>
      <c r="Y453" s="74">
        <f>Y451+(Y442-Y452)*$BA$2</f>
        <v>1615.8727852600437</v>
      </c>
      <c r="Z453" s="74">
        <f>Z451+(Z442-Z452)*$BA$2</f>
        <v>1654.4462766288889</v>
      </c>
      <c r="AB453" s="74">
        <f>AB451+(AB442-AB452)*$BA$2</f>
        <v>1504.9677174020592</v>
      </c>
      <c r="AC453" s="74">
        <f>AC451+(AC442-AC452)*$BA$2</f>
        <v>1747.4620936172917</v>
      </c>
      <c r="AE453" s="74">
        <f>AE451+(AE442-AE452)*$BA$2</f>
        <v>1669.691703894817</v>
      </c>
      <c r="AT453" s="4" t="str">
        <f>W450</f>
        <v>Branchville U14 Juniors</v>
      </c>
      <c r="AU453" s="4">
        <f>AE450</f>
        <v>1615.8727852600437</v>
      </c>
    </row>
    <row r="454" spans="1:47" x14ac:dyDescent="0.2">
      <c r="A454" s="670" t="s">
        <v>141</v>
      </c>
      <c r="B454" s="670"/>
      <c r="C454" s="670"/>
      <c r="D454" s="670"/>
      <c r="E454" s="670"/>
      <c r="F454" s="670"/>
      <c r="G454" s="670"/>
      <c r="H454" s="670"/>
      <c r="I454" s="670"/>
      <c r="J454" s="670"/>
      <c r="K454" s="670"/>
      <c r="L454" s="670"/>
      <c r="M454" s="670"/>
      <c r="R454" s="85"/>
      <c r="S454" s="85"/>
      <c r="T454" s="86"/>
      <c r="U454" s="86"/>
      <c r="V454" s="670" t="s">
        <v>141</v>
      </c>
      <c r="W454" s="670"/>
      <c r="X454" s="670"/>
      <c r="Y454" s="670"/>
      <c r="Z454" s="670"/>
      <c r="AA454" s="670"/>
      <c r="AB454" s="670"/>
      <c r="AC454" s="670"/>
      <c r="AD454" s="670"/>
      <c r="AE454" s="670"/>
      <c r="AF454" s="670"/>
      <c r="AG454" s="670"/>
      <c r="AH454" s="85"/>
      <c r="AI454" s="85"/>
      <c r="AJ454" s="85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CalcPr fullCalcOnLoad="1"/>
  <sheetProtection formatCells="0" selectLockedCells="1"/>
  <mergeCells count="817">
    <mergeCell ref="A1:AI1"/>
    <mergeCell ref="AT1:AW1"/>
    <mergeCell ref="AX1:AY1"/>
    <mergeCell ref="A2:I2"/>
    <mergeCell ref="J2:X2"/>
    <mergeCell ref="Y2:AC2"/>
    <mergeCell ref="AD2:AI2"/>
    <mergeCell ref="B3:O3"/>
    <mergeCell ref="P3:R3"/>
    <mergeCell ref="S3:X3"/>
    <mergeCell ref="Y3:AD3"/>
    <mergeCell ref="AE3:AF3"/>
    <mergeCell ref="AG3:AI3"/>
    <mergeCell ref="A4:D4"/>
    <mergeCell ref="E4:M4"/>
    <mergeCell ref="N4:Q4"/>
    <mergeCell ref="R4:AA4"/>
    <mergeCell ref="AB4:AE4"/>
    <mergeCell ref="AF4:AI4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AC8:AE9"/>
    <mergeCell ref="AF8:AF9"/>
    <mergeCell ref="AG8:AG9"/>
    <mergeCell ref="AH8:AI9"/>
    <mergeCell ref="B9:D9"/>
    <mergeCell ref="E9:K9"/>
    <mergeCell ref="A10:A11"/>
    <mergeCell ref="B10:D10"/>
    <mergeCell ref="E10:K10"/>
    <mergeCell ref="L10:P11"/>
    <mergeCell ref="R10:V11"/>
    <mergeCell ref="W10:Y11"/>
    <mergeCell ref="Z10:AB11"/>
    <mergeCell ref="AC10:AE11"/>
    <mergeCell ref="AF10:AF11"/>
    <mergeCell ref="AG10:AG11"/>
    <mergeCell ref="AH10:AI11"/>
    <mergeCell ref="B11:D11"/>
    <mergeCell ref="E11:K11"/>
    <mergeCell ref="A12:A13"/>
    <mergeCell ref="B12:D12"/>
    <mergeCell ref="E12:K12"/>
    <mergeCell ref="L12:P13"/>
    <mergeCell ref="R12:V13"/>
    <mergeCell ref="W12:Y13"/>
    <mergeCell ref="Z12:AB13"/>
    <mergeCell ref="AC12:AE13"/>
    <mergeCell ref="AF12:AF13"/>
    <mergeCell ref="AG12:AG13"/>
    <mergeCell ref="AH12:AI13"/>
    <mergeCell ref="B13:D13"/>
    <mergeCell ref="E13:K13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AG14:AG15"/>
    <mergeCell ref="AH14:AI15"/>
    <mergeCell ref="B15:D15"/>
    <mergeCell ref="E15:K15"/>
    <mergeCell ref="A16:A17"/>
    <mergeCell ref="B16:D16"/>
    <mergeCell ref="E16:K16"/>
    <mergeCell ref="L16:P17"/>
    <mergeCell ref="R16:V17"/>
    <mergeCell ref="W16:Y17"/>
    <mergeCell ref="Z16:AB17"/>
    <mergeCell ref="AC16:AE17"/>
    <mergeCell ref="AF16:AF17"/>
    <mergeCell ref="AG16:AG17"/>
    <mergeCell ref="AH16:AI17"/>
    <mergeCell ref="B17:D17"/>
    <mergeCell ref="E17:K17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3:AB23"/>
    <mergeCell ref="AC23:AE23"/>
    <mergeCell ref="AT23:AY24"/>
    <mergeCell ref="AG57:AK57"/>
    <mergeCell ref="A89:AM89"/>
    <mergeCell ref="AN89:AQ89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Z95:AB96"/>
    <mergeCell ref="AC95:AE96"/>
    <mergeCell ref="AF95:AF96"/>
    <mergeCell ref="AG95:AG96"/>
    <mergeCell ref="AH95:AI96"/>
    <mergeCell ref="B96:D96"/>
    <mergeCell ref="E96:K96"/>
    <mergeCell ref="A97:A98"/>
    <mergeCell ref="B97:D97"/>
    <mergeCell ref="E97:K97"/>
    <mergeCell ref="L97:P98"/>
    <mergeCell ref="R97:V98"/>
    <mergeCell ref="W97:Y98"/>
    <mergeCell ref="Z97:AB98"/>
    <mergeCell ref="AC97:AE98"/>
    <mergeCell ref="AF97:AF98"/>
    <mergeCell ref="AG97:AG98"/>
    <mergeCell ref="AH97:AI98"/>
    <mergeCell ref="B98:D98"/>
    <mergeCell ref="E98:K98"/>
    <mergeCell ref="A99:A100"/>
    <mergeCell ref="B99:D99"/>
    <mergeCell ref="E99:K99"/>
    <mergeCell ref="L99:P100"/>
    <mergeCell ref="R99:V100"/>
    <mergeCell ref="W99:Y100"/>
    <mergeCell ref="Z99:AB100"/>
    <mergeCell ref="AC99:AE100"/>
    <mergeCell ref="AF99:AF100"/>
    <mergeCell ref="AG99:AG100"/>
    <mergeCell ref="AH99:AI100"/>
    <mergeCell ref="B100:D100"/>
    <mergeCell ref="E100:K100"/>
    <mergeCell ref="A101:A102"/>
    <mergeCell ref="B101:D101"/>
    <mergeCell ref="E101:K101"/>
    <mergeCell ref="L101:P102"/>
    <mergeCell ref="R101:V102"/>
    <mergeCell ref="W101:Y102"/>
    <mergeCell ref="Z101:AB102"/>
    <mergeCell ref="AC101:AE102"/>
    <mergeCell ref="AF101:AF102"/>
    <mergeCell ref="AG101:AG102"/>
    <mergeCell ref="AH101:AI102"/>
    <mergeCell ref="B102:D102"/>
    <mergeCell ref="E102:K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8:AB108"/>
    <mergeCell ref="AC108:AE108"/>
    <mergeCell ref="AG142:AK142"/>
    <mergeCell ref="A174:AM174"/>
    <mergeCell ref="AN174:AQ174"/>
    <mergeCell ref="A175:AQ175"/>
    <mergeCell ref="C176:H176"/>
    <mergeCell ref="I176:J176"/>
    <mergeCell ref="K176:AI176"/>
    <mergeCell ref="B177:K177"/>
    <mergeCell ref="L177:P177"/>
    <mergeCell ref="Q177:Q187"/>
    <mergeCell ref="R177:V177"/>
    <mergeCell ref="W177:Y177"/>
    <mergeCell ref="Z177:AB177"/>
    <mergeCell ref="AC177:AE177"/>
    <mergeCell ref="AH177:AI177"/>
    <mergeCell ref="A178:A179"/>
    <mergeCell ref="B178:D178"/>
    <mergeCell ref="E178:K178"/>
    <mergeCell ref="L178:P179"/>
    <mergeCell ref="R178:V179"/>
    <mergeCell ref="W178:Y179"/>
    <mergeCell ref="Z178:AB179"/>
    <mergeCell ref="AC178:AE179"/>
    <mergeCell ref="AF178:AF179"/>
    <mergeCell ref="AG178:AG179"/>
    <mergeCell ref="AH178:AI179"/>
    <mergeCell ref="B179:D179"/>
    <mergeCell ref="E179:K179"/>
    <mergeCell ref="A180:A181"/>
    <mergeCell ref="B180:D180"/>
    <mergeCell ref="E180:K180"/>
    <mergeCell ref="L180:P181"/>
    <mergeCell ref="R180:V181"/>
    <mergeCell ref="W180:Y181"/>
    <mergeCell ref="Z180:AB181"/>
    <mergeCell ref="AC180:AE181"/>
    <mergeCell ref="AF180:AF181"/>
    <mergeCell ref="AG180:AG181"/>
    <mergeCell ref="AH180:AI181"/>
    <mergeCell ref="B181:D181"/>
    <mergeCell ref="E181:K181"/>
    <mergeCell ref="A182:A183"/>
    <mergeCell ref="B182:D182"/>
    <mergeCell ref="E182:K182"/>
    <mergeCell ref="L182:P183"/>
    <mergeCell ref="R182:V183"/>
    <mergeCell ref="W182:Y183"/>
    <mergeCell ref="Z182:AB183"/>
    <mergeCell ref="AC182:AE183"/>
    <mergeCell ref="AF182:AF183"/>
    <mergeCell ref="AG182:AG183"/>
    <mergeCell ref="AH182:AI183"/>
    <mergeCell ref="B183:D183"/>
    <mergeCell ref="E183:K183"/>
    <mergeCell ref="A184:A185"/>
    <mergeCell ref="B184:D184"/>
    <mergeCell ref="E184:K184"/>
    <mergeCell ref="L184:P185"/>
    <mergeCell ref="R184:V185"/>
    <mergeCell ref="W184:Y185"/>
    <mergeCell ref="Z184:AB185"/>
    <mergeCell ref="AC184:AE185"/>
    <mergeCell ref="AF184:AF185"/>
    <mergeCell ref="AG184:AG185"/>
    <mergeCell ref="AH184:AI185"/>
    <mergeCell ref="B185:D185"/>
    <mergeCell ref="E185:K185"/>
    <mergeCell ref="A186:A187"/>
    <mergeCell ref="B186:D186"/>
    <mergeCell ref="E186:K186"/>
    <mergeCell ref="L186:P187"/>
    <mergeCell ref="R186:V187"/>
    <mergeCell ref="W186:Y187"/>
    <mergeCell ref="Z186:AB187"/>
    <mergeCell ref="AC186:AE187"/>
    <mergeCell ref="AF186:AF187"/>
    <mergeCell ref="AG186:AG187"/>
    <mergeCell ref="AH186:AI187"/>
    <mergeCell ref="B187:D187"/>
    <mergeCell ref="E187:K187"/>
    <mergeCell ref="B188:AI188"/>
    <mergeCell ref="B189:D189"/>
    <mergeCell ref="E189:G189"/>
    <mergeCell ref="H189:J189"/>
    <mergeCell ref="K189:M189"/>
    <mergeCell ref="N189:P189"/>
    <mergeCell ref="Q189:S189"/>
    <mergeCell ref="T189:V189"/>
    <mergeCell ref="W189:Y189"/>
    <mergeCell ref="Z189:AB189"/>
    <mergeCell ref="AC189:AE189"/>
    <mergeCell ref="AF189:AQ192"/>
    <mergeCell ref="B190:D190"/>
    <mergeCell ref="E190:G190"/>
    <mergeCell ref="H190:J190"/>
    <mergeCell ref="K190:M190"/>
    <mergeCell ref="N190:P190"/>
    <mergeCell ref="Q190:S190"/>
    <mergeCell ref="T190:V190"/>
    <mergeCell ref="W190:Y190"/>
    <mergeCell ref="Z190:AB190"/>
    <mergeCell ref="AC190:AE190"/>
    <mergeCell ref="B191:D191"/>
    <mergeCell ref="E191:G191"/>
    <mergeCell ref="H191:J191"/>
    <mergeCell ref="K191:M191"/>
    <mergeCell ref="N191:P191"/>
    <mergeCell ref="Q191:S191"/>
    <mergeCell ref="T191:V191"/>
    <mergeCell ref="W191:Y191"/>
    <mergeCell ref="Z191:AB191"/>
    <mergeCell ref="AC191:AE191"/>
    <mergeCell ref="B192:D192"/>
    <mergeCell ref="E192:G192"/>
    <mergeCell ref="H192:J192"/>
    <mergeCell ref="K192:M192"/>
    <mergeCell ref="N192:P192"/>
    <mergeCell ref="Q192:S192"/>
    <mergeCell ref="T192:V192"/>
    <mergeCell ref="W192:Y192"/>
    <mergeCell ref="Z192:AB192"/>
    <mergeCell ref="AC192:AE192"/>
    <mergeCell ref="B193:D193"/>
    <mergeCell ref="E193:G193"/>
    <mergeCell ref="H193:J193"/>
    <mergeCell ref="K193:M193"/>
    <mergeCell ref="N193:P193"/>
    <mergeCell ref="Q193:S193"/>
    <mergeCell ref="T193:V193"/>
    <mergeCell ref="W193:Y193"/>
    <mergeCell ref="Z193:AB193"/>
    <mergeCell ref="AC193:AE193"/>
    <mergeCell ref="AG227:AK227"/>
    <mergeCell ref="A259:AM259"/>
    <mergeCell ref="AN259:AQ259"/>
    <mergeCell ref="A260:AQ260"/>
    <mergeCell ref="C261:H261"/>
    <mergeCell ref="I261:J261"/>
    <mergeCell ref="K261:AI261"/>
    <mergeCell ref="B262:K262"/>
    <mergeCell ref="L262:P262"/>
    <mergeCell ref="Q262:Q272"/>
    <mergeCell ref="R262:V262"/>
    <mergeCell ref="W262:Y262"/>
    <mergeCell ref="Z262:AB262"/>
    <mergeCell ref="AC262:AE262"/>
    <mergeCell ref="AH262:AI262"/>
    <mergeCell ref="A263:A264"/>
    <mergeCell ref="B263:D263"/>
    <mergeCell ref="E263:K263"/>
    <mergeCell ref="L263:P264"/>
    <mergeCell ref="R263:V264"/>
    <mergeCell ref="W263:Y264"/>
    <mergeCell ref="Z263:AB264"/>
    <mergeCell ref="AC263:AE264"/>
    <mergeCell ref="AF263:AF264"/>
    <mergeCell ref="AG263:AG264"/>
    <mergeCell ref="AH263:AI264"/>
    <mergeCell ref="B264:D264"/>
    <mergeCell ref="E264:K264"/>
    <mergeCell ref="A265:A266"/>
    <mergeCell ref="B265:D265"/>
    <mergeCell ref="E265:K265"/>
    <mergeCell ref="L265:P266"/>
    <mergeCell ref="R265:V266"/>
    <mergeCell ref="W265:Y266"/>
    <mergeCell ref="Z265:AB266"/>
    <mergeCell ref="AC265:AE266"/>
    <mergeCell ref="AF265:AF266"/>
    <mergeCell ref="AG265:AG266"/>
    <mergeCell ref="AH265:AI266"/>
    <mergeCell ref="B266:D266"/>
    <mergeCell ref="E266:K266"/>
    <mergeCell ref="A267:A268"/>
    <mergeCell ref="B267:D267"/>
    <mergeCell ref="E267:K267"/>
    <mergeCell ref="L267:P268"/>
    <mergeCell ref="R267:V268"/>
    <mergeCell ref="W267:Y268"/>
    <mergeCell ref="Z267:AB268"/>
    <mergeCell ref="AC267:AE268"/>
    <mergeCell ref="AF267:AF268"/>
    <mergeCell ref="AG267:AG268"/>
    <mergeCell ref="AH267:AI268"/>
    <mergeCell ref="B268:D268"/>
    <mergeCell ref="E268:K268"/>
    <mergeCell ref="A269:A270"/>
    <mergeCell ref="B269:D269"/>
    <mergeCell ref="E269:K269"/>
    <mergeCell ref="L269:P270"/>
    <mergeCell ref="R269:V270"/>
    <mergeCell ref="W269:Y270"/>
    <mergeCell ref="Z269:AB270"/>
    <mergeCell ref="AC269:AE270"/>
    <mergeCell ref="AF269:AF270"/>
    <mergeCell ref="AG269:AG270"/>
    <mergeCell ref="AH269:AI270"/>
    <mergeCell ref="B270:D270"/>
    <mergeCell ref="E270:K270"/>
    <mergeCell ref="A271:A272"/>
    <mergeCell ref="B271:D271"/>
    <mergeCell ref="E271:K271"/>
    <mergeCell ref="L271:P272"/>
    <mergeCell ref="R271:V272"/>
    <mergeCell ref="W271:Y272"/>
    <mergeCell ref="Z271:AB272"/>
    <mergeCell ref="AC271:AE272"/>
    <mergeCell ref="AF271:AF272"/>
    <mergeCell ref="AG271:AG272"/>
    <mergeCell ref="AH271:AI272"/>
    <mergeCell ref="B272:D272"/>
    <mergeCell ref="E272:K272"/>
    <mergeCell ref="B273:AI273"/>
    <mergeCell ref="B274:D274"/>
    <mergeCell ref="E274:G274"/>
    <mergeCell ref="H274:J274"/>
    <mergeCell ref="K274:M274"/>
    <mergeCell ref="N274:P274"/>
    <mergeCell ref="Q274:S274"/>
    <mergeCell ref="T274:V274"/>
    <mergeCell ref="W274:Y274"/>
    <mergeCell ref="Z274:AB274"/>
    <mergeCell ref="AC274:AE274"/>
    <mergeCell ref="AF274:AQ277"/>
    <mergeCell ref="B275:D275"/>
    <mergeCell ref="E275:G275"/>
    <mergeCell ref="H275:J275"/>
    <mergeCell ref="K275:M275"/>
    <mergeCell ref="N275:P275"/>
    <mergeCell ref="Q275:S275"/>
    <mergeCell ref="T275:V275"/>
    <mergeCell ref="W275:Y275"/>
    <mergeCell ref="Z275:AB275"/>
    <mergeCell ref="AC275:AE275"/>
    <mergeCell ref="B276:D276"/>
    <mergeCell ref="E276:G276"/>
    <mergeCell ref="H276:J276"/>
    <mergeCell ref="K276:M276"/>
    <mergeCell ref="N276:P276"/>
    <mergeCell ref="Q276:S276"/>
    <mergeCell ref="T276:V276"/>
    <mergeCell ref="W276:Y276"/>
    <mergeCell ref="Z276:AB276"/>
    <mergeCell ref="AC276:AE276"/>
    <mergeCell ref="B277:D277"/>
    <mergeCell ref="E277:G277"/>
    <mergeCell ref="H277:J277"/>
    <mergeCell ref="K277:M277"/>
    <mergeCell ref="N277:P277"/>
    <mergeCell ref="Q277:S277"/>
    <mergeCell ref="T277:V277"/>
    <mergeCell ref="W277:Y277"/>
    <mergeCell ref="Z277:AB277"/>
    <mergeCell ref="AC277:AE277"/>
    <mergeCell ref="B278:D278"/>
    <mergeCell ref="E278:G278"/>
    <mergeCell ref="H278:J278"/>
    <mergeCell ref="K278:M278"/>
    <mergeCell ref="N278:P278"/>
    <mergeCell ref="Q278:S278"/>
    <mergeCell ref="T278:V278"/>
    <mergeCell ref="W278:Y278"/>
    <mergeCell ref="Z278:AB278"/>
    <mergeCell ref="AC278:AE278"/>
    <mergeCell ref="AG312:AK312"/>
    <mergeCell ref="A344:AM344"/>
    <mergeCell ref="AN344:AQ344"/>
    <mergeCell ref="A345:AQ345"/>
    <mergeCell ref="A346:AQ346"/>
    <mergeCell ref="A347:A348"/>
    <mergeCell ref="B347:K347"/>
    <mergeCell ref="L347:U347"/>
    <mergeCell ref="V347:AE347"/>
    <mergeCell ref="AF347:AO347"/>
    <mergeCell ref="B348:G348"/>
    <mergeCell ref="H348:K348"/>
    <mergeCell ref="L348:Q348"/>
    <mergeCell ref="R348:U348"/>
    <mergeCell ref="V348:AA348"/>
    <mergeCell ref="AB348:AE348"/>
    <mergeCell ref="AF348:AK348"/>
    <mergeCell ref="AL348:AO348"/>
    <mergeCell ref="B349:G349"/>
    <mergeCell ref="H349:K349"/>
    <mergeCell ref="L349:Q349"/>
    <mergeCell ref="R349:U349"/>
    <mergeCell ref="V349:AA349"/>
    <mergeCell ref="AB349:AE349"/>
    <mergeCell ref="AF349:AK349"/>
    <mergeCell ref="AL349:AO349"/>
    <mergeCell ref="B350:G350"/>
    <mergeCell ref="H350:K350"/>
    <mergeCell ref="L350:Q350"/>
    <mergeCell ref="R350:U350"/>
    <mergeCell ref="V350:AA350"/>
    <mergeCell ref="AB350:AE350"/>
    <mergeCell ref="AF350:AK350"/>
    <mergeCell ref="AL350:AO350"/>
    <mergeCell ref="B351:G351"/>
    <mergeCell ref="H351:K351"/>
    <mergeCell ref="L351:Q351"/>
    <mergeCell ref="R351:U351"/>
    <mergeCell ref="V351:AA351"/>
    <mergeCell ref="AB351:AE351"/>
    <mergeCell ref="AF351:AK351"/>
    <mergeCell ref="AL351:AO351"/>
    <mergeCell ref="B352:G352"/>
    <mergeCell ref="H352:K352"/>
    <mergeCell ref="L352:Q352"/>
    <mergeCell ref="R352:U352"/>
    <mergeCell ref="V352:AA352"/>
    <mergeCell ref="AB352:AE352"/>
    <mergeCell ref="AF352:AK352"/>
    <mergeCell ref="AL352:AO352"/>
    <mergeCell ref="A354:AQ354"/>
    <mergeCell ref="A355:AQ355"/>
    <mergeCell ref="A356:AQ356"/>
    <mergeCell ref="A357:AQ357"/>
    <mergeCell ref="A358:K358"/>
    <mergeCell ref="A360:O360"/>
    <mergeCell ref="R360:AF360"/>
    <mergeCell ref="A362:E362"/>
    <mergeCell ref="U362:AA362"/>
    <mergeCell ref="A363:E363"/>
    <mergeCell ref="U363:AA363"/>
    <mergeCell ref="A365:E365"/>
    <mergeCell ref="F365:M365"/>
    <mergeCell ref="U365:AA365"/>
    <mergeCell ref="AB365:AH365"/>
    <mergeCell ref="A366:E366"/>
    <mergeCell ref="F366:I366"/>
    <mergeCell ref="J366:M366"/>
    <mergeCell ref="U366:AA366"/>
    <mergeCell ref="A367:E367"/>
    <mergeCell ref="U367:AA367"/>
    <mergeCell ref="A368:E368"/>
    <mergeCell ref="U368:AA368"/>
    <mergeCell ref="F369:I369"/>
    <mergeCell ref="AB369:AE369"/>
    <mergeCell ref="J370:P370"/>
    <mergeCell ref="AF370:AJ370"/>
    <mergeCell ref="A371:E371"/>
    <mergeCell ref="F371:I371"/>
    <mergeCell ref="J371:P371"/>
    <mergeCell ref="U371:AA371"/>
    <mergeCell ref="AB371:AE371"/>
    <mergeCell ref="AF371:AJ371"/>
    <mergeCell ref="A372:E372"/>
    <mergeCell ref="J372:P372"/>
    <mergeCell ref="U372:AA372"/>
    <mergeCell ref="A374:D374"/>
    <mergeCell ref="F374:I374"/>
    <mergeCell ref="J374:M374"/>
    <mergeCell ref="U374:Z374"/>
    <mergeCell ref="A375:E375"/>
    <mergeCell ref="F375:M375"/>
    <mergeCell ref="U375:AA375"/>
    <mergeCell ref="AB375:AH375"/>
    <mergeCell ref="A376:E376"/>
    <mergeCell ref="U376:AA376"/>
    <mergeCell ref="A377:E377"/>
    <mergeCell ref="U377:AA377"/>
    <mergeCell ref="A380:J380"/>
    <mergeCell ref="U380:AF380"/>
    <mergeCell ref="B381:J381"/>
    <mergeCell ref="K381:Q381"/>
    <mergeCell ref="U381:W381"/>
    <mergeCell ref="X381:AF381"/>
    <mergeCell ref="AG381:AM381"/>
    <mergeCell ref="B382:J382"/>
    <mergeCell ref="K382:Q382"/>
    <mergeCell ref="U382:W382"/>
    <mergeCell ref="X382:AF382"/>
    <mergeCell ref="AG382:AM382"/>
    <mergeCell ref="B383:J383"/>
    <mergeCell ref="K383:Q383"/>
    <mergeCell ref="U383:W383"/>
    <mergeCell ref="X383:AF383"/>
    <mergeCell ref="AG383:AM383"/>
    <mergeCell ref="B384:J384"/>
    <mergeCell ref="K384:Q384"/>
    <mergeCell ref="U384:W384"/>
    <mergeCell ref="X384:AF384"/>
    <mergeCell ref="AG384:AM384"/>
    <mergeCell ref="B385:J385"/>
    <mergeCell ref="K385:Q385"/>
    <mergeCell ref="U385:W385"/>
    <mergeCell ref="X385:AF385"/>
    <mergeCell ref="AG385:AM385"/>
    <mergeCell ref="B387:D387"/>
    <mergeCell ref="E387:G387"/>
    <mergeCell ref="H387:J387"/>
    <mergeCell ref="K387:Q389"/>
    <mergeCell ref="W387:Y387"/>
    <mergeCell ref="Z387:AB387"/>
    <mergeCell ref="AC387:AE387"/>
    <mergeCell ref="AF387:AJ389"/>
    <mergeCell ref="B388:D388"/>
    <mergeCell ref="E388:G388"/>
    <mergeCell ref="H388:J388"/>
    <mergeCell ref="T388:V388"/>
    <mergeCell ref="W388:Y388"/>
    <mergeCell ref="Z388:AB388"/>
    <mergeCell ref="AC388:AE388"/>
    <mergeCell ref="B389:D389"/>
    <mergeCell ref="E389:G389"/>
    <mergeCell ref="H389:J389"/>
    <mergeCell ref="T389:V389"/>
    <mergeCell ref="W389:Y389"/>
    <mergeCell ref="Z389:AB389"/>
    <mergeCell ref="AC389:AE389"/>
    <mergeCell ref="K390:N390"/>
    <mergeCell ref="T390:V390"/>
    <mergeCell ref="AF390:AG390"/>
    <mergeCell ref="T391:V391"/>
    <mergeCell ref="T392:V392"/>
    <mergeCell ref="T393:V393"/>
    <mergeCell ref="T394:V394"/>
    <mergeCell ref="K395:N397"/>
    <mergeCell ref="AF395:AG397"/>
    <mergeCell ref="T403:V403"/>
    <mergeCell ref="T404:V404"/>
    <mergeCell ref="T405:V405"/>
    <mergeCell ref="A406:M406"/>
    <mergeCell ref="V406:AG406"/>
    <mergeCell ref="A408:O408"/>
    <mergeCell ref="R408:AF408"/>
    <mergeCell ref="A410:E410"/>
    <mergeCell ref="U410:AA410"/>
    <mergeCell ref="A411:E411"/>
    <mergeCell ref="U411:AA411"/>
    <mergeCell ref="A413:E413"/>
    <mergeCell ref="F413:N413"/>
    <mergeCell ref="T413:AA413"/>
    <mergeCell ref="AB413:AH413"/>
    <mergeCell ref="A414:E414"/>
    <mergeCell ref="F414:I414"/>
    <mergeCell ref="J414:N414"/>
    <mergeCell ref="T414:Z414"/>
    <mergeCell ref="AB414:AE414"/>
    <mergeCell ref="AF414:AH414"/>
    <mergeCell ref="A415:E415"/>
    <mergeCell ref="U415:AA415"/>
    <mergeCell ref="A416:E416"/>
    <mergeCell ref="U416:AA416"/>
    <mergeCell ref="F417:I417"/>
    <mergeCell ref="AB417:AE417"/>
    <mergeCell ref="J418:P418"/>
    <mergeCell ref="AF418:AJ418"/>
    <mergeCell ref="A419:E419"/>
    <mergeCell ref="F419:I419"/>
    <mergeCell ref="J419:P419"/>
    <mergeCell ref="U419:AA419"/>
    <mergeCell ref="AB419:AE419"/>
    <mergeCell ref="AF419:AJ419"/>
    <mergeCell ref="A420:E420"/>
    <mergeCell ref="J420:P420"/>
    <mergeCell ref="U420:AA420"/>
    <mergeCell ref="A422:D422"/>
    <mergeCell ref="F422:I422"/>
    <mergeCell ref="J422:N422"/>
    <mergeCell ref="T422:Z422"/>
    <mergeCell ref="AB422:AE422"/>
    <mergeCell ref="AF422:AH422"/>
    <mergeCell ref="A423:E423"/>
    <mergeCell ref="F423:N423"/>
    <mergeCell ref="T423:Z423"/>
    <mergeCell ref="AB423:AH423"/>
    <mergeCell ref="A424:E424"/>
    <mergeCell ref="U424:AA424"/>
    <mergeCell ref="A425:E425"/>
    <mergeCell ref="U425:AA425"/>
    <mergeCell ref="A428:J428"/>
    <mergeCell ref="U428:AF428"/>
    <mergeCell ref="B429:J429"/>
    <mergeCell ref="K429:Q429"/>
    <mergeCell ref="U429:W429"/>
    <mergeCell ref="X429:AF429"/>
    <mergeCell ref="AG429:AM429"/>
    <mergeCell ref="B430:J430"/>
    <mergeCell ref="K430:Q430"/>
    <mergeCell ref="U430:W430"/>
    <mergeCell ref="X430:AF430"/>
    <mergeCell ref="AG430:AM430"/>
    <mergeCell ref="B431:J431"/>
    <mergeCell ref="K431:Q431"/>
    <mergeCell ref="U431:W431"/>
    <mergeCell ref="X431:AF431"/>
    <mergeCell ref="AG431:AM431"/>
    <mergeCell ref="B432:J432"/>
    <mergeCell ref="K432:Q432"/>
    <mergeCell ref="U432:W432"/>
    <mergeCell ref="X432:AF432"/>
    <mergeCell ref="AG432:AM432"/>
    <mergeCell ref="B433:J433"/>
    <mergeCell ref="K433:Q433"/>
    <mergeCell ref="U433:W433"/>
    <mergeCell ref="X433:AF433"/>
    <mergeCell ref="AG433:AM433"/>
    <mergeCell ref="B435:D435"/>
    <mergeCell ref="E435:G435"/>
    <mergeCell ref="H435:J435"/>
    <mergeCell ref="K435:Q437"/>
    <mergeCell ref="W435:Y435"/>
    <mergeCell ref="Z435:AB435"/>
    <mergeCell ref="AC435:AE435"/>
    <mergeCell ref="AF435:AJ437"/>
    <mergeCell ref="B436:D436"/>
    <mergeCell ref="E436:G436"/>
    <mergeCell ref="H436:J436"/>
    <mergeCell ref="T436:V436"/>
    <mergeCell ref="W436:Y436"/>
    <mergeCell ref="Z436:AB436"/>
    <mergeCell ref="AC436:AE436"/>
    <mergeCell ref="B437:D437"/>
    <mergeCell ref="E437:G437"/>
    <mergeCell ref="H437:J437"/>
    <mergeCell ref="T437:V437"/>
    <mergeCell ref="W437:Y437"/>
    <mergeCell ref="Z437:AB437"/>
    <mergeCell ref="AC437:AE437"/>
    <mergeCell ref="K438:N438"/>
    <mergeCell ref="T438:V438"/>
    <mergeCell ref="AF438:AG438"/>
    <mergeCell ref="T439:V439"/>
    <mergeCell ref="T440:V440"/>
    <mergeCell ref="T453:V453"/>
    <mergeCell ref="A454:M454"/>
    <mergeCell ref="V454:AG454"/>
    <mergeCell ref="T441:V441"/>
    <mergeCell ref="T442:V442"/>
    <mergeCell ref="K443:N445"/>
    <mergeCell ref="AF443:AG445"/>
    <mergeCell ref="T451:V451"/>
    <mergeCell ref="T452:V452"/>
  </mergeCells>
  <conditionalFormatting sqref="A178 A263 A93 A8">
    <cfRule type="expression" dxfId="2300" priority="5" stopIfTrue="1">
      <formula>IF(AK9&gt;0,0,1)</formula>
    </cfRule>
  </conditionalFormatting>
  <conditionalFormatting sqref="A180:A181 A265:A266 A95:A96 A10">
    <cfRule type="expression" dxfId="2299" priority="6" stopIfTrue="1">
      <formula>IF(#REF!&gt;1,0,1)</formula>
    </cfRule>
  </conditionalFormatting>
  <conditionalFormatting sqref="A182:A183 A267:A268 A97:A98 A12">
    <cfRule type="expression" dxfId="2298" priority="7" stopIfTrue="1">
      <formula>IF(#REF!&gt;2,0,1)</formula>
    </cfRule>
  </conditionalFormatting>
  <conditionalFormatting sqref="A184:A185 A269:A270 A99:A100 A14">
    <cfRule type="expression" dxfId="2297" priority="8" stopIfTrue="1">
      <formula>IF(#REF!&gt;3,0,1)</formula>
    </cfRule>
  </conditionalFormatting>
  <conditionalFormatting sqref="A186:A187 A271:A272 A101:A102 A16">
    <cfRule type="expression" dxfId="2296" priority="9" stopIfTrue="1">
      <formula>IF(#REF!&gt;4,0,1)</formula>
    </cfRule>
  </conditionalFormatting>
  <conditionalFormatting sqref="B263 B178 B93 B8">
    <cfRule type="expression" dxfId="2295" priority="10" stopIfTrue="1">
      <formula>IF(AK9&gt;0,0,1)</formula>
    </cfRule>
  </conditionalFormatting>
  <conditionalFormatting sqref="B264 B179 B94 B9">
    <cfRule type="expression" dxfId="2294" priority="11" stopIfTrue="1">
      <formula>IF(AK9&gt;0,0,1)</formula>
    </cfRule>
  </conditionalFormatting>
  <conditionalFormatting sqref="B265 B180 B95 B10">
    <cfRule type="expression" dxfId="2293" priority="12" stopIfTrue="1">
      <formula>IF(#REF!&gt;1,0,1)</formula>
    </cfRule>
  </conditionalFormatting>
  <conditionalFormatting sqref="B266:D266 B181:D181 B96:D96 B11">
    <cfRule type="expression" dxfId="2292" priority="13" stopIfTrue="1">
      <formula>IF(#REF!&gt;1,0,1)</formula>
    </cfRule>
  </conditionalFormatting>
  <conditionalFormatting sqref="B267:D267 B182:D182 B97:D97 B12">
    <cfRule type="expression" dxfId="2291" priority="14" stopIfTrue="1">
      <formula>IF(#REF!&gt;2,0,1)</formula>
    </cfRule>
  </conditionalFormatting>
  <conditionalFormatting sqref="B268:D268 B183:D183 B98:D98 B13">
    <cfRule type="expression" dxfId="2290" priority="15" stopIfTrue="1">
      <formula>IF(#REF!&gt;2,0,1)</formula>
    </cfRule>
  </conditionalFormatting>
  <conditionalFormatting sqref="B269:D269 B184:D184 B99:D99 B14">
    <cfRule type="expression" dxfId="2289" priority="16" stopIfTrue="1">
      <formula>IF(#REF!&gt;3,0,1)</formula>
    </cfRule>
  </conditionalFormatting>
  <conditionalFormatting sqref="B270:D270 B185:D185 B100:D100 B15">
    <cfRule type="expression" dxfId="2288" priority="17" stopIfTrue="1">
      <formula>IF(#REF!&gt;3,0,1)</formula>
    </cfRule>
  </conditionalFormatting>
  <conditionalFormatting sqref="B271:D271 B186:D186 B101:D101 B16">
    <cfRule type="expression" dxfId="2287" priority="18" stopIfTrue="1">
      <formula>IF(#REF!&gt;4,0,1)</formula>
    </cfRule>
  </conditionalFormatting>
  <conditionalFormatting sqref="B272:D272 B187:D187 B102:D102 B17">
    <cfRule type="expression" dxfId="2286" priority="19" stopIfTrue="1">
      <formula>IF(#REF!&gt;4,0,1)</formula>
    </cfRule>
  </conditionalFormatting>
  <conditionalFormatting sqref="E178 E263 E93 E8">
    <cfRule type="expression" dxfId="2285" priority="20" stopIfTrue="1">
      <formula>IF(AK9&gt;0,0,1)</formula>
    </cfRule>
  </conditionalFormatting>
  <conditionalFormatting sqref="E179 E264 E94 E9">
    <cfRule type="expression" dxfId="2284" priority="21" stopIfTrue="1">
      <formula>IF(AK9&gt;0,0,1)</formula>
    </cfRule>
  </conditionalFormatting>
  <conditionalFormatting sqref="E180 E265 E95 E10">
    <cfRule type="expression" dxfId="2283" priority="22" stopIfTrue="1">
      <formula>IF(#REF!&gt;1,0,1)</formula>
    </cfRule>
  </conditionalFormatting>
  <conditionalFormatting sqref="E181 E266 E96 E11">
    <cfRule type="expression" dxfId="2282" priority="23" stopIfTrue="1">
      <formula>IF(#REF!&gt;1,0,1)</formula>
    </cfRule>
  </conditionalFormatting>
  <conditionalFormatting sqref="E182 E267 E97 E12">
    <cfRule type="expression" dxfId="2281" priority="24" stopIfTrue="1">
      <formula>IF(#REF!&gt;2,0,1)</formula>
    </cfRule>
  </conditionalFormatting>
  <conditionalFormatting sqref="E183 E268 E98 E13">
    <cfRule type="expression" dxfId="2280" priority="25" stopIfTrue="1">
      <formula>IF(#REF!&gt;2,0,1)</formula>
    </cfRule>
  </conditionalFormatting>
  <conditionalFormatting sqref="E184 E269 E99 E14">
    <cfRule type="expression" dxfId="2279" priority="26" stopIfTrue="1">
      <formula>IF(#REF!&gt;3,0,1)</formula>
    </cfRule>
  </conditionalFormatting>
  <conditionalFormatting sqref="E185 E270 E100 E15">
    <cfRule type="expression" dxfId="2278" priority="27" stopIfTrue="1">
      <formula>IF(#REF!&gt;3,0,1)</formula>
    </cfRule>
  </conditionalFormatting>
  <conditionalFormatting sqref="E186 E271 E101 E16">
    <cfRule type="expression" dxfId="2277" priority="28" stopIfTrue="1">
      <formula>IF(#REF!&gt;4,0,1)</formula>
    </cfRule>
  </conditionalFormatting>
  <conditionalFormatting sqref="E187 E272 E102 E17">
    <cfRule type="expression" dxfId="2276" priority="29" stopIfTrue="1">
      <formula>IF(#REF!&gt;4,0,1)</formula>
    </cfRule>
  </conditionalFormatting>
  <conditionalFormatting sqref="AC178 AC263 AC93 AC8">
    <cfRule type="expression" dxfId="2275" priority="30" stopIfTrue="1">
      <formula>IF(AK11=1,IF(AK9&gt;0,0,1),1)</formula>
    </cfRule>
  </conditionalFormatting>
  <conditionalFormatting sqref="AC180:AE181 AC265:AE266 AC95:AE96 AC10">
    <cfRule type="expression" dxfId="2274" priority="31" stopIfTrue="1">
      <formula>IF(AK11=1,IF(#REF!&gt;1,0,1),1)</formula>
    </cfRule>
  </conditionalFormatting>
  <conditionalFormatting sqref="AC182:AE183 AC267:AE268 AC97:AE98 AC12">
    <cfRule type="expression" dxfId="2273" priority="32" stopIfTrue="1">
      <formula>IF(#REF!=1,IF(#REF!&gt;2,0,1),1)</formula>
    </cfRule>
  </conditionalFormatting>
  <conditionalFormatting sqref="AC184:AE185 AC269:AE270 AC99:AE100 AC14">
    <cfRule type="expression" dxfId="2272" priority="33" stopIfTrue="1">
      <formula>IF(#REF!=1,IF(#REF!&gt;3,0,1),1)</formula>
    </cfRule>
  </conditionalFormatting>
  <conditionalFormatting sqref="AC186:AE187 AC271:AE272 AC101:AE102 AC16">
    <cfRule type="expression" dxfId="2271" priority="34" stopIfTrue="1">
      <formula>IF(#REF!=1,IF(#REF!&gt;4,0,1),1)</formula>
    </cfRule>
  </conditionalFormatting>
  <conditionalFormatting sqref="AH178 AH8 AH93 AH263">
    <cfRule type="expression" dxfId="2270" priority="35" stopIfTrue="1">
      <formula>IF(AK9&gt;0,0,1)</formula>
    </cfRule>
  </conditionalFormatting>
  <conditionalFormatting sqref="AH180:AI181 AH10:AI11 AH95:AI96 AH265:AI266">
    <cfRule type="expression" dxfId="2269" priority="36" stopIfTrue="1">
      <formula>IF(#REF!&gt;1,0,1)</formula>
    </cfRule>
  </conditionalFormatting>
  <conditionalFormatting sqref="AH182:AI183 AH12:AI13 AH97:AI98 AH267:AI268">
    <cfRule type="expression" dxfId="2268" priority="37" stopIfTrue="1">
      <formula>IF(#REF!&gt;2,0,1)</formula>
    </cfRule>
  </conditionalFormatting>
  <conditionalFormatting sqref="AH184:AI185 AH14:AI15 AH99:AI100 AH269:AI270">
    <cfRule type="expression" dxfId="2267" priority="38" stopIfTrue="1">
      <formula>IF(#REF!&gt;3,0,1)</formula>
    </cfRule>
  </conditionalFormatting>
  <conditionalFormatting sqref="AH186:AI187 AH16:AI17 AH101:AI102 AH271:AI272">
    <cfRule type="expression" dxfId="2266" priority="39" stopIfTrue="1">
      <formula>IF(#REF!&gt;4,0,1)</formula>
    </cfRule>
  </conditionalFormatting>
  <conditionalFormatting sqref="B104:D104 B189:D189 B19:D19 B274:D274">
    <cfRule type="expression" dxfId="2265" priority="40" stopIfTrue="1">
      <formula>IF(#REF!&gt;0,0,1)</formula>
    </cfRule>
  </conditionalFormatting>
  <conditionalFormatting sqref="E104:G104 E189:G189 E19:G19 E274:G274">
    <cfRule type="expression" dxfId="2264" priority="41" stopIfTrue="1">
      <formula>IF(#REF!&gt;1,0,1)</formula>
    </cfRule>
  </conditionalFormatting>
  <conditionalFormatting sqref="H104:J104 H189:J189 H19:J19 H274:J274">
    <cfRule type="expression" dxfId="2263" priority="42" stopIfTrue="1">
      <formula>IF(#REF!&gt;2,0,1)</formula>
    </cfRule>
  </conditionalFormatting>
  <conditionalFormatting sqref="K104:M104 K189:M189 K19:M19 K274:M274">
    <cfRule type="expression" dxfId="2262" priority="43" stopIfTrue="1">
      <formula>IF(#REF!&gt;3,0,1)</formula>
    </cfRule>
  </conditionalFormatting>
  <conditionalFormatting sqref="N104:P104 N189:P189 N19:P19 N274:P274">
    <cfRule type="expression" dxfId="2261" priority="44" stopIfTrue="1">
      <formula>IF(#REF!&gt;4,0,1)</formula>
    </cfRule>
  </conditionalFormatting>
  <conditionalFormatting sqref="Q104:S104 Q189:S189 Q19:S19 Q274:S274">
    <cfRule type="expression" dxfId="2260" priority="45" stopIfTrue="1">
      <formula>IF(#REF!&gt;5,0,1)</formula>
    </cfRule>
  </conditionalFormatting>
  <conditionalFormatting sqref="T104:V104 T189:V189 T19:V19 T274:V274">
    <cfRule type="expression" dxfId="2259" priority="46" stopIfTrue="1">
      <formula>IF(#REF!&gt;6,0,1)</formula>
    </cfRule>
  </conditionalFormatting>
  <conditionalFormatting sqref="W104:Y104 W189:Y189 W19:Y19 W274:Y274">
    <cfRule type="expression" dxfId="2258" priority="47" stopIfTrue="1">
      <formula>IF(#REF!&gt;7,0,1)</formula>
    </cfRule>
  </conditionalFormatting>
  <conditionalFormatting sqref="Z104:AB104 Z189:AB189 Z19:AB19 Z274:AB274">
    <cfRule type="expression" dxfId="2257" priority="48" stopIfTrue="1">
      <formula>IF(#REF!&gt;8,0,1)</formula>
    </cfRule>
  </conditionalFormatting>
  <conditionalFormatting sqref="AC104:AE104 AC189:AE189 AC19:AE19 AC274:AE274">
    <cfRule type="expression" dxfId="2256" priority="49" stopIfTrue="1">
      <formula>IF(#REF!&gt;9,0,1)</formula>
    </cfRule>
  </conditionalFormatting>
  <conditionalFormatting sqref="B190:D190 B105:D105 B20:D20 B275:D275">
    <cfRule type="expression" dxfId="2255" priority="50" stopIfTrue="1">
      <formula>IF(#REF!&gt;0,0,1)</formula>
    </cfRule>
  </conditionalFormatting>
  <conditionalFormatting sqref="E190:G190 E105:G105 E20:G20 E275:G275">
    <cfRule type="expression" dxfId="2254" priority="51" stopIfTrue="1">
      <formula>IF(#REF!&gt;1,0,1)</formula>
    </cfRule>
  </conditionalFormatting>
  <conditionalFormatting sqref="H190:J190 H105:J105 H20:J20 H275:J275">
    <cfRule type="expression" dxfId="2253" priority="52" stopIfTrue="1">
      <formula>IF(#REF!&gt;2,0,1)</formula>
    </cfRule>
  </conditionalFormatting>
  <conditionalFormatting sqref="K190:M190 K105:M105 K20:M20 K275:M275">
    <cfRule type="expression" dxfId="2252" priority="53" stopIfTrue="1">
      <formula>IF(#REF!&gt;3,0,1)</formula>
    </cfRule>
  </conditionalFormatting>
  <conditionalFormatting sqref="N190:P190 N105:P105 N20:P20 N275:P275">
    <cfRule type="expression" dxfId="2251" priority="54" stopIfTrue="1">
      <formula>IF(#REF!&gt;4,0,1)</formula>
    </cfRule>
  </conditionalFormatting>
  <conditionalFormatting sqref="Q190:S190 Q105:S105 Q20:S20 Q275:S275">
    <cfRule type="expression" dxfId="2250" priority="55" stopIfTrue="1">
      <formula>IF(#REF!&gt;5,0,1)</formula>
    </cfRule>
  </conditionalFormatting>
  <conditionalFormatting sqref="T190:V190 T105:V105 T20:V20 T275:V275">
    <cfRule type="expression" dxfId="2249" priority="56" stopIfTrue="1">
      <formula>IF(#REF!&gt;6,0,1)</formula>
    </cfRule>
  </conditionalFormatting>
  <conditionalFormatting sqref="W190:Y190 W105:Y105 W20:Y20 W275:Y275">
    <cfRule type="expression" dxfId="2248" priority="57" stopIfTrue="1">
      <formula>IF(#REF!&gt;7,0,1)</formula>
    </cfRule>
  </conditionalFormatting>
  <conditionalFormatting sqref="Z190:AB190 Z105:AB105 Z20:AB20 Z275:AB275">
    <cfRule type="expression" dxfId="2247" priority="58" stopIfTrue="1">
      <formula>IF(#REF!&gt;8,0,1)</formula>
    </cfRule>
  </conditionalFormatting>
  <conditionalFormatting sqref="AC190:AE190 AC105:AE105 AC20:AE20 AC275:AE275">
    <cfRule type="expression" dxfId="2246" priority="59" stopIfTrue="1">
      <formula>IF(#REF!&gt;9,0,1)</formula>
    </cfRule>
  </conditionalFormatting>
  <conditionalFormatting sqref="E22:G22 E192:G192 E107:G107 E277:G277">
    <cfRule type="expression" dxfId="2245" priority="60" stopIfTrue="1">
      <formula>IF(#REF!&gt;1,0,1)</formula>
    </cfRule>
  </conditionalFormatting>
  <conditionalFormatting sqref="H22:J22 H192:J192 H107:J107 H277:J277">
    <cfRule type="expression" dxfId="2244" priority="61" stopIfTrue="1">
      <formula>IF(#REF!&gt;2,0,1)</formula>
    </cfRule>
  </conditionalFormatting>
  <conditionalFormatting sqref="K22:M22 K192:M192 K107:M107 K277:M277">
    <cfRule type="expression" dxfId="2243" priority="62" stopIfTrue="1">
      <formula>IF(#REF!&gt;3,0,1)</formula>
    </cfRule>
  </conditionalFormatting>
  <conditionalFormatting sqref="N22:P22 N192:P192 N107:P107 N277:P277">
    <cfRule type="expression" dxfId="2242" priority="63" stopIfTrue="1">
      <formula>IF(#REF!&gt;4,0,1)</formula>
    </cfRule>
  </conditionalFormatting>
  <conditionalFormatting sqref="Q22:S22 Q192:S192 Q107:S107 Q277:S277">
    <cfRule type="expression" dxfId="2241" priority="64" stopIfTrue="1">
      <formula>IF(#REF!&gt;5,0,1)</formula>
    </cfRule>
  </conditionalFormatting>
  <conditionalFormatting sqref="T22:V22 T192:V192 T107:V107 T277:V277">
    <cfRule type="expression" dxfId="2240" priority="65" stopIfTrue="1">
      <formula>IF(#REF!&gt;6,0,1)</formula>
    </cfRule>
  </conditionalFormatting>
  <conditionalFormatting sqref="W22:Y22 W192:Y192 W107:Y107 W277:Y277">
    <cfRule type="expression" dxfId="2239" priority="66" stopIfTrue="1">
      <formula>IF(#REF!&gt;7,0,1)</formula>
    </cfRule>
  </conditionalFormatting>
  <conditionalFormatting sqref="Z22:AB22 Z192:AB192 Z107:AB107 Z277:AB277">
    <cfRule type="expression" dxfId="2238" priority="67" stopIfTrue="1">
      <formula>IF(#REF!&gt;8,0,1)</formula>
    </cfRule>
  </conditionalFormatting>
  <conditionalFormatting sqref="AC22:AE22 AC192:AE192 AC107:AE107 AC277:AE277">
    <cfRule type="expression" dxfId="2237" priority="68" stopIfTrue="1">
      <formula>IF(#REF!&gt;9,0,1)</formula>
    </cfRule>
  </conditionalFormatting>
  <conditionalFormatting sqref="B24 B194 B109 B279">
    <cfRule type="expression" dxfId="2236" priority="69" stopIfTrue="1">
      <formula>IF(#REF!&gt;0,0,1)</formula>
    </cfRule>
  </conditionalFormatting>
  <conditionalFormatting sqref="C24 C194 C109 C279">
    <cfRule type="expression" dxfId="2235" priority="70" stopIfTrue="1">
      <formula>IF(#REF!&gt;0,0,1)</formula>
    </cfRule>
  </conditionalFormatting>
  <conditionalFormatting sqref="D24 D194 D109 D279">
    <cfRule type="expression" dxfId="2234" priority="71" stopIfTrue="1">
      <formula>IF(#REF!&gt;0,0,1)</formula>
    </cfRule>
  </conditionalFormatting>
  <conditionalFormatting sqref="E108:G108 E23:G23 E193:G193 E278:G278">
    <cfRule type="expression" dxfId="2233" priority="72" stopIfTrue="1">
      <formula>IF(#REF!&gt;1,0,1)</formula>
    </cfRule>
  </conditionalFormatting>
  <conditionalFormatting sqref="F24 F194 F109 F279">
    <cfRule type="expression" dxfId="2232" priority="73" stopIfTrue="1">
      <formula>IF(#REF!&gt;1,0,1)</formula>
    </cfRule>
  </conditionalFormatting>
  <conditionalFormatting sqref="G24 G194 G109 G279">
    <cfRule type="expression" dxfId="2231" priority="74" stopIfTrue="1">
      <formula>IF(#REF!&gt;1,0,1)</formula>
    </cfRule>
  </conditionalFormatting>
  <conditionalFormatting sqref="H108:J108 H23:J23 H193:J193 H278:J278">
    <cfRule type="expression" dxfId="2230" priority="75" stopIfTrue="1">
      <formula>IF(#REF!&gt;2,0,1)</formula>
    </cfRule>
  </conditionalFormatting>
  <conditionalFormatting sqref="I24 I194 I109 I279">
    <cfRule type="expression" dxfId="2229" priority="76" stopIfTrue="1">
      <formula>IF(#REF!&gt;2,0,1)</formula>
    </cfRule>
  </conditionalFormatting>
  <conditionalFormatting sqref="J24 J194 J109 J279">
    <cfRule type="expression" dxfId="2228" priority="77" stopIfTrue="1">
      <formula>IF(#REF!&gt;2,0,1)</formula>
    </cfRule>
  </conditionalFormatting>
  <conditionalFormatting sqref="K108:M108 K23:M23 K193:M193 K278:M278">
    <cfRule type="expression" dxfId="2227" priority="78" stopIfTrue="1">
      <formula>IF(#REF!&gt;3,0,1)</formula>
    </cfRule>
  </conditionalFormatting>
  <conditionalFormatting sqref="L24 L194 L109 L279">
    <cfRule type="expression" dxfId="2226" priority="79" stopIfTrue="1">
      <formula>IF(#REF!&gt;3,0,1)</formula>
    </cfRule>
  </conditionalFormatting>
  <conditionalFormatting sqref="M24 M194 M109 M279">
    <cfRule type="expression" dxfId="2225" priority="80" stopIfTrue="1">
      <formula>IF(#REF!&gt;3,0,1)</formula>
    </cfRule>
  </conditionalFormatting>
  <conditionalFormatting sqref="N108:P108 N23:P23 N193:P193 N278:P278">
    <cfRule type="expression" dxfId="2224" priority="81" stopIfTrue="1">
      <formula>IF(#REF!&gt;4,0,1)</formula>
    </cfRule>
  </conditionalFormatting>
  <conditionalFormatting sqref="O24 O194 O109 O279">
    <cfRule type="expression" dxfId="2223" priority="82" stopIfTrue="1">
      <formula>IF(#REF!&gt;4,0,1)</formula>
    </cfRule>
  </conditionalFormatting>
  <conditionalFormatting sqref="P24 P194 P109 P279">
    <cfRule type="expression" dxfId="2222" priority="83" stopIfTrue="1">
      <formula>IF(#REF!&gt;4,0,1)</formula>
    </cfRule>
  </conditionalFormatting>
  <conditionalFormatting sqref="Q108:S108 Q23:S23 Q193:S193 Q278:S278">
    <cfRule type="expression" dxfId="2221" priority="84" stopIfTrue="1">
      <formula>IF(#REF!&gt;5,0,1)</formula>
    </cfRule>
  </conditionalFormatting>
  <conditionalFormatting sqref="R24 R194 R109 R279">
    <cfRule type="expression" dxfId="2220" priority="85" stopIfTrue="1">
      <formula>IF(#REF!&gt;5,0,1)</formula>
    </cfRule>
  </conditionalFormatting>
  <conditionalFormatting sqref="S24 S194 S109 S279">
    <cfRule type="expression" dxfId="2219" priority="86" stopIfTrue="1">
      <formula>IF(#REF!&gt;5,0,1)</formula>
    </cfRule>
  </conditionalFormatting>
  <conditionalFormatting sqref="T108:V108 T23:V23 T193:V193 T278:V278">
    <cfRule type="expression" dxfId="2218" priority="87" stopIfTrue="1">
      <formula>IF(#REF!&gt;6,0,1)</formula>
    </cfRule>
  </conditionalFormatting>
  <conditionalFormatting sqref="U24 U194 U109 U279">
    <cfRule type="expression" dxfId="2217" priority="88" stopIfTrue="1">
      <formula>IF(#REF!&gt;6,0,1)</formula>
    </cfRule>
  </conditionalFormatting>
  <conditionalFormatting sqref="V24 V194 V109 V279">
    <cfRule type="expression" dxfId="2216" priority="89" stopIfTrue="1">
      <formula>IF(#REF!&gt;6,0,1)</formula>
    </cfRule>
  </conditionalFormatting>
  <conditionalFormatting sqref="W108:Y108 W23:Y23 W193:Y193 W278:Y278">
    <cfRule type="expression" dxfId="2215" priority="90" stopIfTrue="1">
      <formula>IF(#REF!&gt;7,0,1)</formula>
    </cfRule>
  </conditionalFormatting>
  <conditionalFormatting sqref="X24 X194 X109 X279">
    <cfRule type="expression" dxfId="2214" priority="91" stopIfTrue="1">
      <formula>IF(#REF!&gt;7,0,1)</formula>
    </cfRule>
  </conditionalFormatting>
  <conditionalFormatting sqref="Y24 Y194 Y109 Y279">
    <cfRule type="expression" dxfId="2213" priority="92" stopIfTrue="1">
      <formula>IF(#REF!&gt;7,0,1)</formula>
    </cfRule>
  </conditionalFormatting>
  <conditionalFormatting sqref="Z108:AB108 Z23:AB23 Z193:AB193 Z278:AB278">
    <cfRule type="expression" dxfId="2212" priority="93" stopIfTrue="1">
      <formula>IF(#REF!&gt;8,0,1)</formula>
    </cfRule>
  </conditionalFormatting>
  <conditionalFormatting sqref="AA24 AA194 AA109 AA279">
    <cfRule type="expression" dxfId="2211" priority="94" stopIfTrue="1">
      <formula>IF(#REF!&gt;8,0,1)</formula>
    </cfRule>
  </conditionalFormatting>
  <conditionalFormatting sqref="AB24 AB194 AB109 AB279">
    <cfRule type="expression" dxfId="2210" priority="95" stopIfTrue="1">
      <formula>IF(#REF!&gt;8,0,1)</formula>
    </cfRule>
  </conditionalFormatting>
  <conditionalFormatting sqref="AC108:AE108 AC23:AE23 AC193:AE193 AC278:AE278">
    <cfRule type="expression" dxfId="2209" priority="96" stopIfTrue="1">
      <formula>IF(#REF!&gt;9,0,1)</formula>
    </cfRule>
  </conditionalFormatting>
  <conditionalFormatting sqref="AD24 AD194 AD109 AD279">
    <cfRule type="expression" dxfId="2208" priority="97" stopIfTrue="1">
      <formula>IF(#REF!&gt;9,0,1)</formula>
    </cfRule>
  </conditionalFormatting>
  <conditionalFormatting sqref="AE24 AE194 AE109 AE279">
    <cfRule type="expression" dxfId="2207" priority="98" stopIfTrue="1">
      <formula>IF(#REF!&gt;9,0,1)</formula>
    </cfRule>
  </conditionalFormatting>
  <conditionalFormatting sqref="A26 A196 A111 A281">
    <cfRule type="expression" dxfId="2206" priority="99" stopIfTrue="1">
      <formula>IF(#REF!&gt;1,0,1)</formula>
    </cfRule>
  </conditionalFormatting>
  <conditionalFormatting sqref="A27 A197 A112 A282">
    <cfRule type="expression" dxfId="2205" priority="100" stopIfTrue="1">
      <formula>IF(#REF!&gt;2,0,1)</formula>
    </cfRule>
  </conditionalFormatting>
  <conditionalFormatting sqref="A28 A198 A113 A283">
    <cfRule type="expression" dxfId="2204" priority="101" stopIfTrue="1">
      <formula>IF(#REF!&gt;3,0,1)</formula>
    </cfRule>
  </conditionalFormatting>
  <conditionalFormatting sqref="A29 A199 A114 A284">
    <cfRule type="expression" dxfId="2203" priority="102" stopIfTrue="1">
      <formula>IF(#REF!&gt;4,0,1)</formula>
    </cfRule>
  </conditionalFormatting>
  <conditionalFormatting sqref="B25:D25 B195:D195 B110:D110 B280:D280">
    <cfRule type="expression" dxfId="2202" priority="103" stopIfTrue="1">
      <formula>IF(#REF!&gt;0,0,1)</formula>
    </cfRule>
  </conditionalFormatting>
  <conditionalFormatting sqref="B26:D26 B196:D196 B111:D111 B281:D281">
    <cfRule type="expression" dxfId="2201" priority="104" stopIfTrue="1">
      <formula>IF(#REF!&lt;1,1,IF(#REF!&lt;2,1,0))</formula>
    </cfRule>
  </conditionalFormatting>
  <conditionalFormatting sqref="B27:D27 B197:D197 B112:D112 B282:D282">
    <cfRule type="expression" dxfId="2200" priority="105" stopIfTrue="1">
      <formula>IF(#REF!&lt;1,1,IF(#REF!&lt;3,1,0))</formula>
    </cfRule>
  </conditionalFormatting>
  <conditionalFormatting sqref="B28:D28 B198:D198 B113:D113 B283:D283">
    <cfRule type="expression" dxfId="2199" priority="106" stopIfTrue="1">
      <formula>IF(#REF!&lt;1,1,IF(#REF!&lt;4,1,0))</formula>
    </cfRule>
  </conditionalFormatting>
  <conditionalFormatting sqref="B29:D29 B199:D199 B114:D114 B284:D284">
    <cfRule type="expression" dxfId="2198" priority="107" stopIfTrue="1">
      <formula>IF(#REF!&lt;1,1,IF(#REF!&lt;5,1,0))</formula>
    </cfRule>
  </conditionalFormatting>
  <conditionalFormatting sqref="AG23 AG193 AG108 AG278">
    <cfRule type="expression" dxfId="2197" priority="108" stopIfTrue="1">
      <formula>IF(#REF!&lt;1,1,0)</formula>
    </cfRule>
  </conditionalFormatting>
  <conditionalFormatting sqref="AH23 AH193 AH108 AH278">
    <cfRule type="expression" dxfId="2196" priority="109" stopIfTrue="1">
      <formula>IF(#REF!&lt;2,1,0)</formula>
    </cfRule>
  </conditionalFormatting>
  <conditionalFormatting sqref="AI23 AI193 AI108 AI278">
    <cfRule type="expression" dxfId="2195" priority="110" stopIfTrue="1">
      <formula>IF(#REF!&lt;3,1,0)</formula>
    </cfRule>
  </conditionalFormatting>
  <conditionalFormatting sqref="AJ23 AJ193 AJ108 AJ278">
    <cfRule type="expression" dxfId="2194" priority="111" stopIfTrue="1">
      <formula>IF(#REF!&lt;4,1,0)</formula>
    </cfRule>
  </conditionalFormatting>
  <conditionalFormatting sqref="AK23 AK193 AK108 AK278">
    <cfRule type="expression" dxfId="2193" priority="112" stopIfTrue="1">
      <formula>IF(#REF!&lt;5,1,0)</formula>
    </cfRule>
  </conditionalFormatting>
  <conditionalFormatting sqref="AL23 AL193 AL108 AL278">
    <cfRule type="expression" dxfId="2192" priority="113" stopIfTrue="1">
      <formula>IF(#REF!&lt;6,1,0)</formula>
    </cfRule>
  </conditionalFormatting>
  <conditionalFormatting sqref="AM23 AM193 AM108 AM278">
    <cfRule type="expression" dxfId="2191" priority="114" stopIfTrue="1">
      <formula>IF(#REF!&lt;7,1,0)</formula>
    </cfRule>
  </conditionalFormatting>
  <conditionalFormatting sqref="AN23 AN193 AN108 AN278">
    <cfRule type="expression" dxfId="2190" priority="115" stopIfTrue="1">
      <formula>IF(#REF!&lt;8,1,0)</formula>
    </cfRule>
  </conditionalFormatting>
  <conditionalFormatting sqref="AO23 AO193 AO108 AO278">
    <cfRule type="expression" dxfId="2189" priority="116" stopIfTrue="1">
      <formula>IF(#REF!&lt;9,1,0)</formula>
    </cfRule>
  </conditionalFormatting>
  <conditionalFormatting sqref="AP23 AP193 AP108 AP278">
    <cfRule type="expression" dxfId="2188" priority="117" stopIfTrue="1">
      <formula>IF(#REF!&lt;10,1,0)</formula>
    </cfRule>
  </conditionalFormatting>
  <conditionalFormatting sqref="AQ24 AQ194 AQ109 AQ279">
    <cfRule type="expression" dxfId="2187" priority="118" stopIfTrue="1">
      <formula>IF(#REF!&gt;0,0,1)</formula>
    </cfRule>
  </conditionalFormatting>
  <conditionalFormatting sqref="AQ25 AQ195 AQ110 AQ280">
    <cfRule type="expression" dxfId="2186" priority="119" stopIfTrue="1">
      <formula>IF(#REF!&gt;1,0,1)</formula>
    </cfRule>
  </conditionalFormatting>
  <conditionalFormatting sqref="AQ26 H25:J25 AQ196 H195:J195 AQ111 H110:J110 AQ281 H280:J280">
    <cfRule type="expression" dxfId="2185" priority="120" stopIfTrue="1">
      <formula>IF(#REF!&gt;2,0,1)</formula>
    </cfRule>
  </conditionalFormatting>
  <conditionalFormatting sqref="K195:M195 K110:M110 K25:M25 K280:M280">
    <cfRule type="expression" dxfId="2184" priority="121" stopIfTrue="1">
      <formula>IF(#REF!&gt;3,0,1)</formula>
    </cfRule>
  </conditionalFormatting>
  <conditionalFormatting sqref="AQ28 AQ198 AQ113 AQ283">
    <cfRule type="expression" dxfId="2183" priority="122" stopIfTrue="1">
      <formula>IF(#REF!&gt;4,0,1)</formula>
    </cfRule>
  </conditionalFormatting>
  <conditionalFormatting sqref="E26:G26 E196:G196 E111:G111 E281:G281">
    <cfRule type="expression" dxfId="2182" priority="123" stopIfTrue="1">
      <formula>IF(#REF!&lt;2,1,IF(#REF!&lt;2,1,0))</formula>
    </cfRule>
  </conditionalFormatting>
  <conditionalFormatting sqref="E27:G27 E197:G197 E112:G112 E282:G282">
    <cfRule type="expression" dxfId="2181" priority="124" stopIfTrue="1">
      <formula>IF(#REF!&lt;2,1,IF(#REF!&lt;3,1,0))</formula>
    </cfRule>
  </conditionalFormatting>
  <conditionalFormatting sqref="E28:G28 E198:G198 E113:G113 E283:G283">
    <cfRule type="expression" dxfId="2180" priority="125" stopIfTrue="1">
      <formula>IF(#REF!&lt;2,1,IF(#REF!&lt;4,1,0))</formula>
    </cfRule>
  </conditionalFormatting>
  <conditionalFormatting sqref="E29:G29 E199:G199 E114:G114 E284:G284">
    <cfRule type="expression" dxfId="2179" priority="126" stopIfTrue="1">
      <formula>IF(#REF!&lt;2,1,IF(#REF!&lt;5,1,0))</formula>
    </cfRule>
  </conditionalFormatting>
  <conditionalFormatting sqref="N25:P25 N195:P195 N110:P110 N280:P280">
    <cfRule type="expression" dxfId="2178" priority="127" stopIfTrue="1">
      <formula>IF(#REF!&gt;4,0,1)</formula>
    </cfRule>
  </conditionalFormatting>
  <conditionalFormatting sqref="Q25:S25 Q195:S195 Q110:S110 Q280:S280">
    <cfRule type="expression" dxfId="2177" priority="128" stopIfTrue="1">
      <formula>IF(#REF!&gt;5,0,1)</formula>
    </cfRule>
  </conditionalFormatting>
  <conditionalFormatting sqref="T25:V25 T195:V195 T110:V110 T280:V280">
    <cfRule type="expression" dxfId="2176" priority="129" stopIfTrue="1">
      <formula>IF(#REF!&gt;6,0,1)</formula>
    </cfRule>
  </conditionalFormatting>
  <conditionalFormatting sqref="W25:Y25 W195:Y195 W110:Y110 W280:Y280">
    <cfRule type="expression" dxfId="2175" priority="130" stopIfTrue="1">
      <formula>IF(#REF!&gt;7,0,1)</formula>
    </cfRule>
  </conditionalFormatting>
  <conditionalFormatting sqref="Z25:AB25 Z195:AB195 Z110:AB110 Z280:AB280">
    <cfRule type="expression" dxfId="2174" priority="131" stopIfTrue="1">
      <formula>IF(#REF!&gt;8,0,1)</formula>
    </cfRule>
  </conditionalFormatting>
  <conditionalFormatting sqref="AC25:AE25 AC195:AE195 AC110:AE110 AC280:AE280">
    <cfRule type="expression" dxfId="2173" priority="132" stopIfTrue="1">
      <formula>IF(#REF!&gt;9,0,1)</formula>
    </cfRule>
  </conditionalFormatting>
  <conditionalFormatting sqref="H26:J26 H196:J196 H111:J111 H281:J281">
    <cfRule type="expression" dxfId="2172" priority="133" stopIfTrue="1">
      <formula>IF(#REF!&lt;3,1,IF(#REF!&lt;2,1,0))</formula>
    </cfRule>
  </conditionalFormatting>
  <conditionalFormatting sqref="K26:M26 K196:M196 K111:M111 K281:M281">
    <cfRule type="expression" dxfId="2171" priority="134" stopIfTrue="1">
      <formula>IF(#REF!&lt;4,1,IF(#REF!&lt;2,1,0))</formula>
    </cfRule>
  </conditionalFormatting>
  <conditionalFormatting sqref="N26:P26 N196:P196 N111:P111 N281:P281">
    <cfRule type="expression" dxfId="2170" priority="135" stopIfTrue="1">
      <formula>IF(#REF!&lt;5,1,IF(#REF!&lt;2,1,0))</formula>
    </cfRule>
  </conditionalFormatting>
  <conditionalFormatting sqref="Q26:S26 Q196:S196 Q111:S111 Q281:S281">
    <cfRule type="expression" dxfId="2169" priority="136" stopIfTrue="1">
      <formula>IF(#REF!&lt;6,1,IF(#REF!&lt;2,1,0))</formula>
    </cfRule>
  </conditionalFormatting>
  <conditionalFormatting sqref="T26:V26 T196:V196 T111:V111 T281:V281">
    <cfRule type="expression" dxfId="2168" priority="137" stopIfTrue="1">
      <formula>IF(#REF!&lt;7,1,IF(#REF!&lt;2,1,0))</formula>
    </cfRule>
  </conditionalFormatting>
  <conditionalFormatting sqref="W26:Y26 W196:Y196 W111:Y111 W281:Y281">
    <cfRule type="expression" dxfId="2167" priority="138" stopIfTrue="1">
      <formula>IF(#REF!&lt;8,1,IF(#REF!&lt;2,1,0))</formula>
    </cfRule>
  </conditionalFormatting>
  <conditionalFormatting sqref="Z26:AB26 Z196:AB196 Z111:AB111 Z281:AB281">
    <cfRule type="expression" dxfId="2166" priority="139" stopIfTrue="1">
      <formula>IF(#REF!&lt;9,1,IF(#REF!&lt;2,1,0))</formula>
    </cfRule>
  </conditionalFormatting>
  <conditionalFormatting sqref="AC26:AE26 AC196:AE196 AC111:AE111 AC281:AE281">
    <cfRule type="expression" dxfId="2165" priority="140" stopIfTrue="1">
      <formula>IF(#REF!&lt;10,1,IF(#REF!&lt;2,1,0))</formula>
    </cfRule>
  </conditionalFormatting>
  <conditionalFormatting sqref="H27:J27 H197:J197 H112:J112 H282:J282">
    <cfRule type="expression" dxfId="2164" priority="141" stopIfTrue="1">
      <formula>IF(#REF!&lt;3,1,IF(#REF!&lt;3,1,0))</formula>
    </cfRule>
  </conditionalFormatting>
  <conditionalFormatting sqref="K27:M27 K197:M197 K112:M112 K282:M282">
    <cfRule type="expression" dxfId="2163" priority="142" stopIfTrue="1">
      <formula>IF(#REF!&lt;4,1,IF(#REF!&lt;3,1,0))</formula>
    </cfRule>
  </conditionalFormatting>
  <conditionalFormatting sqref="N27:P27 N197:P197 N112:P112 N282:P282">
    <cfRule type="expression" dxfId="2162" priority="143" stopIfTrue="1">
      <formula>IF(#REF!&lt;5,1,IF(#REF!&lt;3,1,0))</formula>
    </cfRule>
  </conditionalFormatting>
  <conditionalFormatting sqref="Q27:S27 Q197:S197 Q112:S112 Q282:S282">
    <cfRule type="expression" dxfId="2161" priority="144" stopIfTrue="1">
      <formula>IF(#REF!&lt;6,1,IF(#REF!&lt;3,1,0))</formula>
    </cfRule>
  </conditionalFormatting>
  <conditionalFormatting sqref="T27:V27 T197:V197 T112:V112 T282:V282">
    <cfRule type="expression" dxfId="2160" priority="145" stopIfTrue="1">
      <formula>IF(#REF!&lt;7,1,IF(#REF!&lt;3,1,0))</formula>
    </cfRule>
  </conditionalFormatting>
  <conditionalFormatting sqref="W27:Y27 W197:Y197 W112:Y112 W282:Y282">
    <cfRule type="expression" dxfId="2159" priority="146" stopIfTrue="1">
      <formula>IF(#REF!&lt;8,1,IF(#REF!&lt;3,1,0))</formula>
    </cfRule>
  </conditionalFormatting>
  <conditionalFormatting sqref="Z27:AB27 Z197:AB197 Z112:AB112 Z282:AB282">
    <cfRule type="expression" dxfId="2158" priority="147" stopIfTrue="1">
      <formula>IF(#REF!&lt;9,1,IF(#REF!&lt;3,1,0))</formula>
    </cfRule>
  </conditionalFormatting>
  <conditionalFormatting sqref="AC27:AE27 AC197:AE197 AC112:AE112 AC282:AE282">
    <cfRule type="expression" dxfId="2157" priority="148" stopIfTrue="1">
      <formula>IF(#REF!&lt;10,1,IF(#REF!&lt;3,1,0))</formula>
    </cfRule>
  </conditionalFormatting>
  <conditionalFormatting sqref="H28:J28 H198:J198 H113:J113 H283:J283">
    <cfRule type="expression" dxfId="2156" priority="149" stopIfTrue="1">
      <formula>IF(#REF!&lt;3,1,IF(#REF!&lt;4,1,0))</formula>
    </cfRule>
  </conditionalFormatting>
  <conditionalFormatting sqref="K28:M28 K198:M198 K113:M113 K283:M283">
    <cfRule type="expression" dxfId="2155" priority="150" stopIfTrue="1">
      <formula>IF(#REF!&lt;4,1,IF(#REF!&lt;4,1,0))</formula>
    </cfRule>
  </conditionalFormatting>
  <conditionalFormatting sqref="N28:P28 N198:P198 N113:P113 N283:P283">
    <cfRule type="expression" dxfId="2154" priority="151" stopIfTrue="1">
      <formula>IF(#REF!&lt;5,1,IF(#REF!&lt;4,1,0))</formula>
    </cfRule>
  </conditionalFormatting>
  <conditionalFormatting sqref="Q28:S28 Q198:S198 Q113:S113 Q283:S283">
    <cfRule type="expression" dxfId="2153" priority="152" stopIfTrue="1">
      <formula>IF(#REF!&lt;6,1,IF(#REF!&lt;4,1,0))</formula>
    </cfRule>
  </conditionalFormatting>
  <conditionalFormatting sqref="T28:V28 T198:V198 T113:V113 T283:V283">
    <cfRule type="expression" dxfId="2152" priority="153" stopIfTrue="1">
      <formula>IF(#REF!&lt;7,1,IF(#REF!&lt;4,1,0))</formula>
    </cfRule>
  </conditionalFormatting>
  <conditionalFormatting sqref="W28:Y28 W198:Y198 W113:Y113 W283:Y283">
    <cfRule type="expression" dxfId="2151" priority="154" stopIfTrue="1">
      <formula>IF(#REF!&lt;8,1,IF(#REF!&lt;4,1,0))</formula>
    </cfRule>
  </conditionalFormatting>
  <conditionalFormatting sqref="Z28:AB28 Z198:AB198 Z113:AB113 Z283:AB283">
    <cfRule type="expression" dxfId="2150" priority="155" stopIfTrue="1">
      <formula>IF(#REF!&lt;9,1,IF(#REF!&lt;4,1,0))</formula>
    </cfRule>
  </conditionalFormatting>
  <conditionalFormatting sqref="AC28:AE28 AC198:AE198 AC113:AE113 AC283:AE283">
    <cfRule type="expression" dxfId="2149" priority="156" stopIfTrue="1">
      <formula>IF(#REF!&lt;10,1,IF(#REF!&lt;4,1,0))</formula>
    </cfRule>
  </conditionalFormatting>
  <conditionalFormatting sqref="H29:J29 H199:J199 H114:J114 H284:J284">
    <cfRule type="expression" dxfId="2148" priority="157" stopIfTrue="1">
      <formula>IF(#REF!&lt;3,1,IF(#REF!&lt;5,1,0))</formula>
    </cfRule>
  </conditionalFormatting>
  <conditionalFormatting sqref="K29:M29 K199:M199 K114:M114 K284:M284">
    <cfRule type="expression" dxfId="2147" priority="158" stopIfTrue="1">
      <formula>IF(#REF!&lt;4,1,IF(#REF!&lt;5,1,0))</formula>
    </cfRule>
  </conditionalFormatting>
  <conditionalFormatting sqref="N29:P29 N199:P199 N114:P114 N284:P284">
    <cfRule type="expression" dxfId="2146" priority="159" stopIfTrue="1">
      <formula>IF(#REF!&lt;5,1,IF(#REF!&lt;5,1,0))</formula>
    </cfRule>
  </conditionalFormatting>
  <conditionalFormatting sqref="Q29:S29 Q199:S199 Q114:S114 Q284:S284">
    <cfRule type="expression" dxfId="2145" priority="160" stopIfTrue="1">
      <formula>IF(#REF!&lt;6,1,IF(#REF!&lt;5,1,0))</formula>
    </cfRule>
  </conditionalFormatting>
  <conditionalFormatting sqref="T29:V29 T199:V199 T114:V114 T284:V284">
    <cfRule type="expression" dxfId="2144" priority="161" stopIfTrue="1">
      <formula>IF(#REF!&lt;7,1,IF(#REF!&lt;5,1,0))</formula>
    </cfRule>
  </conditionalFormatting>
  <conditionalFormatting sqref="W29:Y29 W199:Y199 W114:Y114 W284:Y284">
    <cfRule type="expression" dxfId="2143" priority="162" stopIfTrue="1">
      <formula>IF(#REF!&lt;8,1,IF(#REF!&lt;5,1,0))</formula>
    </cfRule>
  </conditionalFormatting>
  <conditionalFormatting sqref="Z29:AB29 Z199:AB199 Z114:AB114 Z284:AB284">
    <cfRule type="expression" dxfId="2142" priority="163" stopIfTrue="1">
      <formula>IF(#REF!&lt;9,1,IF(#REF!&lt;5,1,0))</formula>
    </cfRule>
  </conditionalFormatting>
  <conditionalFormatting sqref="AC29:AE29 AC199:AE199 AC114:AE114 AC284:AE284">
    <cfRule type="expression" dxfId="2141" priority="164" stopIfTrue="1">
      <formula>IF(#REF!&lt;10,1,IF(#REF!&lt;5,1,0))</formula>
    </cfRule>
  </conditionalFormatting>
  <conditionalFormatting sqref="L269:P270 R269:AB270 AF269:AF270 R184:AB185 AF184:AF185 L184:P185 R99:AB100 AF99:AF100 L99:P100 Z14 L14 W14 R14 AF14:AG14 AG99 AG184 AG269">
    <cfRule type="expression" dxfId="2140" priority="165" stopIfTrue="1">
      <formula>IF(#REF!&gt;3,0,1)</formula>
    </cfRule>
  </conditionalFormatting>
  <conditionalFormatting sqref="L271:P272 R271:AB272 AF271:AF272 R186:AB187 AF186:AF187 L186:P187 R101:AB102 AF101:AF102 L101:P102 R16 AF16:AG16 Z16 L16 W16 AG101 AG186 AG271">
    <cfRule type="expression" dxfId="2139" priority="166" stopIfTrue="1">
      <formula>IF(#REF!&gt;4,0,1)</formula>
    </cfRule>
  </conditionalFormatting>
  <conditionalFormatting sqref="L263:P264 R263:AB264 AF263:AF264 R178:AB179 AF178:AF179 L178:P179 R93:AB94 AF93:AF94 L93:P94 Z8 W8 AF8:AG8 R8 L8 AG93 AG178 AG263">
    <cfRule type="expression" dxfId="2138" priority="167" stopIfTrue="1">
      <formula>IF($AK9&gt;0,0,1)</formula>
    </cfRule>
  </conditionalFormatting>
  <conditionalFormatting sqref="L265:P266 R265:AB266 AF265:AF266 R180:AB181 AF180:AF181 L180:P181 R95:AB96 AF95:AF96 L95:P96 W10 AF10:AG10 Z10 R10 L10 AG95 AG180 AG265">
    <cfRule type="expression" dxfId="2137" priority="168" stopIfTrue="1">
      <formula>IF(#REF!&gt;1,0,1)</formula>
    </cfRule>
  </conditionalFormatting>
  <conditionalFormatting sqref="L267:P268 R267:AB268 AF267:AF268 R182:AB183 AF182:AF183 L182:P183 R97:AB98 AF97:AF98 L97:P98 L12 AF12:AG12 Z12 R12 W12 AG97 AG182 AG267">
    <cfRule type="expression" dxfId="2136" priority="169" stopIfTrue="1">
      <formula>IF(#REF!&gt;2,0,1)</formula>
    </cfRule>
  </conditionalFormatting>
  <conditionalFormatting sqref="E194 E109 E24 E279">
    <cfRule type="expression" dxfId="2135" priority="170" stopIfTrue="1">
      <formula>IF(#REF!&gt;1,0,1)</formula>
    </cfRule>
  </conditionalFormatting>
  <conditionalFormatting sqref="H194 H109 H24 H279">
    <cfRule type="expression" dxfId="2134" priority="171" stopIfTrue="1">
      <formula>IF(#REF!&gt;2,0,1)</formula>
    </cfRule>
  </conditionalFormatting>
  <conditionalFormatting sqref="K194 K109 K24 K279">
    <cfRule type="expression" dxfId="2133" priority="172" stopIfTrue="1">
      <formula>IF(#REF!&gt;3,0,1)</formula>
    </cfRule>
  </conditionalFormatting>
  <conditionalFormatting sqref="N194 N109 N24 N279">
    <cfRule type="expression" dxfId="2132" priority="173" stopIfTrue="1">
      <formula>IF(#REF!&gt;4,0,1)</formula>
    </cfRule>
  </conditionalFormatting>
  <conditionalFormatting sqref="Q194 Q109 Q24 Q279">
    <cfRule type="expression" dxfId="2131" priority="174" stopIfTrue="1">
      <formula>IF(#REF!&gt;5,0,1)</formula>
    </cfRule>
  </conditionalFormatting>
  <conditionalFormatting sqref="T194 T109 T24 T279">
    <cfRule type="expression" dxfId="2130" priority="175" stopIfTrue="1">
      <formula>IF(#REF!&gt;6,0,1)</formula>
    </cfRule>
  </conditionalFormatting>
  <conditionalFormatting sqref="W194 W109 W24 W279">
    <cfRule type="expression" dxfId="2129" priority="176" stopIfTrue="1">
      <formula>IF(#REF!&gt;7,0,1)</formula>
    </cfRule>
  </conditionalFormatting>
  <conditionalFormatting sqref="Z194 Z109 Z24 Z279">
    <cfRule type="expression" dxfId="2128" priority="177" stopIfTrue="1">
      <formula>IF(#REF!&gt;8,0,1)</formula>
    </cfRule>
  </conditionalFormatting>
  <conditionalFormatting sqref="AC194 AC109 AC24 AC279">
    <cfRule type="expression" dxfId="2127" priority="178" stopIfTrue="1">
      <formula>IF(#REF!&gt;9,0,1)</formula>
    </cfRule>
  </conditionalFormatting>
  <conditionalFormatting sqref="AQ197 AQ112 AQ27 AQ282">
    <cfRule type="expression" dxfId="2126" priority="179" stopIfTrue="1">
      <formula>IF(#REF!&gt;3,0,1)</formula>
    </cfRule>
  </conditionalFormatting>
  <conditionalFormatting sqref="E195:G195 E110:G110 E25:G25 E280:G280">
    <cfRule type="expression" dxfId="2125" priority="180" stopIfTrue="1">
      <formula>IF(#REF!&gt;1,0,1)</formula>
    </cfRule>
  </conditionalFormatting>
  <conditionalFormatting sqref="B191:D191 B106:D106 B21:D21 B276:D276">
    <cfRule type="expression" dxfId="2124" priority="181" stopIfTrue="1">
      <formula>IF(#REF!&gt;0,0,1)</formula>
    </cfRule>
  </conditionalFormatting>
  <conditionalFormatting sqref="E191:G191 E106:G106 E21:G21 E276:G276">
    <cfRule type="expression" dxfId="2123" priority="182" stopIfTrue="1">
      <formula>IF(#REF!&gt;1,0,1)</formula>
    </cfRule>
  </conditionalFormatting>
  <conditionalFormatting sqref="H191:J191 H106:J106 H21:J21 H276:J276">
    <cfRule type="expression" dxfId="2122" priority="183" stopIfTrue="1">
      <formula>IF(#REF!&gt;2,0,1)</formula>
    </cfRule>
  </conditionalFormatting>
  <conditionalFormatting sqref="K191:M191 K106:M106 K21:M21 K276:M276">
    <cfRule type="expression" dxfId="2121" priority="184" stopIfTrue="1">
      <formula>IF(#REF!&gt;3,0,1)</formula>
    </cfRule>
  </conditionalFormatting>
  <conditionalFormatting sqref="N191:P191 N106:P106 N21:P21 N276:P276">
    <cfRule type="expression" dxfId="2120" priority="185" stopIfTrue="1">
      <formula>IF(#REF!&gt;4,0,1)</formula>
    </cfRule>
  </conditionalFormatting>
  <conditionalFormatting sqref="Q191:S191 Q106:S106 Q21:S21 Q276:S276">
    <cfRule type="expression" dxfId="2119" priority="186" stopIfTrue="1">
      <formula>IF(#REF!&gt;5,0,1)</formula>
    </cfRule>
  </conditionalFormatting>
  <conditionalFormatting sqref="T191:V191 T106:V106 T21:V21 T276:V276">
    <cfRule type="expression" dxfId="2118" priority="187" stopIfTrue="1">
      <formula>IF(#REF!&gt;6,0,1)</formula>
    </cfRule>
  </conditionalFormatting>
  <conditionalFormatting sqref="W191:Y191 W106:Y106 W21:Y21 W276:Y276">
    <cfRule type="expression" dxfId="2117" priority="188" stopIfTrue="1">
      <formula>IF(#REF!&gt;7,0,1)</formula>
    </cfRule>
  </conditionalFormatting>
  <conditionalFormatting sqref="Z191:AB191 Z106:AB106 Z21:AB21 Z276:AB276">
    <cfRule type="expression" dxfId="2116" priority="189" stopIfTrue="1">
      <formula>IF(#REF!&gt;8,0,1)</formula>
    </cfRule>
  </conditionalFormatting>
  <conditionalFormatting sqref="AC191:AE191 AC106:AE106 AC21:AE21 AC276:AE276">
    <cfRule type="expression" dxfId="2115" priority="190" stopIfTrue="1">
      <formula>IF(#REF!&gt;9,0,1)</formula>
    </cfRule>
  </conditionalFormatting>
  <conditionalFormatting sqref="I395:I397 C396:C397 B387:B388 C387:D387 B390:D395 E391:J394 F395:F397 AD395:AD397 X396:X397 W387:W388 X387:Y387 W390:Y395 Z391:AE394 AA443:AA445 I443:I445 C444:C445 B435:B436 C435:D435 B438:D443 E439:J442 F443:F445 AD443:AD445 AA395:AA397 W435:W436 X435:Y435 W438:Y443 Z439:AE442 X444:X445">
    <cfRule type="expression" dxfId="2114" priority="191" stopIfTrue="1">
      <formula>IF(#REF!&gt;0,0,1)</formula>
    </cfRule>
  </conditionalFormatting>
  <conditionalFormatting sqref="Z387:Z390 F387:G387 G395 F390:G390 E395 E387:E390 AA387:AB387 AB395 AA390:AB390 Z395 Z435:Z438 F435:G435 G443 F438:G438 E443 E435:E438 AA435:AB435 AB443 AA438:AB438 Z443">
    <cfRule type="expression" dxfId="2113" priority="192" stopIfTrue="1">
      <formula>IF(#REF!&gt;1,0,1)</formula>
    </cfRule>
  </conditionalFormatting>
  <conditionalFormatting sqref="AC395 H387:H390 I387:J387 J395 I390:J390 H395 AC387:AC390 AD387:AE387 AE395 AD390:AE390 AC443 H435:H438 I435:J435 J443 I438:J438 H443 AC435:AC438 AD435:AE435 AE443 AD438:AE438">
    <cfRule type="expression" dxfId="2112" priority="193" stopIfTrue="1">
      <formula>IF(#REF!&gt;2,0,1)</formula>
    </cfRule>
  </conditionalFormatting>
  <conditionalFormatting sqref="B396 D396 W396 Y396 B444 D444 W444 Y444">
    <cfRule type="expression" dxfId="2111" priority="194" stopIfTrue="1">
      <formula>IF(#REF!&lt;1,1,IF(#REF!&lt;2,1,0))</formula>
    </cfRule>
  </conditionalFormatting>
  <conditionalFormatting sqref="E396 G396 Z396 AB396 E444 G444 Z444 AB444">
    <cfRule type="expression" dxfId="2110" priority="195" stopIfTrue="1">
      <formula>IF(#REF!&lt;2,1,IF(#REF!&lt;2,1,0))</formula>
    </cfRule>
  </conditionalFormatting>
  <conditionalFormatting sqref="H396 J396 AC396 AE396 H444 J444 AC444 AE444">
    <cfRule type="expression" dxfId="2109" priority="196" stopIfTrue="1">
      <formula>IF(#REF!&lt;3,1,IF(#REF!&lt;2,1,0))</formula>
    </cfRule>
  </conditionalFormatting>
  <conditionalFormatting sqref="D397 W397 Y397 B445 D445 W445 B397 Y445">
    <cfRule type="expression" dxfId="2108" priority="197" stopIfTrue="1">
      <formula>IF(#REF!&lt;1,1,IF(#REF!&lt;3,1,0))</formula>
    </cfRule>
  </conditionalFormatting>
  <conditionalFormatting sqref="G397 Z397 AB397 E445 G445 Z445 E397 AB445">
    <cfRule type="expression" dxfId="2107" priority="198" stopIfTrue="1">
      <formula>IF(#REF!&lt;2,1,IF(#REF!&lt;3,1,0))</formula>
    </cfRule>
  </conditionalFormatting>
  <conditionalFormatting sqref="J397 AC397 AE397 H445 J445 AC445 H397 AE445">
    <cfRule type="expression" dxfId="2106" priority="199" stopIfTrue="1">
      <formula>IF(#REF!&lt;3,1,IF(#REF!&lt;3,1,0))</formula>
    </cfRule>
  </conditionalFormatting>
  <conditionalFormatting sqref="AG109:AP113 AG194:AP198 AG24:AP28 AG279:AP283">
    <cfRule type="cellIs" dxfId="2105" priority="200" stopIfTrue="1" operator="notBetween">
      <formula>-9999</formula>
      <formula>9999</formula>
    </cfRule>
  </conditionalFormatting>
  <conditionalFormatting sqref="AC177 AC262 AC92 AC7">
    <cfRule type="expression" dxfId="2104" priority="201" stopIfTrue="1">
      <formula>IF($AK$11=0,1,0)</formula>
    </cfRule>
  </conditionalFormatting>
  <conditionalFormatting sqref="B103 B188 B18 B273">
    <cfRule type="expression" dxfId="2103" priority="202" stopIfTrue="1">
      <formula>IF($AK$9&gt;0,0,1)</formula>
    </cfRule>
  </conditionalFormatting>
  <conditionalFormatting sqref="B22:D23 B107:D108 B192:D193 B277:D278">
    <cfRule type="cellIs" dxfId="2102" priority="203" stopIfTrue="1" operator="equal">
      <formula>99</formula>
    </cfRule>
  </conditionalFormatting>
  <conditionalFormatting sqref="C398 F398 X398 AA398 C446 F446 X446 AA446">
    <cfRule type="expression" dxfId="2101" priority="204" stopIfTrue="1">
      <formula>IF(#REF!&gt;0,0,1)</formula>
    </cfRule>
  </conditionalFormatting>
  <conditionalFormatting sqref="K387">
    <cfRule type="expression" dxfId="2100" priority="4" stopIfTrue="1">
      <formula>IF(ISNUMBER(K395),0,1)</formula>
    </cfRule>
  </conditionalFormatting>
  <conditionalFormatting sqref="AF387">
    <cfRule type="expression" dxfId="2099" priority="3" stopIfTrue="1">
      <formula>IF(ISNUMBER(AF395),0,1)</formula>
    </cfRule>
  </conditionalFormatting>
  <conditionalFormatting sqref="K435">
    <cfRule type="expression" dxfId="2098" priority="2" stopIfTrue="1">
      <formula>IF(ISNUMBER(K443),0,1)</formula>
    </cfRule>
  </conditionalFormatting>
  <conditionalFormatting sqref="AF435">
    <cfRule type="expression" dxfId="2097" priority="1" stopIfTrue="1">
      <formula>IF(ISNUMBER(AF443),0,1)</formula>
    </cfRule>
  </conditionalFormatting>
  <hyperlinks>
    <hyperlink ref="AU16" r:id="rId1" display="https://aes1.advancedeventsystems.com/Event/Volleyball/EventTeamInfo.aspx?DXyJJG7BIwr2H5MUjgYGu8BU7shvRnYNnnKmHN_E3fGfV_KZU2BBJjLCq7GAK-rpgNkF9z2HjQlsoPNJP9-rNmvn1XlLI600Zz6PXXZzpcl2R8WtrvzzK-C8gGI52CpE0"/>
  </hyperlinks>
  <pageMargins left="0.25" right="0.25" top="0.25" bottom="0.25" header="0" footer="0"/>
  <pageSetup scale="43" orientation="portrait" horizontalDpi="4294967293" verticalDpi="4294967293"/>
  <headerFooter alignWithMargins="0"/>
  <rowBreaks count="5" manualBreakCount="5">
    <brk id="90" max="42" man="1"/>
    <brk id="175" max="42" man="1"/>
    <brk id="260" max="42" man="1"/>
    <brk id="353" max="42" man="1"/>
    <brk id="406" max="42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>
    <tabColor rgb="FFFFFF00"/>
    <pageSetUpPr fitToPage="1"/>
  </sheetPr>
  <dimension ref="A1:BY658"/>
  <sheetViews>
    <sheetView zoomScale="70" zoomScaleNormal="70" workbookViewId="0">
      <selection activeCell="AV18" sqref="AU18:AV18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62" customWidth="1"/>
    <col min="50" max="50" width="10.42578125" style="4" customWidth="1"/>
    <col min="51" max="51" width="11.28515625" style="4" customWidth="1"/>
    <col min="52" max="52" width="25" style="4" customWidth="1"/>
    <col min="53" max="53" width="6" style="4" customWidth="1"/>
    <col min="54" max="16384" width="8.7109375" style="4"/>
  </cols>
  <sheetData>
    <row r="1" spans="1:53" ht="13.5" thickBot="1" x14ac:dyDescent="0.25">
      <c r="A1" s="914" t="s">
        <v>0</v>
      </c>
      <c r="B1" s="914"/>
      <c r="C1" s="914"/>
      <c r="D1" s="914"/>
      <c r="E1" s="914"/>
      <c r="F1" s="914"/>
      <c r="G1" s="914"/>
      <c r="H1" s="914"/>
      <c r="I1" s="914"/>
      <c r="J1" s="914"/>
      <c r="K1" s="914"/>
      <c r="L1" s="914"/>
      <c r="M1" s="914"/>
      <c r="N1" s="914"/>
      <c r="O1" s="914"/>
      <c r="P1" s="914"/>
      <c r="Q1" s="914"/>
      <c r="R1" s="914"/>
      <c r="S1" s="914"/>
      <c r="T1" s="914"/>
      <c r="U1" s="914"/>
      <c r="V1" s="914"/>
      <c r="W1" s="914"/>
      <c r="X1" s="914"/>
      <c r="Y1" s="914"/>
      <c r="Z1" s="914"/>
      <c r="AA1" s="914"/>
      <c r="AB1" s="914"/>
      <c r="AC1" s="914"/>
      <c r="AD1" s="914"/>
      <c r="AE1" s="914"/>
      <c r="AF1" s="914"/>
      <c r="AG1" s="914"/>
      <c r="AH1" s="914"/>
      <c r="AI1" s="914"/>
      <c r="AJ1" s="1"/>
      <c r="AK1" s="1"/>
      <c r="AL1" s="1"/>
      <c r="AM1" s="1"/>
      <c r="AN1" s="1"/>
      <c r="AO1" s="1"/>
      <c r="AP1" s="1"/>
      <c r="AQ1" s="2" t="s">
        <v>349</v>
      </c>
      <c r="AR1" s="3"/>
      <c r="AT1" s="915" t="s">
        <v>1</v>
      </c>
      <c r="AU1" s="916"/>
      <c r="AV1" s="916"/>
      <c r="AW1" s="917"/>
      <c r="AX1" s="918" t="s">
        <v>2</v>
      </c>
      <c r="AY1" s="919"/>
      <c r="AZ1" s="9" t="s">
        <v>3</v>
      </c>
      <c r="BA1" s="10">
        <v>32</v>
      </c>
    </row>
    <row r="2" spans="1:53" ht="18.75" customHeight="1" thickBot="1" x14ac:dyDescent="0.3">
      <c r="A2" s="920" t="s">
        <v>4</v>
      </c>
      <c r="B2" s="921"/>
      <c r="C2" s="921"/>
      <c r="D2" s="921"/>
      <c r="E2" s="921"/>
      <c r="F2" s="921"/>
      <c r="G2" s="921"/>
      <c r="H2" s="921"/>
      <c r="I2" s="922"/>
      <c r="J2" s="923" t="s">
        <v>351</v>
      </c>
      <c r="K2" s="924"/>
      <c r="L2" s="924"/>
      <c r="M2" s="924"/>
      <c r="N2" s="924"/>
      <c r="O2" s="924"/>
      <c r="P2" s="924"/>
      <c r="Q2" s="924"/>
      <c r="R2" s="924"/>
      <c r="S2" s="924"/>
      <c r="T2" s="924"/>
      <c r="U2" s="924"/>
      <c r="V2" s="924"/>
      <c r="W2" s="924"/>
      <c r="X2" s="925"/>
      <c r="Y2" s="926" t="s">
        <v>5</v>
      </c>
      <c r="Z2" s="927"/>
      <c r="AA2" s="927"/>
      <c r="AB2" s="927"/>
      <c r="AC2" s="928"/>
      <c r="AD2" s="929">
        <v>42434</v>
      </c>
      <c r="AE2" s="897"/>
      <c r="AF2" s="897"/>
      <c r="AG2" s="897"/>
      <c r="AH2" s="897"/>
      <c r="AI2" s="898"/>
      <c r="AJ2" s="11"/>
      <c r="AK2" s="11"/>
      <c r="AL2" s="11"/>
      <c r="AM2" s="11"/>
      <c r="AN2" s="11"/>
      <c r="AO2" s="11"/>
      <c r="AP2" s="11"/>
      <c r="AQ2" s="11"/>
      <c r="AR2" s="3"/>
      <c r="AT2" s="12" t="s">
        <v>6</v>
      </c>
      <c r="AU2" s="5" t="s">
        <v>7</v>
      </c>
      <c r="AV2" s="6" t="s">
        <v>8</v>
      </c>
      <c r="AW2" s="8" t="s">
        <v>9</v>
      </c>
      <c r="AX2" s="13" t="s">
        <v>10</v>
      </c>
      <c r="AY2" s="8" t="s">
        <v>11</v>
      </c>
      <c r="AZ2" s="9" t="s">
        <v>12</v>
      </c>
      <c r="BA2" s="10">
        <v>16</v>
      </c>
    </row>
    <row r="3" spans="1:53" ht="18.75" customHeight="1" thickBot="1" x14ac:dyDescent="0.3">
      <c r="A3" s="14" t="s">
        <v>13</v>
      </c>
      <c r="B3" s="899" t="s">
        <v>359</v>
      </c>
      <c r="C3" s="900"/>
      <c r="D3" s="900"/>
      <c r="E3" s="900"/>
      <c r="F3" s="900"/>
      <c r="G3" s="900"/>
      <c r="H3" s="900"/>
      <c r="I3" s="900"/>
      <c r="J3" s="900"/>
      <c r="K3" s="900"/>
      <c r="L3" s="900"/>
      <c r="M3" s="900"/>
      <c r="N3" s="900"/>
      <c r="O3" s="901"/>
      <c r="P3" s="902" t="s">
        <v>14</v>
      </c>
      <c r="Q3" s="903"/>
      <c r="R3" s="903"/>
      <c r="S3" s="904" t="s">
        <v>1172</v>
      </c>
      <c r="T3" s="905"/>
      <c r="U3" s="905"/>
      <c r="V3" s="905"/>
      <c r="W3" s="905"/>
      <c r="X3" s="906"/>
      <c r="Y3" s="907" t="s">
        <v>15</v>
      </c>
      <c r="Z3" s="908"/>
      <c r="AA3" s="908"/>
      <c r="AB3" s="908"/>
      <c r="AC3" s="908"/>
      <c r="AD3" s="909"/>
      <c r="AE3" s="910" t="s">
        <v>16</v>
      </c>
      <c r="AF3" s="911"/>
      <c r="AG3" s="912" t="s">
        <v>17</v>
      </c>
      <c r="AH3" s="912"/>
      <c r="AI3" s="913"/>
      <c r="AJ3" s="11"/>
      <c r="AK3" s="11"/>
      <c r="AL3" s="11"/>
      <c r="AM3" s="11"/>
      <c r="AN3" s="11"/>
      <c r="AO3" s="11"/>
      <c r="AP3" s="11"/>
      <c r="AQ3" s="11"/>
      <c r="AR3" s="3"/>
      <c r="AT3" s="15">
        <v>1</v>
      </c>
      <c r="AU3" s="167" t="s">
        <v>180</v>
      </c>
      <c r="AV3" s="167" t="s">
        <v>243</v>
      </c>
      <c r="AW3" s="16">
        <f>VLOOKUP(AV3,Initial!G:K,5,FALSE)</f>
        <v>1677.3980559149245</v>
      </c>
      <c r="AX3" s="17">
        <f t="shared" ref="AX3:AX12" si="0">VLOOKUP(AU3,AT$79:AU$174,2,FALSE)</f>
        <v>1758.354629044893</v>
      </c>
      <c r="AY3" s="18">
        <f t="shared" ref="AY3:AY12" si="1">IF(ISNA(VLOOKUP(AU3,AT$182:AU$234,2,FALSE)),AX3,VLOOKUP(AU3,AT$182:AU$234,2,FALSE))</f>
        <v>1772.6865459012897</v>
      </c>
    </row>
    <row r="4" spans="1:53" ht="24" customHeight="1" thickBot="1" x14ac:dyDescent="0.25">
      <c r="A4" s="890" t="s">
        <v>18</v>
      </c>
      <c r="B4" s="891"/>
      <c r="C4" s="891"/>
      <c r="D4" s="892"/>
      <c r="E4" s="893" t="s">
        <v>352</v>
      </c>
      <c r="F4" s="894"/>
      <c r="G4" s="894"/>
      <c r="H4" s="894"/>
      <c r="I4" s="894"/>
      <c r="J4" s="894"/>
      <c r="K4" s="894"/>
      <c r="L4" s="894"/>
      <c r="M4" s="895"/>
      <c r="N4" s="890" t="s">
        <v>19</v>
      </c>
      <c r="O4" s="891"/>
      <c r="P4" s="891"/>
      <c r="Q4" s="892"/>
      <c r="R4" s="896"/>
      <c r="S4" s="897"/>
      <c r="T4" s="897"/>
      <c r="U4" s="897"/>
      <c r="V4" s="897"/>
      <c r="W4" s="897"/>
      <c r="X4" s="897"/>
      <c r="Y4" s="897"/>
      <c r="Z4" s="897"/>
      <c r="AA4" s="898"/>
      <c r="AB4" s="890" t="s">
        <v>20</v>
      </c>
      <c r="AC4" s="891"/>
      <c r="AD4" s="891"/>
      <c r="AE4" s="892"/>
      <c r="AF4" s="896"/>
      <c r="AG4" s="897"/>
      <c r="AH4" s="897"/>
      <c r="AI4" s="898"/>
      <c r="AJ4" s="11"/>
      <c r="AK4" s="11"/>
      <c r="AL4" s="11"/>
      <c r="AM4" s="11"/>
      <c r="AN4" s="11"/>
      <c r="AO4" s="11"/>
      <c r="AP4" s="11"/>
      <c r="AQ4" s="11"/>
      <c r="AR4" s="3"/>
      <c r="AT4" s="19">
        <v>2</v>
      </c>
      <c r="AU4" s="167" t="s">
        <v>524</v>
      </c>
      <c r="AV4" s="167" t="s">
        <v>525</v>
      </c>
      <c r="AW4" s="16">
        <f>VLOOKUP(AV4,Initial!G:K,5,FALSE)</f>
        <v>1600</v>
      </c>
      <c r="AX4" s="20">
        <f t="shared" si="0"/>
        <v>1551.0543894736661</v>
      </c>
      <c r="AY4" s="21">
        <f t="shared" si="1"/>
        <v>1544.6766769581895</v>
      </c>
    </row>
    <row r="5" spans="1:53" ht="15.75" thickBot="1" x14ac:dyDescent="0.25">
      <c r="A5" s="1" t="s">
        <v>21</v>
      </c>
      <c r="B5" s="887" t="s">
        <v>21</v>
      </c>
      <c r="C5" s="888"/>
      <c r="D5" s="888"/>
      <c r="E5" s="888"/>
      <c r="F5" s="888"/>
      <c r="G5" s="888"/>
      <c r="H5" s="888"/>
      <c r="I5" s="888"/>
      <c r="J5" s="888"/>
      <c r="K5" s="889" t="s">
        <v>21</v>
      </c>
      <c r="L5" s="889"/>
      <c r="M5" s="889"/>
      <c r="N5" s="889"/>
      <c r="O5" s="889"/>
      <c r="P5" s="889"/>
      <c r="Q5" s="889"/>
      <c r="R5" s="889"/>
      <c r="S5" s="889"/>
      <c r="T5" s="889"/>
      <c r="U5" s="889"/>
      <c r="V5" s="889"/>
      <c r="W5" s="889"/>
      <c r="X5" s="889"/>
      <c r="Y5" s="889"/>
      <c r="Z5" s="889"/>
      <c r="AA5" s="889"/>
      <c r="AB5" s="889"/>
      <c r="AC5" s="889"/>
      <c r="AD5" s="889"/>
      <c r="AE5" s="889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9">
        <v>3</v>
      </c>
      <c r="AU5" s="167" t="s">
        <v>412</v>
      </c>
      <c r="AV5" s="167" t="s">
        <v>413</v>
      </c>
      <c r="AW5" s="16">
        <f>VLOOKUP(AV5,Initial!G:K,5,FALSE)</f>
        <v>1541.5139178594579</v>
      </c>
      <c r="AX5" s="20">
        <f t="shared" si="0"/>
        <v>1491.3545061485115</v>
      </c>
      <c r="AY5" s="21">
        <f t="shared" si="1"/>
        <v>1491.3545061485115</v>
      </c>
    </row>
    <row r="6" spans="1:53" ht="24" customHeight="1" thickBot="1" x14ac:dyDescent="0.25">
      <c r="A6" s="22" t="s">
        <v>22</v>
      </c>
      <c r="B6" s="23" t="s">
        <v>23</v>
      </c>
      <c r="C6" s="862" t="s">
        <v>24</v>
      </c>
      <c r="D6" s="863"/>
      <c r="E6" s="863"/>
      <c r="F6" s="863"/>
      <c r="G6" s="863"/>
      <c r="H6" s="864"/>
      <c r="I6" s="865">
        <v>1</v>
      </c>
      <c r="J6" s="866"/>
      <c r="K6" s="867" t="str">
        <f>"Pool "&amp;B6&amp;" - Round 1 - Court "&amp;I6</f>
        <v>Pool A - Round 1 - Court 1</v>
      </c>
      <c r="L6" s="868"/>
      <c r="M6" s="868"/>
      <c r="N6" s="868"/>
      <c r="O6" s="868"/>
      <c r="P6" s="868"/>
      <c r="Q6" s="868"/>
      <c r="R6" s="868"/>
      <c r="S6" s="868"/>
      <c r="T6" s="868"/>
      <c r="U6" s="868"/>
      <c r="V6" s="868"/>
      <c r="W6" s="868"/>
      <c r="X6" s="868"/>
      <c r="Y6" s="868"/>
      <c r="Z6" s="868"/>
      <c r="AA6" s="868"/>
      <c r="AB6" s="868"/>
      <c r="AC6" s="868"/>
      <c r="AD6" s="868"/>
      <c r="AE6" s="868"/>
      <c r="AF6" s="868"/>
      <c r="AG6" s="868"/>
      <c r="AH6" s="868"/>
      <c r="AI6" s="869"/>
      <c r="AJ6" s="11"/>
      <c r="AK6" s="11"/>
      <c r="AL6" s="11"/>
      <c r="AM6" s="11"/>
      <c r="AN6" s="11"/>
      <c r="AO6" s="11"/>
      <c r="AP6" s="11"/>
      <c r="AQ6" s="11"/>
      <c r="AT6" s="19">
        <v>4</v>
      </c>
      <c r="AU6" s="167" t="s">
        <v>296</v>
      </c>
      <c r="AV6" s="167" t="s">
        <v>297</v>
      </c>
      <c r="AW6" s="16">
        <f>VLOOKUP(AV6,Initial!G:K,5,FALSE)</f>
        <v>1506.9929479813056</v>
      </c>
      <c r="AX6" s="20">
        <f t="shared" si="0"/>
        <v>1455.919866359161</v>
      </c>
      <c r="AY6" s="21">
        <f t="shared" si="1"/>
        <v>1455.919866359161</v>
      </c>
    </row>
    <row r="7" spans="1:53" ht="27" customHeight="1" thickBot="1" x14ac:dyDescent="0.25">
      <c r="A7" s="24" t="s">
        <v>25</v>
      </c>
      <c r="B7" s="870" t="s">
        <v>7</v>
      </c>
      <c r="C7" s="871"/>
      <c r="D7" s="871"/>
      <c r="E7" s="871"/>
      <c r="F7" s="871"/>
      <c r="G7" s="871"/>
      <c r="H7" s="871"/>
      <c r="I7" s="871"/>
      <c r="J7" s="871"/>
      <c r="K7" s="871"/>
      <c r="L7" s="870" t="str">
        <f>IF($AK10=0,"Games Won","Matches Won")</f>
        <v>Games Won</v>
      </c>
      <c r="M7" s="871"/>
      <c r="N7" s="871"/>
      <c r="O7" s="871"/>
      <c r="P7" s="871"/>
      <c r="Q7" s="872"/>
      <c r="R7" s="870" t="str">
        <f>IF($AK10=0,"Games Lost","Matches Lost")</f>
        <v>Games Lost</v>
      </c>
      <c r="S7" s="873"/>
      <c r="T7" s="873"/>
      <c r="U7" s="873"/>
      <c r="V7" s="874"/>
      <c r="W7" s="875" t="s">
        <v>26</v>
      </c>
      <c r="X7" s="876"/>
      <c r="Y7" s="877"/>
      <c r="Z7" s="875" t="s">
        <v>27</v>
      </c>
      <c r="AA7" s="876"/>
      <c r="AB7" s="877"/>
      <c r="AC7" s="878" t="s">
        <v>28</v>
      </c>
      <c r="AD7" s="879"/>
      <c r="AE7" s="880"/>
      <c r="AF7" s="25" t="s">
        <v>29</v>
      </c>
      <c r="AG7" s="26" t="s">
        <v>6</v>
      </c>
      <c r="AH7" s="860" t="s">
        <v>30</v>
      </c>
      <c r="AI7" s="861"/>
      <c r="AJ7" s="27"/>
      <c r="AK7" s="28">
        <v>2</v>
      </c>
      <c r="AL7" s="29" t="s">
        <v>31</v>
      </c>
      <c r="AM7" s="29"/>
      <c r="AN7" s="29"/>
      <c r="AO7" s="29"/>
      <c r="AP7" s="29"/>
      <c r="AQ7" s="29"/>
      <c r="AR7" s="30"/>
      <c r="AT7" s="19">
        <v>5</v>
      </c>
      <c r="AU7" s="167" t="s">
        <v>415</v>
      </c>
      <c r="AV7" s="167" t="s">
        <v>248</v>
      </c>
      <c r="AW7" s="16">
        <f>VLOOKUP(AV7,Initial!G:K,5,FALSE)</f>
        <v>1641.1631745399584</v>
      </c>
      <c r="AX7" s="20">
        <f t="shared" si="0"/>
        <v>1622.4997451731924</v>
      </c>
      <c r="AY7" s="21">
        <f t="shared" si="1"/>
        <v>1638.7065670849699</v>
      </c>
    </row>
    <row r="8" spans="1:53" ht="18.75" customHeight="1" thickBot="1" x14ac:dyDescent="0.25">
      <c r="A8" s="829" t="str">
        <f>IF($AK9&gt;0,"1","")</f>
        <v>1</v>
      </c>
      <c r="B8" s="857" t="s">
        <v>7</v>
      </c>
      <c r="C8" s="858"/>
      <c r="D8" s="859"/>
      <c r="E8" s="833" t="str">
        <f>AU3</f>
        <v>Kershaw 13 Black</v>
      </c>
      <c r="F8" s="834"/>
      <c r="G8" s="834"/>
      <c r="H8" s="834"/>
      <c r="I8" s="834"/>
      <c r="J8" s="834"/>
      <c r="K8" s="835"/>
      <c r="L8" s="836">
        <f>IF($AK10=0,AF64,AF46)</f>
        <v>8</v>
      </c>
      <c r="M8" s="837"/>
      <c r="N8" s="837"/>
      <c r="O8" s="837"/>
      <c r="P8" s="837"/>
      <c r="Q8" s="872"/>
      <c r="R8" s="836">
        <f>IF($AK10=0,AG64,AG46)</f>
        <v>0</v>
      </c>
      <c r="S8" s="837"/>
      <c r="T8" s="837"/>
      <c r="U8" s="837"/>
      <c r="V8" s="837"/>
      <c r="W8" s="836">
        <f>AQ24</f>
        <v>87</v>
      </c>
      <c r="X8" s="837"/>
      <c r="Y8" s="837"/>
      <c r="Z8" s="809">
        <f>IF(AF58&gt;0,(AQ24/AF58),0)</f>
        <v>0.435</v>
      </c>
      <c r="AA8" s="810"/>
      <c r="AB8" s="810"/>
      <c r="AC8" s="813">
        <f>IF(AF72=0,0,(AF64/AF72))</f>
        <v>1</v>
      </c>
      <c r="AD8" s="814"/>
      <c r="AE8" s="815"/>
      <c r="AF8" s="819">
        <v>1</v>
      </c>
      <c r="AG8" s="819">
        <v>1</v>
      </c>
      <c r="AH8" s="821">
        <v>1</v>
      </c>
      <c r="AI8" s="822"/>
      <c r="AJ8" s="27"/>
      <c r="AK8" s="28">
        <v>10</v>
      </c>
      <c r="AL8" s="29" t="s">
        <v>32</v>
      </c>
      <c r="AM8" s="29"/>
      <c r="AN8" s="29"/>
      <c r="AO8" s="29"/>
      <c r="AP8" s="29"/>
      <c r="AQ8" s="29"/>
      <c r="AR8" s="30"/>
      <c r="AT8" s="19">
        <v>6</v>
      </c>
      <c r="AU8" s="167" t="s">
        <v>380</v>
      </c>
      <c r="AV8" s="167" t="s">
        <v>381</v>
      </c>
      <c r="AW8" s="16">
        <f>VLOOKUP(AV8,Initial!G:K,5,FALSE)</f>
        <v>1571.3271481700851</v>
      </c>
      <c r="AX8" s="20">
        <f t="shared" si="0"/>
        <v>1612.4245874710323</v>
      </c>
      <c r="AY8" s="21">
        <f t="shared" si="1"/>
        <v>1604.7543289628434</v>
      </c>
    </row>
    <row r="9" spans="1:53" ht="18.75" customHeight="1" thickBot="1" x14ac:dyDescent="0.25">
      <c r="A9" s="830"/>
      <c r="B9" s="854" t="s">
        <v>8</v>
      </c>
      <c r="C9" s="855"/>
      <c r="D9" s="856"/>
      <c r="E9" s="850" t="str">
        <f>AV3</f>
        <v>fj3kersh1pm</v>
      </c>
      <c r="F9" s="851"/>
      <c r="G9" s="851"/>
      <c r="H9" s="851"/>
      <c r="I9" s="851"/>
      <c r="J9" s="851"/>
      <c r="K9" s="851"/>
      <c r="L9" s="852"/>
      <c r="M9" s="853"/>
      <c r="N9" s="853"/>
      <c r="O9" s="853"/>
      <c r="P9" s="853"/>
      <c r="Q9" s="872"/>
      <c r="R9" s="852"/>
      <c r="S9" s="853"/>
      <c r="T9" s="853"/>
      <c r="U9" s="853"/>
      <c r="V9" s="853"/>
      <c r="W9" s="852"/>
      <c r="X9" s="853"/>
      <c r="Y9" s="853"/>
      <c r="Z9" s="840"/>
      <c r="AA9" s="841"/>
      <c r="AB9" s="841"/>
      <c r="AC9" s="842"/>
      <c r="AD9" s="843"/>
      <c r="AE9" s="844"/>
      <c r="AF9" s="845"/>
      <c r="AG9" s="845"/>
      <c r="AH9" s="846"/>
      <c r="AI9" s="847"/>
      <c r="AJ9" s="27"/>
      <c r="AK9" s="28">
        <v>5</v>
      </c>
      <c r="AL9" s="29" t="s">
        <v>33</v>
      </c>
      <c r="AM9" s="27"/>
      <c r="AN9" s="27"/>
      <c r="AO9" s="27"/>
      <c r="AP9" s="27"/>
      <c r="AQ9" s="27"/>
      <c r="AR9" s="3"/>
      <c r="AT9" s="19">
        <v>7</v>
      </c>
      <c r="AU9" s="167" t="s">
        <v>425</v>
      </c>
      <c r="AV9" s="167" t="s">
        <v>426</v>
      </c>
      <c r="AW9" s="16">
        <f>VLOOKUP(AV9,Initial!G:K,5,FALSE)</f>
        <v>1552.399145092096</v>
      </c>
      <c r="AX9" s="20">
        <f t="shared" si="0"/>
        <v>1523.8845203225976</v>
      </c>
      <c r="AY9" s="21">
        <f t="shared" si="1"/>
        <v>1514.8461190674018</v>
      </c>
    </row>
    <row r="10" spans="1:53" ht="18.75" customHeight="1" thickBot="1" x14ac:dyDescent="0.25">
      <c r="A10" s="829" t="str">
        <f>IF($AK9&gt;1,"2","")</f>
        <v>2</v>
      </c>
      <c r="B10" s="857" t="s">
        <v>7</v>
      </c>
      <c r="C10" s="858"/>
      <c r="D10" s="859"/>
      <c r="E10" s="833" t="str">
        <f>AU6</f>
        <v>CSRA Heat 13 Red</v>
      </c>
      <c r="F10" s="834"/>
      <c r="G10" s="834"/>
      <c r="H10" s="834"/>
      <c r="I10" s="834"/>
      <c r="J10" s="834"/>
      <c r="K10" s="835"/>
      <c r="L10" s="836">
        <f>IF($AK10=0,AF65,AF47)</f>
        <v>1</v>
      </c>
      <c r="M10" s="837"/>
      <c r="N10" s="837"/>
      <c r="O10" s="837"/>
      <c r="P10" s="837"/>
      <c r="Q10" s="872"/>
      <c r="R10" s="836">
        <f>IF($AK10=0,AG65,AG47)</f>
        <v>7</v>
      </c>
      <c r="S10" s="837"/>
      <c r="T10" s="837"/>
      <c r="U10" s="837"/>
      <c r="V10" s="837"/>
      <c r="W10" s="836">
        <f>AQ25</f>
        <v>-41</v>
      </c>
      <c r="X10" s="837"/>
      <c r="Y10" s="837"/>
      <c r="Z10" s="809">
        <f>IF(AF59&gt;0,(AQ25/AF59),0)</f>
        <v>-0.20499999999999999</v>
      </c>
      <c r="AA10" s="810"/>
      <c r="AB10" s="810"/>
      <c r="AC10" s="813">
        <f>IF(AF73=0,0,(AF65/AF73))</f>
        <v>0.125</v>
      </c>
      <c r="AD10" s="814"/>
      <c r="AE10" s="815"/>
      <c r="AF10" s="819">
        <v>5</v>
      </c>
      <c r="AG10" s="819">
        <v>1</v>
      </c>
      <c r="AH10" s="821">
        <v>10</v>
      </c>
      <c r="AI10" s="822"/>
      <c r="AJ10" s="27"/>
      <c r="AK10" s="28">
        <v>0</v>
      </c>
      <c r="AL10" s="29" t="s">
        <v>34</v>
      </c>
      <c r="AM10" s="29"/>
      <c r="AN10" s="29"/>
      <c r="AO10" s="29"/>
      <c r="AP10" s="29"/>
      <c r="AQ10" s="29"/>
      <c r="AR10" s="30"/>
      <c r="AT10" s="19">
        <v>8</v>
      </c>
      <c r="AU10" s="167" t="s">
        <v>488</v>
      </c>
      <c r="AV10" s="167" t="s">
        <v>489</v>
      </c>
      <c r="AW10" s="16">
        <f>VLOOKUP(AV10,Initial!G:K,5,FALSE)</f>
        <v>1510.9636495195373</v>
      </c>
      <c r="AX10" s="20">
        <f t="shared" si="0"/>
        <v>1478.5314682985249</v>
      </c>
      <c r="AY10" s="21">
        <f t="shared" si="1"/>
        <v>1477.7407601574198</v>
      </c>
    </row>
    <row r="11" spans="1:53" ht="18.75" customHeight="1" thickBot="1" x14ac:dyDescent="0.25">
      <c r="A11" s="830"/>
      <c r="B11" s="848" t="s">
        <v>8</v>
      </c>
      <c r="C11" s="849"/>
      <c r="D11" s="849"/>
      <c r="E11" s="850" t="str">
        <f>AV6</f>
        <v>fj3csrah3pm</v>
      </c>
      <c r="F11" s="851"/>
      <c r="G11" s="851"/>
      <c r="H11" s="851"/>
      <c r="I11" s="851"/>
      <c r="J11" s="851"/>
      <c r="K11" s="851"/>
      <c r="L11" s="852"/>
      <c r="M11" s="853"/>
      <c r="N11" s="853"/>
      <c r="O11" s="853"/>
      <c r="P11" s="853"/>
      <c r="Q11" s="872"/>
      <c r="R11" s="852"/>
      <c r="S11" s="853"/>
      <c r="T11" s="853"/>
      <c r="U11" s="853"/>
      <c r="V11" s="853"/>
      <c r="W11" s="852"/>
      <c r="X11" s="853"/>
      <c r="Y11" s="853"/>
      <c r="Z11" s="840"/>
      <c r="AA11" s="841"/>
      <c r="AB11" s="841"/>
      <c r="AC11" s="842"/>
      <c r="AD11" s="843"/>
      <c r="AE11" s="844"/>
      <c r="AF11" s="845"/>
      <c r="AG11" s="845"/>
      <c r="AH11" s="846"/>
      <c r="AI11" s="847"/>
      <c r="AJ11" s="27"/>
      <c r="AK11" s="28">
        <v>1</v>
      </c>
      <c r="AL11" s="29" t="s">
        <v>35</v>
      </c>
      <c r="AM11" s="27"/>
      <c r="AN11" s="27"/>
      <c r="AO11" s="27"/>
      <c r="AP11" s="27"/>
      <c r="AQ11" s="27"/>
      <c r="AR11" s="3"/>
      <c r="AT11" s="19">
        <v>9</v>
      </c>
      <c r="AU11" s="167" t="s">
        <v>305</v>
      </c>
      <c r="AV11" s="167" t="s">
        <v>306</v>
      </c>
      <c r="AW11" s="16">
        <f>VLOOKUP(AV11,Initial!G:K,5,FALSE)</f>
        <v>1605.5410773854333</v>
      </c>
      <c r="AX11" s="20">
        <f t="shared" si="0"/>
        <v>1626.7531964653876</v>
      </c>
      <c r="AY11" s="21">
        <f t="shared" si="1"/>
        <v>1624.0611052715087</v>
      </c>
    </row>
    <row r="12" spans="1:53" ht="18.75" customHeight="1" thickBot="1" x14ac:dyDescent="0.25">
      <c r="A12" s="829" t="str">
        <f>IF($AK9&gt;2,"3","")</f>
        <v>3</v>
      </c>
      <c r="B12" s="831" t="s">
        <v>7</v>
      </c>
      <c r="C12" s="832"/>
      <c r="D12" s="832"/>
      <c r="E12" s="833" t="str">
        <f>AU7</f>
        <v>RHVC 13 Club Jade</v>
      </c>
      <c r="F12" s="834"/>
      <c r="G12" s="834"/>
      <c r="H12" s="834"/>
      <c r="I12" s="834"/>
      <c r="J12" s="834"/>
      <c r="K12" s="835"/>
      <c r="L12" s="836">
        <f>IF($AK10=0,AF66,AF48)</f>
        <v>4</v>
      </c>
      <c r="M12" s="837"/>
      <c r="N12" s="837"/>
      <c r="O12" s="837"/>
      <c r="P12" s="837"/>
      <c r="Q12" s="872"/>
      <c r="R12" s="836">
        <f>IF($AK10=0,AG66,AG48)</f>
        <v>4</v>
      </c>
      <c r="S12" s="837"/>
      <c r="T12" s="837"/>
      <c r="U12" s="837"/>
      <c r="V12" s="837"/>
      <c r="W12" s="836">
        <f>AQ26</f>
        <v>13</v>
      </c>
      <c r="X12" s="837"/>
      <c r="Y12" s="837"/>
      <c r="Z12" s="809">
        <f>IF(AF60&gt;0,(AQ26/AF60),0)</f>
        <v>6.5000000000000002E-2</v>
      </c>
      <c r="AA12" s="810"/>
      <c r="AB12" s="810"/>
      <c r="AC12" s="813">
        <f>IF(AF74=0,0,(AF66/AF74))</f>
        <v>0.5</v>
      </c>
      <c r="AD12" s="814"/>
      <c r="AE12" s="815"/>
      <c r="AF12" s="819">
        <v>3</v>
      </c>
      <c r="AG12" s="819">
        <v>1</v>
      </c>
      <c r="AH12" s="821">
        <v>5</v>
      </c>
      <c r="AI12" s="822"/>
      <c r="AJ12" s="36"/>
      <c r="AK12" s="28">
        <v>8</v>
      </c>
      <c r="AL12" s="37" t="s">
        <v>36</v>
      </c>
      <c r="AM12" s="29"/>
      <c r="AN12" s="29"/>
      <c r="AO12" s="29"/>
      <c r="AP12" s="29"/>
      <c r="AQ12" s="29"/>
      <c r="AR12" s="30"/>
      <c r="AT12" s="31">
        <v>10</v>
      </c>
      <c r="AU12" s="167" t="s">
        <v>175</v>
      </c>
      <c r="AV12" s="167" t="s">
        <v>261</v>
      </c>
      <c r="AW12" s="16">
        <f>VLOOKUP(AV12,Initial!G:K,5,FALSE)</f>
        <v>1479.2171814305723</v>
      </c>
      <c r="AX12" s="32">
        <f t="shared" si="0"/>
        <v>1565.7393891364038</v>
      </c>
      <c r="AY12" s="33">
        <f t="shared" si="1"/>
        <v>1561.769821982075</v>
      </c>
    </row>
    <row r="13" spans="1:53" ht="18.75" customHeight="1" thickBot="1" x14ac:dyDescent="0.25">
      <c r="A13" s="830"/>
      <c r="B13" s="848" t="s">
        <v>8</v>
      </c>
      <c r="C13" s="849"/>
      <c r="D13" s="849"/>
      <c r="E13" s="850" t="str">
        <f>AV7</f>
        <v>fj3rockh1pm</v>
      </c>
      <c r="F13" s="851"/>
      <c r="G13" s="851"/>
      <c r="H13" s="851"/>
      <c r="I13" s="851"/>
      <c r="J13" s="851"/>
      <c r="K13" s="851"/>
      <c r="L13" s="852"/>
      <c r="M13" s="853"/>
      <c r="N13" s="853"/>
      <c r="O13" s="853"/>
      <c r="P13" s="853"/>
      <c r="Q13" s="872"/>
      <c r="R13" s="852"/>
      <c r="S13" s="853"/>
      <c r="T13" s="853"/>
      <c r="U13" s="853"/>
      <c r="V13" s="853"/>
      <c r="W13" s="852"/>
      <c r="X13" s="853"/>
      <c r="Y13" s="853"/>
      <c r="Z13" s="840"/>
      <c r="AA13" s="841"/>
      <c r="AB13" s="841"/>
      <c r="AC13" s="842"/>
      <c r="AD13" s="843"/>
      <c r="AE13" s="844"/>
      <c r="AF13" s="845"/>
      <c r="AG13" s="845"/>
      <c r="AH13" s="846"/>
      <c r="AI13" s="847"/>
      <c r="AJ13" s="36"/>
      <c r="AK13" s="38"/>
      <c r="AL13" s="39"/>
      <c r="AM13" s="39"/>
      <c r="AN13" s="39"/>
      <c r="AO13" s="39"/>
      <c r="AP13" s="39"/>
      <c r="AQ13" s="27"/>
      <c r="AR13" s="3"/>
      <c r="AT13" s="881" t="s">
        <v>37</v>
      </c>
      <c r="AU13" s="882"/>
      <c r="AV13" s="882"/>
      <c r="AW13" s="882"/>
      <c r="AX13" s="882"/>
      <c r="AY13" s="883"/>
    </row>
    <row r="14" spans="1:53" ht="18.75" customHeight="1" thickBot="1" x14ac:dyDescent="0.25">
      <c r="A14" s="829" t="str">
        <f>IF($AK9&gt;3,"4","")</f>
        <v>4</v>
      </c>
      <c r="B14" s="831" t="s">
        <v>7</v>
      </c>
      <c r="C14" s="832"/>
      <c r="D14" s="832"/>
      <c r="E14" s="833" t="str">
        <f>AU10</f>
        <v>MEVC13U</v>
      </c>
      <c r="F14" s="834"/>
      <c r="G14" s="834"/>
      <c r="H14" s="834"/>
      <c r="I14" s="834"/>
      <c r="J14" s="834"/>
      <c r="K14" s="835"/>
      <c r="L14" s="836">
        <f>IF($AK10=0,AF67,AF49)</f>
        <v>2</v>
      </c>
      <c r="M14" s="837"/>
      <c r="N14" s="837"/>
      <c r="O14" s="837"/>
      <c r="P14" s="837"/>
      <c r="Q14" s="872"/>
      <c r="R14" s="836">
        <f>IF($AK10=0,AG67,AG49)</f>
        <v>6</v>
      </c>
      <c r="S14" s="837"/>
      <c r="T14" s="837"/>
      <c r="U14" s="837"/>
      <c r="V14" s="837"/>
      <c r="W14" s="836">
        <f>AQ27</f>
        <v>-64</v>
      </c>
      <c r="X14" s="837"/>
      <c r="Y14" s="837"/>
      <c r="Z14" s="809">
        <f>IF(AF61&gt;0,(AQ27/AF61),0)</f>
        <v>-0.32</v>
      </c>
      <c r="AA14" s="810"/>
      <c r="AB14" s="810"/>
      <c r="AC14" s="813">
        <f>IF(AF75=0,0,(AF67/AF75))</f>
        <v>0.25</v>
      </c>
      <c r="AD14" s="814"/>
      <c r="AE14" s="815"/>
      <c r="AF14" s="819">
        <v>4</v>
      </c>
      <c r="AG14" s="819">
        <v>1</v>
      </c>
      <c r="AH14" s="821">
        <v>6</v>
      </c>
      <c r="AI14" s="822"/>
      <c r="AJ14" s="11"/>
      <c r="AK14" s="39"/>
      <c r="AL14" s="39"/>
      <c r="AM14" s="39"/>
      <c r="AN14" s="39"/>
      <c r="AO14" s="39"/>
      <c r="AP14" s="39"/>
      <c r="AQ14" s="29"/>
      <c r="AR14" s="30"/>
      <c r="AT14" s="884"/>
      <c r="AU14" s="885"/>
      <c r="AV14" s="885"/>
      <c r="AW14" s="885"/>
      <c r="AX14" s="885"/>
      <c r="AY14" s="886"/>
    </row>
    <row r="15" spans="1:53" ht="18.75" customHeight="1" thickBot="1" x14ac:dyDescent="0.25">
      <c r="A15" s="830"/>
      <c r="B15" s="848" t="s">
        <v>8</v>
      </c>
      <c r="C15" s="849"/>
      <c r="D15" s="849"/>
      <c r="E15" s="850" t="str">
        <f>AV10</f>
        <v>fj3mtnel1pm</v>
      </c>
      <c r="F15" s="851"/>
      <c r="G15" s="851"/>
      <c r="H15" s="851"/>
      <c r="I15" s="851"/>
      <c r="J15" s="851"/>
      <c r="K15" s="851"/>
      <c r="L15" s="852"/>
      <c r="M15" s="853"/>
      <c r="N15" s="853"/>
      <c r="O15" s="853"/>
      <c r="P15" s="853"/>
      <c r="Q15" s="872"/>
      <c r="R15" s="852"/>
      <c r="S15" s="853"/>
      <c r="T15" s="853"/>
      <c r="U15" s="853"/>
      <c r="V15" s="853"/>
      <c r="W15" s="852"/>
      <c r="X15" s="853"/>
      <c r="Y15" s="853"/>
      <c r="Z15" s="840"/>
      <c r="AA15" s="841"/>
      <c r="AB15" s="841"/>
      <c r="AC15" s="842"/>
      <c r="AD15" s="843"/>
      <c r="AE15" s="844"/>
      <c r="AF15" s="845"/>
      <c r="AG15" s="845"/>
      <c r="AH15" s="846"/>
      <c r="AI15" s="847"/>
      <c r="AJ15" s="11"/>
      <c r="AK15" s="39"/>
      <c r="AL15" s="39"/>
      <c r="AM15" s="39"/>
      <c r="AN15" s="39"/>
      <c r="AO15" s="39"/>
      <c r="AP15" s="39"/>
      <c r="AQ15" s="11"/>
      <c r="AR15" s="3"/>
      <c r="AW15" s="35"/>
      <c r="AX15" s="35"/>
      <c r="AY15" s="35"/>
    </row>
    <row r="16" spans="1:53" ht="18.75" customHeight="1" x14ac:dyDescent="0.2">
      <c r="A16" s="829" t="str">
        <f>IF($AK9&gt;4,"5","")</f>
        <v>5</v>
      </c>
      <c r="B16" s="831" t="s">
        <v>7</v>
      </c>
      <c r="C16" s="832"/>
      <c r="D16" s="832"/>
      <c r="E16" s="833" t="str">
        <f>AU11</f>
        <v>Chas Jrs 13 White</v>
      </c>
      <c r="F16" s="834"/>
      <c r="G16" s="834"/>
      <c r="H16" s="834"/>
      <c r="I16" s="834"/>
      <c r="J16" s="834"/>
      <c r="K16" s="835"/>
      <c r="L16" s="836">
        <f>IF($AK10=0,AF68,AF50)</f>
        <v>5</v>
      </c>
      <c r="M16" s="837"/>
      <c r="N16" s="837"/>
      <c r="O16" s="837"/>
      <c r="P16" s="837"/>
      <c r="Q16" s="872"/>
      <c r="R16" s="836">
        <f>IF($AK10=0,AG68,AG50)</f>
        <v>3</v>
      </c>
      <c r="S16" s="837"/>
      <c r="T16" s="837"/>
      <c r="U16" s="837"/>
      <c r="V16" s="837"/>
      <c r="W16" s="836">
        <f>AQ28</f>
        <v>5</v>
      </c>
      <c r="X16" s="837"/>
      <c r="Y16" s="837"/>
      <c r="Z16" s="809">
        <f>IF(AF62&gt;0,(AQ28/AF62),0)</f>
        <v>2.5000000000000001E-2</v>
      </c>
      <c r="AA16" s="810"/>
      <c r="AB16" s="810"/>
      <c r="AC16" s="813">
        <f>IF(AF76=0,0,(AF68/AF76))</f>
        <v>0.625</v>
      </c>
      <c r="AD16" s="814"/>
      <c r="AE16" s="815"/>
      <c r="AF16" s="819">
        <v>2</v>
      </c>
      <c r="AG16" s="819">
        <v>1</v>
      </c>
      <c r="AH16" s="821">
        <v>2</v>
      </c>
      <c r="AI16" s="822"/>
      <c r="AJ16" s="11"/>
      <c r="AK16" s="39"/>
      <c r="AL16" s="39"/>
      <c r="AM16" s="39"/>
      <c r="AN16" s="39"/>
      <c r="AO16" s="39"/>
      <c r="AP16" s="39"/>
      <c r="AQ16" s="11"/>
      <c r="AR16" s="3"/>
      <c r="AT16" s="34"/>
      <c r="AU16" s="35"/>
      <c r="AV16" s="35"/>
      <c r="AW16" s="35"/>
      <c r="AX16" s="35"/>
      <c r="AY16" s="35"/>
    </row>
    <row r="17" spans="1:51" ht="18.75" customHeight="1" thickBot="1" x14ac:dyDescent="0.25">
      <c r="A17" s="830"/>
      <c r="B17" s="825" t="s">
        <v>8</v>
      </c>
      <c r="C17" s="826"/>
      <c r="D17" s="826"/>
      <c r="E17" s="827" t="str">
        <f>AV11</f>
        <v>fj3charl3pm</v>
      </c>
      <c r="F17" s="828"/>
      <c r="G17" s="828"/>
      <c r="H17" s="828"/>
      <c r="I17" s="828"/>
      <c r="J17" s="828"/>
      <c r="K17" s="828"/>
      <c r="L17" s="838"/>
      <c r="M17" s="839"/>
      <c r="N17" s="839"/>
      <c r="O17" s="839"/>
      <c r="P17" s="839"/>
      <c r="Q17" s="872"/>
      <c r="R17" s="838"/>
      <c r="S17" s="839"/>
      <c r="T17" s="839"/>
      <c r="U17" s="839"/>
      <c r="V17" s="839"/>
      <c r="W17" s="838"/>
      <c r="X17" s="839"/>
      <c r="Y17" s="839"/>
      <c r="Z17" s="811"/>
      <c r="AA17" s="812"/>
      <c r="AB17" s="812"/>
      <c r="AC17" s="816"/>
      <c r="AD17" s="817"/>
      <c r="AE17" s="818"/>
      <c r="AF17" s="820"/>
      <c r="AG17" s="820"/>
      <c r="AH17" s="823"/>
      <c r="AI17" s="824"/>
      <c r="AJ17" s="11"/>
      <c r="AK17" s="39"/>
      <c r="AL17" s="39"/>
      <c r="AM17" s="39"/>
      <c r="AN17" s="39"/>
      <c r="AO17" s="39"/>
      <c r="AP17" s="39"/>
      <c r="AQ17" s="11"/>
      <c r="AR17" s="3"/>
      <c r="AT17" s="34"/>
      <c r="AU17" s="35"/>
      <c r="AV17" s="35"/>
      <c r="AW17" s="35"/>
      <c r="AX17" s="35"/>
      <c r="AY17" s="35"/>
    </row>
    <row r="18" spans="1:51" ht="21" customHeight="1" thickTop="1" thickBot="1" x14ac:dyDescent="0.25">
      <c r="A18" s="40"/>
      <c r="B18" s="806" t="s">
        <v>353</v>
      </c>
      <c r="C18" s="807"/>
      <c r="D18" s="807"/>
      <c r="E18" s="807"/>
      <c r="F18" s="807"/>
      <c r="G18" s="807"/>
      <c r="H18" s="807"/>
      <c r="I18" s="807"/>
      <c r="J18" s="807"/>
      <c r="K18" s="807"/>
      <c r="L18" s="807"/>
      <c r="M18" s="807"/>
      <c r="N18" s="807"/>
      <c r="O18" s="807"/>
      <c r="P18" s="807"/>
      <c r="Q18" s="807"/>
      <c r="R18" s="807"/>
      <c r="S18" s="807"/>
      <c r="T18" s="807"/>
      <c r="U18" s="807"/>
      <c r="V18" s="807"/>
      <c r="W18" s="807"/>
      <c r="X18" s="807"/>
      <c r="Y18" s="807"/>
      <c r="Z18" s="807"/>
      <c r="AA18" s="807"/>
      <c r="AB18" s="807"/>
      <c r="AC18" s="807"/>
      <c r="AD18" s="807"/>
      <c r="AE18" s="807"/>
      <c r="AF18" s="807"/>
      <c r="AG18" s="807"/>
      <c r="AH18" s="807"/>
      <c r="AI18" s="808"/>
      <c r="AJ18" s="11"/>
      <c r="AK18" s="39"/>
      <c r="AL18" s="39"/>
      <c r="AM18" s="39"/>
      <c r="AN18" s="39"/>
      <c r="AO18" s="39"/>
      <c r="AP18" s="39"/>
      <c r="AQ18" s="11"/>
      <c r="AR18" s="3"/>
      <c r="AT18" s="34"/>
      <c r="AU18" s="167"/>
      <c r="AV18" s="167"/>
      <c r="AW18" s="4"/>
    </row>
    <row r="19" spans="1:51" ht="13.5" thickTop="1" x14ac:dyDescent="0.2">
      <c r="A19" s="4" t="s">
        <v>39</v>
      </c>
      <c r="B19" s="795">
        <v>0.35416666666666669</v>
      </c>
      <c r="C19" s="796"/>
      <c r="D19" s="797"/>
      <c r="E19" s="795">
        <v>0.38541666666666669</v>
      </c>
      <c r="F19" s="796"/>
      <c r="G19" s="797"/>
      <c r="H19" s="795">
        <v>0.41666666666666669</v>
      </c>
      <c r="I19" s="796"/>
      <c r="J19" s="797"/>
      <c r="K19" s="795">
        <v>0.44791666666666669</v>
      </c>
      <c r="L19" s="796"/>
      <c r="M19" s="797"/>
      <c r="N19" s="795">
        <v>0.47916666666666669</v>
      </c>
      <c r="O19" s="796"/>
      <c r="P19" s="797"/>
      <c r="Q19" s="795">
        <v>0.51041666666666663</v>
      </c>
      <c r="R19" s="796"/>
      <c r="S19" s="797"/>
      <c r="T19" s="795">
        <v>4.1666666666666664E-2</v>
      </c>
      <c r="U19" s="796"/>
      <c r="V19" s="797"/>
      <c r="W19" s="795">
        <v>7.2916666666666671E-2</v>
      </c>
      <c r="X19" s="796"/>
      <c r="Y19" s="797"/>
      <c r="Z19" s="795">
        <v>0.10416666666666667</v>
      </c>
      <c r="AA19" s="796"/>
      <c r="AB19" s="797"/>
      <c r="AC19" s="795">
        <v>0.13541666666666666</v>
      </c>
      <c r="AD19" s="796"/>
      <c r="AE19" s="797"/>
      <c r="AF19" s="798" t="s">
        <v>40</v>
      </c>
      <c r="AG19" s="799"/>
      <c r="AH19" s="799"/>
      <c r="AI19" s="799"/>
      <c r="AJ19" s="800"/>
      <c r="AK19" s="800"/>
      <c r="AL19" s="800"/>
      <c r="AM19" s="800"/>
      <c r="AN19" s="800"/>
      <c r="AO19" s="800"/>
      <c r="AP19" s="800"/>
      <c r="AQ19" s="801"/>
      <c r="AT19" s="34"/>
      <c r="AU19" s="35"/>
      <c r="AV19" s="35"/>
      <c r="AW19" s="4"/>
    </row>
    <row r="20" spans="1:51" x14ac:dyDescent="0.2">
      <c r="A20" s="41" t="s">
        <v>41</v>
      </c>
      <c r="B20" s="792">
        <v>0.35416666666666669</v>
      </c>
      <c r="C20" s="793"/>
      <c r="D20" s="794"/>
      <c r="E20" s="792">
        <v>0.38611111111111113</v>
      </c>
      <c r="F20" s="793"/>
      <c r="G20" s="794"/>
      <c r="H20" s="792">
        <v>0.41319444444444442</v>
      </c>
      <c r="I20" s="793"/>
      <c r="J20" s="794"/>
      <c r="K20" s="792">
        <v>0.44791666666666669</v>
      </c>
      <c r="L20" s="793"/>
      <c r="M20" s="794"/>
      <c r="N20" s="792">
        <v>0.47916666666666669</v>
      </c>
      <c r="O20" s="793"/>
      <c r="P20" s="794"/>
      <c r="Q20" s="792">
        <v>0.53125</v>
      </c>
      <c r="R20" s="793"/>
      <c r="S20" s="794"/>
      <c r="T20" s="792">
        <v>5.9027777777777783E-2</v>
      </c>
      <c r="U20" s="793"/>
      <c r="V20" s="794"/>
      <c r="W20" s="792">
        <v>9.375E-2</v>
      </c>
      <c r="X20" s="793"/>
      <c r="Y20" s="794"/>
      <c r="Z20" s="792">
        <v>0.125</v>
      </c>
      <c r="AA20" s="793"/>
      <c r="AB20" s="794"/>
      <c r="AC20" s="792">
        <v>0.15694444444444444</v>
      </c>
      <c r="AD20" s="793"/>
      <c r="AE20" s="794"/>
      <c r="AF20" s="798"/>
      <c r="AG20" s="799"/>
      <c r="AH20" s="799"/>
      <c r="AI20" s="799"/>
      <c r="AJ20" s="799"/>
      <c r="AK20" s="799"/>
      <c r="AL20" s="799"/>
      <c r="AM20" s="799"/>
      <c r="AN20" s="799"/>
      <c r="AO20" s="799"/>
      <c r="AP20" s="799"/>
      <c r="AQ20" s="802"/>
      <c r="AT20" s="34"/>
      <c r="AU20" s="35"/>
      <c r="AV20" s="35"/>
      <c r="AW20" s="4"/>
    </row>
    <row r="21" spans="1:51" x14ac:dyDescent="0.2">
      <c r="A21" s="41" t="s">
        <v>42</v>
      </c>
      <c r="B21" s="792">
        <v>0.37916666666666665</v>
      </c>
      <c r="C21" s="793"/>
      <c r="D21" s="794"/>
      <c r="E21" s="792">
        <v>0.40277777777777773</v>
      </c>
      <c r="F21" s="793"/>
      <c r="G21" s="794"/>
      <c r="H21" s="792">
        <v>0.44166666666666665</v>
      </c>
      <c r="I21" s="793"/>
      <c r="J21" s="794"/>
      <c r="K21" s="792">
        <v>0.4694444444444445</v>
      </c>
      <c r="L21" s="793"/>
      <c r="M21" s="794"/>
      <c r="N21" s="792">
        <v>0.52083333333333337</v>
      </c>
      <c r="O21" s="793"/>
      <c r="P21" s="794"/>
      <c r="Q21" s="792">
        <v>4.8611111111111112E-2</v>
      </c>
      <c r="R21" s="793"/>
      <c r="S21" s="794"/>
      <c r="T21" s="792">
        <v>8.5416666666666655E-2</v>
      </c>
      <c r="U21" s="793"/>
      <c r="V21" s="794"/>
      <c r="W21" s="792">
        <v>0.11458333333333333</v>
      </c>
      <c r="X21" s="793"/>
      <c r="Y21" s="794"/>
      <c r="Z21" s="792">
        <v>0.14375000000000002</v>
      </c>
      <c r="AA21" s="793"/>
      <c r="AB21" s="794"/>
      <c r="AC21" s="792">
        <v>0.17986111111111111</v>
      </c>
      <c r="AD21" s="793"/>
      <c r="AE21" s="794"/>
      <c r="AF21" s="798"/>
      <c r="AG21" s="799"/>
      <c r="AH21" s="799"/>
      <c r="AI21" s="799"/>
      <c r="AJ21" s="799"/>
      <c r="AK21" s="799"/>
      <c r="AL21" s="799"/>
      <c r="AM21" s="799"/>
      <c r="AN21" s="799"/>
      <c r="AO21" s="799"/>
      <c r="AP21" s="799"/>
      <c r="AQ21" s="802"/>
      <c r="AT21" s="10"/>
      <c r="AU21" s="10"/>
      <c r="AV21" s="10"/>
      <c r="AW21" s="4"/>
    </row>
    <row r="22" spans="1:51" ht="13.5" thickBot="1" x14ac:dyDescent="0.25">
      <c r="A22" s="11"/>
      <c r="B22" s="684" t="s">
        <v>43</v>
      </c>
      <c r="C22" s="685"/>
      <c r="D22" s="691"/>
      <c r="E22" s="684" t="str">
        <f>IF($AK8&gt;1,"Match 2","")</f>
        <v>Match 2</v>
      </c>
      <c r="F22" s="685"/>
      <c r="G22" s="691"/>
      <c r="H22" s="684" t="str">
        <f>IF($AK8&gt;2,"Match 3","")</f>
        <v>Match 3</v>
      </c>
      <c r="I22" s="685"/>
      <c r="J22" s="691"/>
      <c r="K22" s="684" t="str">
        <f>IF($AK8&gt;3,"Match 4","")</f>
        <v>Match 4</v>
      </c>
      <c r="L22" s="685"/>
      <c r="M22" s="691"/>
      <c r="N22" s="684" t="str">
        <f>IF($AK8&gt;4,"Match 5","")</f>
        <v>Match 5</v>
      </c>
      <c r="O22" s="685"/>
      <c r="P22" s="691"/>
      <c r="Q22" s="684" t="str">
        <f>IF($AK8&gt;5,"Match 6","")</f>
        <v>Match 6</v>
      </c>
      <c r="R22" s="685"/>
      <c r="S22" s="691"/>
      <c r="T22" s="684" t="str">
        <f>IF($AK8&gt;6,"Match 7","")</f>
        <v>Match 7</v>
      </c>
      <c r="U22" s="685"/>
      <c r="V22" s="691"/>
      <c r="W22" s="684" t="str">
        <f>IF($AK8&gt;7,"Match 8","")</f>
        <v>Match 8</v>
      </c>
      <c r="X22" s="685"/>
      <c r="Y22" s="691"/>
      <c r="Z22" s="684" t="str">
        <f>IF($AK8&gt;8,"Match 9","")</f>
        <v>Match 9</v>
      </c>
      <c r="AA22" s="685"/>
      <c r="AB22" s="691"/>
      <c r="AC22" s="684" t="str">
        <f>IF($AK8&gt;9,"Match 10","")</f>
        <v>Match 10</v>
      </c>
      <c r="AD22" s="685"/>
      <c r="AE22" s="691"/>
      <c r="AF22" s="803"/>
      <c r="AG22" s="804"/>
      <c r="AH22" s="804"/>
      <c r="AI22" s="804"/>
      <c r="AJ22" s="804"/>
      <c r="AK22" s="804"/>
      <c r="AL22" s="804"/>
      <c r="AM22" s="804"/>
      <c r="AN22" s="804"/>
      <c r="AO22" s="804"/>
      <c r="AP22" s="804"/>
      <c r="AQ22" s="805"/>
      <c r="AT22" s="34"/>
      <c r="AU22" s="35"/>
      <c r="AV22" s="35"/>
      <c r="AW22" s="4"/>
    </row>
    <row r="23" spans="1:51" ht="15.75" x14ac:dyDescent="0.25">
      <c r="A23" s="11"/>
      <c r="B23" s="786" t="s">
        <v>44</v>
      </c>
      <c r="C23" s="787"/>
      <c r="D23" s="788"/>
      <c r="E23" s="786" t="s">
        <v>45</v>
      </c>
      <c r="F23" s="787"/>
      <c r="G23" s="788"/>
      <c r="H23" s="786" t="s">
        <v>46</v>
      </c>
      <c r="I23" s="787"/>
      <c r="J23" s="788"/>
      <c r="K23" s="786" t="s">
        <v>47</v>
      </c>
      <c r="L23" s="787"/>
      <c r="M23" s="788"/>
      <c r="N23" s="786" t="s">
        <v>48</v>
      </c>
      <c r="O23" s="787"/>
      <c r="P23" s="788"/>
      <c r="Q23" s="786" t="s">
        <v>46</v>
      </c>
      <c r="R23" s="787"/>
      <c r="S23" s="788"/>
      <c r="T23" s="786" t="s">
        <v>44</v>
      </c>
      <c r="U23" s="787"/>
      <c r="V23" s="788"/>
      <c r="W23" s="786" t="s">
        <v>48</v>
      </c>
      <c r="X23" s="787"/>
      <c r="Y23" s="788"/>
      <c r="Z23" s="786" t="s">
        <v>47</v>
      </c>
      <c r="AA23" s="787"/>
      <c r="AB23" s="788"/>
      <c r="AC23" s="786" t="s">
        <v>45</v>
      </c>
      <c r="AD23" s="787"/>
      <c r="AE23" s="788"/>
      <c r="AF23" s="42" t="s">
        <v>49</v>
      </c>
      <c r="AG23" s="43">
        <v>1</v>
      </c>
      <c r="AH23" s="43">
        <v>2</v>
      </c>
      <c r="AI23" s="43">
        <v>3</v>
      </c>
      <c r="AJ23" s="43">
        <v>4</v>
      </c>
      <c r="AK23" s="43">
        <v>5</v>
      </c>
      <c r="AL23" s="43">
        <v>6</v>
      </c>
      <c r="AM23" s="43">
        <v>7</v>
      </c>
      <c r="AN23" s="43">
        <v>8</v>
      </c>
      <c r="AO23" s="43">
        <v>9</v>
      </c>
      <c r="AP23" s="43">
        <v>10</v>
      </c>
      <c r="AQ23" s="44" t="s">
        <v>50</v>
      </c>
      <c r="AT23" s="34"/>
      <c r="AU23" s="35"/>
      <c r="AV23" s="35"/>
      <c r="AW23" s="35"/>
      <c r="AX23" s="35"/>
      <c r="AY23" s="35"/>
    </row>
    <row r="24" spans="1:51" ht="15.75" x14ac:dyDescent="0.25">
      <c r="A24" s="11"/>
      <c r="B24" s="45">
        <v>2</v>
      </c>
      <c r="C24" s="46" t="s">
        <v>51</v>
      </c>
      <c r="D24" s="47">
        <v>5</v>
      </c>
      <c r="E24" s="45">
        <v>1</v>
      </c>
      <c r="F24" s="46" t="str">
        <f>IF($AK8&gt;1,"v","")</f>
        <v>v</v>
      </c>
      <c r="G24" s="47">
        <v>4</v>
      </c>
      <c r="H24" s="45">
        <v>3</v>
      </c>
      <c r="I24" s="46" t="str">
        <f>IF($AK8&gt;2,"v","")</f>
        <v>v</v>
      </c>
      <c r="J24" s="47">
        <v>5</v>
      </c>
      <c r="K24" s="45">
        <v>2</v>
      </c>
      <c r="L24" s="46" t="str">
        <f>IF($AK8&gt;3,"v","")</f>
        <v>v</v>
      </c>
      <c r="M24" s="47">
        <v>4</v>
      </c>
      <c r="N24" s="45">
        <v>1</v>
      </c>
      <c r="O24" s="46" t="str">
        <f>IF($AK8&gt;4,"v","")</f>
        <v>v</v>
      </c>
      <c r="P24" s="47">
        <v>3</v>
      </c>
      <c r="Q24" s="45">
        <v>4</v>
      </c>
      <c r="R24" s="46" t="str">
        <f>IF($AK8&gt;5,"v","")</f>
        <v>v</v>
      </c>
      <c r="S24" s="47">
        <v>5</v>
      </c>
      <c r="T24" s="45">
        <v>2</v>
      </c>
      <c r="U24" s="46" t="str">
        <f>IF($AK8&gt;6,"v","")</f>
        <v>v</v>
      </c>
      <c r="V24" s="47">
        <v>3</v>
      </c>
      <c r="W24" s="45">
        <v>1</v>
      </c>
      <c r="X24" s="46" t="str">
        <f>IF($AK8&gt;7,"v","")</f>
        <v>v</v>
      </c>
      <c r="Y24" s="47">
        <v>5</v>
      </c>
      <c r="Z24" s="45">
        <v>3</v>
      </c>
      <c r="AA24" s="46" t="str">
        <f>IF($AK8&gt;8,"v","")</f>
        <v>v</v>
      </c>
      <c r="AB24" s="47">
        <v>4</v>
      </c>
      <c r="AC24" s="45">
        <v>1</v>
      </c>
      <c r="AD24" s="46" t="str">
        <f>IF($AK8&gt;9,"v","")</f>
        <v>v</v>
      </c>
      <c r="AE24" s="47">
        <v>2</v>
      </c>
      <c r="AF24" s="42" t="str">
        <f>IF($AK9&gt;0,"Team 1","")</f>
        <v>Team 1</v>
      </c>
      <c r="AG24" s="48" t="str">
        <f>IF($AK9&lt;1,"",IF($AK8&lt;1,"",IF(B24=1,B30-D30,IF(D24=1,D30-B30,""))))</f>
        <v/>
      </c>
      <c r="AH24" s="48">
        <f>IF($AK9&lt;1,"",IF($AK8&lt;2,"",IF(E24=1,E30-G30,IF(G24=1,G30-E30,""))))</f>
        <v>25</v>
      </c>
      <c r="AI24" s="48" t="str">
        <f>IF($AK9&lt;1,"",IF($AK8&lt;3,"",IF(H24=1,H30-J30,IF(J24=1,J30-H30,""))))</f>
        <v/>
      </c>
      <c r="AJ24" s="48" t="str">
        <f>IF($AK9&lt;1,"",IF($AK8&lt;4,"",IF(K24=1,K30-M30,IF(M24=1,M30-K30,""))))</f>
        <v/>
      </c>
      <c r="AK24" s="48">
        <f>IF($AK9&lt;1,"",IF($AK8&lt;5,"",IF(N24=1,N30-P30,IF(P24=1,P30-N30,""))))</f>
        <v>11</v>
      </c>
      <c r="AL24" s="48" t="str">
        <f>IF($AK9&lt;1,"",IF($AK8&lt;6,"",IF(Q24=1,Q30-S30,IF(S24=1,S30-Q30,""))))</f>
        <v/>
      </c>
      <c r="AM24" s="48" t="str">
        <f>IF($AK9&lt;1,"",IF($AK8&lt;7,"",IF(T24=1,T30-V30,IF(V24=1,V30-T30,""))))</f>
        <v/>
      </c>
      <c r="AN24" s="48">
        <f>IF($AK9&lt;1,"",IF($AK8&lt;8,"",IF(W24=1,W30-Y30,IF(Y24=1,Y30-W30,""))))</f>
        <v>23</v>
      </c>
      <c r="AO24" s="48" t="str">
        <f>IF($AK9&lt;1,"",IF($AK8&lt;9,"",IF(Z24=1,Z30-AB30,IF(AB24=1,AB30-Z30,""))))</f>
        <v/>
      </c>
      <c r="AP24" s="48">
        <f>IF($AK9&lt;1,"",IF($AK8&lt;10,"",IF(AC24=1,AC30-AE30,IF(AE24=1,AE30-AC30,""))))</f>
        <v>28</v>
      </c>
      <c r="AQ24" s="44">
        <f>SUM(AG24:AP24)</f>
        <v>87</v>
      </c>
      <c r="AT24" s="34"/>
      <c r="AU24" s="35"/>
      <c r="AV24" s="35"/>
      <c r="AW24" s="35"/>
      <c r="AX24" s="35"/>
      <c r="AY24" s="35"/>
    </row>
    <row r="25" spans="1:51" ht="15" x14ac:dyDescent="0.2">
      <c r="A25" s="4" t="s">
        <v>52</v>
      </c>
      <c r="B25" s="49">
        <v>23</v>
      </c>
      <c r="C25" s="50" t="s">
        <v>53</v>
      </c>
      <c r="D25" s="51">
        <v>25</v>
      </c>
      <c r="E25" s="49">
        <v>25</v>
      </c>
      <c r="F25" s="50" t="str">
        <f>IF($AK8&gt;1,"/","")</f>
        <v>/</v>
      </c>
      <c r="G25" s="51">
        <v>9</v>
      </c>
      <c r="H25" s="49">
        <v>23</v>
      </c>
      <c r="I25" s="50" t="str">
        <f>IF($AK8&gt;2,"/","")</f>
        <v>/</v>
      </c>
      <c r="J25" s="51">
        <v>25</v>
      </c>
      <c r="K25" s="49">
        <v>23</v>
      </c>
      <c r="L25" s="50" t="str">
        <f>IF($AK8&gt;3,"/","")</f>
        <v>/</v>
      </c>
      <c r="M25" s="51">
        <v>25</v>
      </c>
      <c r="N25" s="49">
        <v>25</v>
      </c>
      <c r="O25" s="50" t="str">
        <f>IF($AK8&gt;4,"/","")</f>
        <v>/</v>
      </c>
      <c r="P25" s="51">
        <v>18</v>
      </c>
      <c r="Q25" s="49">
        <v>10</v>
      </c>
      <c r="R25" s="50" t="str">
        <f>IF($AK8&gt;5,"/","")</f>
        <v>/</v>
      </c>
      <c r="S25" s="51">
        <v>25</v>
      </c>
      <c r="T25" s="49">
        <v>25</v>
      </c>
      <c r="U25" s="50" t="str">
        <f>IF($AK8&gt;6,"/","")</f>
        <v>/</v>
      </c>
      <c r="V25" s="51">
        <v>21</v>
      </c>
      <c r="W25" s="49">
        <v>25</v>
      </c>
      <c r="X25" s="50" t="str">
        <f>IF($AK8&gt;7,"/","")</f>
        <v>/</v>
      </c>
      <c r="Y25" s="51">
        <v>16</v>
      </c>
      <c r="Z25" s="49">
        <v>25</v>
      </c>
      <c r="AA25" s="50" t="str">
        <f>IF($AK8&gt;8,"/","")</f>
        <v>/</v>
      </c>
      <c r="AB25" s="51">
        <v>16</v>
      </c>
      <c r="AC25" s="49">
        <v>25</v>
      </c>
      <c r="AD25" s="50" t="str">
        <f>IF($AK8&gt;9,"/","")</f>
        <v>/</v>
      </c>
      <c r="AE25" s="51">
        <v>13</v>
      </c>
      <c r="AF25" s="42" t="str">
        <f>IF($AK9&gt;1,"Team 2","")</f>
        <v>Team 2</v>
      </c>
      <c r="AG25" s="48">
        <f>IF($AK9&lt;2,"",IF($AK8&lt;1,"",IF(B24=2,B30-D30,IF(D24=2,D30-B30,""))))</f>
        <v>-11</v>
      </c>
      <c r="AH25" s="48" t="str">
        <f>IF($AK9&lt;2,"",IF($AK8&lt;2,"",IF(E24=2,E30-G30,IF(G24=2,G30-E30,""))))</f>
        <v/>
      </c>
      <c r="AI25" s="48" t="str">
        <f>IF($AK9&lt;2,"",IF($AK8&lt;3,"",IF(H24=2,H30-J30,IF(J24=2,J30-H30,""))))</f>
        <v/>
      </c>
      <c r="AJ25" s="48">
        <f>IF($AK9&lt;2,"",IF($AK8&lt;4,"",IF(K24=2,K30-M30,IF(M24=2,M30-K30,""))))</f>
        <v>-4</v>
      </c>
      <c r="AK25" s="48" t="str">
        <f>IF($AK9&lt;2,"",IF($AK8&lt;5,"",IF(N24=2,N30-P30,IF(P24=2,P30-N30,""))))</f>
        <v/>
      </c>
      <c r="AL25" s="48" t="str">
        <f>IF($AK9&lt;2,"",IF($AK8&lt;6,"",IF(Q24=2,Q30-S30,IF(S24=2,S30-Q30,""))))</f>
        <v/>
      </c>
      <c r="AM25" s="48">
        <f>IF($AK9&lt;2,"",IF($AK8&lt;7,"",IF(T24=2,T30-V30,IF(V24=2,V30-T30,""))))</f>
        <v>2</v>
      </c>
      <c r="AN25" s="48" t="str">
        <f>IF($AK9&lt;2,"",IF($AK8&lt;8,"",IF(W24=2,W30-Y30,IF(Y24=2,Y30-W30,""))))</f>
        <v/>
      </c>
      <c r="AO25" s="48" t="str">
        <f>IF($AK9&lt;2,"",IF($AK8&lt;9,"",IF(Z24=2,Z30-AB30,IF(AB24=2,AB30-Z30,""))))</f>
        <v/>
      </c>
      <c r="AP25" s="48">
        <f>IF($AK9&lt;2,"",IF($AK8&lt;10,"",IF(AC24=2,AC30-AE30,IF(AE24=2,AE30-AC30,""))))</f>
        <v>-28</v>
      </c>
      <c r="AQ25" s="44">
        <f>SUM(AG25:AP25)</f>
        <v>-41</v>
      </c>
      <c r="AW25" s="4"/>
    </row>
    <row r="26" spans="1:51" ht="15" x14ac:dyDescent="0.2">
      <c r="A26" s="3" t="str">
        <f>IF($AK7&gt;1,"Game 2","")</f>
        <v>Game 2</v>
      </c>
      <c r="B26" s="49">
        <v>16</v>
      </c>
      <c r="C26" s="50" t="s">
        <v>53</v>
      </c>
      <c r="D26" s="51">
        <v>25</v>
      </c>
      <c r="E26" s="49">
        <v>25</v>
      </c>
      <c r="F26" s="50" t="str">
        <f>IF($AK8&gt;1,IF($AK7&gt;1,"/",""),"")</f>
        <v>/</v>
      </c>
      <c r="G26" s="51">
        <v>16</v>
      </c>
      <c r="H26" s="49">
        <v>25</v>
      </c>
      <c r="I26" s="50" t="str">
        <f>IF($AK8&gt;2,IF($AK7&gt;1,"/",""),"")</f>
        <v>/</v>
      </c>
      <c r="J26" s="51">
        <v>18</v>
      </c>
      <c r="K26" s="49">
        <v>23</v>
      </c>
      <c r="L26" s="50" t="str">
        <f>IF($AK8&gt;3,IF($AK7&gt;1,"/",""),"")</f>
        <v>/</v>
      </c>
      <c r="M26" s="51">
        <v>25</v>
      </c>
      <c r="N26" s="49">
        <v>25</v>
      </c>
      <c r="O26" s="50" t="str">
        <f>IF($AK8&gt;4,IF($AK7&gt;1,"/",""),"")</f>
        <v>/</v>
      </c>
      <c r="P26" s="51">
        <v>21</v>
      </c>
      <c r="Q26" s="49">
        <v>18</v>
      </c>
      <c r="R26" s="50" t="str">
        <f>IF($AK8&gt;5,IF($AK7&gt;1,"/",""),"")</f>
        <v>/</v>
      </c>
      <c r="S26" s="51">
        <v>25</v>
      </c>
      <c r="T26" s="49">
        <v>23</v>
      </c>
      <c r="U26" s="50" t="str">
        <f>IF($AK8&gt;6,IF($AK7&gt;1,"/",""),"")</f>
        <v>/</v>
      </c>
      <c r="V26" s="51">
        <v>25</v>
      </c>
      <c r="W26" s="49">
        <v>25</v>
      </c>
      <c r="X26" s="50" t="str">
        <f>IF($AK8&gt;7,IF($AK7&gt;1,"/",""),"")</f>
        <v>/</v>
      </c>
      <c r="Y26" s="51">
        <v>11</v>
      </c>
      <c r="Z26" s="49">
        <v>25</v>
      </c>
      <c r="AA26" s="50" t="str">
        <f>IF($AK8&gt;8,IF($AK7&gt;1,"/",""),"")</f>
        <v>/</v>
      </c>
      <c r="AB26" s="51">
        <v>13</v>
      </c>
      <c r="AC26" s="49">
        <v>25</v>
      </c>
      <c r="AD26" s="50" t="str">
        <f>IF($AK8&gt;9,IF($AK7&gt;1,"/",""),"")</f>
        <v>/</v>
      </c>
      <c r="AE26" s="51">
        <v>9</v>
      </c>
      <c r="AF26" s="42" t="str">
        <f>IF($AK9&gt;2,"Team 3","")</f>
        <v>Team 3</v>
      </c>
      <c r="AG26" s="48" t="str">
        <f>IF($AK9&lt;3,"",IF($AK8&lt;1,"",IF(B24=3,B30-D30,IF(D24=3,D30-B30,""))))</f>
        <v/>
      </c>
      <c r="AH26" s="48" t="str">
        <f>IF($AK9&lt;3,"",IF($AK8&lt;2,"",IF(E24=3,E30-G30,IF(G24=3,G30-E30,""))))</f>
        <v/>
      </c>
      <c r="AI26" s="48">
        <f>IF($AK9&lt;3,"",IF($AK8&lt;3,"",IF(H24=3,H30-J30,IF(J24=3,J30-H30,""))))</f>
        <v>5</v>
      </c>
      <c r="AJ26" s="48" t="str">
        <f>IF($AK9&lt;3,"",IF($AK8&lt;4,"",IF(K24=3,K30-M30,IF(M24=3,M30-K30,""))))</f>
        <v/>
      </c>
      <c r="AK26" s="48">
        <f>IF($AK9&lt;3,"",IF($AK8&lt;5,"",IF(N24=3,N30-P30,IF(P24=3,P30-N30,""))))</f>
        <v>-11</v>
      </c>
      <c r="AL26" s="48" t="str">
        <f>IF($AK9&lt;3,"",IF($AK8&lt;6,"",IF(Q24=3,Q30-S30,IF(S24=3,S30-Q30,""))))</f>
        <v/>
      </c>
      <c r="AM26" s="48">
        <f>IF($AK9&lt;3,"",IF($AK8&lt;7,"",IF(T24=3,T30-V30,IF(V24=3,V30-T30,""))))</f>
        <v>-2</v>
      </c>
      <c r="AN26" s="48" t="str">
        <f>IF($AK9&lt;3,"",IF($AK8&lt;8,"",IF(W24=3,W30-Y30,IF(Y24=3,Y30-W30,""))))</f>
        <v/>
      </c>
      <c r="AO26" s="48">
        <f>IF($AK9&lt;3,"",IF($AK8&lt;9,"",IF(Z24=3,Z30-AB30,IF(AB24=3,AB30-Z30,""))))</f>
        <v>21</v>
      </c>
      <c r="AP26" s="48" t="str">
        <f>IF($AK9&lt;3,"",IF($AK8&lt;9,"",IF(AC24=3,AC30-AE30,IF(AE24=3,AE30-AC30,""))))</f>
        <v/>
      </c>
      <c r="AQ26" s="44">
        <f>SUM(AG26:AP26)</f>
        <v>13</v>
      </c>
      <c r="AW26" s="4"/>
    </row>
    <row r="27" spans="1:51" ht="15" x14ac:dyDescent="0.2">
      <c r="A27" s="3" t="str">
        <f>IF($AK7&gt;2,"Game 3","")</f>
        <v/>
      </c>
      <c r="B27" s="49"/>
      <c r="C27" s="50" t="s">
        <v>53</v>
      </c>
      <c r="D27" s="51"/>
      <c r="E27" s="49"/>
      <c r="F27" s="50" t="str">
        <f>IF($AK8&gt;1,IF($AK7&gt;2,"/",""),"")</f>
        <v/>
      </c>
      <c r="G27" s="51"/>
      <c r="H27" s="49"/>
      <c r="I27" s="50" t="str">
        <f>IF($AK8&gt;2,IF($AK7&gt;2,"/",""),"")</f>
        <v/>
      </c>
      <c r="J27" s="51"/>
      <c r="K27" s="49"/>
      <c r="L27" s="50" t="str">
        <f>IF($AK8&gt;3,IF($AK7&gt;2,"/",""),"")</f>
        <v/>
      </c>
      <c r="M27" s="51"/>
      <c r="N27" s="49"/>
      <c r="O27" s="50" t="str">
        <f>IF($AK8&gt;4,IF($AK7&gt;2,"/",""),"")</f>
        <v/>
      </c>
      <c r="P27" s="51"/>
      <c r="Q27" s="49"/>
      <c r="R27" s="50" t="str">
        <f>IF($AK8&gt;5,IF($AK7&gt;2,"/",""),"")</f>
        <v/>
      </c>
      <c r="S27" s="51"/>
      <c r="T27" s="49"/>
      <c r="U27" s="50" t="str">
        <f>IF($AK8&gt;6,IF($AK7&gt;2,"/",""),"")</f>
        <v/>
      </c>
      <c r="V27" s="51"/>
      <c r="W27" s="49"/>
      <c r="X27" s="50" t="str">
        <f>IF($AK8&gt;7,IF($AK7&gt;2,"/",""),"")</f>
        <v/>
      </c>
      <c r="Y27" s="51"/>
      <c r="Z27" s="49"/>
      <c r="AA27" s="50" t="str">
        <f>IF($AK8&gt;8,IF($AK7&gt;2,"/",""),"")</f>
        <v/>
      </c>
      <c r="AB27" s="51"/>
      <c r="AC27" s="49"/>
      <c r="AD27" s="50" t="str">
        <f>IF($AK8&gt;9,IF($AK7&gt;2,"/",""),"")</f>
        <v/>
      </c>
      <c r="AE27" s="51"/>
      <c r="AF27" s="42" t="str">
        <f>IF($AK9&gt;3,"Team 4","")</f>
        <v>Team 4</v>
      </c>
      <c r="AG27" s="48" t="str">
        <f>IF($AK9&lt;4,"",IF($AK8&lt;1,"",IF(B24=4,B30-D30,IF(D24=4,D30-B30,""))))</f>
        <v/>
      </c>
      <c r="AH27" s="48">
        <f>IF($AK9&lt;4,"",IF($AK8&lt;2,"",IF(E24=4,E30-G30,IF(G24=4,G30-E30,""))))</f>
        <v>-25</v>
      </c>
      <c r="AI27" s="48" t="str">
        <f>IF($AK9&lt;4,"",IF($AK8&lt;3,"",IF(H24=4,H30-J30,IF(J24=4,J30-H30,""))))</f>
        <v/>
      </c>
      <c r="AJ27" s="48">
        <f>IF($AK9&lt;4,"",IF($AK8&lt;4,"",IF(K24=4,K30-M30,IF(M24=4,M30-K30,""))))</f>
        <v>4</v>
      </c>
      <c r="AK27" s="48" t="str">
        <f>IF($AK9&lt;4,"",IF($AK8&lt;5,"",IF(N24=4,N30-P30,IF(P24=4,P30-N30,""))))</f>
        <v/>
      </c>
      <c r="AL27" s="48">
        <f>IF($AK9&lt;4,"",IF($AK8&lt;6,"",IF(Q24=4,Q30-S30,IF(S24=4,S30-Q30,""))))</f>
        <v>-22</v>
      </c>
      <c r="AM27" s="48" t="str">
        <f>IF($AK9&lt;4,"",IF($AK8&lt;7,"",IF(T24=4,T30-V30,IF(V24=4,V30-T30,""))))</f>
        <v/>
      </c>
      <c r="AN27" s="48" t="str">
        <f>IF($AK9&lt;4,"",IF($AK8&lt;8,"",IF(W24=4,W30-Y30,IF(Y24=4,Y30-W30,""))))</f>
        <v/>
      </c>
      <c r="AO27" s="48">
        <f>IF($AK9&lt;4,"",IF($AK8&lt;9,"",IF(Z24=4,Z30-AB30,IF(AB24=4,AB30-Z30,""))))</f>
        <v>-21</v>
      </c>
      <c r="AP27" s="48" t="str">
        <f>IF($AK9&lt;4,"",IF($AK8&lt;10,"",IF(AC24=4,AC30-AE30,IF(AE24=4,AE30-AC30,""))))</f>
        <v/>
      </c>
      <c r="AQ27" s="44">
        <f>SUM(AG27:AP27)</f>
        <v>-64</v>
      </c>
      <c r="AW27" s="4"/>
    </row>
    <row r="28" spans="1:51" ht="15" x14ac:dyDescent="0.2">
      <c r="A28" s="3" t="str">
        <f>IF($AK7&gt;3,"Game 4","")</f>
        <v/>
      </c>
      <c r="B28" s="49"/>
      <c r="C28" s="50" t="s">
        <v>53</v>
      </c>
      <c r="D28" s="51"/>
      <c r="E28" s="49"/>
      <c r="F28" s="50" t="str">
        <f>IF($AK8&gt;1,IF($AK7&gt;3,"/",""),"")</f>
        <v/>
      </c>
      <c r="G28" s="51"/>
      <c r="H28" s="49"/>
      <c r="I28" s="50" t="str">
        <f>IF($AK8&gt;2,IF($AK7&gt;3,"/",""),"")</f>
        <v/>
      </c>
      <c r="J28" s="51"/>
      <c r="K28" s="49"/>
      <c r="L28" s="50" t="str">
        <f>IF($AK8&gt;3,IF($AK7&gt;3,"/",""),"")</f>
        <v/>
      </c>
      <c r="M28" s="51"/>
      <c r="N28" s="49"/>
      <c r="O28" s="50" t="str">
        <f>IF($AK8&gt;4,IF($AK7&gt;3,"/",""),"")</f>
        <v/>
      </c>
      <c r="P28" s="51"/>
      <c r="Q28" s="49"/>
      <c r="R28" s="50" t="str">
        <f>IF($AK8&gt;5,IF($AK7&gt;3,"/",""),"")</f>
        <v/>
      </c>
      <c r="S28" s="51"/>
      <c r="T28" s="49"/>
      <c r="U28" s="50" t="str">
        <f>IF($AK8&gt;6,IF($AK7&gt;3,"/",""),"")</f>
        <v/>
      </c>
      <c r="V28" s="51"/>
      <c r="W28" s="49"/>
      <c r="X28" s="50" t="str">
        <f>IF($AK8&gt;7,IF($AK7&gt;3,"/",""),"")</f>
        <v/>
      </c>
      <c r="Y28" s="51"/>
      <c r="Z28" s="49"/>
      <c r="AA28" s="50" t="str">
        <f>IF($AK8&gt;8,IF($AK7&gt;3,"/",""),"")</f>
        <v/>
      </c>
      <c r="AB28" s="51"/>
      <c r="AC28" s="49"/>
      <c r="AD28" s="50" t="str">
        <f>IF($AK8&gt;9,IF($AK7&gt;3,"/",""),"")</f>
        <v/>
      </c>
      <c r="AE28" s="51"/>
      <c r="AF28" s="42" t="str">
        <f>IF($AK9&gt;4,"Team 5","")</f>
        <v>Team 5</v>
      </c>
      <c r="AG28" s="52">
        <f>IF($AK9&lt;5,"",IF($AK8&lt;1,"",IF(B24=5,B30-D30,IF(D24=5,D30-B30,""))))</f>
        <v>11</v>
      </c>
      <c r="AH28" s="48" t="str">
        <f>IF($AK9&lt;5,"",IF($AK8&lt;2,"",IF(E24=5,E30-G30,IF(G24=5,G30-E30,""))))</f>
        <v/>
      </c>
      <c r="AI28" s="48">
        <f>IF($AK9&lt;5,"",IF($AK8&lt;3,"",IF(H24=5,H30-J30,IF(J24=5,J30-H30,""))))</f>
        <v>-5</v>
      </c>
      <c r="AJ28" s="48" t="str">
        <f>IF($AK9&lt;5,"",IF($AK8&lt;4,"",IF(K24=5,K30-M30,IF(M24=5,M30-K30,""))))</f>
        <v/>
      </c>
      <c r="AK28" s="48" t="str">
        <f>IF($AK9&lt;5,"",IF($AK8&lt;5,"",IF(N24=5,N30-P30,IF(P24=5,P30-N30,""))))</f>
        <v/>
      </c>
      <c r="AL28" s="48">
        <f>IF($AK9&lt;5,"",IF($AK8&lt;6,"",IF(Q24=5,Q30-S30,IF(S24=5,S30-Q30,""))))</f>
        <v>22</v>
      </c>
      <c r="AM28" s="48" t="str">
        <f>IF($AK9&lt;5,"",IF($AK8&lt;7,"",IF(T24=5,T30-V30,IF(V24=5,V30-T30,""))))</f>
        <v/>
      </c>
      <c r="AN28" s="48">
        <f>IF($AK9&lt;5,"",IF($AK8&lt;8,"",IF(W24=5,W30-Y30,IF(Y24=5,Y30-W30,""))))</f>
        <v>-23</v>
      </c>
      <c r="AO28" s="48" t="str">
        <f>IF($AK9&lt;5,"",IF($AK8&lt;9,"",IF(Z24=5,Z30-AB30,IF(AB24=5,AB30-Z30,""))))</f>
        <v/>
      </c>
      <c r="AP28" s="48" t="str">
        <f>IF($AK9&lt;5,"",IF($AK8&lt;10,"",IF(AC24=5,AC30-AE30,IF(AE24=5,AE30-AC30,""))))</f>
        <v/>
      </c>
      <c r="AQ28" s="44">
        <f>SUM(AG28:AP28)</f>
        <v>5</v>
      </c>
      <c r="AW28" s="10"/>
      <c r="AX28" s="10"/>
      <c r="AY28" s="10"/>
    </row>
    <row r="29" spans="1:51" ht="15" x14ac:dyDescent="0.2">
      <c r="A29" s="3" t="str">
        <f>IF($AK7&gt;4,"Game 5","")</f>
        <v/>
      </c>
      <c r="B29" s="49"/>
      <c r="C29" s="50" t="s">
        <v>53</v>
      </c>
      <c r="D29" s="51"/>
      <c r="E29" s="49"/>
      <c r="F29" s="50" t="str">
        <f>IF($AK8&gt;1,IF($AK7&gt;4,"/",""),"")</f>
        <v/>
      </c>
      <c r="G29" s="51"/>
      <c r="H29" s="49"/>
      <c r="I29" s="50" t="str">
        <f>IF($AK8&gt;2,IF($AK7&gt;4,"/",""),"")</f>
        <v/>
      </c>
      <c r="J29" s="51"/>
      <c r="K29" s="49"/>
      <c r="L29" s="50" t="str">
        <f>IF($AK8&gt;3,IF($AK7&gt;4,"/",""),"")</f>
        <v/>
      </c>
      <c r="M29" s="51"/>
      <c r="N29" s="49"/>
      <c r="O29" s="50" t="str">
        <f>IF($AK8&gt;4,IF($AK7&gt;4,"/",""),"")</f>
        <v/>
      </c>
      <c r="P29" s="51"/>
      <c r="Q29" s="49"/>
      <c r="R29" s="50" t="str">
        <f>IF($AK8&gt;5,IF($AK7&gt;4,"/",""),"")</f>
        <v/>
      </c>
      <c r="S29" s="51"/>
      <c r="T29" s="49"/>
      <c r="U29" s="50" t="str">
        <f>IF($AK8&gt;6,IF($AK7&gt;4,"/",""),"")</f>
        <v/>
      </c>
      <c r="V29" s="51"/>
      <c r="W29" s="49"/>
      <c r="X29" s="50" t="str">
        <f>IF($AK8&gt;7,IF($AK7&gt;4,"/",""),"")</f>
        <v/>
      </c>
      <c r="Y29" s="51"/>
      <c r="Z29" s="49"/>
      <c r="AA29" s="50" t="str">
        <f>IF($AK8&gt;8,IF($AK7&gt;4,"/",""),"")</f>
        <v/>
      </c>
      <c r="AB29" s="51"/>
      <c r="AC29" s="49"/>
      <c r="AD29" s="50" t="str">
        <f>IF($AK8&gt;9,IF($AK7&gt;4,"/",""),"")</f>
        <v/>
      </c>
      <c r="AE29" s="5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W29" s="10"/>
      <c r="AX29" s="10"/>
      <c r="AY29" s="10"/>
    </row>
    <row r="30" spans="1:51" hidden="1" x14ac:dyDescent="0.2">
      <c r="A30" s="53"/>
      <c r="B30" s="53">
        <f>IF($AK7=5,SUM(B25:B29),IF($AK7=4,SUM(B25:B28),IF($AK7=3,SUM(B25:B27),IF($AK7=2,SUM(B25:B26),B25))))</f>
        <v>39</v>
      </c>
      <c r="C30" s="53"/>
      <c r="D30" s="53">
        <f>IF($AK7=5,SUM(D25:D29),IF($AK7=4,SUM(D25:D28),IF($AK7=3,SUM(D25:D27),IF($AK7=2,SUM(D25:D26),D25))))</f>
        <v>50</v>
      </c>
      <c r="E30" s="53">
        <f>IF($AK7=5,SUM(E25:E29),IF($AK7=4,SUM(E25:E28),IF($AK7=3,SUM(E25:E27),IF($AK7=2,SUM(E25:E26),E25))))</f>
        <v>50</v>
      </c>
      <c r="F30" s="53"/>
      <c r="G30" s="53">
        <f>IF($AK7=5,SUM(G25:G29),IF($AK7=4,SUM(G25:G28),IF($AK7=3,SUM(G25:G27),IF($AK7=2,SUM(G25:G26),G25))))</f>
        <v>25</v>
      </c>
      <c r="H30" s="53">
        <f>IF($AK7=5,SUM(H25:H29),IF($AK7=4,SUM(H25:H28),IF($AK7=3,SUM(H25:H27),IF($AK7=2,SUM(H25:H26),H25))))</f>
        <v>48</v>
      </c>
      <c r="I30" s="53"/>
      <c r="J30" s="53">
        <f>IF($AK7=5,SUM(J25:J29),IF($AK7=4,SUM(J25:J28),IF($AK7=3,SUM(J25:J27),IF($AK7=2,SUM(J25:J26),J25))))</f>
        <v>43</v>
      </c>
      <c r="K30" s="53">
        <f>IF($AK7=5,SUM(K25:K29),IF($AK7=4,SUM(K25:K28),IF($AK7=3,SUM(K25:K27),IF($AK7=2,SUM(K25:K26),K25))))</f>
        <v>46</v>
      </c>
      <c r="L30" s="53"/>
      <c r="M30" s="53">
        <f>IF($AK7=5,SUM(M25:M29),IF($AK7=4,SUM(M25:M28),IF($AK7=3,SUM(M25:M27),IF($AK7=2,SUM(M25:M26),M25))))</f>
        <v>50</v>
      </c>
      <c r="N30" s="53">
        <f>IF($AK7=5,SUM(N25:N29),IF($AK7=4,SUM(N25:N28),IF($AK7=3,SUM(N25:N27),IF($AK7=2,SUM(N25:N26),N25))))</f>
        <v>50</v>
      </c>
      <c r="O30" s="53"/>
      <c r="P30" s="53">
        <f>IF($AK7=5,SUM(P25:P29),IF($AK7=4,SUM(P25:P28),IF($AK7=3,SUM(P25:P27),IF($AK7=2,SUM(P25:P26),P25))))</f>
        <v>39</v>
      </c>
      <c r="Q30" s="53">
        <f>IF($AK7=5,SUM(Q25:Q29),IF($AK7=4,SUM(Q25:Q28),IF($AK7=3,SUM(Q25:Q27),IF($AK7=2,SUM(Q25:Q26),Q25))))</f>
        <v>28</v>
      </c>
      <c r="R30" s="53"/>
      <c r="S30" s="53">
        <f>IF($AK7=5,SUM(S25:S29),IF($AK7=4,SUM(S25:S28),IF($AK7=3,SUM(S25:S27),IF($AK7=2,SUM(S25:S26),S25))))</f>
        <v>50</v>
      </c>
      <c r="T30" s="53">
        <f>IF($AK7=5,SUM(T25:T29),IF($AK7=4,SUM(T25:T28),IF($AK7=3,SUM(T25:T27),IF($AK7=2,SUM(T25:T26),T25))))</f>
        <v>48</v>
      </c>
      <c r="U30" s="53"/>
      <c r="V30" s="53">
        <f>IF($AK7=5,SUM(V25:V29),IF($AK7=4,SUM(V25:V28),IF($AK7=3,SUM(V25:V27),IF($AK7=2,SUM(V25:V26),V25))))</f>
        <v>46</v>
      </c>
      <c r="W30" s="53">
        <f>IF($AK7=5,SUM(W25:W29),IF($AK7=4,SUM(W25:W28),IF($AK7=3,SUM(W25:W27),IF($AK7=2,SUM(W25:W26),W25))))</f>
        <v>50</v>
      </c>
      <c r="X30" s="53"/>
      <c r="Y30" s="53">
        <f>IF($AK7=5,SUM(Y25:Y29),IF($AK7=4,SUM(Y25:Y28),IF($AK7=3,SUM(Y25:Y27),IF($AK7=2,SUM(Y25:Y26),Y25))))</f>
        <v>27</v>
      </c>
      <c r="Z30" s="53">
        <f>IF($AK7=5,SUM(Z25:Z29),IF($AK7=4,SUM(Z25:Z28),IF($AK7=3,SUM(Z25:Z27),IF($AK7=2,SUM(Z25:Z26),Z25))))</f>
        <v>50</v>
      </c>
      <c r="AA30" s="53"/>
      <c r="AB30" s="53">
        <f>IF($AK7=5,SUM(AB25:AB29),IF($AK7=4,SUM(AB25:AB28),IF($AK7=3,SUM(AB25:AB27),IF($AK7=2,SUM(AB25:AB26),AB25))))</f>
        <v>29</v>
      </c>
      <c r="AC30" s="53">
        <f>IF($AK7=5,SUM(AC25:AC29),IF($AK7=4,SUM(AC25:AC28),IF($AK7=3,SUM(AC25:AC27),IF($AK7=2,SUM(AC25:AC26),AC25))))</f>
        <v>50</v>
      </c>
      <c r="AD30" s="53"/>
      <c r="AE30" s="53">
        <f>IF($AK7=5,SUM(AE25:AE29),IF($AK7=4,SUM(AE25:AE28),IF($AK7=3,SUM(AE25:AE27),IF($AK7=2,SUM(AE25:AE26),AE25))))</f>
        <v>22</v>
      </c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</row>
    <row r="31" spans="1:51" s="54" customFormat="1" ht="12.75" hidden="1" customHeight="1" x14ac:dyDescent="0.2">
      <c r="A31" s="54" t="s">
        <v>54</v>
      </c>
      <c r="B31" s="55">
        <f>IF(AND(B25&gt;D25,$AK8&gt;0,ISNUMBER(B25),ISNUMBER(D25)),1,0)</f>
        <v>0</v>
      </c>
      <c r="C31" s="55"/>
      <c r="D31" s="56">
        <f>IF(AND(D25&gt;B25,$AK8&gt;0,ISNUMBER(B25),ISNUMBER(D25)),1,0)</f>
        <v>1</v>
      </c>
      <c r="E31" s="55">
        <f>IF(AND(E25&gt;G25,$AK8&gt;1,ISNUMBER(E25),ISNUMBER(G25)),1,0)</f>
        <v>1</v>
      </c>
      <c r="F31" s="55"/>
      <c r="G31" s="56">
        <f>IF(AND(G25&gt;E25,$AK8&gt;1,ISNUMBER(E25),ISNUMBER(G25)),1,0)</f>
        <v>0</v>
      </c>
      <c r="H31" s="55">
        <f>IF(AND(H25&gt;J25,$AK8&gt;2,ISNUMBER(H25),ISNUMBER(J25)),1,0)</f>
        <v>0</v>
      </c>
      <c r="I31" s="55"/>
      <c r="J31" s="56">
        <f>IF(AND(J25&gt;H25,$AK8&gt;2,ISNUMBER(H25),ISNUMBER(J25)),1,0)</f>
        <v>1</v>
      </c>
      <c r="K31" s="55">
        <f>IF(AND(K25&gt;M25,$AK8&gt;3,ISNUMBER(K25),ISNUMBER(M25)),1,0)</f>
        <v>0</v>
      </c>
      <c r="L31" s="55"/>
      <c r="M31" s="56">
        <f>IF(AND(M25&gt;K25,$AK8&gt;3,ISNUMBER(K25),ISNUMBER(M25)),1,0)</f>
        <v>1</v>
      </c>
      <c r="N31" s="55">
        <f>IF(AND(N25&gt;P25,$AK8&gt;4,ISNUMBER(N25),ISNUMBER(P25)),1,0)</f>
        <v>1</v>
      </c>
      <c r="O31" s="55"/>
      <c r="P31" s="56">
        <f>IF(AND(P25&gt;N25,$AK8&gt;4,ISNUMBER(N25),ISNUMBER(P25)),1,0)</f>
        <v>0</v>
      </c>
      <c r="Q31" s="55">
        <f>IF(AND(Q25&gt;S25,$AK8&gt;5,ISNUMBER(Q25),ISNUMBER(S25)),1,0)</f>
        <v>0</v>
      </c>
      <c r="R31" s="55"/>
      <c r="S31" s="56">
        <f>IF(AND(S25&gt;Q25,$AK8&gt;5,ISNUMBER(Q25),ISNUMBER(S25)),1,0)</f>
        <v>1</v>
      </c>
      <c r="T31" s="55">
        <f>IF(AND(T25&gt;V25,$AK8&gt;6,ISNUMBER(T25),ISNUMBER(V25)),1,0)</f>
        <v>1</v>
      </c>
      <c r="U31" s="55"/>
      <c r="V31" s="56">
        <f>IF(AND(V25&gt;T25,$AK8&gt;6,ISNUMBER(T25),ISNUMBER(V25)),1,0)</f>
        <v>0</v>
      </c>
      <c r="W31" s="55">
        <f>IF(AND(W25&gt;Y25,$AK8&gt;7,ISNUMBER(W25),ISNUMBER(Y25)),1,0)</f>
        <v>1</v>
      </c>
      <c r="X31" s="55"/>
      <c r="Y31" s="56">
        <f>IF(AND(Y25&gt;W25,$AK8&gt;7,ISNUMBER(W25),ISNUMBER(Y25)),1,0)</f>
        <v>0</v>
      </c>
      <c r="Z31" s="55">
        <f>IF(AND(Z25&gt;AB25,$AK8&gt;8,ISNUMBER(Z25),ISNUMBER(AB25)),1,0)</f>
        <v>1</v>
      </c>
      <c r="AA31" s="55"/>
      <c r="AB31" s="56">
        <f>IF(AND(AB25&gt;Z25,$AK8&gt;8,ISNUMBER(Z25),ISNUMBER(AB25)),1,0)</f>
        <v>0</v>
      </c>
      <c r="AC31" s="55">
        <f>IF(AND(AC25&gt;AE25,$AK8&gt;9,ISNUMBER(AC25),ISNUMBER(AE25)),1,0)</f>
        <v>1</v>
      </c>
      <c r="AD31" s="55"/>
      <c r="AE31" s="56">
        <f>IF(AND(AE25&gt;AC25,$AK8&gt;9,ISNUMBER(AC25),ISNUMBER(AE25)),1,0)</f>
        <v>0</v>
      </c>
      <c r="AW31" s="146"/>
    </row>
    <row r="32" spans="1:51" s="54" customFormat="1" ht="12.75" hidden="1" customHeight="1" x14ac:dyDescent="0.2">
      <c r="A32" s="54" t="s">
        <v>55</v>
      </c>
      <c r="B32" s="55">
        <f>IF(AND(B26&gt;D26,$AK8&gt;0,$AK7&gt;1,ISNUMBER(B26),ISNUMBER(D26)),1,0)</f>
        <v>0</v>
      </c>
      <c r="C32" s="55"/>
      <c r="D32" s="56">
        <f>IF(AND(D26&gt;B26,$AK8&gt;0,$AK7&gt;1,ISNUMBER(B26),ISNUMBER(D26)),1,0)</f>
        <v>1</v>
      </c>
      <c r="E32" s="55">
        <f>IF(AND(E26&gt;G26,$AK8&gt;1,$AK7&gt;1,ISNUMBER(E26),ISNUMBER(G26)),1,0)</f>
        <v>1</v>
      </c>
      <c r="F32" s="55"/>
      <c r="G32" s="56">
        <f>IF(AND(G26&gt;E26,$AK8&gt;1,$AK7&gt;1,ISNUMBER(E26),ISNUMBER(G26)),1,0)</f>
        <v>0</v>
      </c>
      <c r="H32" s="55">
        <f>IF(AND(H26&gt;J26,$AK8&gt;2,$AK7&gt;1,ISNUMBER(H26),ISNUMBER(J26)),1,0)</f>
        <v>1</v>
      </c>
      <c r="I32" s="55"/>
      <c r="J32" s="56">
        <f>IF(AND(J26&gt;H26,$AK8&gt;2,$AK7&gt;1,ISNUMBER(H26),ISNUMBER(J26)),1,0)</f>
        <v>0</v>
      </c>
      <c r="K32" s="55">
        <f>IF(AND(K26&gt;M26,$AK8&gt;3,$AK7&gt;1,ISNUMBER(K26),ISNUMBER(M26)),1,0)</f>
        <v>0</v>
      </c>
      <c r="L32" s="55"/>
      <c r="M32" s="56">
        <f>IF(AND(M26&gt;K26,$AK8&gt;3,$AK7&gt;1,ISNUMBER(K26),ISNUMBER(M26)),1,0)</f>
        <v>1</v>
      </c>
      <c r="N32" s="55">
        <f>IF(AND(N26&gt;P26,$AK8&gt;4,$AK7&gt;1,ISNUMBER(N26),ISNUMBER(P26)),1,0)</f>
        <v>1</v>
      </c>
      <c r="O32" s="55"/>
      <c r="P32" s="56">
        <f>IF(AND(P26&gt;N26,$AK8&gt;4,$AK7&gt;1,ISNUMBER(N26),ISNUMBER(P26)),1,0)</f>
        <v>0</v>
      </c>
      <c r="Q32" s="55">
        <f>IF(AND(Q26&gt;S26,$AK8&gt;5,$AK7&gt;1,ISNUMBER(Q26),ISNUMBER(S26)),1,0)</f>
        <v>0</v>
      </c>
      <c r="R32" s="55"/>
      <c r="S32" s="56">
        <f>IF(AND(S26&gt;Q26,$AK8&gt;5,$AK7&gt;1,ISNUMBER(Q26),ISNUMBER(S26)),1,0)</f>
        <v>1</v>
      </c>
      <c r="T32" s="55">
        <f>IF(AND(T26&gt;V26,$AK8&gt;6,$AK7&gt;1,ISNUMBER(T26),ISNUMBER(V26)),1,0)</f>
        <v>0</v>
      </c>
      <c r="U32" s="55"/>
      <c r="V32" s="56">
        <f>IF(AND(V26&gt;T26,$AK8&gt;6,$AK7&gt;1,ISNUMBER(T26),ISNUMBER(V26)),1,0)</f>
        <v>1</v>
      </c>
      <c r="W32" s="55">
        <f>IF(AND(W26&gt;Y26,$AK8&gt;7,$AK7&gt;1,ISNUMBER(W26),ISNUMBER(Y26)),1,0)</f>
        <v>1</v>
      </c>
      <c r="X32" s="55"/>
      <c r="Y32" s="56">
        <f>IF(AND(Y26&gt;W26,$AK8&gt;7,$AK7&gt;1,ISNUMBER(W26),ISNUMBER(Y26)),1,0)</f>
        <v>0</v>
      </c>
      <c r="Z32" s="55">
        <f>IF(AND(Z26&gt;AB26,$AK8&gt;8,$AK7&gt;1,ISNUMBER(Z26),ISNUMBER(AB26)),1,0)</f>
        <v>1</v>
      </c>
      <c r="AA32" s="55"/>
      <c r="AB32" s="56">
        <f>IF(AND(AB26&gt;Z26,$AK8&gt;8,$AK7&gt;1,ISNUMBER(Z26),ISNUMBER(AB26)),1,0)</f>
        <v>0</v>
      </c>
      <c r="AC32" s="55">
        <f>IF(AND(AC26&gt;AE26,$AK8&gt;9,$AK7&gt;1,ISNUMBER(AC26),ISNUMBER(AE26)),1,0)</f>
        <v>1</v>
      </c>
      <c r="AD32" s="55"/>
      <c r="AE32" s="56">
        <f>IF(AND(AE26&gt;AC26,$AK8&gt;9,$AK7&gt;1,ISNUMBER(AC26),ISNUMBER(AE26)),1,0)</f>
        <v>0</v>
      </c>
      <c r="AW32" s="146"/>
    </row>
    <row r="33" spans="1:49" s="54" customFormat="1" ht="12.75" hidden="1" customHeight="1" x14ac:dyDescent="0.2">
      <c r="A33" s="54" t="s">
        <v>56</v>
      </c>
      <c r="B33" s="55">
        <f>IF(AND(B27&gt;D27,$AK8&gt;0,$AK7&gt;2,ISNUMBER(B27),ISNUMBER(D27)),1,0)</f>
        <v>0</v>
      </c>
      <c r="C33" s="55"/>
      <c r="D33" s="56">
        <f>IF(AND(D27&gt;B27,$AK8&gt;0,$AK7&gt;2,ISNUMBER(B27),ISNUMBER(D27)),1,0)</f>
        <v>0</v>
      </c>
      <c r="E33" s="55">
        <f>IF(AND(E27&gt;G27,$AK8&gt;1,$AK7&gt;2,ISNUMBER(E27),ISNUMBER(G27)),1,0)</f>
        <v>0</v>
      </c>
      <c r="F33" s="55"/>
      <c r="G33" s="56">
        <f>IF(AND(G27&gt;E27,$AK8&gt;1,$AK7&gt;2,ISNUMBER(E27),ISNUMBER(G27)),1,0)</f>
        <v>0</v>
      </c>
      <c r="H33" s="55">
        <f>IF(AND(H27&gt;J27,$AK8&gt;2,$AK7&gt;2,ISNUMBER(H27),ISNUMBER(J27)),1,0)</f>
        <v>0</v>
      </c>
      <c r="I33" s="55"/>
      <c r="J33" s="56">
        <f>IF(AND(J27&gt;H27,$AK8&gt;2,$AK7&gt;2,ISNUMBER(H27),ISNUMBER(J27)),1,0)</f>
        <v>0</v>
      </c>
      <c r="K33" s="55">
        <f>IF(AND(K27&gt;M27,$AK8&gt;3,$AK7&gt;2,ISNUMBER(K27),ISNUMBER(M27)),1,0)</f>
        <v>0</v>
      </c>
      <c r="L33" s="55"/>
      <c r="M33" s="56">
        <f>IF(AND(M27&gt;K27,$AK8&gt;3,$AK7&gt;2,ISNUMBER(K27),ISNUMBER(M27)),1,0)</f>
        <v>0</v>
      </c>
      <c r="N33" s="55">
        <f>IF(AND(N27&gt;P27,$AK8&gt;4,$AK7&gt;2,ISNUMBER(N27),ISNUMBER(P27)),1,0)</f>
        <v>0</v>
      </c>
      <c r="O33" s="55"/>
      <c r="P33" s="56">
        <f>IF(AND(P27&gt;N27,$AK8&gt;4,$AK7&gt;2,ISNUMBER(N27),ISNUMBER(P27)),1,0)</f>
        <v>0</v>
      </c>
      <c r="Q33" s="55">
        <f>IF(AND(Q27&gt;S27,$AK8&gt;5,$AK7&gt;2,ISNUMBER(Q27),ISNUMBER(S27)),1,0)</f>
        <v>0</v>
      </c>
      <c r="R33" s="55"/>
      <c r="S33" s="56">
        <f>IF(AND(S27&gt;Q27,$AK8&gt;5,$AK7&gt;2,ISNUMBER(Q27),ISNUMBER(S27)),1,0)</f>
        <v>0</v>
      </c>
      <c r="T33" s="55">
        <f>IF(AND(T27&gt;V27,$AK8&gt;6,$AK7&gt;2,ISNUMBER(T27),ISNUMBER(V27)),1,0)</f>
        <v>0</v>
      </c>
      <c r="U33" s="55"/>
      <c r="V33" s="56">
        <f>IF(AND(V27&gt;T27,$AK8&gt;6,$AK7&gt;2,ISNUMBER(T27),ISNUMBER(V27)),1,0)</f>
        <v>0</v>
      </c>
      <c r="W33" s="55">
        <f>IF(AND(W27&gt;Y27,$AK8&gt;7,$AK7&gt;2,ISNUMBER(W27),ISNUMBER(Y27)),1,0)</f>
        <v>0</v>
      </c>
      <c r="X33" s="55"/>
      <c r="Y33" s="56">
        <f>IF(AND(Y27&gt;W27,$AK8&gt;7,$AK7&gt;2,ISNUMBER(W27),ISNUMBER(Y27)),1,0)</f>
        <v>0</v>
      </c>
      <c r="Z33" s="55">
        <f>IF(AND(Z27&gt;AB27,$AK8&gt;8,$AK7&gt;2,ISNUMBER(Z27),ISNUMBER(AB27)),1,0)</f>
        <v>0</v>
      </c>
      <c r="AA33" s="55"/>
      <c r="AB33" s="56">
        <f>IF(AND(AB27&gt;Z27,$AK8&gt;8,$AK7&gt;2,ISNUMBER(Z27),ISNUMBER(AB27)),1,0)</f>
        <v>0</v>
      </c>
      <c r="AC33" s="55">
        <f>IF(AND(AC27&gt;AE27,$AK8&gt;9,$AK7&gt;2,ISNUMBER(AC27),ISNUMBER(AE27)),1,0)</f>
        <v>0</v>
      </c>
      <c r="AD33" s="55"/>
      <c r="AE33" s="56">
        <f>IF(AND(AE27&gt;AC27,$AK8&gt;9,$AK7&gt;2,ISNUMBER(AC27),ISNUMBER(AE27)),1,0)</f>
        <v>0</v>
      </c>
      <c r="AW33" s="146"/>
    </row>
    <row r="34" spans="1:49" s="54" customFormat="1" ht="12.75" hidden="1" customHeight="1" x14ac:dyDescent="0.2">
      <c r="A34" s="54" t="s">
        <v>57</v>
      </c>
      <c r="B34" s="55">
        <f>IF(AND(B28&gt;D28,$AK8&gt;0,$AK7&gt;3,ISNUMBER(B28),ISNUMBER(D28)),1,0)</f>
        <v>0</v>
      </c>
      <c r="C34" s="55"/>
      <c r="D34" s="56">
        <f>IF(AND(D28&gt;B28,$AK8&gt;0,$AK7&gt;3,ISNUMBER(B28),ISNUMBER(D28)),1,0)</f>
        <v>0</v>
      </c>
      <c r="E34" s="55">
        <f>IF(AND(E28&gt;G28,$AK8&gt;1,$AK7&gt;3,ISNUMBER(E28),ISNUMBER(G28)),1,0)</f>
        <v>0</v>
      </c>
      <c r="F34" s="55"/>
      <c r="G34" s="56">
        <f>IF(AND(G28&gt;E28,$AK8&gt;1,$AK7&gt;3,ISNUMBER(E28),ISNUMBER(G28)),1,0)</f>
        <v>0</v>
      </c>
      <c r="H34" s="55">
        <f>IF(AND(H28&gt;J28,$AK8&gt;2,$AK7&gt;3,ISNUMBER(H28),ISNUMBER(J28)),1,0)</f>
        <v>0</v>
      </c>
      <c r="I34" s="55"/>
      <c r="J34" s="56">
        <f>IF(AND(J28&gt;H28,$AK8&gt;2,$AK7&gt;3,ISNUMBER(H28),ISNUMBER(J28)),1,0)</f>
        <v>0</v>
      </c>
      <c r="K34" s="55">
        <f>IF(AND(K28&gt;M28,$AK8&gt;3,$AK7&gt;3,ISNUMBER(K28),ISNUMBER(M28)),1,0)</f>
        <v>0</v>
      </c>
      <c r="L34" s="55"/>
      <c r="M34" s="56">
        <f>IF(AND(M28&gt;K28,$AK8&gt;3,$AK7&gt;3,ISNUMBER(K28),ISNUMBER(M28)),1,0)</f>
        <v>0</v>
      </c>
      <c r="N34" s="55">
        <f>IF(AND(N28&gt;P28,$AK8&gt;4,$AK7&gt;3,ISNUMBER(N28),ISNUMBER(P28)),1,0)</f>
        <v>0</v>
      </c>
      <c r="O34" s="55"/>
      <c r="P34" s="56">
        <f>IF(AND(P28&gt;N28,$AK8&gt;4,$AK7&gt;3,ISNUMBER(N28),ISNUMBER(P28)),1,0)</f>
        <v>0</v>
      </c>
      <c r="Q34" s="55">
        <f>IF(AND(Q28&gt;S28,$AK8&gt;5,$AK7&gt;3,ISNUMBER(Q28),ISNUMBER(S28)),1,0)</f>
        <v>0</v>
      </c>
      <c r="R34" s="55"/>
      <c r="S34" s="56">
        <f>IF(AND(S28&gt;Q28,$AK8&gt;5,$AK7&gt;3,ISNUMBER(Q28),ISNUMBER(S28)),1,0)</f>
        <v>0</v>
      </c>
      <c r="T34" s="55">
        <f>IF(AND(T28&gt;V28,$AK8&gt;6,$AK7&gt;3,ISNUMBER(T28),ISNUMBER(V28)),1,0)</f>
        <v>0</v>
      </c>
      <c r="U34" s="55"/>
      <c r="V34" s="56">
        <f>IF(AND(V28&gt;T28,$AK8&gt;6,$AK7&gt;3,ISNUMBER(T28),ISNUMBER(V28)),1,0)</f>
        <v>0</v>
      </c>
      <c r="W34" s="55">
        <f>IF(AND(W28&gt;Y28,$AK8&gt;7,$AK7&gt;3,ISNUMBER(W28),ISNUMBER(Y28)),1,0)</f>
        <v>0</v>
      </c>
      <c r="X34" s="55"/>
      <c r="Y34" s="56">
        <f>IF(AND(Y28&gt;W28,$AK8&gt;7,$AK7&gt;3,ISNUMBER(W28),ISNUMBER(Y28)),1,0)</f>
        <v>0</v>
      </c>
      <c r="Z34" s="55">
        <f>IF(AND(Z28&gt;AB28,$AK8&gt;8,$AK7&gt;3,ISNUMBER(Z28),ISNUMBER(AB28)),1,0)</f>
        <v>0</v>
      </c>
      <c r="AA34" s="55"/>
      <c r="AB34" s="56">
        <f>IF(AND(AB28&gt;Z28,$AK8&gt;8,$AK7&gt;3,ISNUMBER(Z28),ISNUMBER(AB28)),1,0)</f>
        <v>0</v>
      </c>
      <c r="AC34" s="55">
        <f>IF(AND(AC28&gt;AE28,$AK8&gt;9,$AK7&gt;3,ISNUMBER(AC28),ISNUMBER(AE28)),1,0)</f>
        <v>0</v>
      </c>
      <c r="AD34" s="55"/>
      <c r="AE34" s="56">
        <f>IF(AND(AE28&gt;AC28,$AK8&gt;9,$AK7&gt;3,ISNUMBER(AC28),ISNUMBER(AE28)),1,0)</f>
        <v>0</v>
      </c>
      <c r="AW34" s="146"/>
    </row>
    <row r="35" spans="1:49" s="54" customFormat="1" ht="12.75" hidden="1" customHeight="1" x14ac:dyDescent="0.2">
      <c r="A35" s="54" t="s">
        <v>58</v>
      </c>
      <c r="B35" s="55">
        <f>IF(AND(B29&gt;D29,$AK8&gt;0,$AK7&gt;4,ISNUMBER(B29),ISNUMBER(D29)),1,0)</f>
        <v>0</v>
      </c>
      <c r="C35" s="55"/>
      <c r="D35" s="56">
        <f>IF(AND(D29&gt;B29,$AK8&gt;0,$AK7&gt;4,ISNUMBER(B29),ISNUMBER(D29)),1,0)</f>
        <v>0</v>
      </c>
      <c r="E35" s="55">
        <f>IF(AND(E29&gt;G29,$AK8&gt;1,$AK7&gt;4,ISNUMBER(E29),ISNUMBER(G29)),1,0)</f>
        <v>0</v>
      </c>
      <c r="F35" s="55"/>
      <c r="G35" s="56">
        <f>IF(AND(G29&gt;E29,$AK8&gt;1,$AK7&gt;4,ISNUMBER(E29),ISNUMBER(G29)),1,0)</f>
        <v>0</v>
      </c>
      <c r="H35" s="55">
        <f>IF(AND(H29&gt;J29,$AK8&gt;2,$AK7&gt;4,ISNUMBER(H29),ISNUMBER(J29)),1,0)</f>
        <v>0</v>
      </c>
      <c r="I35" s="55"/>
      <c r="J35" s="56">
        <f>IF(AND(J29&gt;H29,$AK8&gt;2,$AK7&gt;4,ISNUMBER(H29),ISNUMBER(J29)),1,0)</f>
        <v>0</v>
      </c>
      <c r="K35" s="55">
        <f>IF(AND(K29&gt;M29,$AK8&gt;3,$AK7&gt;4,ISNUMBER(K29),ISNUMBER(M29)),1,0)</f>
        <v>0</v>
      </c>
      <c r="L35" s="55"/>
      <c r="M35" s="56">
        <f>IF(AND(M29&gt;K29,$AK8&gt;3,$AK7&gt;4,ISNUMBER(K29),ISNUMBER(M29)),1,0)</f>
        <v>0</v>
      </c>
      <c r="N35" s="55">
        <f>IF(AND(N29&gt;P29,$AK8&gt;4,$AK7&gt;4,ISNUMBER(N29),ISNUMBER(P29)),1,0)</f>
        <v>0</v>
      </c>
      <c r="O35" s="55"/>
      <c r="P35" s="56">
        <f>IF(AND(P29&gt;N29,$AK8&gt;4,$AK7&gt;4,ISNUMBER(N29),ISNUMBER(P29)),1,0)</f>
        <v>0</v>
      </c>
      <c r="Q35" s="55">
        <f>IF(AND(Q29&gt;S29,$AK8&gt;5,$AK7&gt;4,ISNUMBER(Q29),ISNUMBER(S29)),1,0)</f>
        <v>0</v>
      </c>
      <c r="R35" s="55"/>
      <c r="S35" s="56">
        <f>IF(AND(S29&gt;Q29,$AK8&gt;5,$AK7&gt;4,ISNUMBER(Q29),ISNUMBER(S29)),1,0)</f>
        <v>0</v>
      </c>
      <c r="T35" s="55">
        <f>IF(AND(T29&gt;V29,$AK8&gt;6,$AK7&gt;4,ISNUMBER(T29),ISNUMBER(V29)),1,0)</f>
        <v>0</v>
      </c>
      <c r="U35" s="55"/>
      <c r="V35" s="56">
        <f>IF(AND(V29&gt;T29,$AK8&gt;6,$AK7&gt;4,ISNUMBER(T29),ISNUMBER(V29)),1,0)</f>
        <v>0</v>
      </c>
      <c r="W35" s="55">
        <f>IF(AND(W29&gt;Y29,$AK8&gt;7,$AK7&gt;4,ISNUMBER(W29),ISNUMBER(Y29)),1,0)</f>
        <v>0</v>
      </c>
      <c r="X35" s="55"/>
      <c r="Y35" s="56">
        <f>IF(AND(Y29&gt;W29,$AK8&gt;7,$AK7&gt;4,ISNUMBER(W29),ISNUMBER(Y29)),1,0)</f>
        <v>0</v>
      </c>
      <c r="Z35" s="55">
        <f>IF(AND(Z29&gt;AB29,$AK8&gt;8,$AK7&gt;4,ISNUMBER(Z29),ISNUMBER(AB29)),1,0)</f>
        <v>0</v>
      </c>
      <c r="AA35" s="55"/>
      <c r="AB35" s="56">
        <f>IF(AND(AB29&gt;Z29,$AK8&gt;8,$AK7&gt;4,ISNUMBER(Z29),ISNUMBER(AB29)),1,0)</f>
        <v>0</v>
      </c>
      <c r="AC35" s="55">
        <f>IF(AND(AC29&gt;AE29,$AK8&gt;9,$AK7&gt;4,ISNUMBER(AC29),ISNUMBER(AE29)),1,0)</f>
        <v>0</v>
      </c>
      <c r="AD35" s="55"/>
      <c r="AE35" s="56">
        <f>IF(AND(AE29&gt;AC29,$AK8&gt;9,$AK7&gt;4,ISNUMBER(AC29),ISNUMBER(AE29)),1,0)</f>
        <v>0</v>
      </c>
      <c r="AW35" s="146"/>
    </row>
    <row r="36" spans="1:49" s="54" customFormat="1" ht="38.25" hidden="1" customHeight="1" x14ac:dyDescent="0.2">
      <c r="A36" s="57" t="s">
        <v>59</v>
      </c>
      <c r="B36" s="54">
        <f>SUM(B31:B35)</f>
        <v>0</v>
      </c>
      <c r="D36" s="58">
        <f>SUM(D31:D35)</f>
        <v>2</v>
      </c>
      <c r="E36" s="54">
        <f>SUM(E31:E35)</f>
        <v>2</v>
      </c>
      <c r="G36" s="58">
        <f>SUM(G31:G35)</f>
        <v>0</v>
      </c>
      <c r="H36" s="54">
        <f>SUM(H31:H35)</f>
        <v>1</v>
      </c>
      <c r="J36" s="58">
        <f>SUM(J31:J35)</f>
        <v>1</v>
      </c>
      <c r="K36" s="54">
        <f>SUM(K31:K35)</f>
        <v>0</v>
      </c>
      <c r="M36" s="58">
        <f>SUM(M31:M35)</f>
        <v>2</v>
      </c>
      <c r="N36" s="54">
        <f>SUM(N31:N35)</f>
        <v>2</v>
      </c>
      <c r="P36" s="58">
        <f>SUM(P31:P35)</f>
        <v>0</v>
      </c>
      <c r="Q36" s="54">
        <f>SUM(Q31:Q35)</f>
        <v>0</v>
      </c>
      <c r="S36" s="58">
        <f>SUM(S31:S35)</f>
        <v>2</v>
      </c>
      <c r="T36" s="54">
        <f>SUM(T31:T35)</f>
        <v>1</v>
      </c>
      <c r="V36" s="58">
        <f>SUM(V31:V35)</f>
        <v>1</v>
      </c>
      <c r="W36" s="54">
        <f>SUM(W31:W35)</f>
        <v>2</v>
      </c>
      <c r="Y36" s="58">
        <f>SUM(Y31:Y35)</f>
        <v>0</v>
      </c>
      <c r="Z36" s="54">
        <f>SUM(Z31:Z35)</f>
        <v>2</v>
      </c>
      <c r="AB36" s="58">
        <f>SUM(AB31:AB35)</f>
        <v>0</v>
      </c>
      <c r="AC36" s="54">
        <f>SUM(AC31:AC35)</f>
        <v>2</v>
      </c>
      <c r="AE36" s="58">
        <f>SUM(AE31:AE35)</f>
        <v>0</v>
      </c>
      <c r="AW36" s="146"/>
    </row>
    <row r="37" spans="1:49" s="54" customFormat="1" ht="25.5" hidden="1" customHeight="1" x14ac:dyDescent="0.2">
      <c r="A37" s="57" t="s">
        <v>60</v>
      </c>
      <c r="B37" s="54">
        <f>IF(B36&gt;D36,IF(C71=AK7,1,IF(C71=AK7-1,1,0)),0)</f>
        <v>0</v>
      </c>
      <c r="C37" s="54">
        <f>B37+D37</f>
        <v>1</v>
      </c>
      <c r="D37" s="58">
        <f>IF(D36&gt;B36,IF(C71=AK7,1,IF(C71=AK7-1,1,0)),0)</f>
        <v>1</v>
      </c>
      <c r="E37" s="54">
        <f>IF(E36&gt;G36,IF(F71=AK7,1,IF(F71=AK7-1,1,0)),0)</f>
        <v>1</v>
      </c>
      <c r="F37" s="54">
        <f>E37+G37</f>
        <v>1</v>
      </c>
      <c r="G37" s="58">
        <f>IF(G36&gt;E36,IF(F71=AK7,1,IF(F71=AK7-1,1,0)),0)</f>
        <v>0</v>
      </c>
      <c r="H37" s="54">
        <f>IF(H36&gt;J36,IF(I71=AK7,1,IF(I71=AK7-1,1,0)),0)</f>
        <v>0</v>
      </c>
      <c r="I37" s="54">
        <f>H37+J37</f>
        <v>0</v>
      </c>
      <c r="J37" s="58">
        <f>IF(J36&gt;H36,IF(I71=AK7,1,IF(I71=AK7-1,1,0)),0)</f>
        <v>0</v>
      </c>
      <c r="K37" s="54">
        <f>IF(K36&gt;M36,IF(L71=AK7,1,IF(L71=AK7-1,1,0)),0)</f>
        <v>0</v>
      </c>
      <c r="L37" s="54">
        <f>K37+M37</f>
        <v>1</v>
      </c>
      <c r="M37" s="58">
        <f>IF(M36&gt;K36,IF(L71=AK7,1,IF(L71=AK7-1,1,0)),0)</f>
        <v>1</v>
      </c>
      <c r="N37" s="54">
        <f>IF(N36&gt;P36,IF(O71=AK7,1,IF(O71=AK7-1,1,0)),0)</f>
        <v>1</v>
      </c>
      <c r="O37" s="54">
        <f>N37+P37</f>
        <v>1</v>
      </c>
      <c r="P37" s="58">
        <f>IF(P36&gt;N36,IF(O71=AK7,1,IF(O71=AK7-1,1,0)),0)</f>
        <v>0</v>
      </c>
      <c r="Q37" s="54">
        <f>IF(Q36&gt;S36,IF(R71=AK7,1,IF(R71=AK7-1,1,0)),0)</f>
        <v>0</v>
      </c>
      <c r="R37" s="54">
        <f>Q37+S37</f>
        <v>1</v>
      </c>
      <c r="S37" s="58">
        <f>IF(S36&gt;Q36,IF(R71=AK7,1,IF(R71=AK7-1,1,0)),0)</f>
        <v>1</v>
      </c>
      <c r="T37" s="54">
        <f>IF(T36&gt;V36,IF(U71=AK7,1,IF(U71=AK7-1,1,0)),0)</f>
        <v>0</v>
      </c>
      <c r="U37" s="54">
        <f>T37+V37</f>
        <v>0</v>
      </c>
      <c r="V37" s="58">
        <f>IF(V36&gt;T36,IF(U71=AK7,1,IF(U71=AK7-1,1,0)),0)</f>
        <v>0</v>
      </c>
      <c r="W37" s="54">
        <f>IF(W36&gt;Y36,IF(X71=AK7,1,IF(X71=AK7-1,1,0)),0)</f>
        <v>1</v>
      </c>
      <c r="X37" s="54">
        <f>W37+Y37</f>
        <v>1</v>
      </c>
      <c r="Y37" s="58">
        <f>IF(Y36&gt;W36,IF(X71=AK7,1,IF(X71=AK7-1,1,0)),0)</f>
        <v>0</v>
      </c>
      <c r="Z37" s="54">
        <f>IF(Z36&gt;AB36,IF(AA71=AK7,1,IF(AA71=AK7-1,1,0)),0)</f>
        <v>1</v>
      </c>
      <c r="AA37" s="54">
        <f>Z37+AB37</f>
        <v>1</v>
      </c>
      <c r="AB37" s="58">
        <f>IF(AB36&gt;Z36,IF(AA71=AK7,1,IF(AA71=AK7-1,1,0)),0)</f>
        <v>0</v>
      </c>
      <c r="AC37" s="54">
        <f>IF(AC36&gt;AE36,IF(AD71=AK7,1,IF(AD71=AK7-1,1,0)),0)</f>
        <v>1</v>
      </c>
      <c r="AD37" s="54">
        <f>AC37+AE37</f>
        <v>1</v>
      </c>
      <c r="AE37" s="58">
        <f>IF(AE36&gt;AC36,IF(AD71=AK7,1,IF(AD71=AK7-1,1,0)),0)</f>
        <v>0</v>
      </c>
      <c r="AW37" s="146"/>
    </row>
    <row r="38" spans="1:49" s="54" customFormat="1" ht="25.5" hidden="1" customHeight="1" x14ac:dyDescent="0.2">
      <c r="A38" s="57"/>
      <c r="D38" s="58"/>
      <c r="G38" s="58"/>
      <c r="J38" s="58"/>
      <c r="M38" s="58"/>
      <c r="P38" s="58"/>
      <c r="S38" s="58"/>
      <c r="V38" s="58"/>
      <c r="Y38" s="58"/>
      <c r="AB38" s="58"/>
      <c r="AE38" s="58"/>
      <c r="AW38" s="146"/>
    </row>
    <row r="39" spans="1:49" s="54" customFormat="1" ht="12.75" hidden="1" customHeight="1" x14ac:dyDescent="0.2">
      <c r="A39" s="54" t="s">
        <v>61</v>
      </c>
      <c r="B39" s="54">
        <f>IF(B31=1,B25,0)</f>
        <v>0</v>
      </c>
      <c r="D39" s="58">
        <f t="shared" ref="D39:E43" si="2">IF(D31=1,D25,0)</f>
        <v>25</v>
      </c>
      <c r="E39" s="54">
        <f t="shared" si="2"/>
        <v>25</v>
      </c>
      <c r="G39" s="58">
        <f t="shared" ref="G39:H43" si="3">IF(G31=1,G25,0)</f>
        <v>0</v>
      </c>
      <c r="H39" s="54">
        <f t="shared" si="3"/>
        <v>0</v>
      </c>
      <c r="J39" s="58">
        <f t="shared" ref="J39:K43" si="4">IF(J31=1,J25,0)</f>
        <v>25</v>
      </c>
      <c r="K39" s="54">
        <f t="shared" si="4"/>
        <v>0</v>
      </c>
      <c r="M39" s="58">
        <f t="shared" ref="M39:N43" si="5">IF(M31=1,M25,0)</f>
        <v>25</v>
      </c>
      <c r="N39" s="54">
        <f t="shared" si="5"/>
        <v>25</v>
      </c>
      <c r="P39" s="58">
        <f t="shared" ref="P39:Q43" si="6">IF(P31=1,P25,0)</f>
        <v>0</v>
      </c>
      <c r="Q39" s="54">
        <f t="shared" si="6"/>
        <v>0</v>
      </c>
      <c r="S39" s="58">
        <f t="shared" ref="S39:T43" si="7">IF(S31=1,S25,0)</f>
        <v>25</v>
      </c>
      <c r="T39" s="54">
        <f t="shared" si="7"/>
        <v>25</v>
      </c>
      <c r="V39" s="58">
        <f t="shared" ref="V39:W43" si="8">IF(V31=1,V25,0)</f>
        <v>0</v>
      </c>
      <c r="W39" s="54">
        <f t="shared" si="8"/>
        <v>25</v>
      </c>
      <c r="Y39" s="58">
        <f t="shared" ref="Y39:Z43" si="9">IF(Y31=1,Y25,0)</f>
        <v>0</v>
      </c>
      <c r="Z39" s="54">
        <f t="shared" si="9"/>
        <v>25</v>
      </c>
      <c r="AB39" s="58">
        <f t="shared" ref="AB39:AC43" si="10">IF(AB31=1,AB25,0)</f>
        <v>0</v>
      </c>
      <c r="AC39" s="54">
        <f t="shared" si="10"/>
        <v>25</v>
      </c>
      <c r="AE39" s="58">
        <f>IF(AE31=1,AE25,0)</f>
        <v>0</v>
      </c>
      <c r="AW39" s="146"/>
    </row>
    <row r="40" spans="1:49" s="54" customFormat="1" ht="12.75" hidden="1" customHeight="1" x14ac:dyDescent="0.2">
      <c r="A40" s="54" t="s">
        <v>62</v>
      </c>
      <c r="B40" s="54">
        <f>IF(B32=1,B26,0)</f>
        <v>0</v>
      </c>
      <c r="D40" s="58">
        <f t="shared" si="2"/>
        <v>25</v>
      </c>
      <c r="E40" s="54">
        <f t="shared" si="2"/>
        <v>25</v>
      </c>
      <c r="G40" s="58">
        <f t="shared" si="3"/>
        <v>0</v>
      </c>
      <c r="H40" s="54">
        <f t="shared" si="3"/>
        <v>25</v>
      </c>
      <c r="J40" s="58">
        <f t="shared" si="4"/>
        <v>0</v>
      </c>
      <c r="K40" s="54">
        <f t="shared" si="4"/>
        <v>0</v>
      </c>
      <c r="M40" s="58">
        <f t="shared" si="5"/>
        <v>25</v>
      </c>
      <c r="N40" s="54">
        <f t="shared" si="5"/>
        <v>25</v>
      </c>
      <c r="P40" s="58">
        <f t="shared" si="6"/>
        <v>0</v>
      </c>
      <c r="Q40" s="54">
        <f t="shared" si="6"/>
        <v>0</v>
      </c>
      <c r="S40" s="58">
        <f t="shared" si="7"/>
        <v>25</v>
      </c>
      <c r="T40" s="54">
        <f t="shared" si="7"/>
        <v>0</v>
      </c>
      <c r="V40" s="58">
        <f t="shared" si="8"/>
        <v>25</v>
      </c>
      <c r="W40" s="54">
        <f t="shared" si="8"/>
        <v>25</v>
      </c>
      <c r="Y40" s="58">
        <f t="shared" si="9"/>
        <v>0</v>
      </c>
      <c r="Z40" s="54">
        <f t="shared" si="9"/>
        <v>25</v>
      </c>
      <c r="AB40" s="58">
        <f t="shared" si="10"/>
        <v>0</v>
      </c>
      <c r="AC40" s="54">
        <f t="shared" si="10"/>
        <v>25</v>
      </c>
      <c r="AE40" s="58">
        <f>IF(AE32=1,AE26,0)</f>
        <v>0</v>
      </c>
      <c r="AW40" s="146"/>
    </row>
    <row r="41" spans="1:49" s="54" customFormat="1" ht="12.75" hidden="1" customHeight="1" x14ac:dyDescent="0.2">
      <c r="A41" s="54" t="s">
        <v>63</v>
      </c>
      <c r="B41" s="54">
        <f>IF(B33=1,B27,0)</f>
        <v>0</v>
      </c>
      <c r="D41" s="58">
        <f t="shared" si="2"/>
        <v>0</v>
      </c>
      <c r="E41" s="54">
        <f t="shared" si="2"/>
        <v>0</v>
      </c>
      <c r="G41" s="58">
        <f t="shared" si="3"/>
        <v>0</v>
      </c>
      <c r="H41" s="54">
        <f t="shared" si="3"/>
        <v>0</v>
      </c>
      <c r="J41" s="58">
        <f t="shared" si="4"/>
        <v>0</v>
      </c>
      <c r="K41" s="54">
        <f t="shared" si="4"/>
        <v>0</v>
      </c>
      <c r="M41" s="58">
        <f t="shared" si="5"/>
        <v>0</v>
      </c>
      <c r="N41" s="54">
        <f t="shared" si="5"/>
        <v>0</v>
      </c>
      <c r="P41" s="58">
        <f t="shared" si="6"/>
        <v>0</v>
      </c>
      <c r="Q41" s="54">
        <f t="shared" si="6"/>
        <v>0</v>
      </c>
      <c r="S41" s="58">
        <f t="shared" si="7"/>
        <v>0</v>
      </c>
      <c r="T41" s="54">
        <f t="shared" si="7"/>
        <v>0</v>
      </c>
      <c r="V41" s="58">
        <f t="shared" si="8"/>
        <v>0</v>
      </c>
      <c r="W41" s="54">
        <f t="shared" si="8"/>
        <v>0</v>
      </c>
      <c r="Y41" s="58">
        <f t="shared" si="9"/>
        <v>0</v>
      </c>
      <c r="Z41" s="54">
        <f t="shared" si="9"/>
        <v>0</v>
      </c>
      <c r="AB41" s="58">
        <f t="shared" si="10"/>
        <v>0</v>
      </c>
      <c r="AC41" s="54">
        <f t="shared" si="10"/>
        <v>0</v>
      </c>
      <c r="AE41" s="58">
        <f>IF(AE33=1,AE27,0)</f>
        <v>0</v>
      </c>
      <c r="AW41" s="146"/>
    </row>
    <row r="42" spans="1:49" s="54" customFormat="1" ht="12.75" hidden="1" customHeight="1" x14ac:dyDescent="0.2">
      <c r="A42" s="54" t="s">
        <v>64</v>
      </c>
      <c r="B42" s="54">
        <f>IF(B34=1,B28,0)</f>
        <v>0</v>
      </c>
      <c r="D42" s="58">
        <f t="shared" si="2"/>
        <v>0</v>
      </c>
      <c r="E42" s="54">
        <f t="shared" si="2"/>
        <v>0</v>
      </c>
      <c r="G42" s="58">
        <f t="shared" si="3"/>
        <v>0</v>
      </c>
      <c r="H42" s="54">
        <f t="shared" si="3"/>
        <v>0</v>
      </c>
      <c r="J42" s="58">
        <f t="shared" si="4"/>
        <v>0</v>
      </c>
      <c r="K42" s="54">
        <f t="shared" si="4"/>
        <v>0</v>
      </c>
      <c r="M42" s="58">
        <f t="shared" si="5"/>
        <v>0</v>
      </c>
      <c r="N42" s="54">
        <f t="shared" si="5"/>
        <v>0</v>
      </c>
      <c r="P42" s="58">
        <f t="shared" si="6"/>
        <v>0</v>
      </c>
      <c r="Q42" s="54">
        <f t="shared" si="6"/>
        <v>0</v>
      </c>
      <c r="S42" s="58">
        <f t="shared" si="7"/>
        <v>0</v>
      </c>
      <c r="T42" s="54">
        <f t="shared" si="7"/>
        <v>0</v>
      </c>
      <c r="V42" s="58">
        <f t="shared" si="8"/>
        <v>0</v>
      </c>
      <c r="W42" s="54">
        <f t="shared" si="8"/>
        <v>0</v>
      </c>
      <c r="Y42" s="58">
        <f t="shared" si="9"/>
        <v>0</v>
      </c>
      <c r="Z42" s="54">
        <f t="shared" si="9"/>
        <v>0</v>
      </c>
      <c r="AB42" s="58">
        <f t="shared" si="10"/>
        <v>0</v>
      </c>
      <c r="AC42" s="54">
        <f t="shared" si="10"/>
        <v>0</v>
      </c>
      <c r="AE42" s="58">
        <f>IF(AE34=1,AE28,0)</f>
        <v>0</v>
      </c>
      <c r="AW42" s="146"/>
    </row>
    <row r="43" spans="1:49" s="54" customFormat="1" ht="12.75" hidden="1" customHeight="1" x14ac:dyDescent="0.2">
      <c r="A43" s="54" t="s">
        <v>65</v>
      </c>
      <c r="B43" s="54">
        <f>IF(B35=1,B29,0)</f>
        <v>0</v>
      </c>
      <c r="D43" s="58">
        <f t="shared" si="2"/>
        <v>0</v>
      </c>
      <c r="E43" s="54">
        <f t="shared" si="2"/>
        <v>0</v>
      </c>
      <c r="G43" s="58">
        <f t="shared" si="3"/>
        <v>0</v>
      </c>
      <c r="H43" s="54">
        <f t="shared" si="3"/>
        <v>0</v>
      </c>
      <c r="J43" s="58">
        <f t="shared" si="4"/>
        <v>0</v>
      </c>
      <c r="K43" s="54">
        <f t="shared" si="4"/>
        <v>0</v>
      </c>
      <c r="M43" s="58">
        <f t="shared" si="5"/>
        <v>0</v>
      </c>
      <c r="N43" s="54">
        <f t="shared" si="5"/>
        <v>0</v>
      </c>
      <c r="P43" s="58">
        <f t="shared" si="6"/>
        <v>0</v>
      </c>
      <c r="Q43" s="54">
        <f t="shared" si="6"/>
        <v>0</v>
      </c>
      <c r="S43" s="58">
        <f t="shared" si="7"/>
        <v>0</v>
      </c>
      <c r="T43" s="54">
        <f t="shared" si="7"/>
        <v>0</v>
      </c>
      <c r="V43" s="58">
        <f t="shared" si="8"/>
        <v>0</v>
      </c>
      <c r="W43" s="54">
        <f t="shared" si="8"/>
        <v>0</v>
      </c>
      <c r="Y43" s="58">
        <f t="shared" si="9"/>
        <v>0</v>
      </c>
      <c r="Z43" s="54">
        <f t="shared" si="9"/>
        <v>0</v>
      </c>
      <c r="AB43" s="58">
        <f t="shared" si="10"/>
        <v>0</v>
      </c>
      <c r="AC43" s="54">
        <f t="shared" si="10"/>
        <v>0</v>
      </c>
      <c r="AE43" s="58">
        <f>IF(AE35=1,AE29,0)</f>
        <v>0</v>
      </c>
      <c r="AW43" s="146"/>
    </row>
    <row r="44" spans="1:49" s="54" customFormat="1" ht="38.25" hidden="1" customHeight="1" x14ac:dyDescent="0.2">
      <c r="A44" s="57" t="s">
        <v>66</v>
      </c>
      <c r="B44" s="54">
        <f>SUM(B39:D43)</f>
        <v>50</v>
      </c>
      <c r="D44" s="58"/>
      <c r="E44" s="54">
        <f>SUM(E39:G43)</f>
        <v>50</v>
      </c>
      <c r="G44" s="58"/>
      <c r="H44" s="54">
        <f>SUM(H39:J43)</f>
        <v>50</v>
      </c>
      <c r="J44" s="58"/>
      <c r="K44" s="54">
        <f>SUM(K39:M43)</f>
        <v>50</v>
      </c>
      <c r="M44" s="58"/>
      <c r="N44" s="54">
        <f>SUM(N39:P43)</f>
        <v>50</v>
      </c>
      <c r="P44" s="58"/>
      <c r="Q44" s="54">
        <f>SUM(Q39:S43)</f>
        <v>50</v>
      </c>
      <c r="S44" s="58"/>
      <c r="T44" s="54">
        <f>SUM(T39:V43)</f>
        <v>50</v>
      </c>
      <c r="V44" s="58"/>
      <c r="W44" s="54">
        <f>SUM(W39:Y43)</f>
        <v>50</v>
      </c>
      <c r="Y44" s="58"/>
      <c r="Z44" s="54">
        <f>SUM(Z39:AB43)</f>
        <v>50</v>
      </c>
      <c r="AB44" s="58"/>
      <c r="AC44" s="54">
        <f>SUM(AC39:AE43)</f>
        <v>50</v>
      </c>
      <c r="AE44" s="58"/>
      <c r="AW44" s="146"/>
    </row>
    <row r="45" spans="1:49" s="54" customFormat="1" ht="38.25" hidden="1" customHeight="1" x14ac:dyDescent="0.2">
      <c r="A45" s="54" t="s">
        <v>67</v>
      </c>
      <c r="D45" s="58"/>
      <c r="G45" s="58"/>
      <c r="J45" s="58"/>
      <c r="M45" s="58"/>
      <c r="P45" s="58"/>
      <c r="S45" s="58"/>
      <c r="V45" s="58"/>
      <c r="Y45" s="58"/>
      <c r="AB45" s="58"/>
      <c r="AE45" s="58"/>
      <c r="AF45" s="57" t="s">
        <v>68</v>
      </c>
      <c r="AG45" s="54" t="s">
        <v>69</v>
      </c>
      <c r="AW45" s="146"/>
    </row>
    <row r="46" spans="1:49" s="54" customFormat="1" ht="12.75" hidden="1" customHeight="1" x14ac:dyDescent="0.2">
      <c r="A46" s="54" t="s">
        <v>70</v>
      </c>
      <c r="B46" s="54">
        <f>IF(B24=1,IF(B37=1,1,0),0)</f>
        <v>0</v>
      </c>
      <c r="D46" s="58">
        <f>IF(D24=1,IF(D37=1,1,0),0)</f>
        <v>0</v>
      </c>
      <c r="E46" s="54">
        <f>IF(E24=1,IF(E37=1,1,0),0)</f>
        <v>1</v>
      </c>
      <c r="G46" s="58">
        <f>IF(G24=1,IF(G37=1,1,0),0)</f>
        <v>0</v>
      </c>
      <c r="H46" s="54">
        <f>IF(H24=1,IF(H37=1,1,0),0)</f>
        <v>0</v>
      </c>
      <c r="J46" s="58">
        <f>IF(J24=1,IF(J37=1,1,0),0)</f>
        <v>0</v>
      </c>
      <c r="K46" s="54">
        <f>IF(K24=1,IF(K37=1,1,0),0)</f>
        <v>0</v>
      </c>
      <c r="M46" s="58">
        <f>IF(M24=1,IF(M37=1,1,0),0)</f>
        <v>0</v>
      </c>
      <c r="N46" s="54">
        <f>IF(N24=1,IF(N37=1,1,0),0)</f>
        <v>1</v>
      </c>
      <c r="P46" s="58">
        <f>IF(P24=1,IF(P37=1,1,0),0)</f>
        <v>0</v>
      </c>
      <c r="Q46" s="54">
        <f>IF(Q24=1,IF(Q37=1,1,0),0)</f>
        <v>0</v>
      </c>
      <c r="S46" s="58">
        <f>IF(S24=1,IF(S37=1,1,0),0)</f>
        <v>0</v>
      </c>
      <c r="T46" s="54">
        <f>IF(T24=1,IF(T37=1,1,0),0)</f>
        <v>0</v>
      </c>
      <c r="V46" s="58">
        <f>IF(V24=1,IF(V37=1,1,0),0)</f>
        <v>0</v>
      </c>
      <c r="W46" s="54">
        <f>IF(W24=1,IF(W37=1,1,0),0)</f>
        <v>1</v>
      </c>
      <c r="Y46" s="58">
        <f>IF(Y24=1,IF(Y37=1,1,0),0)</f>
        <v>0</v>
      </c>
      <c r="Z46" s="54">
        <f>IF(Z24=1,IF(Z37=1,1,0),0)</f>
        <v>0</v>
      </c>
      <c r="AB46" s="58">
        <f>IF(AB24=1,IF(AB37=1,1,0),0)</f>
        <v>0</v>
      </c>
      <c r="AC46" s="54">
        <f>IF(AC24=1,IF(AC37=1,1,0),0)</f>
        <v>1</v>
      </c>
      <c r="AE46" s="58">
        <f>IF(AE24=1,IF(AE37=1,1,0),0)</f>
        <v>0</v>
      </c>
      <c r="AF46" s="54">
        <f>SUM(B46:AE46)</f>
        <v>4</v>
      </c>
      <c r="AG46" s="54">
        <f>AF52-AF46</f>
        <v>0</v>
      </c>
      <c r="AW46" s="146"/>
    </row>
    <row r="47" spans="1:49" s="54" customFormat="1" ht="12.75" hidden="1" customHeight="1" x14ac:dyDescent="0.2">
      <c r="A47" s="54" t="s">
        <v>71</v>
      </c>
      <c r="B47" s="54">
        <f>IF(B24=2,IF(B37=1,1,0),0)</f>
        <v>0</v>
      </c>
      <c r="D47" s="58">
        <f>IF(D24=2,IF(D37=1,1,0),0)</f>
        <v>0</v>
      </c>
      <c r="E47" s="54">
        <f>IF(E24=2,IF(E37=1,1,0),0)</f>
        <v>0</v>
      </c>
      <c r="G47" s="58">
        <f>IF(G24=2,IF(G37=1,1,0),0)</f>
        <v>0</v>
      </c>
      <c r="H47" s="54">
        <f>IF(H24=2,IF(H37=1,1,0),0)</f>
        <v>0</v>
      </c>
      <c r="J47" s="58">
        <f>IF(J24=2,IF(J37=1,1,0),0)</f>
        <v>0</v>
      </c>
      <c r="K47" s="54">
        <f>IF(K24=2,IF(K37=1,1,0),0)</f>
        <v>0</v>
      </c>
      <c r="M47" s="58">
        <f>IF(M24=2,IF(M37=1,1,0),0)</f>
        <v>0</v>
      </c>
      <c r="N47" s="54">
        <f>IF(N24=2,IF(N37=1,1,0),0)</f>
        <v>0</v>
      </c>
      <c r="P47" s="58">
        <f>IF(P24=2,IF(P37=1,1,0),0)</f>
        <v>0</v>
      </c>
      <c r="Q47" s="54">
        <f>IF(Q24=2,IF(Q37=1,1,0),0)</f>
        <v>0</v>
      </c>
      <c r="S47" s="58">
        <f>IF(S24=2,IF(S37=1,1,0),0)</f>
        <v>0</v>
      </c>
      <c r="T47" s="54">
        <f>IF(T24=2,IF(T37=1,1,0),0)</f>
        <v>0</v>
      </c>
      <c r="V47" s="58">
        <f>IF(V24=2,IF(V37=1,1,0),0)</f>
        <v>0</v>
      </c>
      <c r="W47" s="54">
        <f>IF(W24=2,IF(W37=1,1,0),0)</f>
        <v>0</v>
      </c>
      <c r="Y47" s="58">
        <f>IF(Y24=2,IF(Y37=1,1,0),0)</f>
        <v>0</v>
      </c>
      <c r="Z47" s="54">
        <f>IF(Z24=2,IF(Z37=1,1,0),0)</f>
        <v>0</v>
      </c>
      <c r="AB47" s="58">
        <f>IF(AB24=2,IF(AB37=1,1,0),0)</f>
        <v>0</v>
      </c>
      <c r="AC47" s="54">
        <f>IF(AC24=2,IF(AC37=1,1,0),0)</f>
        <v>0</v>
      </c>
      <c r="AE47" s="58">
        <f>IF(AE24=2,IF(AE37=1,1,0),0)</f>
        <v>0</v>
      </c>
      <c r="AF47" s="54">
        <f>SUM(B47:AE47)</f>
        <v>0</v>
      </c>
      <c r="AG47" s="54">
        <f>AF53-AF47</f>
        <v>3</v>
      </c>
      <c r="AW47" s="146"/>
    </row>
    <row r="48" spans="1:49" s="54" customFormat="1" ht="12.75" hidden="1" customHeight="1" x14ac:dyDescent="0.2">
      <c r="A48" s="54" t="s">
        <v>72</v>
      </c>
      <c r="B48" s="54">
        <f>IF(B24=3,IF(B37=1,1,0),0)</f>
        <v>0</v>
      </c>
      <c r="D48" s="58">
        <f>IF(D24=3,IF(D37=1,1,0),0)</f>
        <v>0</v>
      </c>
      <c r="E48" s="54">
        <f>IF(E24=3,IF(E37=1,1,0),0)</f>
        <v>0</v>
      </c>
      <c r="G48" s="58">
        <f>IF(G24=3,IF(G37=1,1,0),0)</f>
        <v>0</v>
      </c>
      <c r="H48" s="54">
        <f>IF(H24=3,IF(H37=1,1,0),0)</f>
        <v>0</v>
      </c>
      <c r="J48" s="58">
        <f>IF(J24=3,IF(J37=1,1,0),0)</f>
        <v>0</v>
      </c>
      <c r="K48" s="54">
        <f>IF(K24=3,IF(K37=1,1,0),0)</f>
        <v>0</v>
      </c>
      <c r="M48" s="58">
        <f>IF(M24=3,IF(M37=1,1,0),0)</f>
        <v>0</v>
      </c>
      <c r="N48" s="54">
        <f>IF(N24=3,IF(N37=1,1,0),0)</f>
        <v>0</v>
      </c>
      <c r="P48" s="58">
        <f>IF(P24=3,IF(P37=1,1,0),0)</f>
        <v>0</v>
      </c>
      <c r="Q48" s="54">
        <f>IF(Q24=3,IF(Q37=1,1,0),0)</f>
        <v>0</v>
      </c>
      <c r="S48" s="58">
        <f>IF(S24=3,IF(S37=1,1,0),0)</f>
        <v>0</v>
      </c>
      <c r="T48" s="54">
        <f>IF(T24=3,IF(T37=1,1,0),0)</f>
        <v>0</v>
      </c>
      <c r="V48" s="58">
        <f>IF(V24=3,IF(V37=1,1,0),0)</f>
        <v>0</v>
      </c>
      <c r="W48" s="54">
        <f>IF(W24=3,IF(W37=1,1,0),0)</f>
        <v>0</v>
      </c>
      <c r="Y48" s="58">
        <f>IF(Y24=3,IF(Y37=1,1,0),0)</f>
        <v>0</v>
      </c>
      <c r="Z48" s="54">
        <f>IF(Z24=3,IF(Z37=1,1,0),0)</f>
        <v>1</v>
      </c>
      <c r="AB48" s="58">
        <f>IF(AB24=3,IF(AB37=1,1,0),0)</f>
        <v>0</v>
      </c>
      <c r="AC48" s="54">
        <f>IF(AC24=3,IF(AC37=1,1,0),0)</f>
        <v>0</v>
      </c>
      <c r="AE48" s="58">
        <f>IF(AE24=3,IF(AE37=1,1,0),0)</f>
        <v>0</v>
      </c>
      <c r="AF48" s="54">
        <f>SUM(B48:AE48)</f>
        <v>1</v>
      </c>
      <c r="AG48" s="54">
        <f>AF54-AF48</f>
        <v>1</v>
      </c>
      <c r="AW48" s="146"/>
    </row>
    <row r="49" spans="1:49" s="54" customFormat="1" ht="12.75" hidden="1" customHeight="1" x14ac:dyDescent="0.2">
      <c r="A49" s="54" t="s">
        <v>73</v>
      </c>
      <c r="B49" s="54">
        <f>IF(B24=4,IF(B37=1,1,0),0)</f>
        <v>0</v>
      </c>
      <c r="D49" s="58">
        <f>IF(D24=4,IF(D37=1,1,0),0)</f>
        <v>0</v>
      </c>
      <c r="E49" s="54">
        <f>IF(E24=4,IF(E37=1,1,0),0)</f>
        <v>0</v>
      </c>
      <c r="G49" s="58">
        <f>IF(G24=4,IF(G37=1,1,0),0)</f>
        <v>0</v>
      </c>
      <c r="H49" s="54">
        <f>IF(H24=4,IF(H37=1,1,0),0)</f>
        <v>0</v>
      </c>
      <c r="J49" s="58">
        <f>IF(J24=4,IF(J37=1,1,0),0)</f>
        <v>0</v>
      </c>
      <c r="K49" s="54">
        <f>IF(K24=4,IF(K37=1,1,0),0)</f>
        <v>0</v>
      </c>
      <c r="M49" s="58">
        <f>IF(M24=4,IF(M37=1,1,0),0)</f>
        <v>1</v>
      </c>
      <c r="N49" s="54">
        <f>IF(N24=4,IF(N37=1,1,0),0)</f>
        <v>0</v>
      </c>
      <c r="P49" s="58">
        <f>IF(P24=4,IF(P37=1,1,0),0)</f>
        <v>0</v>
      </c>
      <c r="Q49" s="54">
        <f>IF(Q24=4,IF(Q37=1,1,0),0)</f>
        <v>0</v>
      </c>
      <c r="S49" s="58">
        <f>IF(S24=4,IF(S37=1,1,0),0)</f>
        <v>0</v>
      </c>
      <c r="T49" s="54">
        <f>IF(T24=4,IF(T37=1,1,0),0)</f>
        <v>0</v>
      </c>
      <c r="V49" s="58">
        <f>IF(V24=4,IF(V37=1,1,0),0)</f>
        <v>0</v>
      </c>
      <c r="W49" s="54">
        <f>IF(W24=4,IF(W37=1,1,0),0)</f>
        <v>0</v>
      </c>
      <c r="Y49" s="58">
        <f>IF(Y24=4,IF(Y37=1,1,0),0)</f>
        <v>0</v>
      </c>
      <c r="Z49" s="54">
        <f>IF(Z24=4,IF(Z37=1,1,0),0)</f>
        <v>0</v>
      </c>
      <c r="AB49" s="58">
        <f>IF(AB24=4,IF(AB37=1,1,0),0)</f>
        <v>0</v>
      </c>
      <c r="AC49" s="54">
        <f>IF(AC24=4,IF(AC37=1,1,0),0)</f>
        <v>0</v>
      </c>
      <c r="AE49" s="58">
        <f>IF(AE24=4,IF(AE37=1,1,0),0)</f>
        <v>0</v>
      </c>
      <c r="AF49" s="54">
        <f>SUM(B49:AE49)</f>
        <v>1</v>
      </c>
      <c r="AG49" s="54">
        <f>AF55-AF49</f>
        <v>3</v>
      </c>
      <c r="AW49" s="146"/>
    </row>
    <row r="50" spans="1:49" s="54" customFormat="1" ht="12.75" hidden="1" customHeight="1" x14ac:dyDescent="0.2">
      <c r="A50" s="54" t="s">
        <v>74</v>
      </c>
      <c r="B50" s="54">
        <f>IF(B24=5,IF(B37=1,1,0),0)</f>
        <v>0</v>
      </c>
      <c r="D50" s="58">
        <f>IF(D24=5,IF(D37=1,1,0),0)</f>
        <v>1</v>
      </c>
      <c r="E50" s="54">
        <f>IF(E24=5,IF(E37=1,1,0),0)</f>
        <v>0</v>
      </c>
      <c r="G50" s="58">
        <f>IF(G24=5,IF(G37=1,1,0),0)</f>
        <v>0</v>
      </c>
      <c r="H50" s="54">
        <f>IF(H24=5,IF(H37=1,1,0),0)</f>
        <v>0</v>
      </c>
      <c r="J50" s="58">
        <f>IF(J24=5,IF(J37=1,1,0),0)</f>
        <v>0</v>
      </c>
      <c r="K50" s="54">
        <f>IF(K24=5,IF(K37=1,1,0),0)</f>
        <v>0</v>
      </c>
      <c r="M50" s="58">
        <f>IF(M24=5,IF(M37=1,1,0),0)</f>
        <v>0</v>
      </c>
      <c r="N50" s="54">
        <f>IF(N24=5,IF(N37=1,1,0),0)</f>
        <v>0</v>
      </c>
      <c r="P50" s="58">
        <f>IF(P24=5,IF(P37=1,1,0),0)</f>
        <v>0</v>
      </c>
      <c r="Q50" s="54">
        <f>IF(Q24=5,IF(Q37=1,1,0),0)</f>
        <v>0</v>
      </c>
      <c r="S50" s="58">
        <f>IF(S24=5,IF(S37=1,1,0),0)</f>
        <v>1</v>
      </c>
      <c r="T50" s="54">
        <f>IF(T24=5,IF(T37=1,1,0),0)</f>
        <v>0</v>
      </c>
      <c r="V50" s="58">
        <f>IF(V24=5,IF(V37=1,1,0),0)</f>
        <v>0</v>
      </c>
      <c r="W50" s="54">
        <f>IF(W24=5,IF(W37=1,1,0),0)</f>
        <v>0</v>
      </c>
      <c r="Y50" s="58">
        <f>IF(Y24=5,IF(Y37=1,1,0),0)</f>
        <v>0</v>
      </c>
      <c r="Z50" s="54">
        <f>IF(Z24=5,IF(Z37=1,1,0),0)</f>
        <v>0</v>
      </c>
      <c r="AB50" s="58">
        <f>IF(AB24=5,IF(AB37=1,1,0),0)</f>
        <v>0</v>
      </c>
      <c r="AC50" s="54">
        <f>IF(AC24=5,IF(AC37=1,1,0),0)</f>
        <v>0</v>
      </c>
      <c r="AE50" s="58">
        <f>IF(AE24=5,IF(AE37=1,1,0),0)</f>
        <v>0</v>
      </c>
      <c r="AF50" s="54">
        <f>SUM(B50:AE50)</f>
        <v>2</v>
      </c>
      <c r="AG50" s="54">
        <f>AF56-AF50</f>
        <v>1</v>
      </c>
      <c r="AW50" s="146"/>
    </row>
    <row r="51" spans="1:49" s="54" customFormat="1" ht="38.25" hidden="1" customHeight="1" x14ac:dyDescent="0.2">
      <c r="A51" s="57"/>
      <c r="D51" s="58"/>
      <c r="G51" s="58"/>
      <c r="J51" s="58"/>
      <c r="M51" s="58"/>
      <c r="P51" s="58"/>
      <c r="S51" s="58"/>
      <c r="V51" s="58"/>
      <c r="Y51" s="58"/>
      <c r="AB51" s="58"/>
      <c r="AE51" s="58"/>
      <c r="AF51" s="57" t="s">
        <v>75</v>
      </c>
      <c r="AW51" s="146"/>
    </row>
    <row r="52" spans="1:49" s="54" customFormat="1" ht="12.75" hidden="1" customHeight="1" x14ac:dyDescent="0.2">
      <c r="A52" s="54" t="s">
        <v>76</v>
      </c>
      <c r="B52" s="54">
        <f>IF(B24=1,IF(C37=1,1,0),0)</f>
        <v>0</v>
      </c>
      <c r="D52" s="58">
        <f>IF(D24=1,IF(C37=1,1,0),0)</f>
        <v>0</v>
      </c>
      <c r="E52" s="54">
        <f>IF(E24=1,IF(F37=1,1,0),0)</f>
        <v>1</v>
      </c>
      <c r="G52" s="58">
        <f>IF(G24=1,IF(F37=1,1,0),0)</f>
        <v>0</v>
      </c>
      <c r="H52" s="54">
        <f>IF(H24=1,IF(I37=1,1,0),0)</f>
        <v>0</v>
      </c>
      <c r="J52" s="58">
        <f>IF(J24=1,IF(I37=1,1,0),0)</f>
        <v>0</v>
      </c>
      <c r="K52" s="54">
        <f>IF(K24=1,IF(L37=1,1,0),0)</f>
        <v>0</v>
      </c>
      <c r="M52" s="58">
        <f>IF(M24=1,IF(L37=1,1,0),0)</f>
        <v>0</v>
      </c>
      <c r="N52" s="54">
        <f>IF(N24=1,IF(O37=1,1,0),0)</f>
        <v>1</v>
      </c>
      <c r="P52" s="58">
        <f>IF(P24=1,IF(O37=1,1,0),0)</f>
        <v>0</v>
      </c>
      <c r="Q52" s="54">
        <f>IF(Q24=1,IF(R37=1,1,0),0)</f>
        <v>0</v>
      </c>
      <c r="S52" s="58">
        <f>IF(S24=1,IF(R37=1,1,0),0)</f>
        <v>0</v>
      </c>
      <c r="T52" s="54">
        <f>IF(T24=1,IF(U37=1,1,0),0)</f>
        <v>0</v>
      </c>
      <c r="V52" s="58">
        <f>IF(V24=1,IF(U37=1,1,0),0)</f>
        <v>0</v>
      </c>
      <c r="W52" s="54">
        <f>IF(W24=1,IF(X37=1,1,0),0)</f>
        <v>1</v>
      </c>
      <c r="Y52" s="58">
        <f>IF(Y24=1,IF(X37=1,1,0),0)</f>
        <v>0</v>
      </c>
      <c r="Z52" s="54">
        <f>IF(Z24=1,IF(AA37=1,1,0),0)</f>
        <v>0</v>
      </c>
      <c r="AB52" s="58">
        <f>IF(AB24=1,IF(AA37=1,1,0),0)</f>
        <v>0</v>
      </c>
      <c r="AC52" s="54">
        <f>IF(AC24=1,IF(AD37=1,1,0),0)</f>
        <v>1</v>
      </c>
      <c r="AE52" s="58">
        <f>IF(AE24=1,IF(AD37=1,1,0),0)</f>
        <v>0</v>
      </c>
      <c r="AF52" s="54">
        <f>SUM(B52:AE52)</f>
        <v>4</v>
      </c>
      <c r="AW52" s="146"/>
    </row>
    <row r="53" spans="1:49" s="54" customFormat="1" ht="12.75" hidden="1" customHeight="1" x14ac:dyDescent="0.2">
      <c r="A53" s="54" t="s">
        <v>77</v>
      </c>
      <c r="B53" s="54">
        <f>IF(B24=2,IF(C37=1,1,0),0)</f>
        <v>1</v>
      </c>
      <c r="D53" s="58">
        <f>IF(D24=2,IF(C37=1,1,0),0)</f>
        <v>0</v>
      </c>
      <c r="E53" s="54">
        <f>IF(E24=2,IF(F37=1,1,0),0)</f>
        <v>0</v>
      </c>
      <c r="G53" s="58">
        <f>IF(G24=2,IF(F37=1,1,0),0)</f>
        <v>0</v>
      </c>
      <c r="H53" s="54">
        <f>IF(H24=2,IF(I37=1,1,0),0)</f>
        <v>0</v>
      </c>
      <c r="J53" s="58">
        <f>IF(J24=2,IF(I37=1,1,0),0)</f>
        <v>0</v>
      </c>
      <c r="K53" s="54">
        <f>IF(K24=2,IF(L37=1,1,0),0)</f>
        <v>1</v>
      </c>
      <c r="M53" s="58">
        <f>IF(M24=2,IF(L37=1,1,0),0)</f>
        <v>0</v>
      </c>
      <c r="N53" s="54">
        <f>IF(N24=2,IF(O37=1,1,0),0)</f>
        <v>0</v>
      </c>
      <c r="P53" s="58">
        <f>IF(P24=2,IF(O37=1,1,0),0)</f>
        <v>0</v>
      </c>
      <c r="Q53" s="54">
        <f>IF(Q24=2,IF(R37=1,1,0),0)</f>
        <v>0</v>
      </c>
      <c r="S53" s="58">
        <f>IF(S24=2,IF(R37=1,1,0),0)</f>
        <v>0</v>
      </c>
      <c r="T53" s="54">
        <f>IF(T24=2,IF(U37=1,1,0),0)</f>
        <v>0</v>
      </c>
      <c r="V53" s="58">
        <f>IF(V24=2,IF(U37=1,1,0),0)</f>
        <v>0</v>
      </c>
      <c r="W53" s="54">
        <f>IF(W24=2,IF(X37=1,1,0),0)</f>
        <v>0</v>
      </c>
      <c r="Y53" s="58">
        <f>IF(Y24=2,IF(X37=1,1,0),0)</f>
        <v>0</v>
      </c>
      <c r="Z53" s="54">
        <f>IF(Z24=2,IF(AA37=1,1,0),0)</f>
        <v>0</v>
      </c>
      <c r="AB53" s="58">
        <f>IF(AB24=2,IF(AA37=1,1,0),0)</f>
        <v>0</v>
      </c>
      <c r="AC53" s="54">
        <f>IF(AC24=2,IF(AD37=1,1,0),0)</f>
        <v>0</v>
      </c>
      <c r="AE53" s="58">
        <f>IF(AE24=2,IF(AD37=1,1,0),0)</f>
        <v>1</v>
      </c>
      <c r="AF53" s="54">
        <f>SUM(B53:AE53)</f>
        <v>3</v>
      </c>
      <c r="AW53" s="146"/>
    </row>
    <row r="54" spans="1:49" s="54" customFormat="1" ht="12.75" hidden="1" customHeight="1" x14ac:dyDescent="0.2">
      <c r="A54" s="54" t="s">
        <v>78</v>
      </c>
      <c r="B54" s="54">
        <f>IF(B24=3,IF(C37=1,1,0),0)</f>
        <v>0</v>
      </c>
      <c r="D54" s="58">
        <f>IF(D24=3,IF(C37=1,1,0),0)</f>
        <v>0</v>
      </c>
      <c r="E54" s="54">
        <f>IF(E24=3,IF(F37=1,1,0),0)</f>
        <v>0</v>
      </c>
      <c r="G54" s="58">
        <f>IF(G24=3,IF(F37=1,1,0),0)</f>
        <v>0</v>
      </c>
      <c r="H54" s="54">
        <f>IF(H24=3,IF(I37=1,1,0),0)</f>
        <v>0</v>
      </c>
      <c r="J54" s="58">
        <f>IF(J24=3,IF(I37=1,1,0),0)</f>
        <v>0</v>
      </c>
      <c r="K54" s="54">
        <f>IF(K24=3,IF(L37=1,1,0),0)</f>
        <v>0</v>
      </c>
      <c r="M54" s="58">
        <f>IF(M24=3,IF(L37=1,1,0),0)</f>
        <v>0</v>
      </c>
      <c r="N54" s="54">
        <f>IF(N24=3,IF(O37=1,1,0),0)</f>
        <v>0</v>
      </c>
      <c r="P54" s="58">
        <f>IF(P24=3,IF(O37=1,1,0),0)</f>
        <v>1</v>
      </c>
      <c r="Q54" s="54">
        <f>IF(Q24=3,IF(R37=1,1,0),0)</f>
        <v>0</v>
      </c>
      <c r="S54" s="58">
        <f>IF(S24=3,IF(R37=1,1,0),0)</f>
        <v>0</v>
      </c>
      <c r="T54" s="54">
        <f>IF(T24=3,IF(U37=1,1,0),0)</f>
        <v>0</v>
      </c>
      <c r="V54" s="58">
        <f>IF(V24=3,IF(U37=1,1,0),0)</f>
        <v>0</v>
      </c>
      <c r="W54" s="54">
        <f>IF(W24=3,IF(X37=1,1,0),0)</f>
        <v>0</v>
      </c>
      <c r="Y54" s="58">
        <f>IF(Y24=3,IF(X37=1,1,0),0)</f>
        <v>0</v>
      </c>
      <c r="Z54" s="54">
        <f>IF(Z24=3,IF(AA37=1,1,0),0)</f>
        <v>1</v>
      </c>
      <c r="AB54" s="58">
        <f>IF(AB24=3,IF(AA37=1,1,0),0)</f>
        <v>0</v>
      </c>
      <c r="AC54" s="54">
        <f>IF(AC24=3,IF(AD37=1,1,0),0)</f>
        <v>0</v>
      </c>
      <c r="AE54" s="58">
        <f>IF(AE24=3,IF(AD37=1,1,0),0)</f>
        <v>0</v>
      </c>
      <c r="AF54" s="54">
        <f>SUM(B54:AE54)</f>
        <v>2</v>
      </c>
      <c r="AW54" s="146"/>
    </row>
    <row r="55" spans="1:49" s="54" customFormat="1" ht="12.75" hidden="1" customHeight="1" x14ac:dyDescent="0.2">
      <c r="A55" s="54" t="s">
        <v>79</v>
      </c>
      <c r="B55" s="54">
        <f>IF(B24=4,IF(C37=1,1,0),0)</f>
        <v>0</v>
      </c>
      <c r="D55" s="58">
        <f>IF(D24=4,IF(C37=1,1,0),0)</f>
        <v>0</v>
      </c>
      <c r="E55" s="54">
        <f>IF(E24=4,IF(F37=1,1,0),0)</f>
        <v>0</v>
      </c>
      <c r="G55" s="58">
        <f>IF(G24=4,IF(F37=1,1,0),0)</f>
        <v>1</v>
      </c>
      <c r="H55" s="54">
        <f>IF(H24=4,IF(I37=1,1,0),0)</f>
        <v>0</v>
      </c>
      <c r="J55" s="58">
        <f>IF(J24=4,IF(I37=1,1,0),0)</f>
        <v>0</v>
      </c>
      <c r="K55" s="54">
        <f>IF(K24=4,IF(L37=1,1,0),0)</f>
        <v>0</v>
      </c>
      <c r="M55" s="58">
        <f>IF(M24=4,IF(L37=1,1,0),0)</f>
        <v>1</v>
      </c>
      <c r="N55" s="54">
        <f>IF(N24=4,IF(O37=1,1,0),0)</f>
        <v>0</v>
      </c>
      <c r="P55" s="58">
        <f>IF(P24=4,IF(O37=1,1,0),0)</f>
        <v>0</v>
      </c>
      <c r="Q55" s="54">
        <f>IF(Q24=4,IF(R37=1,1,0),0)</f>
        <v>1</v>
      </c>
      <c r="S55" s="58">
        <f>IF(S24=4,IF(R37=1,1,0),0)</f>
        <v>0</v>
      </c>
      <c r="T55" s="54">
        <f>IF(T24=4,IF(U37=1,1,0),0)</f>
        <v>0</v>
      </c>
      <c r="V55" s="58">
        <f>IF(V24=4,IF(U37=1,1,0),0)</f>
        <v>0</v>
      </c>
      <c r="W55" s="54">
        <f>IF(W24=4,IF(X37=1,1,0),0)</f>
        <v>0</v>
      </c>
      <c r="Y55" s="58">
        <f>IF(Y24=4,IF(X37=1,1,0),0)</f>
        <v>0</v>
      </c>
      <c r="Z55" s="54">
        <f>IF(Z24=4,IF(AA37=1,1,0),0)</f>
        <v>0</v>
      </c>
      <c r="AB55" s="58">
        <f>IF(AB24=4,IF(AA37=1,1,0),0)</f>
        <v>1</v>
      </c>
      <c r="AC55" s="54">
        <f>IF(AC24=4,IF(AD37=1,1,0),0)</f>
        <v>0</v>
      </c>
      <c r="AE55" s="58">
        <f>IF(AE24=4,IF(AD37=1,1,0),0)</f>
        <v>0</v>
      </c>
      <c r="AF55" s="54">
        <f>SUM(B55:AE55)</f>
        <v>4</v>
      </c>
      <c r="AW55" s="146"/>
    </row>
    <row r="56" spans="1:49" s="54" customFormat="1" ht="12.75" hidden="1" customHeight="1" x14ac:dyDescent="0.2">
      <c r="A56" s="54" t="s">
        <v>80</v>
      </c>
      <c r="B56" s="54">
        <f>IF(B24=5,IF(C37=1,1,0),0)</f>
        <v>0</v>
      </c>
      <c r="D56" s="58">
        <f>IF(D24=5,IF(C37=1,1,0),0)</f>
        <v>1</v>
      </c>
      <c r="E56" s="54">
        <f>IF(E24=5,IF(F37=1,1,0),0)</f>
        <v>0</v>
      </c>
      <c r="G56" s="58">
        <f>IF(G24=5,IF(F37=1,1,0),0)</f>
        <v>0</v>
      </c>
      <c r="H56" s="54">
        <f>IF(H24=5,IF(I37=1,1,0),0)</f>
        <v>0</v>
      </c>
      <c r="J56" s="58">
        <f>IF(J24=5,IF(I37=1,1,0),0)</f>
        <v>0</v>
      </c>
      <c r="K56" s="54">
        <f>IF(K24=5,IF(L37=1,1,0),0)</f>
        <v>0</v>
      </c>
      <c r="M56" s="58">
        <f>IF(M24=5,IF(L37=1,1,0),0)</f>
        <v>0</v>
      </c>
      <c r="N56" s="54">
        <f>IF(N24=5,IF(O37=1,1,0),0)</f>
        <v>0</v>
      </c>
      <c r="P56" s="58">
        <f>IF(P24=5,IF(O37=1,1,0),0)</f>
        <v>0</v>
      </c>
      <c r="Q56" s="54">
        <f>IF(Q24=5,IF(R37=1,1,0),0)</f>
        <v>0</v>
      </c>
      <c r="S56" s="58">
        <f>IF(S24=5,IF(R37=1,1,0),0)</f>
        <v>1</v>
      </c>
      <c r="T56" s="54">
        <f>IF(T24=5,IF(U37=1,1,0),0)</f>
        <v>0</v>
      </c>
      <c r="V56" s="58">
        <f>IF(V24=5,IF(U37=1,1,0),0)</f>
        <v>0</v>
      </c>
      <c r="W56" s="54">
        <f>IF(W24=5,IF(X37=1,1,0),0)</f>
        <v>0</v>
      </c>
      <c r="Y56" s="58">
        <f>IF(Y24=5,IF(X37=1,1,0),0)</f>
        <v>1</v>
      </c>
      <c r="Z56" s="54">
        <f>IF(Z24=5,IF(AA37=1,1,0),0)</f>
        <v>0</v>
      </c>
      <c r="AB56" s="58">
        <f>IF(AB24=5,IF(AA37=1,1,0),0)</f>
        <v>0</v>
      </c>
      <c r="AC56" s="54">
        <f>IF(AC24=5,IF(AD37=1,1,0),0)</f>
        <v>0</v>
      </c>
      <c r="AE56" s="58">
        <f>IF(AE24=5,IF(AD37=1,1,0),0)</f>
        <v>0</v>
      </c>
      <c r="AF56" s="54">
        <f>SUM(B56:AE56)</f>
        <v>3</v>
      </c>
      <c r="AW56" s="146"/>
    </row>
    <row r="57" spans="1:49" s="54" customFormat="1" ht="38.25" hidden="1" customHeight="1" x14ac:dyDescent="0.2">
      <c r="A57" s="57"/>
      <c r="D57" s="58"/>
      <c r="G57" s="58"/>
      <c r="J57" s="58"/>
      <c r="M57" s="58"/>
      <c r="P57" s="58"/>
      <c r="S57" s="58"/>
      <c r="V57" s="58"/>
      <c r="Y57" s="58"/>
      <c r="AB57" s="58"/>
      <c r="AE57" s="58"/>
      <c r="AF57" s="57" t="s">
        <v>81</v>
      </c>
      <c r="AG57" s="789"/>
      <c r="AH57" s="789"/>
      <c r="AI57" s="789"/>
      <c r="AJ57" s="789"/>
      <c r="AK57" s="789"/>
      <c r="AW57" s="146"/>
    </row>
    <row r="58" spans="1:49" s="54" customFormat="1" ht="12.75" hidden="1" customHeight="1" x14ac:dyDescent="0.2">
      <c r="A58" s="54" t="s">
        <v>76</v>
      </c>
      <c r="B58" s="54">
        <f>IF(B24=1,B44,0)</f>
        <v>0</v>
      </c>
      <c r="D58" s="58">
        <f>IF(D24=1,B44,0)</f>
        <v>0</v>
      </c>
      <c r="E58" s="54">
        <f>IF(E24=1,E44,0)</f>
        <v>50</v>
      </c>
      <c r="G58" s="58">
        <f>IF(G24=1,E44,0)</f>
        <v>0</v>
      </c>
      <c r="H58" s="54">
        <f>IF(H24=1,H44,0)</f>
        <v>0</v>
      </c>
      <c r="J58" s="58">
        <f>IF(J24=1,H44,0)</f>
        <v>0</v>
      </c>
      <c r="K58" s="54">
        <f>IF(K24=1,K44,0)</f>
        <v>0</v>
      </c>
      <c r="M58" s="58">
        <f>IF(M24=1,K44,0)</f>
        <v>0</v>
      </c>
      <c r="N58" s="54">
        <f>IF(N24=1,N44,0)</f>
        <v>50</v>
      </c>
      <c r="P58" s="58">
        <f>IF(P24=1,N44,0)</f>
        <v>0</v>
      </c>
      <c r="Q58" s="54">
        <f>IF(Q24=1,Q44,0)</f>
        <v>0</v>
      </c>
      <c r="S58" s="58">
        <f>IF(S24=1,Q44,0)</f>
        <v>0</v>
      </c>
      <c r="T58" s="54">
        <f>IF(T24=1,T44,0)</f>
        <v>0</v>
      </c>
      <c r="V58" s="58">
        <f>IF(V24=1,T44,0)</f>
        <v>0</v>
      </c>
      <c r="W58" s="54">
        <f>IF(W24=1,W44,0)</f>
        <v>50</v>
      </c>
      <c r="Y58" s="58">
        <f>IF(Y24=1,W44,0)</f>
        <v>0</v>
      </c>
      <c r="Z58" s="54">
        <f>IF(Z24=1,Z44,0)</f>
        <v>0</v>
      </c>
      <c r="AB58" s="58">
        <f>IF(AB24=1,Z44,0)</f>
        <v>0</v>
      </c>
      <c r="AC58" s="54">
        <f>IF(AC24=1,AC44,0)</f>
        <v>50</v>
      </c>
      <c r="AE58" s="58">
        <f>IF(AE24=1,AC44,0)</f>
        <v>0</v>
      </c>
      <c r="AF58" s="54">
        <f>SUM(B58:AE58)</f>
        <v>200</v>
      </c>
      <c r="AW58" s="146"/>
    </row>
    <row r="59" spans="1:49" s="54" customFormat="1" ht="12.75" hidden="1" customHeight="1" x14ac:dyDescent="0.2">
      <c r="A59" s="54" t="s">
        <v>77</v>
      </c>
      <c r="B59" s="54">
        <f>IF(B24=2,B44,0)</f>
        <v>50</v>
      </c>
      <c r="D59" s="58">
        <f>IF(D24=2,B44,0)</f>
        <v>0</v>
      </c>
      <c r="E59" s="54">
        <f>IF(E24=2,E44,0)</f>
        <v>0</v>
      </c>
      <c r="G59" s="58">
        <f>IF(G24=2,E44,0)</f>
        <v>0</v>
      </c>
      <c r="H59" s="54">
        <f>IF(H24=2,H44,0)</f>
        <v>0</v>
      </c>
      <c r="J59" s="58">
        <f>IF(J24=2,H44,0)</f>
        <v>0</v>
      </c>
      <c r="K59" s="54">
        <f>IF(K24=2,K44,0)</f>
        <v>50</v>
      </c>
      <c r="M59" s="58">
        <f>IF(M24=2,K44,0)</f>
        <v>0</v>
      </c>
      <c r="N59" s="54">
        <f>IF(N24=2,N44,0)</f>
        <v>0</v>
      </c>
      <c r="P59" s="58">
        <f>IF(P24=2,N44,0)</f>
        <v>0</v>
      </c>
      <c r="Q59" s="54">
        <f>IF(Q24=2,Q44,0)</f>
        <v>0</v>
      </c>
      <c r="S59" s="58">
        <f>IF(S24=2,Q44,0)</f>
        <v>0</v>
      </c>
      <c r="T59" s="54">
        <f>IF(T24=2,T44,0)</f>
        <v>50</v>
      </c>
      <c r="V59" s="58">
        <f>IF(V24=2,T44,0)</f>
        <v>0</v>
      </c>
      <c r="W59" s="54">
        <f>IF(W24=2,W44,0)</f>
        <v>0</v>
      </c>
      <c r="Y59" s="58">
        <f>IF(Y24=2,W44,0)</f>
        <v>0</v>
      </c>
      <c r="Z59" s="54">
        <f>IF(Z24=2,Z44,0)</f>
        <v>0</v>
      </c>
      <c r="AB59" s="58">
        <f>IF(AB24=2,Z44,0)</f>
        <v>0</v>
      </c>
      <c r="AC59" s="54">
        <f>IF(AC24=2,AC44,0)</f>
        <v>0</v>
      </c>
      <c r="AE59" s="58">
        <f>IF(AE24=2,AC44,0)</f>
        <v>50</v>
      </c>
      <c r="AF59" s="54">
        <f>SUM(B59:AE59)</f>
        <v>200</v>
      </c>
      <c r="AW59" s="146"/>
    </row>
    <row r="60" spans="1:49" s="54" customFormat="1" ht="12.75" hidden="1" customHeight="1" x14ac:dyDescent="0.2">
      <c r="A60" s="54" t="s">
        <v>78</v>
      </c>
      <c r="B60" s="54">
        <f>IF(B24=3,B44,0)</f>
        <v>0</v>
      </c>
      <c r="D60" s="58">
        <f>IF(D24=3,B44,0)</f>
        <v>0</v>
      </c>
      <c r="E60" s="54">
        <f>IF(E24=3,E44,0)</f>
        <v>0</v>
      </c>
      <c r="G60" s="58">
        <f>IF(G24=3,E44,0)</f>
        <v>0</v>
      </c>
      <c r="H60" s="54">
        <f>IF(H24=3,H44,0)</f>
        <v>50</v>
      </c>
      <c r="J60" s="58">
        <f>IF(J24=3,H44,0)</f>
        <v>0</v>
      </c>
      <c r="K60" s="54">
        <f>IF(K24=3,K44,0)</f>
        <v>0</v>
      </c>
      <c r="M60" s="58">
        <f>IF(M24=3,K44,0)</f>
        <v>0</v>
      </c>
      <c r="N60" s="54">
        <f>IF(N24=3,N44,0)</f>
        <v>0</v>
      </c>
      <c r="P60" s="58">
        <f>IF(P24=3,N44,0)</f>
        <v>50</v>
      </c>
      <c r="Q60" s="54">
        <f>IF(Q24=3,Q44,0)</f>
        <v>0</v>
      </c>
      <c r="S60" s="58">
        <f>IF(S24=3,Q44,0)</f>
        <v>0</v>
      </c>
      <c r="T60" s="54">
        <f>IF(T24=3,T44,0)</f>
        <v>0</v>
      </c>
      <c r="V60" s="58">
        <f>IF(V24=3,T44,0)</f>
        <v>50</v>
      </c>
      <c r="W60" s="54">
        <f>IF(W24=3,W44,0)</f>
        <v>0</v>
      </c>
      <c r="Y60" s="58">
        <f>IF(Y24=3,W44,0)</f>
        <v>0</v>
      </c>
      <c r="Z60" s="54">
        <f>IF(Z24=3,Z44,0)</f>
        <v>50</v>
      </c>
      <c r="AB60" s="58">
        <f>IF(AB24=3,Z44,0)</f>
        <v>0</v>
      </c>
      <c r="AC60" s="54">
        <f>IF(AC24=3,AC44,0)</f>
        <v>0</v>
      </c>
      <c r="AE60" s="58">
        <f>IF(AE24=3,AC44,0)</f>
        <v>0</v>
      </c>
      <c r="AF60" s="54">
        <f>SUM(B60:AE60)</f>
        <v>200</v>
      </c>
      <c r="AW60" s="146"/>
    </row>
    <row r="61" spans="1:49" s="54" customFormat="1" ht="12.75" hidden="1" customHeight="1" x14ac:dyDescent="0.2">
      <c r="A61" s="54" t="s">
        <v>79</v>
      </c>
      <c r="B61" s="54">
        <f>IF(B24=4,B44,0)</f>
        <v>0</v>
      </c>
      <c r="D61" s="58">
        <f>IF(D24=4,B44,0)</f>
        <v>0</v>
      </c>
      <c r="E61" s="54">
        <f>IF(E24=4,E44,0)</f>
        <v>0</v>
      </c>
      <c r="G61" s="58">
        <f>IF(G24=4,E44,0)</f>
        <v>50</v>
      </c>
      <c r="H61" s="54">
        <f>IF(H24=4,H44,0)</f>
        <v>0</v>
      </c>
      <c r="J61" s="58">
        <f>IF(J24=4,H44,0)</f>
        <v>0</v>
      </c>
      <c r="K61" s="54">
        <f>IF(K24=4,K44,0)</f>
        <v>0</v>
      </c>
      <c r="M61" s="58">
        <f>IF(M24=4,K44,0)</f>
        <v>50</v>
      </c>
      <c r="N61" s="54">
        <f>IF(N24=4,N44,0)</f>
        <v>0</v>
      </c>
      <c r="P61" s="58">
        <f>IF(P24=4,N44,0)</f>
        <v>0</v>
      </c>
      <c r="Q61" s="54">
        <f>IF(Q24=4,Q44,0)</f>
        <v>50</v>
      </c>
      <c r="S61" s="58">
        <f>IF(S24=4,Q44,0)</f>
        <v>0</v>
      </c>
      <c r="T61" s="54">
        <f>IF(T24=4,T44,0)</f>
        <v>0</v>
      </c>
      <c r="V61" s="58">
        <f>IF(V24=4,T44,0)</f>
        <v>0</v>
      </c>
      <c r="W61" s="54">
        <f>IF(W24=4,W44,0)</f>
        <v>0</v>
      </c>
      <c r="Y61" s="58">
        <f>IF(Y24=4,W44,0)</f>
        <v>0</v>
      </c>
      <c r="Z61" s="54">
        <f>IF(Z24=4,Z44,0)</f>
        <v>0</v>
      </c>
      <c r="AB61" s="58">
        <f>IF(AB24=4,Z44,0)</f>
        <v>50</v>
      </c>
      <c r="AC61" s="54">
        <f>IF(AC24=4,AC44,0)</f>
        <v>0</v>
      </c>
      <c r="AE61" s="58">
        <f>IF(AE24=4,AC44,0)</f>
        <v>0</v>
      </c>
      <c r="AF61" s="54">
        <f>SUM(B61:AE61)</f>
        <v>200</v>
      </c>
      <c r="AW61" s="146"/>
    </row>
    <row r="62" spans="1:49" s="54" customFormat="1" ht="12.75" hidden="1" customHeight="1" x14ac:dyDescent="0.2">
      <c r="A62" s="54" t="s">
        <v>80</v>
      </c>
      <c r="B62" s="54">
        <f>IF(B24=5,B44,0)</f>
        <v>0</v>
      </c>
      <c r="D62" s="58">
        <f>IF(D24=5,B44,0)</f>
        <v>50</v>
      </c>
      <c r="E62" s="54">
        <f>IF(E24=5,E44,0)</f>
        <v>0</v>
      </c>
      <c r="G62" s="58">
        <f>IF(G24=5,E44,0)</f>
        <v>0</v>
      </c>
      <c r="H62" s="54">
        <f>IF(H24=5,H44,0)</f>
        <v>0</v>
      </c>
      <c r="J62" s="58">
        <f>IF(J24=5,H44,0)</f>
        <v>50</v>
      </c>
      <c r="K62" s="54">
        <f>IF(K24=5,K44,0)</f>
        <v>0</v>
      </c>
      <c r="M62" s="58">
        <f>IF(M24=5,K44,0)</f>
        <v>0</v>
      </c>
      <c r="N62" s="54">
        <f>IF(N24=5,N44,0)</f>
        <v>0</v>
      </c>
      <c r="P62" s="58">
        <f>IF(P24=5,N44,0)</f>
        <v>0</v>
      </c>
      <c r="Q62" s="54">
        <f>IF(Q24=5,Q44,0)</f>
        <v>0</v>
      </c>
      <c r="S62" s="58">
        <f>IF(S24=5,Q44,0)</f>
        <v>50</v>
      </c>
      <c r="T62" s="54">
        <f>IF(T24=5,T44,0)</f>
        <v>0</v>
      </c>
      <c r="V62" s="58">
        <f>IF(V24=5,T44,0)</f>
        <v>0</v>
      </c>
      <c r="W62" s="54">
        <f>IF(W24=5,W44,0)</f>
        <v>0</v>
      </c>
      <c r="Y62" s="58">
        <f>IF(Y24=5,W44,0)</f>
        <v>50</v>
      </c>
      <c r="Z62" s="54">
        <f>IF(Z24=5,Z44,0)</f>
        <v>0</v>
      </c>
      <c r="AB62" s="58">
        <f>IF(AB24=5,Z44,0)</f>
        <v>0</v>
      </c>
      <c r="AC62" s="54">
        <f>IF(AC24=5,AC44,0)</f>
        <v>0</v>
      </c>
      <c r="AE62" s="58">
        <f>IF(AE24=5,AC44,0)</f>
        <v>0</v>
      </c>
      <c r="AF62" s="54">
        <f>SUM(B62:AE62)</f>
        <v>200</v>
      </c>
      <c r="AW62" s="146"/>
    </row>
    <row r="63" spans="1:49" s="54" customFormat="1" ht="38.25" hidden="1" customHeight="1" x14ac:dyDescent="0.2">
      <c r="A63" s="54" t="s">
        <v>82</v>
      </c>
      <c r="D63" s="58"/>
      <c r="G63" s="58"/>
      <c r="J63" s="58"/>
      <c r="M63" s="58"/>
      <c r="P63" s="58"/>
      <c r="S63" s="58"/>
      <c r="V63" s="58"/>
      <c r="Y63" s="58"/>
      <c r="AB63" s="58"/>
      <c r="AE63" s="58"/>
      <c r="AF63" s="57" t="s">
        <v>83</v>
      </c>
      <c r="AG63" s="54" t="s">
        <v>84</v>
      </c>
      <c r="AW63" s="146"/>
    </row>
    <row r="64" spans="1:49" s="54" customFormat="1" ht="12.75" hidden="1" customHeight="1" x14ac:dyDescent="0.2">
      <c r="A64" s="54" t="s">
        <v>70</v>
      </c>
      <c r="B64" s="54">
        <f>IF(B24=1,SUMIF(B31:B35,"&gt;0"),0)</f>
        <v>0</v>
      </c>
      <c r="D64" s="58">
        <f>IF(D24=1,SUMIF(D31:D35,"&gt;0"),0)</f>
        <v>0</v>
      </c>
      <c r="E64" s="54">
        <f>IF(E24=1,SUMIF(E31:E35,"&gt;0"),0)</f>
        <v>2</v>
      </c>
      <c r="G64" s="58">
        <f>IF(G24=1,SUMIF(G31:G35,"&gt;0"),0)</f>
        <v>0</v>
      </c>
      <c r="H64" s="54">
        <f>IF(H24=1,SUMIF(H31:H35,"&gt;0"),0)</f>
        <v>0</v>
      </c>
      <c r="J64" s="58">
        <f>IF(J24=1,SUMIF(J31:J35,"&gt;0"),0)</f>
        <v>0</v>
      </c>
      <c r="K64" s="54">
        <f>IF(K24=1,SUMIF(K31:K35,"&gt;0"),0)</f>
        <v>0</v>
      </c>
      <c r="M64" s="58">
        <f>IF(M24=1,SUMIF(M31:M35,"&gt;0"),0)</f>
        <v>0</v>
      </c>
      <c r="N64" s="54">
        <f>IF(N24=1,SUMIF(N31:N35,"&gt;0"),0)</f>
        <v>2</v>
      </c>
      <c r="P64" s="58">
        <f>IF(P24=1,SUMIF(P31:P35,"&gt;0"),0)</f>
        <v>0</v>
      </c>
      <c r="Q64" s="54">
        <f>IF(Q24=1,SUMIF(Q31:Q35,"&gt;0"),0)</f>
        <v>0</v>
      </c>
      <c r="S64" s="58">
        <f>IF(S24=1,SUMIF(S31:S35,"&gt;0"),0)</f>
        <v>0</v>
      </c>
      <c r="T64" s="54">
        <f>IF(T24=1,SUMIF(T31:T35,"&gt;0"),0)</f>
        <v>0</v>
      </c>
      <c r="V64" s="58">
        <f>IF(V24=1,SUMIF(V31:V35,"&gt;0"),0)</f>
        <v>0</v>
      </c>
      <c r="W64" s="54">
        <f>IF(W24=1,SUMIF(W31:W35,"&gt;0"),0)</f>
        <v>2</v>
      </c>
      <c r="Y64" s="58">
        <f>IF(Y24=1,SUMIF(Y31:Y35,"&gt;0"),0)</f>
        <v>0</v>
      </c>
      <c r="Z64" s="54">
        <f>IF(Z24=1,SUMIF(Z31:Z35,"&gt;0"),0)</f>
        <v>0</v>
      </c>
      <c r="AB64" s="58">
        <f>IF(AB24=1,SUMIF(AB31:AB35,"&gt;0"),0)</f>
        <v>0</v>
      </c>
      <c r="AC64" s="54">
        <f>IF(AC24=1,SUMIF(AC31:AC35,"&gt;0"),0)</f>
        <v>2</v>
      </c>
      <c r="AE64" s="58">
        <f>IF(AE24=1,SUMIF(AE31:AE35,"&gt;0"),0)</f>
        <v>0</v>
      </c>
      <c r="AF64" s="54">
        <f>SUM(B64:AE64)</f>
        <v>8</v>
      </c>
      <c r="AG64" s="54">
        <f>AF72-AF64</f>
        <v>0</v>
      </c>
      <c r="AW64" s="146"/>
    </row>
    <row r="65" spans="1:54" s="54" customFormat="1" ht="12.75" hidden="1" customHeight="1" x14ac:dyDescent="0.2">
      <c r="A65" s="54" t="s">
        <v>71</v>
      </c>
      <c r="B65" s="54">
        <f>IF(B24=2,SUMIF(B31:B35,"&gt;0"),0)</f>
        <v>0</v>
      </c>
      <c r="D65" s="58">
        <f>IF(D24=2,SUMIF(D31:D35,"&gt;0"),0)</f>
        <v>0</v>
      </c>
      <c r="E65" s="54">
        <f>IF(E24=2,SUMIF(E31:E35,"&gt;0"),0)</f>
        <v>0</v>
      </c>
      <c r="G65" s="58">
        <f>IF(G24=2,SUMIF(G31:G35,"&gt;0"),0)</f>
        <v>0</v>
      </c>
      <c r="H65" s="54">
        <f>IF(H24=2,SUMIF(H31:H35,"&gt;0"),0)</f>
        <v>0</v>
      </c>
      <c r="J65" s="58">
        <f>IF(J24=2,SUMIF(J31:J35,"&gt;0"),0)</f>
        <v>0</v>
      </c>
      <c r="K65" s="54">
        <f>IF(K24=2,SUMIF(K31:K35,"&gt;0"),0)</f>
        <v>0</v>
      </c>
      <c r="M65" s="58">
        <f>IF(M24=2,SUMIF(M31:M35,"&gt;0"),0)</f>
        <v>0</v>
      </c>
      <c r="N65" s="54">
        <f>IF(N24=2,SUMIF(N31:N35,"&gt;0"),0)</f>
        <v>0</v>
      </c>
      <c r="P65" s="58">
        <f>IF(P24=2,SUMIF(P31:P35,"&gt;0"),0)</f>
        <v>0</v>
      </c>
      <c r="Q65" s="54">
        <f>IF(Q24=2,SUMIF(Q31:Q35,"&gt;0"),0)</f>
        <v>0</v>
      </c>
      <c r="S65" s="58">
        <f>IF(S24=2,SUMIF(S31:S35,"&gt;0"),0)</f>
        <v>0</v>
      </c>
      <c r="T65" s="54">
        <f>IF(T24=2,SUMIF(T31:T35,"&gt;0"),0)</f>
        <v>1</v>
      </c>
      <c r="V65" s="58">
        <f>IF(V24=2,SUMIF(V31:V35,"&gt;0"),0)</f>
        <v>0</v>
      </c>
      <c r="W65" s="54">
        <f>IF(W24=2,SUMIF(W31:W35,"&gt;0"),0)</f>
        <v>0</v>
      </c>
      <c r="Y65" s="58">
        <f>IF(Y24=2,SUMIF(Y31:Y35,"&gt;0"),0)</f>
        <v>0</v>
      </c>
      <c r="Z65" s="54">
        <f>IF(Z24=2,SUMIF(Z31:Z35,"&gt;0"),0)</f>
        <v>0</v>
      </c>
      <c r="AB65" s="58">
        <f>IF(AB24=2,SUMIF(AB31:AB35,"&gt;0"),0)</f>
        <v>0</v>
      </c>
      <c r="AC65" s="54">
        <f>IF(AC24=2,SUMIF(AC31:AC35,"&gt;0"),0)</f>
        <v>0</v>
      </c>
      <c r="AE65" s="58">
        <f>IF(AE24=2,SUMIF(AE31:AE35,"&gt;0"),0)</f>
        <v>0</v>
      </c>
      <c r="AF65" s="54">
        <f>SUM(B65:AE65)</f>
        <v>1</v>
      </c>
      <c r="AG65" s="54">
        <f>AF73-AF65</f>
        <v>7</v>
      </c>
      <c r="AW65" s="146"/>
    </row>
    <row r="66" spans="1:54" s="54" customFormat="1" ht="12.75" hidden="1" customHeight="1" x14ac:dyDescent="0.2">
      <c r="A66" s="54" t="s">
        <v>72</v>
      </c>
      <c r="B66" s="54">
        <f>IF(B24=3,SUMIF(B31:B35,"&gt;0"),0)</f>
        <v>0</v>
      </c>
      <c r="D66" s="58">
        <f>IF(D24=3,SUMIF(D31:D35,"&gt;0"),0)</f>
        <v>0</v>
      </c>
      <c r="E66" s="54">
        <f>IF(E24=3,SUMIF(E31:E35,"&gt;0"),0)</f>
        <v>0</v>
      </c>
      <c r="G66" s="58">
        <f>IF(G24=3,SUMIF(G31:G35,"&gt;0"),0)</f>
        <v>0</v>
      </c>
      <c r="H66" s="54">
        <f>IF(H24=3,SUMIF(H31:H35,"&gt;0"),0)</f>
        <v>1</v>
      </c>
      <c r="J66" s="58">
        <f>IF(J24=3,SUMIF(J31:J35,"&gt;0"),0)</f>
        <v>0</v>
      </c>
      <c r="K66" s="54">
        <f>IF(K24=3,SUMIF(K31:K35,"&gt;0"),0)</f>
        <v>0</v>
      </c>
      <c r="M66" s="58">
        <f>IF(M24=3,SUMIF(M31:M35,"&gt;0"),0)</f>
        <v>0</v>
      </c>
      <c r="N66" s="54">
        <f>IF(N24=3,SUMIF(N31:N35,"&gt;0"),0)</f>
        <v>0</v>
      </c>
      <c r="P66" s="58">
        <f>IF(P24=3,SUMIF(P31:P35,"&gt;0"),0)</f>
        <v>0</v>
      </c>
      <c r="Q66" s="54">
        <f>IF(Q24=3,SUMIF(Q31:Q35,"&gt;0"),0)</f>
        <v>0</v>
      </c>
      <c r="S66" s="58">
        <f>IF(S24=3,SUMIF(S31:S35,"&gt;0"),0)</f>
        <v>0</v>
      </c>
      <c r="T66" s="54">
        <f>IF(T24=3,SUMIF(T31:T35,"&gt;0"),0)</f>
        <v>0</v>
      </c>
      <c r="V66" s="58">
        <f>IF(V24=3,SUMIF(V31:V35,"&gt;0"),0)</f>
        <v>1</v>
      </c>
      <c r="W66" s="54">
        <f>IF(W24=3,SUMIF(W31:W35,"&gt;0"),0)</f>
        <v>0</v>
      </c>
      <c r="Y66" s="58">
        <f>IF(Y24=3,SUMIF(Y31:Y35,"&gt;0"),0)</f>
        <v>0</v>
      </c>
      <c r="Z66" s="54">
        <f>IF(Z24=3,SUMIF(Z31:Z35,"&gt;0"),0)</f>
        <v>2</v>
      </c>
      <c r="AB66" s="58">
        <f>IF(AB24=3,SUMIF(AB31:AB35,"&gt;0"),0)</f>
        <v>0</v>
      </c>
      <c r="AC66" s="54">
        <f>IF(AC24=3,SUMIF(AC31:AC35,"&gt;0"),0)</f>
        <v>0</v>
      </c>
      <c r="AE66" s="58">
        <f>IF(AE24=3,SUMIF(AE31:AE35,"&gt;0"),0)</f>
        <v>0</v>
      </c>
      <c r="AF66" s="54">
        <f>SUM(B66:AE66)</f>
        <v>4</v>
      </c>
      <c r="AG66" s="54">
        <f>AF74-AF66</f>
        <v>4</v>
      </c>
      <c r="AW66" s="146"/>
    </row>
    <row r="67" spans="1:54" s="54" customFormat="1" ht="12.75" hidden="1" customHeight="1" x14ac:dyDescent="0.2">
      <c r="A67" s="54" t="s">
        <v>73</v>
      </c>
      <c r="B67" s="54">
        <f>IF(B24=4,SUMIF(B31:B35,"&gt;0"),0)</f>
        <v>0</v>
      </c>
      <c r="D67" s="58">
        <f>IF(D24=4,SUMIF(D31:D35,"&gt;0"),0)</f>
        <v>0</v>
      </c>
      <c r="E67" s="54">
        <f>IF(E24=4,SUMIF(E31:E35,"&gt;0"),0)</f>
        <v>0</v>
      </c>
      <c r="G67" s="58">
        <f>IF(G24=4,SUMIF(G31:G35,"&gt;0"),0)</f>
        <v>0</v>
      </c>
      <c r="H67" s="54">
        <f>IF(H24=4,SUMIF(H31:H35,"&gt;0"),0)</f>
        <v>0</v>
      </c>
      <c r="J67" s="58">
        <f>IF(J24=4,SUMIF(J31:J35,"&gt;0"),0)</f>
        <v>0</v>
      </c>
      <c r="K67" s="54">
        <f>IF(K24=4,SUMIF(K31:K35,"&gt;0"),0)</f>
        <v>0</v>
      </c>
      <c r="M67" s="58">
        <f>IF(M24=4,SUMIF(M31:M35,"&gt;0"),0)</f>
        <v>2</v>
      </c>
      <c r="N67" s="54">
        <f>IF(N24=4,SUMIF(N31:N35,"&gt;0"),0)</f>
        <v>0</v>
      </c>
      <c r="P67" s="58">
        <f>IF(P24=4,SUMIF(P31:P35,"&gt;0"),0)</f>
        <v>0</v>
      </c>
      <c r="Q67" s="54">
        <f>IF(Q24=4,SUMIF(Q31:Q35,"&gt;0"),0)</f>
        <v>0</v>
      </c>
      <c r="S67" s="58">
        <f>IF(S24=4,SUMIF(S31:S35,"&gt;0"),0)</f>
        <v>0</v>
      </c>
      <c r="T67" s="54">
        <f>IF(T24=4,SUMIF(T31:T35,"&gt;0"),0)</f>
        <v>0</v>
      </c>
      <c r="V67" s="58">
        <f>IF(V24=4,SUMIF(V31:V35,"&gt;0"),0)</f>
        <v>0</v>
      </c>
      <c r="W67" s="54">
        <f>IF(W24=4,SUMIF(W31:W35,"&gt;0"),0)</f>
        <v>0</v>
      </c>
      <c r="Y67" s="58">
        <f>IF(Y24=4,SUMIF(Y31:Y35,"&gt;0"),0)</f>
        <v>0</v>
      </c>
      <c r="Z67" s="54">
        <f>IF(Z24=4,SUMIF(Z31:Z35,"&gt;0"),0)</f>
        <v>0</v>
      </c>
      <c r="AB67" s="58">
        <f>IF(AB24=4,SUMIF(AB31:AB35,"&gt;0"),0)</f>
        <v>0</v>
      </c>
      <c r="AC67" s="54">
        <f>IF(AC24=4,SUMIF(AC31:AC35,"&gt;0"),0)</f>
        <v>0</v>
      </c>
      <c r="AE67" s="58">
        <f>IF(AE24=4,SUMIF(AE31:AE35,"&gt;0"),0)</f>
        <v>0</v>
      </c>
      <c r="AF67" s="54">
        <f>SUM(B67:AE67)</f>
        <v>2</v>
      </c>
      <c r="AG67" s="54">
        <f>AF75-AF67</f>
        <v>6</v>
      </c>
      <c r="AW67" s="146"/>
    </row>
    <row r="68" spans="1:54" s="54" customFormat="1" ht="12.75" hidden="1" customHeight="1" x14ac:dyDescent="0.2">
      <c r="A68" s="54" t="s">
        <v>74</v>
      </c>
      <c r="B68" s="54">
        <f>IF(B24=5,SUMIF(B31:B35,"&gt;0"),0)</f>
        <v>0</v>
      </c>
      <c r="D68" s="58">
        <f>IF(D24=5,SUMIF(D31:D35,"&gt;0"),0)</f>
        <v>2</v>
      </c>
      <c r="E68" s="54">
        <f>IF(E24=5,SUMIF(E31:E35,"&gt;0"),0)</f>
        <v>0</v>
      </c>
      <c r="G68" s="58">
        <f>IF(G24=5,SUMIF(G31:G35,"&gt;0"),0)</f>
        <v>0</v>
      </c>
      <c r="H68" s="54">
        <f>IF(H24=5,SUMIF(H31:H35,"&gt;0"),0)</f>
        <v>0</v>
      </c>
      <c r="J68" s="58">
        <f>IF(J24=5,SUMIF(J31:J35,"&gt;0"),0)</f>
        <v>1</v>
      </c>
      <c r="K68" s="54">
        <f>IF(K24=5,SUMIF(K31:K35,"&gt;0"),0)</f>
        <v>0</v>
      </c>
      <c r="M68" s="58">
        <f>IF(M24=5,SUMIF(M31:M35,"&gt;0"),0)</f>
        <v>0</v>
      </c>
      <c r="N68" s="54">
        <f>IF(N24=5,SUMIF(N31:N35,"&gt;0"),0)</f>
        <v>0</v>
      </c>
      <c r="P68" s="58">
        <f>IF(P24=5,SUMIF(P31:P35,"&gt;0"),0)</f>
        <v>0</v>
      </c>
      <c r="Q68" s="54">
        <f>IF(Q24=5,SUMIF(Q31:Q35,"&gt;0"),0)</f>
        <v>0</v>
      </c>
      <c r="S68" s="58">
        <f>IF(S24=5,SUMIF(S31:S35,"&gt;0"),0)</f>
        <v>2</v>
      </c>
      <c r="T68" s="54">
        <f>IF(T24=5,SUMIF(T31:T35,"&gt;0"),0)</f>
        <v>0</v>
      </c>
      <c r="V68" s="58">
        <f>IF(V24=5,SUMIF(V31:V35,"&gt;0"),0)</f>
        <v>0</v>
      </c>
      <c r="W68" s="54">
        <f>IF(W24=5,SUMIF(W31:W35,"&gt;0"),0)</f>
        <v>0</v>
      </c>
      <c r="Y68" s="58">
        <f>IF(Y24=5,SUMIF(Y31:Y35,"&gt;0"),0)</f>
        <v>0</v>
      </c>
      <c r="Z68" s="54">
        <f>IF(Z24=5,SUMIF(Z31:Z35,"&gt;0"),0)</f>
        <v>0</v>
      </c>
      <c r="AB68" s="58">
        <f>IF(AB24=5,SUMIF(AB31:AB35,"&gt;0"),0)</f>
        <v>0</v>
      </c>
      <c r="AC68" s="54">
        <f>IF(AC24=5,SUMIF(AC31:AC35,"&gt;0"),0)</f>
        <v>0</v>
      </c>
      <c r="AE68" s="58">
        <f>IF(AE24=5,SUMIF(AE31:AE35,"&gt;0"),0)</f>
        <v>0</v>
      </c>
      <c r="AF68" s="54">
        <f>SUM(B68:AE68)</f>
        <v>5</v>
      </c>
      <c r="AG68" s="54">
        <f>AF76-AF68</f>
        <v>3</v>
      </c>
      <c r="AW68" s="146"/>
    </row>
    <row r="69" spans="1:54" s="54" customFormat="1" ht="12.75" hidden="1" customHeight="1" x14ac:dyDescent="0.2">
      <c r="D69" s="58"/>
      <c r="G69" s="58"/>
      <c r="J69" s="58"/>
      <c r="M69" s="58"/>
      <c r="P69" s="58"/>
      <c r="S69" s="58"/>
      <c r="V69" s="58"/>
      <c r="Y69" s="58"/>
      <c r="AB69" s="58"/>
      <c r="AE69" s="58"/>
      <c r="AW69" s="146"/>
    </row>
    <row r="70" spans="1:54" s="54" customFormat="1" ht="12.75" hidden="1" customHeight="1" x14ac:dyDescent="0.2">
      <c r="D70" s="58"/>
      <c r="G70" s="58"/>
      <c r="J70" s="58"/>
      <c r="M70" s="58"/>
      <c r="P70" s="58"/>
      <c r="S70" s="58"/>
      <c r="V70" s="58"/>
      <c r="Y70" s="58"/>
      <c r="AB70" s="58"/>
      <c r="AE70" s="58"/>
      <c r="AW70" s="146"/>
    </row>
    <row r="71" spans="1:54" s="54" customFormat="1" ht="51" hidden="1" customHeight="1" x14ac:dyDescent="0.2">
      <c r="A71" s="57" t="s">
        <v>85</v>
      </c>
      <c r="C71" s="54">
        <f>SUMIF(B64:D68,"&gt;0")</f>
        <v>2</v>
      </c>
      <c r="D71" s="58"/>
      <c r="F71" s="54">
        <f>SUMIF(E64:G68,"&gt;0")</f>
        <v>2</v>
      </c>
      <c r="G71" s="58"/>
      <c r="I71" s="54">
        <f>SUMIF(H64:J68,"&gt;0")</f>
        <v>2</v>
      </c>
      <c r="J71" s="58"/>
      <c r="L71" s="54">
        <f>SUMIF(K64:M68,"&gt;0")</f>
        <v>2</v>
      </c>
      <c r="M71" s="58"/>
      <c r="O71" s="54">
        <f>SUMIF(N64:P68,"&gt;0")</f>
        <v>2</v>
      </c>
      <c r="P71" s="58"/>
      <c r="R71" s="54">
        <f>SUMIF(Q64:S68,"&gt;0")</f>
        <v>2</v>
      </c>
      <c r="S71" s="58"/>
      <c r="U71" s="54">
        <f>SUMIF(T64:V68,"&gt;0")</f>
        <v>2</v>
      </c>
      <c r="V71" s="58"/>
      <c r="X71" s="54">
        <f>SUMIF(W64:Y68,"&gt;0")</f>
        <v>2</v>
      </c>
      <c r="Y71" s="58"/>
      <c r="AA71" s="54">
        <f>SUMIF(Z64:AB68,"&gt;0")</f>
        <v>2</v>
      </c>
      <c r="AB71" s="58"/>
      <c r="AD71" s="54">
        <f>SUMIF(AC64:AE68,"&gt;0")</f>
        <v>2</v>
      </c>
      <c r="AE71" s="58"/>
      <c r="AF71" s="57" t="s">
        <v>86</v>
      </c>
      <c r="AW71" s="146"/>
    </row>
    <row r="72" spans="1:54" s="54" customFormat="1" ht="12.75" hidden="1" customHeight="1" x14ac:dyDescent="0.2">
      <c r="A72" s="54" t="s">
        <v>76</v>
      </c>
      <c r="B72" s="54">
        <f>IF(B24=1,C71,0)</f>
        <v>0</v>
      </c>
      <c r="D72" s="58">
        <f>IF(D24=1,C71,0)</f>
        <v>0</v>
      </c>
      <c r="E72" s="54">
        <f>IF(E24=1,F71,0)</f>
        <v>2</v>
      </c>
      <c r="G72" s="58">
        <f>IF(G24=1,F71,0)</f>
        <v>0</v>
      </c>
      <c r="H72" s="54">
        <f>IF(H24=1,I71,0)</f>
        <v>0</v>
      </c>
      <c r="J72" s="58">
        <f>IF(J24=1,I71,0)</f>
        <v>0</v>
      </c>
      <c r="K72" s="54">
        <f>IF(K24=1,L71,0)</f>
        <v>0</v>
      </c>
      <c r="M72" s="58">
        <f>IF(M24=1,L71,0)</f>
        <v>0</v>
      </c>
      <c r="N72" s="54">
        <f>IF(N24=1,O71,0)</f>
        <v>2</v>
      </c>
      <c r="P72" s="58">
        <f>IF(P24=1,O71,0)</f>
        <v>0</v>
      </c>
      <c r="Q72" s="54">
        <f>IF(Q24=1,R71,0)</f>
        <v>0</v>
      </c>
      <c r="S72" s="58">
        <f>IF(S24=1,R71,0)</f>
        <v>0</v>
      </c>
      <c r="T72" s="54">
        <f>IF(T24=1,U71,0)</f>
        <v>0</v>
      </c>
      <c r="V72" s="58">
        <f>IF(V24=1,U71,0)</f>
        <v>0</v>
      </c>
      <c r="W72" s="54">
        <f>IF(W24=1,X71,0)</f>
        <v>2</v>
      </c>
      <c r="Y72" s="58">
        <f>IF(Y24=1,X71,0)</f>
        <v>0</v>
      </c>
      <c r="Z72" s="54">
        <f>IF(Z24=1,AA71,0)</f>
        <v>0</v>
      </c>
      <c r="AB72" s="58">
        <f>IF(AB24=1,AA71,0)</f>
        <v>0</v>
      </c>
      <c r="AC72" s="54">
        <f>IF(AC24=1,AD71,0)</f>
        <v>2</v>
      </c>
      <c r="AE72" s="58">
        <f>IF(AE24=1,AD71,0)</f>
        <v>0</v>
      </c>
      <c r="AF72" s="54">
        <f>SUM(B72:AE72)</f>
        <v>8</v>
      </c>
      <c r="AW72" s="146"/>
    </row>
    <row r="73" spans="1:54" s="54" customFormat="1" ht="12.75" hidden="1" customHeight="1" x14ac:dyDescent="0.2">
      <c r="A73" s="54" t="s">
        <v>77</v>
      </c>
      <c r="B73" s="54">
        <f>IF(B24=2,C71,0)</f>
        <v>2</v>
      </c>
      <c r="D73" s="58">
        <f>IF(D24=2,C71,0)</f>
        <v>0</v>
      </c>
      <c r="E73" s="54">
        <f>IF(E24=2,F71,0)</f>
        <v>0</v>
      </c>
      <c r="G73" s="58">
        <f>IF(G24=2,F71,0)</f>
        <v>0</v>
      </c>
      <c r="H73" s="54">
        <f>IF(H24=2,I71,0)</f>
        <v>0</v>
      </c>
      <c r="J73" s="58">
        <f>IF(J24=2,I71,0)</f>
        <v>0</v>
      </c>
      <c r="K73" s="54">
        <f>IF(K24=2,L71,0)</f>
        <v>2</v>
      </c>
      <c r="M73" s="58">
        <f>IF(M24=2,L71,0)</f>
        <v>0</v>
      </c>
      <c r="N73" s="54">
        <f>IF(N24=2,O71,0)</f>
        <v>0</v>
      </c>
      <c r="P73" s="58">
        <f>IF(P24=2,O71,0)</f>
        <v>0</v>
      </c>
      <c r="Q73" s="54">
        <f>IF(Q24=2,R71,0)</f>
        <v>0</v>
      </c>
      <c r="S73" s="58">
        <f>IF(S24=2,R71,0)</f>
        <v>0</v>
      </c>
      <c r="T73" s="54">
        <f>IF(T24=2,U71,0)</f>
        <v>2</v>
      </c>
      <c r="V73" s="58">
        <f>IF(V24=2,U71,0)</f>
        <v>0</v>
      </c>
      <c r="W73" s="54">
        <f>IF(W24=2,X71,0)</f>
        <v>0</v>
      </c>
      <c r="Y73" s="58">
        <f>IF(Y24=2,X71,0)</f>
        <v>0</v>
      </c>
      <c r="Z73" s="54">
        <f>IF(Z24=2,AA71,0)</f>
        <v>0</v>
      </c>
      <c r="AB73" s="58">
        <f>IF(AB24=2,AA71,0)</f>
        <v>0</v>
      </c>
      <c r="AC73" s="54">
        <f>IF(AC24=2,AD71,0)</f>
        <v>0</v>
      </c>
      <c r="AE73" s="58">
        <f>IF(AE24=2,AD71,0)</f>
        <v>2</v>
      </c>
      <c r="AF73" s="54">
        <f>SUM(B73:AE73)</f>
        <v>8</v>
      </c>
      <c r="AW73" s="146"/>
    </row>
    <row r="74" spans="1:54" s="54" customFormat="1" ht="12.75" hidden="1" customHeight="1" x14ac:dyDescent="0.2">
      <c r="A74" s="54" t="s">
        <v>78</v>
      </c>
      <c r="B74" s="54">
        <f>IF(B24=3,C71,0)</f>
        <v>0</v>
      </c>
      <c r="D74" s="58">
        <f>IF(D24=3,C71,0)</f>
        <v>0</v>
      </c>
      <c r="E74" s="54">
        <f>IF(E24=3,F71,0)</f>
        <v>0</v>
      </c>
      <c r="G74" s="58">
        <f>IF(G24=3,F71,0)</f>
        <v>0</v>
      </c>
      <c r="H74" s="54">
        <f>IF(H24=3,I71,0)</f>
        <v>2</v>
      </c>
      <c r="J74" s="58">
        <f>IF(J24=3,I71,0)</f>
        <v>0</v>
      </c>
      <c r="K74" s="54">
        <f>IF(K24=3,L71,0)</f>
        <v>0</v>
      </c>
      <c r="M74" s="58">
        <f>IF(M24=3,L71,0)</f>
        <v>0</v>
      </c>
      <c r="N74" s="54">
        <f>IF(N24=3,O71,0)</f>
        <v>0</v>
      </c>
      <c r="P74" s="58">
        <f>IF(P24=3,O71,0)</f>
        <v>2</v>
      </c>
      <c r="Q74" s="54">
        <f>IF(Q24=3,R71,0)</f>
        <v>0</v>
      </c>
      <c r="S74" s="58">
        <f>IF(S24=3,R71,0)</f>
        <v>0</v>
      </c>
      <c r="T74" s="54">
        <f>IF(T24=3,U71,0)</f>
        <v>0</v>
      </c>
      <c r="V74" s="58">
        <f>IF(V24=3,U71,0)</f>
        <v>2</v>
      </c>
      <c r="W74" s="54">
        <f>IF(W24=3,X71,0)</f>
        <v>0</v>
      </c>
      <c r="Y74" s="58">
        <f>IF(Y24=3,X71,0)</f>
        <v>0</v>
      </c>
      <c r="Z74" s="54">
        <f>IF(Z24=3,AA71,0)</f>
        <v>2</v>
      </c>
      <c r="AB74" s="58">
        <f>IF(AB24=3,AA71,0)</f>
        <v>0</v>
      </c>
      <c r="AC74" s="54">
        <f>IF(AC24=3,AD71,0)</f>
        <v>0</v>
      </c>
      <c r="AE74" s="58">
        <f>IF(AE24=3,AD71,0)</f>
        <v>0</v>
      </c>
      <c r="AF74" s="54">
        <f>SUM(B74:AE74)</f>
        <v>8</v>
      </c>
      <c r="AW74" s="146"/>
    </row>
    <row r="75" spans="1:54" s="54" customFormat="1" ht="12.75" hidden="1" customHeight="1" x14ac:dyDescent="0.2">
      <c r="A75" s="54" t="s">
        <v>79</v>
      </c>
      <c r="B75" s="54">
        <f>IF(B24=4,C71,0)</f>
        <v>0</v>
      </c>
      <c r="D75" s="58">
        <f>IF(D24=4,C71,0)</f>
        <v>0</v>
      </c>
      <c r="E75" s="54">
        <f>IF(E24=4,F71,0)</f>
        <v>0</v>
      </c>
      <c r="G75" s="58">
        <f>IF(G24=4,F71,0)</f>
        <v>2</v>
      </c>
      <c r="H75" s="54">
        <f>IF(H24=4,I71,0)</f>
        <v>0</v>
      </c>
      <c r="J75" s="58">
        <f>IF(J24=4,I71,0)</f>
        <v>0</v>
      </c>
      <c r="K75" s="54">
        <f>IF(K24=4,L71,0)</f>
        <v>0</v>
      </c>
      <c r="M75" s="58">
        <f>IF(M24=4,L71,0)</f>
        <v>2</v>
      </c>
      <c r="N75" s="54">
        <f>IF(N24=4,O71,0)</f>
        <v>0</v>
      </c>
      <c r="P75" s="58">
        <f>IF(P24=4,O71,0)</f>
        <v>0</v>
      </c>
      <c r="Q75" s="54">
        <f>IF(Q24=4,R71,0)</f>
        <v>2</v>
      </c>
      <c r="S75" s="58">
        <f>IF(S24=4,R71,0)</f>
        <v>0</v>
      </c>
      <c r="T75" s="54">
        <f>IF(T24=4,U71,0)</f>
        <v>0</v>
      </c>
      <c r="V75" s="58">
        <f>IF(V24=4,U71,0)</f>
        <v>0</v>
      </c>
      <c r="W75" s="54">
        <f>IF(W24=4,X71,0)</f>
        <v>0</v>
      </c>
      <c r="Y75" s="58">
        <f>IF(Y24=4,X71,0)</f>
        <v>0</v>
      </c>
      <c r="Z75" s="54">
        <f>IF(Z24=4,AA71,0)</f>
        <v>0</v>
      </c>
      <c r="AB75" s="58">
        <f>IF(AB24=4,AA71,0)</f>
        <v>2</v>
      </c>
      <c r="AC75" s="54">
        <f>IF(AC24=4,AD71,0)</f>
        <v>0</v>
      </c>
      <c r="AE75" s="58">
        <f>IF(AE24=4,AD71,0)</f>
        <v>0</v>
      </c>
      <c r="AF75" s="54">
        <f>SUM(B75:AE75)</f>
        <v>8</v>
      </c>
      <c r="AW75" s="146"/>
    </row>
    <row r="76" spans="1:54" s="54" customFormat="1" ht="12.75" hidden="1" customHeight="1" x14ac:dyDescent="0.2">
      <c r="A76" s="54" t="s">
        <v>80</v>
      </c>
      <c r="B76" s="54">
        <f>IF(B24=5,C71,0)</f>
        <v>0</v>
      </c>
      <c r="D76" s="58">
        <f>IF(D24=5,C71,0)</f>
        <v>2</v>
      </c>
      <c r="E76" s="54">
        <f>IF(E24=5,F71,0)</f>
        <v>0</v>
      </c>
      <c r="G76" s="58">
        <f>IF(G24=5,F71,0)</f>
        <v>0</v>
      </c>
      <c r="H76" s="54">
        <f>IF(H24=5,I71,0)</f>
        <v>0</v>
      </c>
      <c r="J76" s="58">
        <f>IF(J24=5,I71,0)</f>
        <v>2</v>
      </c>
      <c r="K76" s="54">
        <f>IF(K24=5,L71,0)</f>
        <v>0</v>
      </c>
      <c r="M76" s="58">
        <f>IF(M24=5,L71,0)</f>
        <v>0</v>
      </c>
      <c r="N76" s="54">
        <f>IF(N24=5,O71,0)</f>
        <v>0</v>
      </c>
      <c r="P76" s="58">
        <f>IF(P24=5,O71,0)</f>
        <v>0</v>
      </c>
      <c r="Q76" s="54">
        <f>IF(Q24=5,R71,0)</f>
        <v>0</v>
      </c>
      <c r="S76" s="58">
        <f>IF(S24=5,R71,0)</f>
        <v>2</v>
      </c>
      <c r="T76" s="54">
        <f>IF(T24=5,U71,0)</f>
        <v>0</v>
      </c>
      <c r="V76" s="58">
        <f>IF(V24=5,U71,0)</f>
        <v>0</v>
      </c>
      <c r="W76" s="54">
        <f>IF(W24=5,X71,0)</f>
        <v>0</v>
      </c>
      <c r="Y76" s="58">
        <f>IF(Y24=5,X71,0)</f>
        <v>2</v>
      </c>
      <c r="Z76" s="54">
        <f>IF(Z24=5,AA71,0)</f>
        <v>0</v>
      </c>
      <c r="AB76" s="58">
        <f>IF(AB24=5,AA71,0)</f>
        <v>0</v>
      </c>
      <c r="AC76" s="54">
        <f>IF(AC24=5,AD71,0)</f>
        <v>0</v>
      </c>
      <c r="AE76" s="58">
        <f>IF(AE24=5,AD71,0)</f>
        <v>0</v>
      </c>
      <c r="AF76" s="54">
        <f>SUM(B76:AE76)</f>
        <v>8</v>
      </c>
      <c r="AW76" s="146"/>
    </row>
    <row r="77" spans="1:54" hidden="1" x14ac:dyDescent="0.2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60"/>
      <c r="AO77" s="60"/>
      <c r="AP77" s="60"/>
      <c r="AQ77" s="60"/>
      <c r="AR77" s="61"/>
      <c r="AS77" s="61"/>
      <c r="AT77" s="61"/>
      <c r="AU77" s="61"/>
      <c r="AV77" s="61"/>
      <c r="BB77" s="62"/>
    </row>
    <row r="78" spans="1:54" s="61" customFormat="1" hidden="1" x14ac:dyDescent="0.2">
      <c r="A78" s="63"/>
      <c r="B78" s="63"/>
      <c r="C78" s="63" t="s">
        <v>87</v>
      </c>
      <c r="D78" s="63">
        <v>1</v>
      </c>
      <c r="E78" s="63"/>
      <c r="F78" s="63"/>
      <c r="G78" s="63">
        <v>2</v>
      </c>
      <c r="H78" s="63"/>
      <c r="I78" s="63"/>
      <c r="J78" s="63">
        <v>3</v>
      </c>
      <c r="K78" s="63"/>
      <c r="L78" s="63"/>
      <c r="M78" s="63">
        <v>4</v>
      </c>
      <c r="N78" s="63"/>
      <c r="O78" s="63"/>
      <c r="P78" s="63">
        <v>5</v>
      </c>
      <c r="Q78" s="63"/>
      <c r="R78" s="63"/>
      <c r="S78" s="63">
        <v>6</v>
      </c>
      <c r="T78" s="63"/>
      <c r="U78" s="63"/>
      <c r="V78" s="63">
        <v>7</v>
      </c>
      <c r="W78" s="63"/>
      <c r="X78" s="63"/>
      <c r="Y78" s="63">
        <v>8</v>
      </c>
      <c r="Z78" s="63"/>
      <c r="AA78" s="63"/>
      <c r="AB78" s="63">
        <v>9</v>
      </c>
      <c r="AC78" s="63"/>
      <c r="AD78" s="63"/>
      <c r="AE78" s="63">
        <v>10</v>
      </c>
      <c r="AF78" s="4"/>
      <c r="AG78" s="63"/>
      <c r="AI78" s="64"/>
      <c r="AJ78" s="4"/>
      <c r="AK78" s="4"/>
      <c r="AL78" s="4"/>
      <c r="AM78" s="4"/>
      <c r="AN78" s="4"/>
      <c r="AO78" s="4"/>
      <c r="AT78" s="64" t="s">
        <v>88</v>
      </c>
      <c r="AW78" s="65"/>
      <c r="BB78" s="65"/>
    </row>
    <row r="79" spans="1:54" s="61" customFormat="1" hidden="1" x14ac:dyDescent="0.2">
      <c r="A79" s="66">
        <v>1</v>
      </c>
      <c r="B79" s="66" t="str">
        <f>E8</f>
        <v>Kershaw 13 Black</v>
      </c>
      <c r="C79" s="66">
        <f>VLOOKUP(B79,AU$3:AY$12,3,FALSE)</f>
        <v>1677.3980559149245</v>
      </c>
      <c r="D79" s="66">
        <f>IF(B72,B87,IF(D72,D87,C79))</f>
        <v>1677.3980559149245</v>
      </c>
      <c r="E79" s="66"/>
      <c r="F79" s="66"/>
      <c r="G79" s="66">
        <f>IF(E72,E87,IF(G72,G87,D79))</f>
        <v>1695.1429574492765</v>
      </c>
      <c r="H79" s="66"/>
      <c r="I79" s="66"/>
      <c r="J79" s="66">
        <f>IF(H72,H87,IF(J72,J87,G79))</f>
        <v>1695.1429574492765</v>
      </c>
      <c r="K79" s="66"/>
      <c r="L79" s="66"/>
      <c r="M79" s="66">
        <f>IF(K72,K87,IF(M72,M87,J79))</f>
        <v>1695.1429574492765</v>
      </c>
      <c r="N79" s="66"/>
      <c r="O79" s="66"/>
      <c r="P79" s="66">
        <f>IF(N72,N87,IF(P72,P87,M79))</f>
        <v>1722.107742305968</v>
      </c>
      <c r="Q79" s="66"/>
      <c r="R79" s="66"/>
      <c r="S79" s="66">
        <f>IF(Q72,Q87,IF(S72,S87,P79))</f>
        <v>1722.107742305968</v>
      </c>
      <c r="T79" s="66"/>
      <c r="U79" s="66"/>
      <c r="V79" s="66">
        <f>IF(T72,T87,IF(V72,V87,S79))</f>
        <v>1722.107742305968</v>
      </c>
      <c r="W79" s="66"/>
      <c r="X79" s="66"/>
      <c r="Y79" s="66">
        <f>IF(W72,W87,IF(Y72,Y87,V79))</f>
        <v>1747.7739203234185</v>
      </c>
      <c r="Z79" s="66"/>
      <c r="AA79" s="66"/>
      <c r="AB79" s="66">
        <f>IF(Z72,Z87,IF(AB72,AB87,Y79))</f>
        <v>1747.7739203234185</v>
      </c>
      <c r="AC79" s="66"/>
      <c r="AD79" s="66"/>
      <c r="AE79" s="66">
        <f>IF(AC72,AC87,IF(AE72,AE87,AB79))</f>
        <v>1758.354629044893</v>
      </c>
      <c r="AF79" s="4"/>
      <c r="AG79" s="4"/>
      <c r="AJ79" s="4"/>
      <c r="AK79" s="4"/>
      <c r="AL79" s="4"/>
      <c r="AM79" s="4"/>
      <c r="AN79" s="4"/>
      <c r="AO79" s="4"/>
      <c r="AT79" s="61" t="str">
        <f>B79</f>
        <v>Kershaw 13 Black</v>
      </c>
      <c r="AU79" s="61">
        <f>AE79</f>
        <v>1758.354629044893</v>
      </c>
      <c r="AW79" s="65"/>
      <c r="BB79" s="65"/>
    </row>
    <row r="80" spans="1:54" s="61" customFormat="1" hidden="1" x14ac:dyDescent="0.2">
      <c r="A80" s="66">
        <v>2</v>
      </c>
      <c r="B80" s="66" t="str">
        <f>E10</f>
        <v>CSRA Heat 13 Red</v>
      </c>
      <c r="C80" s="66">
        <f>VLOOKUP(B80,AU$3:AY$12,3,FALSE)</f>
        <v>1506.9929479813056</v>
      </c>
      <c r="D80" s="66">
        <f>IF(B73,B87,IF(D73,D87,C80))</f>
        <v>1483.8337356014617</v>
      </c>
      <c r="E80" s="66"/>
      <c r="F80" s="66"/>
      <c r="G80" s="66">
        <f>IF(E73,E87,IF(G73,G87,D80))</f>
        <v>1483.8337356014617</v>
      </c>
      <c r="H80" s="66"/>
      <c r="I80" s="66"/>
      <c r="J80" s="66">
        <f>IF(H73,H87,IF(J73,J87,G80))</f>
        <v>1483.8337356014617</v>
      </c>
      <c r="K80" s="66"/>
      <c r="L80" s="66"/>
      <c r="M80" s="66">
        <f>IF(K73,K87,IF(M73,M87,J80))</f>
        <v>1452.6979170097031</v>
      </c>
      <c r="N80" s="66"/>
      <c r="O80" s="66"/>
      <c r="P80" s="66">
        <f>IF(N73,N87,IF(P73,P87,M80))</f>
        <v>1452.6979170097031</v>
      </c>
      <c r="Q80" s="66"/>
      <c r="R80" s="66"/>
      <c r="S80" s="66">
        <f>IF(Q73,Q87,IF(S73,S87,P80))</f>
        <v>1452.6979170097031</v>
      </c>
      <c r="T80" s="66"/>
      <c r="U80" s="66"/>
      <c r="V80" s="66">
        <f>IF(T73,T87,IF(V73,V87,S80))</f>
        <v>1466.5005750806356</v>
      </c>
      <c r="W80" s="66"/>
      <c r="X80" s="66"/>
      <c r="Y80" s="66">
        <f>IF(W73,W87,IF(Y73,Y87,V80))</f>
        <v>1466.5005750806356</v>
      </c>
      <c r="Z80" s="66"/>
      <c r="AA80" s="66"/>
      <c r="AB80" s="66">
        <f>IF(Z73,Z87,IF(AB73,AB87,Y80))</f>
        <v>1466.5005750806356</v>
      </c>
      <c r="AC80" s="66"/>
      <c r="AD80" s="66"/>
      <c r="AE80" s="66">
        <f>IF(AC73,AC87,IF(AE73,AE87,AB80))</f>
        <v>1455.919866359161</v>
      </c>
      <c r="AF80" s="4"/>
      <c r="AG80" s="4"/>
      <c r="AJ80" s="4"/>
      <c r="AL80" s="4"/>
      <c r="AM80" s="4"/>
      <c r="AN80" s="4"/>
      <c r="AO80" s="4"/>
      <c r="AT80" s="61" t="str">
        <f>B80</f>
        <v>CSRA Heat 13 Red</v>
      </c>
      <c r="AU80" s="61">
        <f>AE80</f>
        <v>1455.919866359161</v>
      </c>
      <c r="AW80" s="65"/>
      <c r="BB80" s="65"/>
    </row>
    <row r="81" spans="1:54" s="61" customFormat="1" hidden="1" x14ac:dyDescent="0.2">
      <c r="A81" s="66">
        <v>3</v>
      </c>
      <c r="B81" s="66" t="str">
        <f>E12</f>
        <v>RHVC 13 Club Jade</v>
      </c>
      <c r="C81" s="66">
        <f>VLOOKUP(B81,AU$3:AY$12,3,FALSE)</f>
        <v>1641.1631745399584</v>
      </c>
      <c r="D81" s="66">
        <f>IF(B74,B87,IF(D74,D87,C81))</f>
        <v>1641.1631745399584</v>
      </c>
      <c r="E81" s="66"/>
      <c r="F81" s="66"/>
      <c r="G81" s="66">
        <f>IF(E74,E87,IF(G74,G87,D81))</f>
        <v>1641.1631745399584</v>
      </c>
      <c r="H81" s="66"/>
      <c r="I81" s="66"/>
      <c r="J81" s="66">
        <f>IF(H74,H87,IF(J74,J87,G81))</f>
        <v>1640.0157925147448</v>
      </c>
      <c r="K81" s="66"/>
      <c r="L81" s="66"/>
      <c r="M81" s="66">
        <f>IF(K74,K87,IF(M74,M87,J81))</f>
        <v>1640.0157925147448</v>
      </c>
      <c r="N81" s="66"/>
      <c r="O81" s="66"/>
      <c r="P81" s="66">
        <f>IF(N74,N87,IF(P74,P87,M81))</f>
        <v>1613.0510076580533</v>
      </c>
      <c r="Q81" s="66"/>
      <c r="R81" s="66"/>
      <c r="S81" s="66">
        <f>IF(Q74,Q87,IF(S74,S87,P81))</f>
        <v>1613.0510076580533</v>
      </c>
      <c r="T81" s="66"/>
      <c r="U81" s="66"/>
      <c r="V81" s="66">
        <f>IF(T74,T87,IF(V74,V87,S81))</f>
        <v>1599.2483495871209</v>
      </c>
      <c r="W81" s="66"/>
      <c r="X81" s="66"/>
      <c r="Y81" s="66">
        <f>IF(W74,W87,IF(Y74,Y87,V81))</f>
        <v>1599.2483495871209</v>
      </c>
      <c r="Z81" s="66"/>
      <c r="AA81" s="66"/>
      <c r="AB81" s="66">
        <f>IF(Z74,Z87,IF(AB74,AB87,Y81))</f>
        <v>1622.4997451731924</v>
      </c>
      <c r="AC81" s="66"/>
      <c r="AD81" s="66"/>
      <c r="AE81" s="66">
        <f>IF(AC74,AC87,IF(AE74,AE87,AB81))</f>
        <v>1622.4997451731924</v>
      </c>
      <c r="AF81" s="4"/>
      <c r="AG81" s="4"/>
      <c r="AJ81" s="4"/>
      <c r="AL81" s="4"/>
      <c r="AM81" s="4"/>
      <c r="AN81" s="4"/>
      <c r="AO81" s="4"/>
      <c r="AT81" s="61" t="str">
        <f>B81</f>
        <v>RHVC 13 Club Jade</v>
      </c>
      <c r="AU81" s="61">
        <f>AE81</f>
        <v>1622.4997451731924</v>
      </c>
      <c r="AW81" s="65"/>
      <c r="BB81" s="65"/>
    </row>
    <row r="82" spans="1:54" s="61" customFormat="1" hidden="1" x14ac:dyDescent="0.2">
      <c r="A82" s="66">
        <v>4</v>
      </c>
      <c r="B82" s="66" t="str">
        <f>E14</f>
        <v>MEVC13U</v>
      </c>
      <c r="C82" s="66">
        <f>VLOOKUP(B82,AU$3:AY$12,3,FALSE)</f>
        <v>1510.9636495195373</v>
      </c>
      <c r="D82" s="66">
        <f>IF(B75,B87,IF(D75,D87,C82))</f>
        <v>1510.9636495195373</v>
      </c>
      <c r="E82" s="66"/>
      <c r="F82" s="66"/>
      <c r="G82" s="66">
        <f>IF(E75,E87,IF(G75,G87,D82))</f>
        <v>1493.2187479851852</v>
      </c>
      <c r="H82" s="66"/>
      <c r="I82" s="66"/>
      <c r="J82" s="66">
        <f>IF(H75,H87,IF(J75,J87,G82))</f>
        <v>1493.2187479851852</v>
      </c>
      <c r="K82" s="66"/>
      <c r="L82" s="66"/>
      <c r="M82" s="66">
        <f>IF(K75,K87,IF(M75,M87,J82))</f>
        <v>1524.3545665769439</v>
      </c>
      <c r="N82" s="66"/>
      <c r="O82" s="66"/>
      <c r="P82" s="66">
        <f>IF(N75,N87,IF(P75,P87,M82))</f>
        <v>1524.3545665769439</v>
      </c>
      <c r="Q82" s="66"/>
      <c r="R82" s="66"/>
      <c r="S82" s="66">
        <f>IF(Q75,Q87,IF(S75,S87,P82))</f>
        <v>1501.7828638845965</v>
      </c>
      <c r="T82" s="66"/>
      <c r="U82" s="66"/>
      <c r="V82" s="66">
        <f>IF(T75,T87,IF(V75,V87,S82))</f>
        <v>1501.7828638845965</v>
      </c>
      <c r="W82" s="66"/>
      <c r="X82" s="66"/>
      <c r="Y82" s="66">
        <f>IF(W75,W87,IF(Y75,Y87,V82))</f>
        <v>1501.7828638845965</v>
      </c>
      <c r="Z82" s="66"/>
      <c r="AA82" s="66"/>
      <c r="AB82" s="66">
        <f>IF(Z75,Z87,IF(AB75,AB87,Y82))</f>
        <v>1478.5314682985249</v>
      </c>
      <c r="AC82" s="66"/>
      <c r="AD82" s="66"/>
      <c r="AE82" s="66">
        <f>IF(AC75,AC87,IF(AE75,AE87,AB82))</f>
        <v>1478.5314682985249</v>
      </c>
      <c r="AF82" s="4"/>
      <c r="AG82" s="4"/>
      <c r="AJ82" s="4"/>
      <c r="AL82" s="4"/>
      <c r="AM82" s="4"/>
      <c r="AN82" s="4"/>
      <c r="AO82" s="4"/>
      <c r="AT82" s="61" t="str">
        <f>B82</f>
        <v>MEVC13U</v>
      </c>
      <c r="AU82" s="61">
        <f>AE82</f>
        <v>1478.5314682985249</v>
      </c>
      <c r="AW82" s="65"/>
      <c r="BB82" s="65"/>
    </row>
    <row r="83" spans="1:54" s="61" customFormat="1" hidden="1" x14ac:dyDescent="0.2">
      <c r="A83" s="66">
        <v>5</v>
      </c>
      <c r="B83" s="66" t="str">
        <f>E16</f>
        <v>Chas Jrs 13 White</v>
      </c>
      <c r="C83" s="66">
        <f>VLOOKUP(B83,AU$3:AY$12,3,FALSE)</f>
        <v>1605.5410773854333</v>
      </c>
      <c r="D83" s="66">
        <f>IF(B76,B87,IF(D76,D87,C83))</f>
        <v>1628.7002897652771</v>
      </c>
      <c r="E83" s="66"/>
      <c r="F83" s="66"/>
      <c r="G83" s="66">
        <f>IF(E76,E87,IF(G76,G87,D83))</f>
        <v>1628.7002897652771</v>
      </c>
      <c r="H83" s="66"/>
      <c r="I83" s="66"/>
      <c r="J83" s="66">
        <f>IF(H76,H87,IF(J76,J87,G83))</f>
        <v>1629.8476717904907</v>
      </c>
      <c r="K83" s="66"/>
      <c r="L83" s="66"/>
      <c r="M83" s="66">
        <f>IF(K76,K87,IF(M76,M87,J83))</f>
        <v>1629.8476717904907</v>
      </c>
      <c r="N83" s="66"/>
      <c r="O83" s="66"/>
      <c r="P83" s="66">
        <f>IF(N76,N87,IF(P76,P87,M83))</f>
        <v>1629.8476717904907</v>
      </c>
      <c r="Q83" s="66"/>
      <c r="R83" s="66"/>
      <c r="S83" s="66">
        <f>IF(Q76,Q87,IF(S76,S87,P83))</f>
        <v>1652.4193744828381</v>
      </c>
      <c r="T83" s="66"/>
      <c r="U83" s="66"/>
      <c r="V83" s="66">
        <f>IF(T76,T87,IF(V76,V87,S83))</f>
        <v>1652.4193744828381</v>
      </c>
      <c r="W83" s="66"/>
      <c r="X83" s="66"/>
      <c r="Y83" s="66">
        <f>IF(W76,W87,IF(Y76,Y87,V83))</f>
        <v>1626.7531964653876</v>
      </c>
      <c r="Z83" s="66"/>
      <c r="AA83" s="66"/>
      <c r="AB83" s="66">
        <f>IF(Z76,Z87,IF(AB76,AB87,Y83))</f>
        <v>1626.7531964653876</v>
      </c>
      <c r="AC83" s="66"/>
      <c r="AD83" s="66"/>
      <c r="AE83" s="66">
        <f>IF(AC76,AC87,IF(AE76,AE87,AB83))</f>
        <v>1626.7531964653876</v>
      </c>
      <c r="AF83" s="4"/>
      <c r="AG83" s="4"/>
      <c r="AJ83" s="4"/>
      <c r="AL83" s="4"/>
      <c r="AM83" s="4"/>
      <c r="AN83" s="4"/>
      <c r="AO83" s="4"/>
      <c r="AT83" s="61" t="str">
        <f>B83</f>
        <v>Chas Jrs 13 White</v>
      </c>
      <c r="AU83" s="61">
        <f>AE83</f>
        <v>1626.7531964653876</v>
      </c>
      <c r="AW83" s="65"/>
      <c r="BB83" s="65"/>
    </row>
    <row r="84" spans="1:54" s="61" customFormat="1" hidden="1" x14ac:dyDescent="0.2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4"/>
      <c r="AG84" s="4"/>
      <c r="AJ84" s="4"/>
      <c r="AL84" s="4"/>
      <c r="AM84" s="4"/>
      <c r="AN84" s="4"/>
      <c r="AO84" s="4"/>
      <c r="AW84" s="65"/>
      <c r="BB84" s="65"/>
    </row>
    <row r="85" spans="1:54" s="61" customFormat="1" hidden="1" x14ac:dyDescent="0.2">
      <c r="A85" s="66" t="s">
        <v>89</v>
      </c>
      <c r="B85" s="66">
        <f>VLOOKUP(B24,$A79:$AE83,3,FALSE)</f>
        <v>1506.9929479813056</v>
      </c>
      <c r="C85" s="66">
        <v>1</v>
      </c>
      <c r="D85" s="66">
        <f>VLOOKUP(D24,$A79:$AE83,3,FALSE)</f>
        <v>1605.5410773854333</v>
      </c>
      <c r="E85" s="66">
        <f>VLOOKUP(E24,$A79:$AE83,4,FALSE)</f>
        <v>1677.3980559149245</v>
      </c>
      <c r="F85" s="66">
        <v>2</v>
      </c>
      <c r="G85" s="66">
        <f>VLOOKUP(G24,$A79:$AE83,4,FALSE)</f>
        <v>1510.9636495195373</v>
      </c>
      <c r="H85" s="66">
        <f>VLOOKUP(H24,$A79:$AE83,7,FALSE)</f>
        <v>1641.1631745399584</v>
      </c>
      <c r="I85" s="66">
        <v>3</v>
      </c>
      <c r="J85" s="66">
        <f>VLOOKUP(J24,$A79:$AE83,7,FALSE)</f>
        <v>1628.7002897652771</v>
      </c>
      <c r="K85" s="66">
        <f>VLOOKUP(K24,$A79:$AE83,10,FALSE)</f>
        <v>1483.8337356014617</v>
      </c>
      <c r="L85" s="66">
        <v>4</v>
      </c>
      <c r="M85" s="66">
        <f>VLOOKUP(M24,$A79:$AE83,10,FALSE)</f>
        <v>1493.2187479851852</v>
      </c>
      <c r="N85" s="66">
        <f>VLOOKUP(N24,$A79:$AE83,13,FALSE)</f>
        <v>1695.1429574492765</v>
      </c>
      <c r="O85" s="66">
        <v>5</v>
      </c>
      <c r="P85" s="66">
        <f>VLOOKUP(P24,$A79:$AE83,13,FALSE)</f>
        <v>1640.0157925147448</v>
      </c>
      <c r="Q85" s="66">
        <f>VLOOKUP(Q24,$A79:$AE83,16,FALSE)</f>
        <v>1524.3545665769439</v>
      </c>
      <c r="R85" s="66">
        <v>6</v>
      </c>
      <c r="S85" s="66">
        <f>VLOOKUP(S24,$A79:$AE83,16,FALSE)</f>
        <v>1629.8476717904907</v>
      </c>
      <c r="T85" s="66">
        <f>VLOOKUP(T24,$A79:$AE83,19,FALSE)</f>
        <v>1452.6979170097031</v>
      </c>
      <c r="U85" s="66">
        <v>7</v>
      </c>
      <c r="V85" s="66">
        <f>VLOOKUP(V24,$A79:$AE83,19,FALSE)</f>
        <v>1613.0510076580533</v>
      </c>
      <c r="W85" s="66">
        <f>VLOOKUP(W24,$A79:$AE83,22,FALSE)</f>
        <v>1722.107742305968</v>
      </c>
      <c r="X85" s="66">
        <v>8</v>
      </c>
      <c r="Y85" s="66">
        <f>VLOOKUP(Y24,$A79:$AE83,22,FALSE)</f>
        <v>1652.4193744828381</v>
      </c>
      <c r="Z85" s="66">
        <f>VLOOKUP(Z24,$A79:$AE83,25,FALSE)</f>
        <v>1599.2483495871209</v>
      </c>
      <c r="AA85" s="66">
        <v>9</v>
      </c>
      <c r="AB85" s="66">
        <f>VLOOKUP(AB24,$A79:$AE83,25,FALSE)</f>
        <v>1501.7828638845965</v>
      </c>
      <c r="AC85" s="66">
        <f>VLOOKUP(AC24,$A79:$AE83,28,FALSE)</f>
        <v>1747.7739203234185</v>
      </c>
      <c r="AD85" s="66">
        <v>10</v>
      </c>
      <c r="AE85" s="66">
        <f>VLOOKUP(AE24,$A79:$AE83,28,FALSE)</f>
        <v>1466.5005750806356</v>
      </c>
      <c r="AF85" s="4"/>
      <c r="AG85" s="59"/>
      <c r="AH85" s="59"/>
      <c r="AI85" s="59"/>
      <c r="AJ85" s="59"/>
      <c r="AK85" s="59"/>
      <c r="AL85" s="59"/>
      <c r="AM85" s="59"/>
      <c r="AN85" s="60"/>
      <c r="AO85" s="60"/>
      <c r="AP85" s="60"/>
      <c r="AQ85" s="60"/>
      <c r="AW85" s="65"/>
      <c r="BB85" s="65"/>
    </row>
    <row r="86" spans="1:54" s="71" customFormat="1" hidden="1" x14ac:dyDescent="0.2">
      <c r="A86" s="67" t="s">
        <v>90</v>
      </c>
      <c r="B86" s="67">
        <f>1/(1+(10^-((B85-D85)/400)))*(B36+D36)</f>
        <v>0.72372538687011922</v>
      </c>
      <c r="C86" s="67"/>
      <c r="D86" s="67">
        <f>1/(1+(10^-((D85-B85)/400)))*(B36+D36)</f>
        <v>1.2762746131298808</v>
      </c>
      <c r="E86" s="67">
        <f>1/(1+(10^-((E85-G85)/400)))*(E36+G36)</f>
        <v>1.4454718270515003</v>
      </c>
      <c r="F86" s="67"/>
      <c r="G86" s="67">
        <f>1/(1+(10^-((G85-E85)/400)))*(E36+G36)</f>
        <v>0.55452817294849943</v>
      </c>
      <c r="H86" s="67">
        <f>1/(1+(10^-((H85-J85)/400)))*(H36+J36)</f>
        <v>1.0358556882879257</v>
      </c>
      <c r="I86" s="67"/>
      <c r="J86" s="67">
        <f>1/(1+(10^-((J85-H85)/400)))*(H36+J36)</f>
        <v>0.96414431171207415</v>
      </c>
      <c r="K86" s="67">
        <f>1/(1+(10^-((K85-M85)/400)))*(K36+M36)</f>
        <v>0.97299433099245913</v>
      </c>
      <c r="L86" s="67"/>
      <c r="M86" s="67">
        <f>1/(1+(10^-((M85-K85)/400)))*(K36+M36)</f>
        <v>1.0270056690075406</v>
      </c>
      <c r="N86" s="67">
        <f>1/(1+(10^-((N85-P85)/400)))*(N36+P36)</f>
        <v>1.1573504732283939</v>
      </c>
      <c r="O86" s="67"/>
      <c r="P86" s="67">
        <f>1/(1+(10^-((P85-N85)/400)))*(N36+P36)</f>
        <v>0.84264952677160609</v>
      </c>
      <c r="Q86" s="67">
        <f>1/(1+(10^-((Q85-S85)/400)))*(Q36+S36)</f>
        <v>0.70536570913585184</v>
      </c>
      <c r="R86" s="67"/>
      <c r="S86" s="67">
        <f>1/(1+(10^-((S85-Q85)/400)))*(Q36+S36)</f>
        <v>1.2946342908641482</v>
      </c>
      <c r="T86" s="67">
        <f>1/(1+(10^-((T85-V85)/400)))*(T36+V36)</f>
        <v>0.56866693528336165</v>
      </c>
      <c r="U86" s="67"/>
      <c r="V86" s="67">
        <f>1/(1+(10^-((V85-T85)/400)))*(T36+V36)</f>
        <v>1.4313330647166385</v>
      </c>
      <c r="W86" s="67">
        <f>1/(1+(10^-((W85-Y85)/400)))*(W36+Y36)</f>
        <v>1.1979319369546753</v>
      </c>
      <c r="X86" s="67"/>
      <c r="Y86" s="67">
        <f>1/(1+(10^-((Y85-W85)/400)))*(W36+Y36)</f>
        <v>0.80206806304532485</v>
      </c>
      <c r="Z86" s="67">
        <f>1/(1+(10^-((Z85-AB85)/400)))*(Z36+AB36)</f>
        <v>1.27339388793526</v>
      </c>
      <c r="AA86" s="67"/>
      <c r="AB86" s="67">
        <f>1/(1+(10^-((AB85-Z85)/400)))*(Z36+AB36)</f>
        <v>0.72660611206473991</v>
      </c>
      <c r="AC86" s="67">
        <f>1/(1+(10^-((AC85-AE85)/400)))*(AC36+AE36)</f>
        <v>1.6693528524539212</v>
      </c>
      <c r="AD86" s="67"/>
      <c r="AE86" s="67">
        <f>1/(1+(10^-((AE85-AC85)/400)))*(AC36+AE36)</f>
        <v>0.33064714754607893</v>
      </c>
      <c r="AF86" s="68"/>
      <c r="AG86" s="69"/>
      <c r="AH86" s="69"/>
      <c r="AI86" s="69"/>
      <c r="AJ86" s="69"/>
      <c r="AK86" s="69"/>
      <c r="AL86" s="69"/>
      <c r="AM86" s="69"/>
      <c r="AN86" s="70"/>
      <c r="AO86" s="70"/>
      <c r="AP86" s="70"/>
      <c r="AQ86" s="70"/>
      <c r="AW86" s="72"/>
      <c r="BB86" s="72"/>
    </row>
    <row r="87" spans="1:54" s="77" customFormat="1" hidden="1" x14ac:dyDescent="0.2">
      <c r="A87" s="73" t="s">
        <v>91</v>
      </c>
      <c r="B87" s="73">
        <f>B85+(B36-B86)*$BA$1</f>
        <v>1483.8337356014617</v>
      </c>
      <c r="C87" s="73"/>
      <c r="D87" s="73">
        <f>D85+(D36-D86)*$BA$1</f>
        <v>1628.7002897652771</v>
      </c>
      <c r="E87" s="73">
        <f>E85+(E36-E86)*$BA$1</f>
        <v>1695.1429574492765</v>
      </c>
      <c r="F87" s="73"/>
      <c r="G87" s="73">
        <f>G85+(G36-G86)*$BA$1</f>
        <v>1493.2187479851852</v>
      </c>
      <c r="H87" s="73">
        <f>H85+(H36-H86)*$BA$1</f>
        <v>1640.0157925147448</v>
      </c>
      <c r="I87" s="73"/>
      <c r="J87" s="73">
        <f>J85+(J36-J86)*$BA$1</f>
        <v>1629.8476717904907</v>
      </c>
      <c r="K87" s="73">
        <f>K85+(K36-K86)*$BA$1</f>
        <v>1452.6979170097031</v>
      </c>
      <c r="L87" s="73"/>
      <c r="M87" s="73">
        <f>M85+(M36-M86)*$BA$1</f>
        <v>1524.3545665769439</v>
      </c>
      <c r="N87" s="73">
        <f>N85+(N36-N86)*$BA$1</f>
        <v>1722.107742305968</v>
      </c>
      <c r="O87" s="73"/>
      <c r="P87" s="73">
        <f>P85+(P36-P86)*$BA$1</f>
        <v>1613.0510076580533</v>
      </c>
      <c r="Q87" s="73">
        <f>Q85+(Q36-Q86)*$BA$1</f>
        <v>1501.7828638845965</v>
      </c>
      <c r="R87" s="73"/>
      <c r="S87" s="73">
        <f>S85+(S36-S86)*$BA$1</f>
        <v>1652.4193744828381</v>
      </c>
      <c r="T87" s="73">
        <f>T85+(T36-T86)*$BA$1</f>
        <v>1466.5005750806356</v>
      </c>
      <c r="U87" s="73"/>
      <c r="V87" s="73">
        <f>V85+(V36-V86)*$BA$1</f>
        <v>1599.2483495871209</v>
      </c>
      <c r="W87" s="73">
        <f>W85+(W36-W86)*$BA$1</f>
        <v>1747.7739203234185</v>
      </c>
      <c r="X87" s="73"/>
      <c r="Y87" s="73">
        <f>Y85+(Y36-Y86)*$BA$1</f>
        <v>1626.7531964653876</v>
      </c>
      <c r="Z87" s="73">
        <f>Z85+(Z36-Z86)*$BA$1</f>
        <v>1622.4997451731924</v>
      </c>
      <c r="AA87" s="73"/>
      <c r="AB87" s="73">
        <f>AB85+(AB36-AB86)*$BA$1</f>
        <v>1478.5314682985249</v>
      </c>
      <c r="AC87" s="73">
        <f>AC85+(AC36-AC86)*$BA$1</f>
        <v>1758.354629044893</v>
      </c>
      <c r="AD87" s="73"/>
      <c r="AE87" s="73">
        <f>AE85+(AE36-AE86)*$BA$1</f>
        <v>1455.919866359161</v>
      </c>
      <c r="AF87" s="74"/>
      <c r="AG87" s="75"/>
      <c r="AH87" s="75"/>
      <c r="AI87" s="75"/>
      <c r="AJ87" s="75"/>
      <c r="AK87" s="75"/>
      <c r="AL87" s="75"/>
      <c r="AM87" s="75"/>
      <c r="AN87" s="76"/>
      <c r="AO87" s="76"/>
      <c r="AP87" s="76"/>
      <c r="AQ87" s="76"/>
      <c r="AW87" s="78"/>
      <c r="BB87" s="78"/>
    </row>
    <row r="88" spans="1:54" s="77" customFormat="1" hidden="1" x14ac:dyDescent="0.2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4"/>
      <c r="AG88" s="75"/>
      <c r="AH88" s="75"/>
      <c r="AI88" s="75"/>
      <c r="AJ88" s="75"/>
      <c r="AK88" s="75"/>
      <c r="AL88" s="75"/>
      <c r="AM88" s="75"/>
      <c r="AN88" s="76"/>
      <c r="AO88" s="76"/>
      <c r="AP88" s="76"/>
      <c r="AQ88" s="76"/>
      <c r="AW88" s="78"/>
      <c r="BB88" s="78"/>
    </row>
    <row r="89" spans="1:54" s="61" customFormat="1" x14ac:dyDescent="0.2">
      <c r="A89" s="790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790"/>
      <c r="C89" s="790"/>
      <c r="D89" s="790"/>
      <c r="E89" s="790"/>
      <c r="F89" s="790"/>
      <c r="G89" s="790"/>
      <c r="H89" s="790"/>
      <c r="I89" s="790"/>
      <c r="J89" s="790"/>
      <c r="K89" s="790"/>
      <c r="L89" s="790"/>
      <c r="M89" s="790"/>
      <c r="N89" s="790"/>
      <c r="O89" s="790"/>
      <c r="P89" s="790"/>
      <c r="Q89" s="790"/>
      <c r="R89" s="790"/>
      <c r="S89" s="790"/>
      <c r="T89" s="790"/>
      <c r="U89" s="790"/>
      <c r="V89" s="790"/>
      <c r="W89" s="790"/>
      <c r="X89" s="790"/>
      <c r="Y89" s="790"/>
      <c r="Z89" s="790"/>
      <c r="AA89" s="790"/>
      <c r="AB89" s="790"/>
      <c r="AC89" s="790"/>
      <c r="AD89" s="790"/>
      <c r="AE89" s="790"/>
      <c r="AF89" s="790"/>
      <c r="AG89" s="790"/>
      <c r="AH89" s="790"/>
      <c r="AI89" s="790"/>
      <c r="AJ89" s="790"/>
      <c r="AK89" s="790"/>
      <c r="AL89" s="790"/>
      <c r="AM89" s="790"/>
      <c r="AN89" s="768"/>
      <c r="AO89" s="768"/>
      <c r="AP89" s="768"/>
      <c r="AQ89" s="768"/>
      <c r="AW89" s="65"/>
    </row>
    <row r="90" spans="1:54" s="61" customFormat="1" ht="13.5" thickBot="1" x14ac:dyDescent="0.25">
      <c r="A90" s="791"/>
      <c r="B90" s="791"/>
      <c r="C90" s="791"/>
      <c r="D90" s="791"/>
      <c r="E90" s="791"/>
      <c r="F90" s="791"/>
      <c r="G90" s="791"/>
      <c r="H90" s="791"/>
      <c r="I90" s="791"/>
      <c r="J90" s="791"/>
      <c r="K90" s="791"/>
      <c r="L90" s="791"/>
      <c r="M90" s="791"/>
      <c r="N90" s="791"/>
      <c r="O90" s="791"/>
      <c r="P90" s="791"/>
      <c r="Q90" s="791"/>
      <c r="R90" s="791"/>
      <c r="S90" s="791"/>
      <c r="T90" s="791"/>
      <c r="U90" s="791"/>
      <c r="V90" s="791"/>
      <c r="W90" s="791"/>
      <c r="X90" s="791"/>
      <c r="Y90" s="791"/>
      <c r="Z90" s="791"/>
      <c r="AA90" s="791"/>
      <c r="AB90" s="791"/>
      <c r="AC90" s="791"/>
      <c r="AD90" s="791"/>
      <c r="AE90" s="791"/>
      <c r="AF90" s="791"/>
      <c r="AG90" s="791"/>
      <c r="AH90" s="791"/>
      <c r="AI90" s="791"/>
      <c r="AJ90" s="791"/>
      <c r="AK90" s="791"/>
      <c r="AL90" s="791"/>
      <c r="AM90" s="791"/>
      <c r="AN90" s="791"/>
      <c r="AO90" s="791"/>
      <c r="AP90" s="791"/>
      <c r="AQ90" s="791"/>
      <c r="AW90" s="65"/>
    </row>
    <row r="91" spans="1:54" ht="24" customHeight="1" thickBot="1" x14ac:dyDescent="0.25">
      <c r="A91" s="22" t="s">
        <v>22</v>
      </c>
      <c r="B91" s="23" t="s">
        <v>92</v>
      </c>
      <c r="C91" s="862" t="s">
        <v>24</v>
      </c>
      <c r="D91" s="863"/>
      <c r="E91" s="863"/>
      <c r="F91" s="863"/>
      <c r="G91" s="863"/>
      <c r="H91" s="864"/>
      <c r="I91" s="865">
        <v>2</v>
      </c>
      <c r="J91" s="866"/>
      <c r="K91" s="867" t="str">
        <f>"Pool "&amp;B91&amp;" - Round 1 - Court "&amp;I91</f>
        <v>Pool B - Round 1 - Court 2</v>
      </c>
      <c r="L91" s="868"/>
      <c r="M91" s="868"/>
      <c r="N91" s="868"/>
      <c r="O91" s="868"/>
      <c r="P91" s="868"/>
      <c r="Q91" s="868"/>
      <c r="R91" s="868"/>
      <c r="S91" s="868"/>
      <c r="T91" s="868"/>
      <c r="U91" s="868"/>
      <c r="V91" s="868"/>
      <c r="W91" s="868"/>
      <c r="X91" s="868"/>
      <c r="Y91" s="868"/>
      <c r="Z91" s="868"/>
      <c r="AA91" s="868"/>
      <c r="AB91" s="868"/>
      <c r="AC91" s="868"/>
      <c r="AD91" s="868"/>
      <c r="AE91" s="868"/>
      <c r="AF91" s="868"/>
      <c r="AG91" s="868"/>
      <c r="AH91" s="868"/>
      <c r="AI91" s="869"/>
      <c r="AJ91" s="11"/>
      <c r="AK91" s="11"/>
      <c r="AL91" s="11"/>
      <c r="AM91" s="11"/>
      <c r="AN91" s="11"/>
      <c r="AO91" s="11"/>
      <c r="AP91" s="11"/>
      <c r="AQ91" s="11"/>
    </row>
    <row r="92" spans="1:54" ht="27" customHeight="1" thickBot="1" x14ac:dyDescent="0.25">
      <c r="A92" s="24" t="s">
        <v>25</v>
      </c>
      <c r="B92" s="870" t="s">
        <v>7</v>
      </c>
      <c r="C92" s="871"/>
      <c r="D92" s="871"/>
      <c r="E92" s="871"/>
      <c r="F92" s="871"/>
      <c r="G92" s="871"/>
      <c r="H92" s="871"/>
      <c r="I92" s="871"/>
      <c r="J92" s="871"/>
      <c r="K92" s="871"/>
      <c r="L92" s="870" t="str">
        <f>IF($AK95=0,"Games Won","Matches Won")</f>
        <v>Games Won</v>
      </c>
      <c r="M92" s="871"/>
      <c r="N92" s="871"/>
      <c r="O92" s="871"/>
      <c r="P92" s="871"/>
      <c r="Q92" s="872"/>
      <c r="R92" s="870" t="str">
        <f>IF($AK95=0,"Games Lost","Matches Lost")</f>
        <v>Games Lost</v>
      </c>
      <c r="S92" s="873"/>
      <c r="T92" s="873"/>
      <c r="U92" s="873"/>
      <c r="V92" s="874"/>
      <c r="W92" s="875" t="s">
        <v>26</v>
      </c>
      <c r="X92" s="876"/>
      <c r="Y92" s="877"/>
      <c r="Z92" s="875" t="s">
        <v>27</v>
      </c>
      <c r="AA92" s="876"/>
      <c r="AB92" s="877"/>
      <c r="AC92" s="878" t="s">
        <v>28</v>
      </c>
      <c r="AD92" s="879"/>
      <c r="AE92" s="880"/>
      <c r="AF92" s="25" t="s">
        <v>29</v>
      </c>
      <c r="AG92" s="26" t="s">
        <v>6</v>
      </c>
      <c r="AH92" s="860" t="s">
        <v>30</v>
      </c>
      <c r="AI92" s="861"/>
      <c r="AJ92" s="27"/>
      <c r="AK92" s="28">
        <v>2</v>
      </c>
      <c r="AL92" s="29" t="s">
        <v>31</v>
      </c>
      <c r="AM92" s="29"/>
      <c r="AN92" s="29"/>
      <c r="AO92" s="29"/>
      <c r="AP92" s="29"/>
      <c r="AQ92" s="29"/>
      <c r="AR92" s="30"/>
    </row>
    <row r="93" spans="1:54" ht="18.75" customHeight="1" x14ac:dyDescent="0.2">
      <c r="A93" s="829" t="str">
        <f>IF($AK94&gt;0,"1","")</f>
        <v>1</v>
      </c>
      <c r="B93" s="857" t="s">
        <v>7</v>
      </c>
      <c r="C93" s="858"/>
      <c r="D93" s="859"/>
      <c r="E93" s="833" t="str">
        <f>AU4</f>
        <v>MBVC 13 Red</v>
      </c>
      <c r="F93" s="834"/>
      <c r="G93" s="834"/>
      <c r="H93" s="834"/>
      <c r="I93" s="834"/>
      <c r="J93" s="834"/>
      <c r="K93" s="835"/>
      <c r="L93" s="836">
        <f>IF($AK95=0,AF149,AF131)</f>
        <v>3</v>
      </c>
      <c r="M93" s="837"/>
      <c r="N93" s="837"/>
      <c r="O93" s="837"/>
      <c r="P93" s="837"/>
      <c r="Q93" s="872"/>
      <c r="R93" s="836">
        <f>IF($AK95=0,AG149,AG131)</f>
        <v>5</v>
      </c>
      <c r="S93" s="837"/>
      <c r="T93" s="837"/>
      <c r="U93" s="837"/>
      <c r="V93" s="837"/>
      <c r="W93" s="836">
        <f>AQ109</f>
        <v>-5</v>
      </c>
      <c r="X93" s="837"/>
      <c r="Y93" s="837"/>
      <c r="Z93" s="809">
        <f>IF(AF143&gt;0,(AQ109/AF143),0)</f>
        <v>-2.4752475247524754E-2</v>
      </c>
      <c r="AA93" s="810"/>
      <c r="AB93" s="810"/>
      <c r="AC93" s="813">
        <f>IF(AF157=0,0,(AF149/AF157))</f>
        <v>0.375</v>
      </c>
      <c r="AD93" s="814"/>
      <c r="AE93" s="815"/>
      <c r="AF93" s="819">
        <v>4</v>
      </c>
      <c r="AG93" s="819">
        <v>3</v>
      </c>
      <c r="AH93" s="821">
        <v>7</v>
      </c>
      <c r="AI93" s="822"/>
      <c r="AJ93" s="27"/>
      <c r="AK93" s="28">
        <v>10</v>
      </c>
      <c r="AL93" s="29" t="s">
        <v>32</v>
      </c>
      <c r="AM93" s="29"/>
      <c r="AN93" s="29"/>
      <c r="AO93" s="29"/>
      <c r="AP93" s="29"/>
      <c r="AQ93" s="29"/>
      <c r="AR93" s="30"/>
    </row>
    <row r="94" spans="1:54" ht="18.75" customHeight="1" thickBot="1" x14ac:dyDescent="0.25">
      <c r="A94" s="830"/>
      <c r="B94" s="854" t="s">
        <v>8</v>
      </c>
      <c r="C94" s="855"/>
      <c r="D94" s="856"/>
      <c r="E94" s="850" t="str">
        <f>AV4</f>
        <v>fj3mbeac1pm</v>
      </c>
      <c r="F94" s="851"/>
      <c r="G94" s="851"/>
      <c r="H94" s="851"/>
      <c r="I94" s="851"/>
      <c r="J94" s="851"/>
      <c r="K94" s="851"/>
      <c r="L94" s="852"/>
      <c r="M94" s="853"/>
      <c r="N94" s="853"/>
      <c r="O94" s="853"/>
      <c r="P94" s="853"/>
      <c r="Q94" s="872"/>
      <c r="R94" s="852"/>
      <c r="S94" s="853"/>
      <c r="T94" s="853"/>
      <c r="U94" s="853"/>
      <c r="V94" s="853"/>
      <c r="W94" s="852"/>
      <c r="X94" s="853"/>
      <c r="Y94" s="853"/>
      <c r="Z94" s="840"/>
      <c r="AA94" s="841"/>
      <c r="AB94" s="841"/>
      <c r="AC94" s="842"/>
      <c r="AD94" s="843"/>
      <c r="AE94" s="844"/>
      <c r="AF94" s="845"/>
      <c r="AG94" s="845"/>
      <c r="AH94" s="846"/>
      <c r="AI94" s="847"/>
      <c r="AJ94" s="27"/>
      <c r="AK94" s="28">
        <v>5</v>
      </c>
      <c r="AL94" s="29" t="s">
        <v>33</v>
      </c>
      <c r="AM94" s="27"/>
      <c r="AN94" s="27"/>
      <c r="AO94" s="27"/>
      <c r="AP94" s="27"/>
      <c r="AQ94" s="27"/>
      <c r="AR94" s="3"/>
    </row>
    <row r="95" spans="1:54" ht="18.75" customHeight="1" x14ac:dyDescent="0.2">
      <c r="A95" s="829" t="str">
        <f>IF($AK94&gt;1,"2","")</f>
        <v>2</v>
      </c>
      <c r="B95" s="857" t="s">
        <v>7</v>
      </c>
      <c r="C95" s="858"/>
      <c r="D95" s="859"/>
      <c r="E95" s="833" t="str">
        <f>AU5</f>
        <v>High Velocity 13's</v>
      </c>
      <c r="F95" s="834"/>
      <c r="G95" s="834"/>
      <c r="H95" s="834"/>
      <c r="I95" s="834"/>
      <c r="J95" s="834"/>
      <c r="K95" s="835"/>
      <c r="L95" s="836">
        <f>IF($AK95=0,AF150,AF132)</f>
        <v>2</v>
      </c>
      <c r="M95" s="837"/>
      <c r="N95" s="837"/>
      <c r="O95" s="837"/>
      <c r="P95" s="837"/>
      <c r="Q95" s="872"/>
      <c r="R95" s="836">
        <f>IF($AK95=0,AG150,AG132)</f>
        <v>6</v>
      </c>
      <c r="S95" s="837"/>
      <c r="T95" s="837"/>
      <c r="U95" s="837"/>
      <c r="V95" s="837"/>
      <c r="W95" s="836">
        <f>AQ110</f>
        <v>-27</v>
      </c>
      <c r="X95" s="837"/>
      <c r="Y95" s="837"/>
      <c r="Z95" s="809">
        <f>IF(AF144&gt;0,(AQ110/AF144),0)</f>
        <v>-0.13500000000000001</v>
      </c>
      <c r="AA95" s="810"/>
      <c r="AB95" s="810"/>
      <c r="AC95" s="813">
        <f>IF(AF158=0,0,(AF150/AF158))</f>
        <v>0.25</v>
      </c>
      <c r="AD95" s="814"/>
      <c r="AE95" s="815"/>
      <c r="AF95" s="819">
        <v>5</v>
      </c>
      <c r="AG95" s="819">
        <v>1</v>
      </c>
      <c r="AH95" s="821">
        <v>9</v>
      </c>
      <c r="AI95" s="822"/>
      <c r="AJ95" s="27"/>
      <c r="AK95" s="28">
        <v>0</v>
      </c>
      <c r="AL95" s="29" t="s">
        <v>34</v>
      </c>
      <c r="AM95" s="29"/>
      <c r="AN95" s="29"/>
      <c r="AO95" s="29"/>
      <c r="AP95" s="29"/>
      <c r="AQ95" s="29"/>
      <c r="AR95" s="30"/>
    </row>
    <row r="96" spans="1:54" ht="18.75" customHeight="1" thickBot="1" x14ac:dyDescent="0.25">
      <c r="A96" s="830"/>
      <c r="B96" s="848" t="s">
        <v>8</v>
      </c>
      <c r="C96" s="849"/>
      <c r="D96" s="849"/>
      <c r="E96" s="850" t="str">
        <f>AV5</f>
        <v>fj3hvelo1pm</v>
      </c>
      <c r="F96" s="851"/>
      <c r="G96" s="851"/>
      <c r="H96" s="851"/>
      <c r="I96" s="851"/>
      <c r="J96" s="851"/>
      <c r="K96" s="851"/>
      <c r="L96" s="852"/>
      <c r="M96" s="853"/>
      <c r="N96" s="853"/>
      <c r="O96" s="853"/>
      <c r="P96" s="853"/>
      <c r="Q96" s="872"/>
      <c r="R96" s="852"/>
      <c r="S96" s="853"/>
      <c r="T96" s="853"/>
      <c r="U96" s="853"/>
      <c r="V96" s="853"/>
      <c r="W96" s="852"/>
      <c r="X96" s="853"/>
      <c r="Y96" s="853"/>
      <c r="Z96" s="840"/>
      <c r="AA96" s="841"/>
      <c r="AB96" s="841"/>
      <c r="AC96" s="842"/>
      <c r="AD96" s="843"/>
      <c r="AE96" s="844"/>
      <c r="AF96" s="845"/>
      <c r="AG96" s="845"/>
      <c r="AH96" s="846"/>
      <c r="AI96" s="847"/>
      <c r="AJ96" s="27"/>
      <c r="AK96" s="28">
        <v>1</v>
      </c>
      <c r="AL96" s="29" t="s">
        <v>35</v>
      </c>
      <c r="AM96" s="27"/>
      <c r="AN96" s="27"/>
      <c r="AO96" s="27"/>
      <c r="AP96" s="27"/>
      <c r="AQ96" s="27"/>
      <c r="AR96" s="3"/>
    </row>
    <row r="97" spans="1:44" ht="18.75" customHeight="1" x14ac:dyDescent="0.2">
      <c r="A97" s="829" t="str">
        <f>IF($AK94&gt;2,"3","")</f>
        <v>3</v>
      </c>
      <c r="B97" s="831" t="s">
        <v>7</v>
      </c>
      <c r="C97" s="832"/>
      <c r="D97" s="832"/>
      <c r="E97" s="833" t="str">
        <f>AU8</f>
        <v>Sumter VBC 13</v>
      </c>
      <c r="F97" s="834"/>
      <c r="G97" s="834"/>
      <c r="H97" s="834"/>
      <c r="I97" s="834"/>
      <c r="J97" s="834"/>
      <c r="K97" s="835"/>
      <c r="L97" s="836">
        <f>IF($AK95=0,AF151,AF133)</f>
        <v>6</v>
      </c>
      <c r="M97" s="837"/>
      <c r="N97" s="837"/>
      <c r="O97" s="837"/>
      <c r="P97" s="837"/>
      <c r="Q97" s="872"/>
      <c r="R97" s="836">
        <f>IF($AK95=0,AG151,AG133)</f>
        <v>2</v>
      </c>
      <c r="S97" s="837"/>
      <c r="T97" s="837"/>
      <c r="U97" s="837"/>
      <c r="V97" s="837"/>
      <c r="W97" s="836">
        <f>AQ111</f>
        <v>36</v>
      </c>
      <c r="X97" s="837"/>
      <c r="Y97" s="837"/>
      <c r="Z97" s="809">
        <f>IF(AF145&gt;0,(AQ111/AF145),0)</f>
        <v>0.18</v>
      </c>
      <c r="AA97" s="810"/>
      <c r="AB97" s="810"/>
      <c r="AC97" s="813">
        <f>IF(AF159=0,0,(AF151/AF159))</f>
        <v>0.75</v>
      </c>
      <c r="AD97" s="814"/>
      <c r="AE97" s="815"/>
      <c r="AF97" s="819">
        <v>1</v>
      </c>
      <c r="AG97" s="819">
        <v>2</v>
      </c>
      <c r="AH97" s="821">
        <v>3</v>
      </c>
      <c r="AI97" s="822"/>
      <c r="AJ97" s="36"/>
      <c r="AK97" s="28">
        <v>8</v>
      </c>
      <c r="AL97" s="37" t="s">
        <v>36</v>
      </c>
      <c r="AM97" s="29"/>
      <c r="AN97" s="29"/>
      <c r="AO97" s="29"/>
      <c r="AP97" s="29"/>
      <c r="AQ97" s="29"/>
      <c r="AR97" s="30"/>
    </row>
    <row r="98" spans="1:44" ht="18.75" customHeight="1" thickBot="1" x14ac:dyDescent="0.25">
      <c r="A98" s="830"/>
      <c r="B98" s="848" t="s">
        <v>8</v>
      </c>
      <c r="C98" s="849"/>
      <c r="D98" s="849"/>
      <c r="E98" s="850" t="str">
        <f>AV8</f>
        <v>fj3sumtr1pm</v>
      </c>
      <c r="F98" s="851"/>
      <c r="G98" s="851"/>
      <c r="H98" s="851"/>
      <c r="I98" s="851"/>
      <c r="J98" s="851"/>
      <c r="K98" s="851"/>
      <c r="L98" s="852"/>
      <c r="M98" s="853"/>
      <c r="N98" s="853"/>
      <c r="O98" s="853"/>
      <c r="P98" s="853"/>
      <c r="Q98" s="872"/>
      <c r="R98" s="852"/>
      <c r="S98" s="853"/>
      <c r="T98" s="853"/>
      <c r="U98" s="853"/>
      <c r="V98" s="853"/>
      <c r="W98" s="852"/>
      <c r="X98" s="853"/>
      <c r="Y98" s="853"/>
      <c r="Z98" s="840"/>
      <c r="AA98" s="841"/>
      <c r="AB98" s="841"/>
      <c r="AC98" s="842"/>
      <c r="AD98" s="843"/>
      <c r="AE98" s="844"/>
      <c r="AF98" s="845"/>
      <c r="AG98" s="845"/>
      <c r="AH98" s="846"/>
      <c r="AI98" s="847"/>
      <c r="AJ98" s="36"/>
      <c r="AK98" s="38"/>
      <c r="AL98" s="39"/>
      <c r="AM98" s="39"/>
      <c r="AN98" s="39"/>
      <c r="AO98" s="39"/>
      <c r="AP98" s="39"/>
      <c r="AQ98" s="27"/>
      <c r="AR98" s="3"/>
    </row>
    <row r="99" spans="1:44" ht="18.75" customHeight="1" x14ac:dyDescent="0.2">
      <c r="A99" s="829" t="str">
        <f>IF($AK94&gt;3,"4","")</f>
        <v>4</v>
      </c>
      <c r="B99" s="831" t="s">
        <v>7</v>
      </c>
      <c r="C99" s="832"/>
      <c r="D99" s="832"/>
      <c r="E99" s="833" t="str">
        <f>AU9</f>
        <v>C1VB Juniors Black</v>
      </c>
      <c r="F99" s="834"/>
      <c r="G99" s="834"/>
      <c r="H99" s="834"/>
      <c r="I99" s="834"/>
      <c r="J99" s="834"/>
      <c r="K99" s="835"/>
      <c r="L99" s="836">
        <f>IF($AK95=0,AF152,AF134)</f>
        <v>3</v>
      </c>
      <c r="M99" s="837"/>
      <c r="N99" s="837"/>
      <c r="O99" s="837"/>
      <c r="P99" s="837"/>
      <c r="Q99" s="872"/>
      <c r="R99" s="836">
        <f>IF($AK95=0,AG152,AG134)</f>
        <v>5</v>
      </c>
      <c r="S99" s="837"/>
      <c r="T99" s="837"/>
      <c r="U99" s="837"/>
      <c r="V99" s="837"/>
      <c r="W99" s="836">
        <f>AQ112</f>
        <v>-19</v>
      </c>
      <c r="X99" s="837"/>
      <c r="Y99" s="837"/>
      <c r="Z99" s="809">
        <f>IF(AF146&gt;0,(AQ112/AF146),0)</f>
        <v>-9.5000000000000001E-2</v>
      </c>
      <c r="AA99" s="810"/>
      <c r="AB99" s="810"/>
      <c r="AC99" s="813">
        <f>IF(AF160=0,0,(AF152/AF160))</f>
        <v>0.375</v>
      </c>
      <c r="AD99" s="814"/>
      <c r="AE99" s="815"/>
      <c r="AF99" s="819">
        <v>3</v>
      </c>
      <c r="AG99" s="819">
        <v>3</v>
      </c>
      <c r="AH99" s="821">
        <v>7</v>
      </c>
      <c r="AI99" s="822"/>
      <c r="AJ99" s="11"/>
      <c r="AK99" s="39"/>
      <c r="AL99" s="39"/>
      <c r="AM99" s="39"/>
      <c r="AN99" s="39"/>
      <c r="AO99" s="39"/>
      <c r="AP99" s="39"/>
      <c r="AQ99" s="29"/>
      <c r="AR99" s="30"/>
    </row>
    <row r="100" spans="1:44" ht="18.75" customHeight="1" thickBot="1" x14ac:dyDescent="0.25">
      <c r="A100" s="830"/>
      <c r="B100" s="848" t="s">
        <v>8</v>
      </c>
      <c r="C100" s="849"/>
      <c r="D100" s="849"/>
      <c r="E100" s="850" t="str">
        <f>AV9</f>
        <v>fj2crone6pm</v>
      </c>
      <c r="F100" s="851"/>
      <c r="G100" s="851"/>
      <c r="H100" s="851"/>
      <c r="I100" s="851"/>
      <c r="J100" s="851"/>
      <c r="K100" s="851"/>
      <c r="L100" s="852"/>
      <c r="M100" s="853"/>
      <c r="N100" s="853"/>
      <c r="O100" s="853"/>
      <c r="P100" s="853"/>
      <c r="Q100" s="872"/>
      <c r="R100" s="852"/>
      <c r="S100" s="853"/>
      <c r="T100" s="853"/>
      <c r="U100" s="853"/>
      <c r="V100" s="853"/>
      <c r="W100" s="852"/>
      <c r="X100" s="853"/>
      <c r="Y100" s="853"/>
      <c r="Z100" s="840"/>
      <c r="AA100" s="841"/>
      <c r="AB100" s="841"/>
      <c r="AC100" s="842"/>
      <c r="AD100" s="843"/>
      <c r="AE100" s="844"/>
      <c r="AF100" s="845"/>
      <c r="AG100" s="845"/>
      <c r="AH100" s="846"/>
      <c r="AI100" s="847"/>
      <c r="AJ100" s="11"/>
      <c r="AK100" s="39"/>
      <c r="AL100" s="39"/>
      <c r="AM100" s="39"/>
      <c r="AN100" s="39"/>
      <c r="AO100" s="39"/>
      <c r="AP100" s="39"/>
      <c r="AQ100" s="11"/>
      <c r="AR100" s="3"/>
    </row>
    <row r="101" spans="1:44" ht="18.75" customHeight="1" x14ac:dyDescent="0.2">
      <c r="A101" s="829" t="str">
        <f>IF($AK94&gt;4,"5","")</f>
        <v>5</v>
      </c>
      <c r="B101" s="831" t="s">
        <v>7</v>
      </c>
      <c r="C101" s="832"/>
      <c r="D101" s="832"/>
      <c r="E101" s="833" t="str">
        <f>AU12</f>
        <v>SC Midlands 13 Black</v>
      </c>
      <c r="F101" s="834"/>
      <c r="G101" s="834"/>
      <c r="H101" s="834"/>
      <c r="I101" s="834"/>
      <c r="J101" s="834"/>
      <c r="K101" s="835"/>
      <c r="L101" s="836">
        <f>IF($AK95=0,AF153,AF135)</f>
        <v>6</v>
      </c>
      <c r="M101" s="837"/>
      <c r="N101" s="837"/>
      <c r="O101" s="837"/>
      <c r="P101" s="837"/>
      <c r="Q101" s="872"/>
      <c r="R101" s="836">
        <f>IF($AK95=0,AG153,AG135)</f>
        <v>2</v>
      </c>
      <c r="S101" s="837"/>
      <c r="T101" s="837"/>
      <c r="U101" s="837"/>
      <c r="V101" s="837"/>
      <c r="W101" s="836">
        <f>AQ113</f>
        <v>15</v>
      </c>
      <c r="X101" s="837"/>
      <c r="Y101" s="837"/>
      <c r="Z101" s="809">
        <f>IF(AF147&gt;0,(AQ113/AF147),0)</f>
        <v>7.4257425742574254E-2</v>
      </c>
      <c r="AA101" s="810"/>
      <c r="AB101" s="810"/>
      <c r="AC101" s="813">
        <f>IF(AF161=0,0,(AF153/AF161))</f>
        <v>0.75</v>
      </c>
      <c r="AD101" s="814"/>
      <c r="AE101" s="815"/>
      <c r="AF101" s="819">
        <v>2</v>
      </c>
      <c r="AG101" s="819">
        <v>2</v>
      </c>
      <c r="AH101" s="821">
        <v>3</v>
      </c>
      <c r="AI101" s="822"/>
      <c r="AJ101" s="11"/>
      <c r="AK101" s="39"/>
      <c r="AL101" s="39"/>
      <c r="AM101" s="39"/>
      <c r="AN101" s="39"/>
      <c r="AO101" s="39"/>
      <c r="AP101" s="39"/>
      <c r="AQ101" s="11"/>
      <c r="AR101" s="3"/>
    </row>
    <row r="102" spans="1:44" ht="18.75" customHeight="1" thickBot="1" x14ac:dyDescent="0.25">
      <c r="A102" s="830"/>
      <c r="B102" s="825" t="s">
        <v>8</v>
      </c>
      <c r="C102" s="826"/>
      <c r="D102" s="826"/>
      <c r="E102" s="827" t="str">
        <f>AV12</f>
        <v>fj3scmid2pm</v>
      </c>
      <c r="F102" s="828"/>
      <c r="G102" s="828"/>
      <c r="H102" s="828"/>
      <c r="I102" s="828"/>
      <c r="J102" s="828"/>
      <c r="K102" s="828"/>
      <c r="L102" s="838"/>
      <c r="M102" s="839"/>
      <c r="N102" s="839"/>
      <c r="O102" s="839"/>
      <c r="P102" s="839"/>
      <c r="Q102" s="872"/>
      <c r="R102" s="838"/>
      <c r="S102" s="839"/>
      <c r="T102" s="839"/>
      <c r="U102" s="839"/>
      <c r="V102" s="839"/>
      <c r="W102" s="838"/>
      <c r="X102" s="839"/>
      <c r="Y102" s="839"/>
      <c r="Z102" s="811"/>
      <c r="AA102" s="812"/>
      <c r="AB102" s="812"/>
      <c r="AC102" s="816"/>
      <c r="AD102" s="817"/>
      <c r="AE102" s="818"/>
      <c r="AF102" s="820"/>
      <c r="AG102" s="820"/>
      <c r="AH102" s="823"/>
      <c r="AI102" s="824"/>
      <c r="AJ102" s="11"/>
      <c r="AK102" s="39"/>
      <c r="AL102" s="39"/>
      <c r="AM102" s="39"/>
      <c r="AN102" s="39"/>
      <c r="AO102" s="39"/>
      <c r="AP102" s="39"/>
      <c r="AQ102" s="11"/>
      <c r="AR102" s="3"/>
    </row>
    <row r="103" spans="1:44" ht="21" customHeight="1" thickTop="1" thickBot="1" x14ac:dyDescent="0.25">
      <c r="A103" s="40"/>
      <c r="B103" s="806" t="s">
        <v>353</v>
      </c>
      <c r="C103" s="807"/>
      <c r="D103" s="807"/>
      <c r="E103" s="807"/>
      <c r="F103" s="807"/>
      <c r="G103" s="807"/>
      <c r="H103" s="807"/>
      <c r="I103" s="807"/>
      <c r="J103" s="807"/>
      <c r="K103" s="807"/>
      <c r="L103" s="807"/>
      <c r="M103" s="807"/>
      <c r="N103" s="807"/>
      <c r="O103" s="807"/>
      <c r="P103" s="807"/>
      <c r="Q103" s="807"/>
      <c r="R103" s="807"/>
      <c r="S103" s="807"/>
      <c r="T103" s="807"/>
      <c r="U103" s="807"/>
      <c r="V103" s="807"/>
      <c r="W103" s="807"/>
      <c r="X103" s="807"/>
      <c r="Y103" s="807"/>
      <c r="Z103" s="807"/>
      <c r="AA103" s="807"/>
      <c r="AB103" s="807"/>
      <c r="AC103" s="807"/>
      <c r="AD103" s="807"/>
      <c r="AE103" s="807"/>
      <c r="AF103" s="807"/>
      <c r="AG103" s="807"/>
      <c r="AH103" s="807"/>
      <c r="AI103" s="808"/>
      <c r="AJ103" s="11"/>
      <c r="AK103" s="39"/>
      <c r="AL103" s="39"/>
      <c r="AM103" s="39"/>
      <c r="AN103" s="39"/>
      <c r="AO103" s="39"/>
      <c r="AP103" s="39"/>
      <c r="AQ103" s="11"/>
      <c r="AR103" s="3"/>
    </row>
    <row r="104" spans="1:44" ht="13.5" thickTop="1" x14ac:dyDescent="0.2">
      <c r="A104" s="4" t="s">
        <v>39</v>
      </c>
      <c r="B104" s="795">
        <v>0.35416666666666669</v>
      </c>
      <c r="C104" s="796"/>
      <c r="D104" s="797"/>
      <c r="E104" s="795">
        <v>0.38541666666666669</v>
      </c>
      <c r="F104" s="796"/>
      <c r="G104" s="797"/>
      <c r="H104" s="795">
        <v>0.41666666666666669</v>
      </c>
      <c r="I104" s="796"/>
      <c r="J104" s="797"/>
      <c r="K104" s="795">
        <v>0.44791666666666669</v>
      </c>
      <c r="L104" s="796"/>
      <c r="M104" s="797"/>
      <c r="N104" s="795">
        <v>0.47916666666666669</v>
      </c>
      <c r="O104" s="796"/>
      <c r="P104" s="797"/>
      <c r="Q104" s="795">
        <v>0.51041666666666663</v>
      </c>
      <c r="R104" s="796"/>
      <c r="S104" s="797"/>
      <c r="T104" s="795">
        <v>4.1666666666666664E-2</v>
      </c>
      <c r="U104" s="796"/>
      <c r="V104" s="797"/>
      <c r="W104" s="795">
        <v>7.2916666666666671E-2</v>
      </c>
      <c r="X104" s="796"/>
      <c r="Y104" s="797"/>
      <c r="Z104" s="795">
        <v>0.10416666666666667</v>
      </c>
      <c r="AA104" s="796"/>
      <c r="AB104" s="797"/>
      <c r="AC104" s="795">
        <v>0.13541666666666666</v>
      </c>
      <c r="AD104" s="796"/>
      <c r="AE104" s="797"/>
      <c r="AF104" s="798" t="s">
        <v>40</v>
      </c>
      <c r="AG104" s="799"/>
      <c r="AH104" s="799"/>
      <c r="AI104" s="799"/>
      <c r="AJ104" s="800"/>
      <c r="AK104" s="800"/>
      <c r="AL104" s="800"/>
      <c r="AM104" s="800"/>
      <c r="AN104" s="800"/>
      <c r="AO104" s="800"/>
      <c r="AP104" s="800"/>
      <c r="AQ104" s="801"/>
    </row>
    <row r="105" spans="1:44" x14ac:dyDescent="0.2">
      <c r="A105" s="41" t="s">
        <v>41</v>
      </c>
      <c r="B105" s="792">
        <v>0.35416666666666669</v>
      </c>
      <c r="C105" s="793"/>
      <c r="D105" s="794"/>
      <c r="E105" s="792">
        <v>0.39930555555555558</v>
      </c>
      <c r="F105" s="793"/>
      <c r="G105" s="794"/>
      <c r="H105" s="792">
        <v>0.43611111111111112</v>
      </c>
      <c r="I105" s="793"/>
      <c r="J105" s="794"/>
      <c r="K105" s="792">
        <v>0.47222222222222227</v>
      </c>
      <c r="L105" s="793"/>
      <c r="M105" s="794"/>
      <c r="N105" s="792">
        <v>0.50347222222222221</v>
      </c>
      <c r="O105" s="793"/>
      <c r="P105" s="794"/>
      <c r="Q105" s="792">
        <v>4.3750000000000004E-2</v>
      </c>
      <c r="R105" s="793"/>
      <c r="S105" s="794"/>
      <c r="T105" s="792">
        <v>7.6388888888888895E-2</v>
      </c>
      <c r="U105" s="793"/>
      <c r="V105" s="794"/>
      <c r="W105" s="792">
        <v>0.10416666666666667</v>
      </c>
      <c r="X105" s="793"/>
      <c r="Y105" s="794"/>
      <c r="Z105" s="792">
        <v>0.14583333333333334</v>
      </c>
      <c r="AA105" s="793"/>
      <c r="AB105" s="794"/>
      <c r="AC105" s="792">
        <v>0.17708333333333334</v>
      </c>
      <c r="AD105" s="793"/>
      <c r="AE105" s="794"/>
      <c r="AF105" s="798"/>
      <c r="AG105" s="799"/>
      <c r="AH105" s="799"/>
      <c r="AI105" s="799"/>
      <c r="AJ105" s="799"/>
      <c r="AK105" s="799"/>
      <c r="AL105" s="799"/>
      <c r="AM105" s="799"/>
      <c r="AN105" s="799"/>
      <c r="AO105" s="799"/>
      <c r="AP105" s="799"/>
      <c r="AQ105" s="802"/>
    </row>
    <row r="106" spans="1:44" x14ac:dyDescent="0.2">
      <c r="A106" s="41" t="s">
        <v>42</v>
      </c>
      <c r="B106" s="792">
        <v>0.38958333333333334</v>
      </c>
      <c r="C106" s="793"/>
      <c r="D106" s="794"/>
      <c r="E106" s="792">
        <v>0.42569444444444443</v>
      </c>
      <c r="F106" s="793"/>
      <c r="G106" s="794"/>
      <c r="H106" s="792">
        <v>0.46249999999999997</v>
      </c>
      <c r="I106" s="793"/>
      <c r="J106" s="794"/>
      <c r="K106" s="792">
        <v>0.49305555555555558</v>
      </c>
      <c r="L106" s="793"/>
      <c r="M106" s="794"/>
      <c r="N106" s="792">
        <v>0.53263888888888888</v>
      </c>
      <c r="O106" s="793"/>
      <c r="P106" s="794"/>
      <c r="Q106" s="792">
        <v>6.805555555555555E-2</v>
      </c>
      <c r="R106" s="793"/>
      <c r="S106" s="794"/>
      <c r="T106" s="792">
        <v>0.10416666666666667</v>
      </c>
      <c r="U106" s="793"/>
      <c r="V106" s="794"/>
      <c r="W106" s="792">
        <v>0.13541666666666666</v>
      </c>
      <c r="X106" s="793"/>
      <c r="Y106" s="794"/>
      <c r="Z106" s="792">
        <v>0.16666666666666666</v>
      </c>
      <c r="AA106" s="793"/>
      <c r="AB106" s="794"/>
      <c r="AC106" s="792">
        <v>0.19791666666666666</v>
      </c>
      <c r="AD106" s="793"/>
      <c r="AE106" s="794"/>
      <c r="AF106" s="798"/>
      <c r="AG106" s="799"/>
      <c r="AH106" s="799"/>
      <c r="AI106" s="799"/>
      <c r="AJ106" s="799"/>
      <c r="AK106" s="799"/>
      <c r="AL106" s="799"/>
      <c r="AM106" s="799"/>
      <c r="AN106" s="799"/>
      <c r="AO106" s="799"/>
      <c r="AP106" s="799"/>
      <c r="AQ106" s="802"/>
    </row>
    <row r="107" spans="1:44" ht="13.5" thickBot="1" x14ac:dyDescent="0.25">
      <c r="A107" s="11"/>
      <c r="B107" s="684" t="s">
        <v>43</v>
      </c>
      <c r="C107" s="685"/>
      <c r="D107" s="691"/>
      <c r="E107" s="684" t="str">
        <f>IF(AK93&gt;1,"Match 2","")</f>
        <v>Match 2</v>
      </c>
      <c r="F107" s="685"/>
      <c r="G107" s="691"/>
      <c r="H107" s="684" t="str">
        <f>IF(AK93&gt;2,"Match 3","")</f>
        <v>Match 3</v>
      </c>
      <c r="I107" s="685"/>
      <c r="J107" s="691"/>
      <c r="K107" s="684" t="str">
        <f>IF(AK93&gt;3,"Match 4","")</f>
        <v>Match 4</v>
      </c>
      <c r="L107" s="685"/>
      <c r="M107" s="691"/>
      <c r="N107" s="684" t="str">
        <f>IF(AK93&gt;4,"Match 5","")</f>
        <v>Match 5</v>
      </c>
      <c r="O107" s="685"/>
      <c r="P107" s="691"/>
      <c r="Q107" s="684" t="str">
        <f>IF(AK93&gt;5,"Match 6","")</f>
        <v>Match 6</v>
      </c>
      <c r="R107" s="685"/>
      <c r="S107" s="691"/>
      <c r="T107" s="684" t="str">
        <f>IF(AK93&gt;6,"Match 7","")</f>
        <v>Match 7</v>
      </c>
      <c r="U107" s="685"/>
      <c r="V107" s="691"/>
      <c r="W107" s="684" t="str">
        <f>IF(AK93&gt;7,"Match 8","")</f>
        <v>Match 8</v>
      </c>
      <c r="X107" s="685"/>
      <c r="Y107" s="691"/>
      <c r="Z107" s="684" t="str">
        <f>IF(AK93&gt;8,"Match 9","")</f>
        <v>Match 9</v>
      </c>
      <c r="AA107" s="685"/>
      <c r="AB107" s="691"/>
      <c r="AC107" s="684" t="str">
        <f>IF(AK93&gt;9,"Match 10","")</f>
        <v>Match 10</v>
      </c>
      <c r="AD107" s="685"/>
      <c r="AE107" s="691"/>
      <c r="AF107" s="803"/>
      <c r="AG107" s="804"/>
      <c r="AH107" s="804"/>
      <c r="AI107" s="804"/>
      <c r="AJ107" s="804"/>
      <c r="AK107" s="804"/>
      <c r="AL107" s="804"/>
      <c r="AM107" s="804"/>
      <c r="AN107" s="804"/>
      <c r="AO107" s="804"/>
      <c r="AP107" s="804"/>
      <c r="AQ107" s="805"/>
    </row>
    <row r="108" spans="1:44" ht="15.75" x14ac:dyDescent="0.25">
      <c r="A108" s="11"/>
      <c r="B108" s="786" t="s">
        <v>44</v>
      </c>
      <c r="C108" s="787"/>
      <c r="D108" s="788"/>
      <c r="E108" s="786" t="s">
        <v>45</v>
      </c>
      <c r="F108" s="787"/>
      <c r="G108" s="788"/>
      <c r="H108" s="786" t="s">
        <v>46</v>
      </c>
      <c r="I108" s="787"/>
      <c r="J108" s="788"/>
      <c r="K108" s="786" t="s">
        <v>47</v>
      </c>
      <c r="L108" s="787"/>
      <c r="M108" s="788"/>
      <c r="N108" s="786" t="s">
        <v>48</v>
      </c>
      <c r="O108" s="787"/>
      <c r="P108" s="788"/>
      <c r="Q108" s="786" t="s">
        <v>46</v>
      </c>
      <c r="R108" s="787"/>
      <c r="S108" s="788"/>
      <c r="T108" s="786" t="s">
        <v>44</v>
      </c>
      <c r="U108" s="787"/>
      <c r="V108" s="788"/>
      <c r="W108" s="786" t="s">
        <v>48</v>
      </c>
      <c r="X108" s="787"/>
      <c r="Y108" s="788"/>
      <c r="Z108" s="786" t="s">
        <v>47</v>
      </c>
      <c r="AA108" s="787"/>
      <c r="AB108" s="788"/>
      <c r="AC108" s="786" t="s">
        <v>45</v>
      </c>
      <c r="AD108" s="787"/>
      <c r="AE108" s="788"/>
      <c r="AF108" s="42" t="s">
        <v>49</v>
      </c>
      <c r="AG108" s="43">
        <v>1</v>
      </c>
      <c r="AH108" s="43">
        <v>2</v>
      </c>
      <c r="AI108" s="43">
        <v>3</v>
      </c>
      <c r="AJ108" s="43">
        <v>4</v>
      </c>
      <c r="AK108" s="43">
        <v>5</v>
      </c>
      <c r="AL108" s="43">
        <v>6</v>
      </c>
      <c r="AM108" s="43">
        <v>7</v>
      </c>
      <c r="AN108" s="43">
        <v>8</v>
      </c>
      <c r="AO108" s="43">
        <v>9</v>
      </c>
      <c r="AP108" s="43">
        <v>10</v>
      </c>
      <c r="AQ108" s="44" t="s">
        <v>50</v>
      </c>
    </row>
    <row r="109" spans="1:44" ht="15.75" x14ac:dyDescent="0.25">
      <c r="A109" s="11"/>
      <c r="B109" s="45">
        <v>2</v>
      </c>
      <c r="C109" s="46" t="s">
        <v>51</v>
      </c>
      <c r="D109" s="47">
        <v>5</v>
      </c>
      <c r="E109" s="45">
        <v>1</v>
      </c>
      <c r="F109" s="46" t="str">
        <f>IF(AK93&gt;1,"v","")</f>
        <v>v</v>
      </c>
      <c r="G109" s="47">
        <v>4</v>
      </c>
      <c r="H109" s="45">
        <v>3</v>
      </c>
      <c r="I109" s="46" t="str">
        <f>IF(AK93&gt;2,"v","")</f>
        <v>v</v>
      </c>
      <c r="J109" s="47">
        <v>5</v>
      </c>
      <c r="K109" s="45">
        <v>2</v>
      </c>
      <c r="L109" s="46" t="str">
        <f>IF(AK93&gt;3,"v","")</f>
        <v>v</v>
      </c>
      <c r="M109" s="47">
        <v>4</v>
      </c>
      <c r="N109" s="45">
        <v>1</v>
      </c>
      <c r="O109" s="46" t="str">
        <f>IF(AK93&gt;4,"v","")</f>
        <v>v</v>
      </c>
      <c r="P109" s="47">
        <v>3</v>
      </c>
      <c r="Q109" s="45">
        <v>4</v>
      </c>
      <c r="R109" s="46" t="str">
        <f>IF(AK93&gt;5,"v","")</f>
        <v>v</v>
      </c>
      <c r="S109" s="47">
        <v>5</v>
      </c>
      <c r="T109" s="45">
        <v>2</v>
      </c>
      <c r="U109" s="46" t="str">
        <f>IF(AK93&gt;6,"v","")</f>
        <v>v</v>
      </c>
      <c r="V109" s="47">
        <v>3</v>
      </c>
      <c r="W109" s="45">
        <v>1</v>
      </c>
      <c r="X109" s="46" t="str">
        <f>IF(AK93&gt;7,"v","")</f>
        <v>v</v>
      </c>
      <c r="Y109" s="47">
        <v>5</v>
      </c>
      <c r="Z109" s="45">
        <v>3</v>
      </c>
      <c r="AA109" s="46" t="str">
        <f>IF(AK93&gt;8,"v","")</f>
        <v>v</v>
      </c>
      <c r="AB109" s="47">
        <v>4</v>
      </c>
      <c r="AC109" s="45">
        <v>1</v>
      </c>
      <c r="AD109" s="46" t="str">
        <f>IF(AK93&gt;9,"v","")</f>
        <v>v</v>
      </c>
      <c r="AE109" s="47">
        <v>2</v>
      </c>
      <c r="AF109" s="42" t="str">
        <f>IF(AK94&gt;0,"Team 1","")</f>
        <v>Team 1</v>
      </c>
      <c r="AG109" s="48" t="str">
        <f>IF(AK94&lt;1,"",IF(AK93&lt;1,"",IF(B109=1,B115-D115,IF(D109=1,D115-B115,""))))</f>
        <v/>
      </c>
      <c r="AH109" s="48">
        <f>IF(AK94&lt;1,"",IF(AK93&lt;2,"",IF(E109=1,E115-G115,IF(G109=1,G115-E115,""))))</f>
        <v>-1</v>
      </c>
      <c r="AI109" s="48" t="str">
        <f>IF(AK94&lt;1,"",IF(AK93&lt;3,"",IF(H109=1,H115-J115,IF(J109=1,J115-H115,""))))</f>
        <v/>
      </c>
      <c r="AJ109" s="48" t="str">
        <f>IF(AK94&lt;1,"",IF(AK93&lt;4,"",IF(K109=1,K115-M115,IF(M109=1,M115-K115,""))))</f>
        <v/>
      </c>
      <c r="AK109" s="48">
        <f>IF(AK94&lt;1,"",IF(AK93&lt;5,"",IF(N109=1,N115-P115,IF(P109=1,P115-N115,""))))</f>
        <v>-3</v>
      </c>
      <c r="AL109" s="48" t="str">
        <f>IF(AK94&lt;1,"",IF(AK93&lt;6,"",IF(Q109=1,Q115-S115,IF(S109=1,S115-Q115,""))))</f>
        <v/>
      </c>
      <c r="AM109" s="48" t="str">
        <f>IF(AK94&lt;1,"",IF(AK93&lt;7,"",IF(T109=1,T115-V115,IF(V109=1,V115-T115,""))))</f>
        <v/>
      </c>
      <c r="AN109" s="48">
        <f>IF(AK94&lt;1,"",IF(AK93&lt;8,"",IF(W109=1,W115-Y115,IF(Y109=1,Y115-W115,""))))</f>
        <v>-4</v>
      </c>
      <c r="AO109" s="48" t="str">
        <f>IF(AK94&lt;1,"",IF(AK93&lt;9,"",IF(Z109=1,Z115-AB115,IF(AB109=1,AB115-Z115,""))))</f>
        <v/>
      </c>
      <c r="AP109" s="48">
        <f>IF(AK94&lt;1,"",IF(AK93&lt;10,"",IF(AC109=1,AC115-AE115,IF(AE109=1,AE115-AC115,""))))</f>
        <v>3</v>
      </c>
      <c r="AQ109" s="44">
        <f>SUM(AG109:AP109)</f>
        <v>-5</v>
      </c>
    </row>
    <row r="110" spans="1:44" ht="15" x14ac:dyDescent="0.2">
      <c r="A110" s="4" t="s">
        <v>52</v>
      </c>
      <c r="B110" s="49">
        <v>18</v>
      </c>
      <c r="C110" s="50" t="s">
        <v>53</v>
      </c>
      <c r="D110" s="51">
        <v>25</v>
      </c>
      <c r="E110" s="49">
        <v>19</v>
      </c>
      <c r="F110" s="50" t="str">
        <f>IF(AK93&gt;1,"/","")</f>
        <v>/</v>
      </c>
      <c r="G110" s="51">
        <v>25</v>
      </c>
      <c r="H110" s="49">
        <v>25</v>
      </c>
      <c r="I110" s="50" t="str">
        <f>IF(AK93&gt;2,"/","")</f>
        <v>/</v>
      </c>
      <c r="J110" s="51">
        <v>21</v>
      </c>
      <c r="K110" s="49">
        <v>22</v>
      </c>
      <c r="L110" s="50" t="str">
        <f>IF(AK93&gt;3,"/","")</f>
        <v>/</v>
      </c>
      <c r="M110" s="51">
        <v>25</v>
      </c>
      <c r="N110" s="49">
        <v>19</v>
      </c>
      <c r="O110" s="50" t="str">
        <f>IF(AK93&gt;4,"/","")</f>
        <v>/</v>
      </c>
      <c r="P110" s="51">
        <v>25</v>
      </c>
      <c r="Q110" s="49">
        <v>14</v>
      </c>
      <c r="R110" s="50" t="str">
        <f>IF(AK93&gt;5,"/","")</f>
        <v>/</v>
      </c>
      <c r="S110" s="51">
        <v>25</v>
      </c>
      <c r="T110" s="49">
        <v>15</v>
      </c>
      <c r="U110" s="50" t="str">
        <f>IF(AK93&gt;6,"/","")</f>
        <v>/</v>
      </c>
      <c r="V110" s="51">
        <v>25</v>
      </c>
      <c r="W110" s="49">
        <v>23</v>
      </c>
      <c r="X110" s="50" t="str">
        <f>IF(AK93&gt;7,"/","")</f>
        <v>/</v>
      </c>
      <c r="Y110" s="51">
        <v>25</v>
      </c>
      <c r="Z110" s="49">
        <v>25</v>
      </c>
      <c r="AA110" s="50" t="str">
        <f>IF(AK93&gt;8,"/","")</f>
        <v>/</v>
      </c>
      <c r="AB110" s="51">
        <v>18</v>
      </c>
      <c r="AC110" s="49">
        <v>25</v>
      </c>
      <c r="AD110" s="50" t="str">
        <f>IF(AK93&gt;9,"/","")</f>
        <v>/</v>
      </c>
      <c r="AE110" s="51">
        <v>20</v>
      </c>
      <c r="AF110" s="42" t="str">
        <f>IF(AK94&gt;1,"Team 2","")</f>
        <v>Team 2</v>
      </c>
      <c r="AG110" s="48">
        <f>IF(AK94&lt;2,"",IF(AK93&lt;1,"",IF(B109=2,B115-D115,IF(D109=2,D115-B115,""))))</f>
        <v>-11</v>
      </c>
      <c r="AH110" s="48" t="str">
        <f>IF(AK94&lt;2,"",IF(AK93&lt;2,"",IF(E109=2,E115-G115,IF(G109=2,G115-E115,""))))</f>
        <v/>
      </c>
      <c r="AI110" s="48" t="str">
        <f>IF(AK94&lt;2,"",IF(AK93&lt;3,"",IF(H109=2,H115-J115,IF(J109=2,J115-H115,""))))</f>
        <v/>
      </c>
      <c r="AJ110" s="48">
        <f>IF(AK94&lt;2,"",IF(AK93&lt;4,"",IF(K109=2,K115-M115,IF(M109=2,M115-K115,""))))</f>
        <v>0</v>
      </c>
      <c r="AK110" s="48" t="str">
        <f>IF(AK94&lt;2,"",IF(AK93&lt;5,"",IF(N109=2,N115-P115,IF(P109=2,P115-N115,""))))</f>
        <v/>
      </c>
      <c r="AL110" s="48" t="str">
        <f>IF(AK94&lt;2,"",IF(AK93&lt;6,"",IF(Q109=2,Q115-S115,IF(S109=2,S115-Q115,""))))</f>
        <v/>
      </c>
      <c r="AM110" s="48">
        <f>IF(AK94&lt;2,"",IF(AK93&lt;7,"",IF(T109=2,T115-V115,IF(V109=2,V115-T115,""))))</f>
        <v>-13</v>
      </c>
      <c r="AN110" s="48" t="str">
        <f>IF(AK94&lt;2,"",IF(AK93&lt;8,"",IF(W109=2,W115-Y115,IF(Y109=2,Y115-W115,""))))</f>
        <v/>
      </c>
      <c r="AO110" s="48" t="str">
        <f>IF(AK94&lt;2,"",IF(AK93&lt;9,"",IF(Z109=2,Z115-AB115,IF(AB109=2,AB115-Z115,""))))</f>
        <v/>
      </c>
      <c r="AP110" s="48">
        <f>IF(AK94&lt;2,"",IF(AK93&lt;10,"",IF(AC109=2,AC115-AE115,IF(AE109=2,AE115-AC115,""))))</f>
        <v>-3</v>
      </c>
      <c r="AQ110" s="44">
        <f>SUM(AG110:AP110)</f>
        <v>-27</v>
      </c>
    </row>
    <row r="111" spans="1:44" ht="15" x14ac:dyDescent="0.2">
      <c r="A111" s="3" t="str">
        <f>IF(AK92&gt;1,"Game 2","")</f>
        <v>Game 2</v>
      </c>
      <c r="B111" s="49">
        <v>21</v>
      </c>
      <c r="C111" s="50" t="s">
        <v>53</v>
      </c>
      <c r="D111" s="51">
        <v>25</v>
      </c>
      <c r="E111" s="49">
        <v>25</v>
      </c>
      <c r="F111" s="50" t="str">
        <f>IF(AK93&gt;1,IF(AK92&gt;1,"/",""),"")</f>
        <v>/</v>
      </c>
      <c r="G111" s="51">
        <v>20</v>
      </c>
      <c r="H111" s="49">
        <v>25</v>
      </c>
      <c r="I111" s="50" t="str">
        <f>IF(AK93&gt;2,IF(AK92&gt;1,"/",""),"")</f>
        <v>/</v>
      </c>
      <c r="J111" s="51">
        <v>14</v>
      </c>
      <c r="K111" s="49">
        <v>25</v>
      </c>
      <c r="L111" s="50" t="str">
        <f>IF(AK93&gt;3,IF(AK92&gt;1,"/",""),"")</f>
        <v>/</v>
      </c>
      <c r="M111" s="51">
        <v>22</v>
      </c>
      <c r="N111" s="49">
        <v>25</v>
      </c>
      <c r="O111" s="50" t="str">
        <f>IF(AK93&gt;4,IF(AK92&gt;1,"/",""),"")</f>
        <v>/</v>
      </c>
      <c r="P111" s="51">
        <v>22</v>
      </c>
      <c r="Q111" s="49">
        <v>21</v>
      </c>
      <c r="R111" s="50" t="str">
        <f>IF(AK93&gt;5,IF(AK92&gt;1,"/",""),"")</f>
        <v>/</v>
      </c>
      <c r="S111" s="51">
        <v>25</v>
      </c>
      <c r="T111" s="49">
        <v>22</v>
      </c>
      <c r="U111" s="50" t="str">
        <f>IF(AK93&gt;6,IF(AK92&gt;1,"/",""),"")</f>
        <v>/</v>
      </c>
      <c r="V111" s="51">
        <v>25</v>
      </c>
      <c r="W111" s="49">
        <v>25</v>
      </c>
      <c r="X111" s="50" t="str">
        <f>IF(AK93&gt;7,IF(AK92&gt;1,"/",""),"")</f>
        <v>/</v>
      </c>
      <c r="Y111" s="51">
        <v>27</v>
      </c>
      <c r="Z111" s="49">
        <v>23</v>
      </c>
      <c r="AA111" s="50" t="str">
        <f>IF(AK93&gt;8,IF(AK92&gt;1,"/",""),"")</f>
        <v>/</v>
      </c>
      <c r="AB111" s="51">
        <v>25</v>
      </c>
      <c r="AC111" s="49">
        <v>23</v>
      </c>
      <c r="AD111" s="50" t="str">
        <f>IF(AK93&gt;9,IF(AK92&gt;1,"/",""),"")</f>
        <v>/</v>
      </c>
      <c r="AE111" s="51">
        <v>25</v>
      </c>
      <c r="AF111" s="42" t="str">
        <f>IF(AK94&gt;2,"Team 3","")</f>
        <v>Team 3</v>
      </c>
      <c r="AG111" s="48" t="str">
        <f>IF(AK94&lt;3,"",IF(AK93&lt;1,"",IF(B109=3,B115-D115,IF(D109=3,D115-B115,""))))</f>
        <v/>
      </c>
      <c r="AH111" s="48" t="str">
        <f>IF(AK94&lt;3,"",IF(AK93&lt;2,"",IF(E109=3,E115-G115,IF(G109=3,G115-E115,""))))</f>
        <v/>
      </c>
      <c r="AI111" s="48">
        <f>IF(AK94&lt;3,"",IF(AK93&lt;3,"",IF(H109=3,H115-J115,IF(J109=3,J115-H115,""))))</f>
        <v>15</v>
      </c>
      <c r="AJ111" s="48" t="str">
        <f>IF(AK94&lt;3,"",IF(AK93&lt;4,"",IF(K109=3,K115-M115,IF(M109=3,M115-K115,""))))</f>
        <v/>
      </c>
      <c r="AK111" s="48">
        <f>IF(AK94&lt;3,"",IF(AK93&lt;5,"",IF(N109=3,N115-P115,IF(P109=3,P115-N115,""))))</f>
        <v>3</v>
      </c>
      <c r="AL111" s="48" t="str">
        <f>IF(AK94&lt;3,"",IF(AK93&lt;6,"",IF(Q109=3,Q115-S115,IF(S109=3,S115-Q115,""))))</f>
        <v/>
      </c>
      <c r="AM111" s="48">
        <f>IF(AK94&lt;3,"",IF(AK93&lt;7,"",IF(T109=3,T115-V115,IF(V109=3,V115-T115,""))))</f>
        <v>13</v>
      </c>
      <c r="AN111" s="48" t="str">
        <f>IF(AK94&lt;3,"",IF(AK93&lt;8,"",IF(W109=3,W115-Y115,IF(Y109=3,Y115-W115,""))))</f>
        <v/>
      </c>
      <c r="AO111" s="48">
        <f>IF(AK94&lt;3,"",IF(AK93&lt;9,"",IF(Z109=3,Z115-AB115,IF(AB109=3,AB115-Z115,""))))</f>
        <v>5</v>
      </c>
      <c r="AP111" s="48" t="str">
        <f>IF(AK94&lt;3,"",IF(AK93&lt;9,"",IF(AC109=3,AC115-AE115,IF(AE109=3,AE115-AC115,""))))</f>
        <v/>
      </c>
      <c r="AQ111" s="44">
        <f>SUM(AG111:AP111)</f>
        <v>36</v>
      </c>
    </row>
    <row r="112" spans="1:44" ht="15" x14ac:dyDescent="0.2">
      <c r="A112" s="3" t="str">
        <f>IF(AK92&gt;2,"Game 3","")</f>
        <v/>
      </c>
      <c r="B112" s="49"/>
      <c r="C112" s="50" t="s">
        <v>53</v>
      </c>
      <c r="D112" s="51"/>
      <c r="E112" s="49"/>
      <c r="F112" s="50" t="str">
        <f>IF(AK93&gt;1,IF(AK92&gt;2,"/",""),"")</f>
        <v/>
      </c>
      <c r="G112" s="51"/>
      <c r="H112" s="49"/>
      <c r="I112" s="50" t="str">
        <f>IF(AK93&gt;2,IF(AK92&gt;2,"/",""),"")</f>
        <v/>
      </c>
      <c r="J112" s="51"/>
      <c r="K112" s="49"/>
      <c r="L112" s="50" t="str">
        <f>IF(AK93&gt;3,IF(AK92&gt;2,"/",""),"")</f>
        <v/>
      </c>
      <c r="M112" s="51"/>
      <c r="N112" s="49"/>
      <c r="O112" s="50" t="str">
        <f>IF(AK93&gt;4,IF(AK92&gt;2,"/",""),"")</f>
        <v/>
      </c>
      <c r="P112" s="51"/>
      <c r="Q112" s="49"/>
      <c r="R112" s="50" t="str">
        <f>IF(AK93&gt;5,IF(AK92&gt;2,"/",""),"")</f>
        <v/>
      </c>
      <c r="S112" s="51"/>
      <c r="T112" s="49"/>
      <c r="U112" s="50" t="str">
        <f>IF(AK93&gt;6,IF(AK92&gt;2,"/",""),"")</f>
        <v/>
      </c>
      <c r="V112" s="51"/>
      <c r="W112" s="49"/>
      <c r="X112" s="50" t="str">
        <f>IF(AK93&gt;7,IF(AK92&gt;2,"/",""),"")</f>
        <v/>
      </c>
      <c r="Y112" s="51"/>
      <c r="Z112" s="49"/>
      <c r="AA112" s="50" t="str">
        <f>IF(AK93&gt;8,IF(AK92&gt;2,"/",""),"")</f>
        <v/>
      </c>
      <c r="AB112" s="51"/>
      <c r="AC112" s="49"/>
      <c r="AD112" s="50" t="str">
        <f>IF(AK93&gt;9,IF(AK92&gt;2,"/",""),"")</f>
        <v/>
      </c>
      <c r="AE112" s="51"/>
      <c r="AF112" s="42" t="str">
        <f>IF(AK94&gt;3,"Team 4","")</f>
        <v>Team 4</v>
      </c>
      <c r="AG112" s="48" t="str">
        <f>IF(AK94&lt;4,"",IF(AK93&lt;1,"",IF(B109=4,B115-D115,IF(D109=4,D115-B115,""))))</f>
        <v/>
      </c>
      <c r="AH112" s="48">
        <f>IF(AK94&lt;4,"",IF(AK93&lt;2,"",IF(E109=4,E115-G115,IF(G109=4,G115-E115,""))))</f>
        <v>1</v>
      </c>
      <c r="AI112" s="48" t="str">
        <f>IF(AK94&lt;4,"",IF(AK93&lt;3,"",IF(H109=4,H115-J115,IF(J109=4,J115-H115,""))))</f>
        <v/>
      </c>
      <c r="AJ112" s="48">
        <f>IF(AK94&lt;4,"",IF(AK93&lt;4,"",IF(K109=4,K115-M115,IF(M109=4,M115-K115,""))))</f>
        <v>0</v>
      </c>
      <c r="AK112" s="48" t="str">
        <f>IF(AK94&lt;4,"",IF(AK93&lt;5,"",IF(N109=4,N115-P115,IF(P109=4,P115-N115,""))))</f>
        <v/>
      </c>
      <c r="AL112" s="48">
        <f>IF(AK94&lt;4,"",IF(AK93&lt;6,"",IF(Q109=4,Q115-S115,IF(S109=4,S115-Q115,""))))</f>
        <v>-15</v>
      </c>
      <c r="AM112" s="48" t="str">
        <f>IF(AK94&lt;4,"",IF(AK93&lt;7,"",IF(T109=4,T115-V115,IF(V109=4,V115-T115,""))))</f>
        <v/>
      </c>
      <c r="AN112" s="48" t="str">
        <f>IF(AK94&lt;4,"",IF(AK93&lt;8,"",IF(W109=4,W115-Y115,IF(Y109=4,Y115-W115,""))))</f>
        <v/>
      </c>
      <c r="AO112" s="48">
        <f>IF(AK94&lt;4,"",IF(AK93&lt;9,"",IF(Z109=4,Z115-AB115,IF(AB109=4,AB115-Z115,""))))</f>
        <v>-5</v>
      </c>
      <c r="AP112" s="48" t="str">
        <f>IF(AK94&lt;4,"",IF(AK93&lt;10,"",IF(AC109=4,AC115-AE115,IF(AE109=4,AE115-AC115,""))))</f>
        <v/>
      </c>
      <c r="AQ112" s="44">
        <f>SUM(AG112:AP112)</f>
        <v>-19</v>
      </c>
    </row>
    <row r="113" spans="1:49" ht="15" x14ac:dyDescent="0.2">
      <c r="A113" s="3" t="str">
        <f>IF(AK92&gt;3,"Game 4","")</f>
        <v/>
      </c>
      <c r="B113" s="49"/>
      <c r="C113" s="50" t="s">
        <v>53</v>
      </c>
      <c r="D113" s="51"/>
      <c r="E113" s="49"/>
      <c r="F113" s="50" t="str">
        <f>IF(AK93&gt;1,IF(AK92&gt;3,"/",""),"")</f>
        <v/>
      </c>
      <c r="G113" s="51"/>
      <c r="H113" s="49"/>
      <c r="I113" s="50" t="str">
        <f>IF(AK93&gt;2,IF(AK92&gt;3,"/",""),"")</f>
        <v/>
      </c>
      <c r="J113" s="51"/>
      <c r="K113" s="49"/>
      <c r="L113" s="50" t="str">
        <f>IF(AK93&gt;3,IF(AK92&gt;3,"/",""),"")</f>
        <v/>
      </c>
      <c r="M113" s="51"/>
      <c r="N113" s="49"/>
      <c r="O113" s="50" t="str">
        <f>IF(AK93&gt;4,IF(AK92&gt;3,"/",""),"")</f>
        <v/>
      </c>
      <c r="P113" s="51"/>
      <c r="Q113" s="49"/>
      <c r="R113" s="50" t="str">
        <f>IF(AK93&gt;5,IF(AK92&gt;3,"/",""),"")</f>
        <v/>
      </c>
      <c r="S113" s="51"/>
      <c r="T113" s="49"/>
      <c r="U113" s="50" t="str">
        <f>IF(AK93&gt;6,IF(AK92&gt;3,"/",""),"")</f>
        <v/>
      </c>
      <c r="V113" s="51"/>
      <c r="W113" s="49"/>
      <c r="X113" s="50" t="str">
        <f>IF(AK93&gt;7,IF(AK92&gt;3,"/",""),"")</f>
        <v/>
      </c>
      <c r="Y113" s="51"/>
      <c r="Z113" s="49"/>
      <c r="AA113" s="50" t="str">
        <f>IF(AK93&gt;8,IF(AK92&gt;3,"/",""),"")</f>
        <v/>
      </c>
      <c r="AB113" s="51"/>
      <c r="AC113" s="49"/>
      <c r="AD113" s="50" t="str">
        <f>IF(AK93&gt;9,IF(AK92&gt;3,"/",""),"")</f>
        <v/>
      </c>
      <c r="AE113" s="51"/>
      <c r="AF113" s="42" t="str">
        <f>IF(AK94&gt;4,"Team 5","")</f>
        <v>Team 5</v>
      </c>
      <c r="AG113" s="52">
        <f>IF(AK94&lt;5,"",IF(AK93&lt;1,"",IF(B109=5,B115-D115,IF(D109=5,D115-B115,""))))</f>
        <v>11</v>
      </c>
      <c r="AH113" s="48" t="str">
        <f>IF(AK94&lt;5,"",IF(AK93&lt;2,"",IF(E109=5,E115-G115,IF(G109=5,G115-E115,""))))</f>
        <v/>
      </c>
      <c r="AI113" s="48">
        <f>IF(AK94&lt;5,"",IF(AK93&lt;3,"",IF(H109=5,H115-J115,IF(J109=5,J115-H115,""))))</f>
        <v>-15</v>
      </c>
      <c r="AJ113" s="48" t="str">
        <f>IF(AK94&lt;5,"",IF(AK93&lt;4,"",IF(K109=5,K115-M115,IF(M109=5,M115-K115,""))))</f>
        <v/>
      </c>
      <c r="AK113" s="48" t="str">
        <f>IF(AK94&lt;5,"",IF(AK93&lt;5,"",IF(N109=5,N115-P115,IF(P109=5,P115-N115,""))))</f>
        <v/>
      </c>
      <c r="AL113" s="48">
        <f>IF(AK94&lt;5,"",IF(AK93&lt;6,"",IF(Q109=5,Q115-S115,IF(S109=5,S115-Q115,""))))</f>
        <v>15</v>
      </c>
      <c r="AM113" s="48" t="str">
        <f>IF(AK94&lt;5,"",IF(AK93&lt;7,"",IF(T109=5,T115-V115,IF(V109=5,V115-T115,""))))</f>
        <v/>
      </c>
      <c r="AN113" s="48">
        <f>IF(AK94&lt;5,"",IF(AK93&lt;8,"",IF(W109=5,W115-Y115,IF(Y109=5,Y115-W115,""))))</f>
        <v>4</v>
      </c>
      <c r="AO113" s="48" t="str">
        <f>IF(AK94&lt;5,"",IF(AK93&lt;9,"",IF(Z109=5,Z115-AB115,IF(AB109=5,AB115-Z115,""))))</f>
        <v/>
      </c>
      <c r="AP113" s="48" t="str">
        <f>IF(AK94&lt;5,"",IF(AK93&lt;10,"",IF(AC109=5,AC115-AE115,IF(AE109=5,AE115-AC115,""))))</f>
        <v/>
      </c>
      <c r="AQ113" s="44">
        <f>SUM(AG113:AP113)</f>
        <v>15</v>
      </c>
    </row>
    <row r="114" spans="1:49" ht="15" x14ac:dyDescent="0.2">
      <c r="A114" s="3" t="str">
        <f>IF(AK92&gt;4,"Game 5","")</f>
        <v/>
      </c>
      <c r="B114" s="49"/>
      <c r="C114" s="50" t="s">
        <v>53</v>
      </c>
      <c r="D114" s="51"/>
      <c r="E114" s="49"/>
      <c r="F114" s="50" t="str">
        <f>IF(AK93&gt;1,IF(AK92&gt;4,"/",""),"")</f>
        <v/>
      </c>
      <c r="G114" s="51"/>
      <c r="H114" s="49"/>
      <c r="I114" s="50" t="str">
        <f>IF(AK93&gt;2,IF(AK92&gt;4,"/",""),"")</f>
        <v/>
      </c>
      <c r="J114" s="51"/>
      <c r="K114" s="49"/>
      <c r="L114" s="50" t="str">
        <f>IF(AK93&gt;3,IF(AK92&gt;4,"/",""),"")</f>
        <v/>
      </c>
      <c r="M114" s="51"/>
      <c r="N114" s="49"/>
      <c r="O114" s="50" t="str">
        <f>IF(AK93&gt;4,IF(AK92&gt;4,"/",""),"")</f>
        <v/>
      </c>
      <c r="P114" s="51"/>
      <c r="Q114" s="49"/>
      <c r="R114" s="50" t="str">
        <f>IF(AK93&gt;5,IF(AK92&gt;4,"/",""),"")</f>
        <v/>
      </c>
      <c r="S114" s="51"/>
      <c r="T114" s="49"/>
      <c r="U114" s="50" t="str">
        <f>IF(AK93&gt;6,IF(AK92&gt;4,"/",""),"")</f>
        <v/>
      </c>
      <c r="V114" s="51"/>
      <c r="W114" s="49"/>
      <c r="X114" s="50" t="str">
        <f>IF(AK93&gt;7,IF(AK92&gt;4,"/",""),"")</f>
        <v/>
      </c>
      <c r="Y114" s="51"/>
      <c r="Z114" s="49"/>
      <c r="AA114" s="50" t="str">
        <f>IF(AK93&gt;8,IF(AK92&gt;4,"/",""),"")</f>
        <v/>
      </c>
      <c r="AB114" s="51"/>
      <c r="AC114" s="49"/>
      <c r="AD114" s="50" t="str">
        <f>IF(AK93&gt;9,IF(AK92&gt;4,"/",""),"")</f>
        <v/>
      </c>
      <c r="AE114" s="5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</row>
    <row r="115" spans="1:49" hidden="1" x14ac:dyDescent="0.2">
      <c r="A115" s="53"/>
      <c r="B115" s="53">
        <f>IF($AK92=5,SUM(B110:B114),IF($AK92=4,SUM(B110:B113),IF($AK92=3,SUM(B110:B112),IF($AK92=2,SUM(B110:B111),B110))))</f>
        <v>39</v>
      </c>
      <c r="C115" s="53"/>
      <c r="D115" s="53">
        <f>IF($AK92=5,SUM(D110:D114),IF($AK92=4,SUM(D110:D113),IF($AK92=3,SUM(D110:D112),IF($AK92=2,SUM(D110:D111),D110))))</f>
        <v>50</v>
      </c>
      <c r="E115" s="53">
        <f>IF($AK92=5,SUM(E110:E114),IF($AK92=4,SUM(E110:E113),IF($AK92=3,SUM(E110:E112),IF($AK92=2,SUM(E110:E111),E110))))</f>
        <v>44</v>
      </c>
      <c r="F115" s="53"/>
      <c r="G115" s="53">
        <f>IF($AK92=5,SUM(G110:G114),IF($AK92=4,SUM(G110:G113),IF($AK92=3,SUM(G110:G112),IF($AK92=2,SUM(G110:G111),G110))))</f>
        <v>45</v>
      </c>
      <c r="H115" s="53">
        <f>IF($AK92=5,SUM(H110:H114),IF($AK92=4,SUM(H110:H113),IF($AK92=3,SUM(H110:H112),IF($AK92=2,SUM(H110:H111),H110))))</f>
        <v>50</v>
      </c>
      <c r="I115" s="53"/>
      <c r="J115" s="53">
        <f>IF($AK92=5,SUM(J110:J114),IF($AK92=4,SUM(J110:J113),IF($AK92=3,SUM(J110:J112),IF($AK92=2,SUM(J110:J111),J110))))</f>
        <v>35</v>
      </c>
      <c r="K115" s="53">
        <f>IF($AK92=5,SUM(K110:K114),IF($AK92=4,SUM(K110:K113),IF($AK92=3,SUM(K110:K112),IF($AK92=2,SUM(K110:K111),K110))))</f>
        <v>47</v>
      </c>
      <c r="L115" s="53"/>
      <c r="M115" s="53">
        <f>IF($AK92=5,SUM(M110:M114),IF($AK92=4,SUM(M110:M113),IF($AK92=3,SUM(M110:M112),IF($AK92=2,SUM(M110:M111),M110))))</f>
        <v>47</v>
      </c>
      <c r="N115" s="53">
        <f>IF($AK92=5,SUM(N110:N114),IF($AK92=4,SUM(N110:N113),IF($AK92=3,SUM(N110:N112),IF($AK92=2,SUM(N110:N111),N110))))</f>
        <v>44</v>
      </c>
      <c r="O115" s="53"/>
      <c r="P115" s="53">
        <f>IF($AK92=5,SUM(P110:P114),IF($AK92=4,SUM(P110:P113),IF($AK92=3,SUM(P110:P112),IF($AK92=2,SUM(P110:P111),P110))))</f>
        <v>47</v>
      </c>
      <c r="Q115" s="53">
        <f>IF($AK92=5,SUM(Q110:Q114),IF($AK92=4,SUM(Q110:Q113),IF($AK92=3,SUM(Q110:Q112),IF($AK92=2,SUM(Q110:Q111),Q110))))</f>
        <v>35</v>
      </c>
      <c r="R115" s="53"/>
      <c r="S115" s="53">
        <f>IF($AK92=5,SUM(S110:S114),IF($AK92=4,SUM(S110:S113),IF($AK92=3,SUM(S110:S112),IF($AK92=2,SUM(S110:S111),S110))))</f>
        <v>50</v>
      </c>
      <c r="T115" s="53">
        <f>IF($AK92=5,SUM(T110:T114),IF($AK92=4,SUM(T110:T113),IF($AK92=3,SUM(T110:T112),IF($AK92=2,SUM(T110:T111),T110))))</f>
        <v>37</v>
      </c>
      <c r="U115" s="53"/>
      <c r="V115" s="53">
        <f>IF($AK92=5,SUM(V110:V114),IF($AK92=4,SUM(V110:V113),IF($AK92=3,SUM(V110:V112),IF($AK92=2,SUM(V110:V111),V110))))</f>
        <v>50</v>
      </c>
      <c r="W115" s="53">
        <f>IF($AK92=5,SUM(W110:W114),IF($AK92=4,SUM(W110:W113),IF($AK92=3,SUM(W110:W112),IF($AK92=2,SUM(W110:W111),W110))))</f>
        <v>48</v>
      </c>
      <c r="X115" s="53"/>
      <c r="Y115" s="53">
        <f>IF($AK92=5,SUM(Y110:Y114),IF($AK92=4,SUM(Y110:Y113),IF($AK92=3,SUM(Y110:Y112),IF($AK92=2,SUM(Y110:Y111),Y110))))</f>
        <v>52</v>
      </c>
      <c r="Z115" s="53">
        <f>IF($AK92=5,SUM(Z110:Z114),IF($AK92=4,SUM(Z110:Z113),IF($AK92=3,SUM(Z110:Z112),IF($AK92=2,SUM(Z110:Z111),Z110))))</f>
        <v>48</v>
      </c>
      <c r="AA115" s="53"/>
      <c r="AB115" s="53">
        <f>IF($AK92=5,SUM(AB110:AB114),IF($AK92=4,SUM(AB110:AB113),IF($AK92=3,SUM(AB110:AB112),IF($AK92=2,SUM(AB110:AB111),AB110))))</f>
        <v>43</v>
      </c>
      <c r="AC115" s="53">
        <f>IF($AK92=5,SUM(AC110:AC114),IF($AK92=4,SUM(AC110:AC113),IF($AK92=3,SUM(AC110:AC112),IF($AK92=2,SUM(AC110:AC111),AC110))))</f>
        <v>48</v>
      </c>
      <c r="AD115" s="53"/>
      <c r="AE115" s="53">
        <f>IF($AK92=5,SUM(AE110:AE114),IF($AK92=4,SUM(AE110:AE113),IF($AK92=3,SUM(AE110:AE112),IF($AK92=2,SUM(AE110:AE111),AE110))))</f>
        <v>45</v>
      </c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</row>
    <row r="116" spans="1:49" s="54" customFormat="1" ht="12.75" hidden="1" customHeight="1" x14ac:dyDescent="0.2">
      <c r="A116" s="54" t="s">
        <v>54</v>
      </c>
      <c r="B116" s="55">
        <f>IF(AND(B110&gt;D110,$AK93&gt;0,ISNUMBER(B110),ISNUMBER(D110)),1,0)</f>
        <v>0</v>
      </c>
      <c r="C116" s="55"/>
      <c r="D116" s="56">
        <f>IF(AND(D110&gt;B110,$AK93&gt;0,ISNUMBER(B110),ISNUMBER(D110)),1,0)</f>
        <v>1</v>
      </c>
      <c r="E116" s="55">
        <f>IF(AND(E110&gt;G110,$AK93&gt;1,ISNUMBER(E110),ISNUMBER(G110)),1,0)</f>
        <v>0</v>
      </c>
      <c r="F116" s="55"/>
      <c r="G116" s="56">
        <f>IF(AND(G110&gt;E110,$AK93&gt;1,ISNUMBER(E110),ISNUMBER(G110)),1,0)</f>
        <v>1</v>
      </c>
      <c r="H116" s="55">
        <f>IF(AND(H110&gt;J110,$AK93&gt;2,ISNUMBER(H110),ISNUMBER(J110)),1,0)</f>
        <v>1</v>
      </c>
      <c r="I116" s="55"/>
      <c r="J116" s="56">
        <f>IF(AND(J110&gt;H110,$AK93&gt;2,ISNUMBER(H110),ISNUMBER(J110)),1,0)</f>
        <v>0</v>
      </c>
      <c r="K116" s="55">
        <f>IF(AND(K110&gt;M110,$AK93&gt;3,ISNUMBER(K110),ISNUMBER(M110)),1,0)</f>
        <v>0</v>
      </c>
      <c r="L116" s="55"/>
      <c r="M116" s="56">
        <f>IF(AND(M110&gt;K110,$AK93&gt;3,ISNUMBER(K110),ISNUMBER(M110)),1,0)</f>
        <v>1</v>
      </c>
      <c r="N116" s="55">
        <f>IF(AND(N110&gt;P110,$AK93&gt;4,ISNUMBER(N110),ISNUMBER(P110)),1,0)</f>
        <v>0</v>
      </c>
      <c r="O116" s="55"/>
      <c r="P116" s="56">
        <f>IF(AND(P110&gt;N110,$AK93&gt;4,ISNUMBER(N110),ISNUMBER(P110)),1,0)</f>
        <v>1</v>
      </c>
      <c r="Q116" s="55">
        <f>IF(AND(Q110&gt;S110,$AK93&gt;5,ISNUMBER(Q110),ISNUMBER(S110)),1,0)</f>
        <v>0</v>
      </c>
      <c r="R116" s="55"/>
      <c r="S116" s="56">
        <f>IF(AND(S110&gt;Q110,$AK93&gt;5,ISNUMBER(Q110),ISNUMBER(S110)),1,0)</f>
        <v>1</v>
      </c>
      <c r="T116" s="55">
        <f>IF(AND(T110&gt;V110,$AK93&gt;6,ISNUMBER(T110),ISNUMBER(V110)),1,0)</f>
        <v>0</v>
      </c>
      <c r="U116" s="55"/>
      <c r="V116" s="56">
        <f>IF(AND(V110&gt;T110,$AK93&gt;6,ISNUMBER(T110),ISNUMBER(V110)),1,0)</f>
        <v>1</v>
      </c>
      <c r="W116" s="55">
        <f>IF(AND(W110&gt;Y110,$AK93&gt;7,ISNUMBER(W110),ISNUMBER(Y110)),1,0)</f>
        <v>0</v>
      </c>
      <c r="X116" s="55"/>
      <c r="Y116" s="56">
        <f>IF(AND(Y110&gt;W110,$AK93&gt;7,ISNUMBER(W110),ISNUMBER(Y110)),1,0)</f>
        <v>1</v>
      </c>
      <c r="Z116" s="55">
        <f>IF(AND(Z110&gt;AB110,$AK93&gt;8,ISNUMBER(Z110),ISNUMBER(AB110)),1,0)</f>
        <v>1</v>
      </c>
      <c r="AA116" s="55"/>
      <c r="AB116" s="56">
        <f>IF(AND(AB110&gt;Z110,$AK93&gt;8,ISNUMBER(Z110),ISNUMBER(AB110)),1,0)</f>
        <v>0</v>
      </c>
      <c r="AC116" s="55">
        <f>IF(AND(AC110&gt;AE110,$AK93&gt;9,ISNUMBER(AC110),ISNUMBER(AE110)),1,0)</f>
        <v>1</v>
      </c>
      <c r="AD116" s="55"/>
      <c r="AE116" s="56">
        <f>IF(AND(AE110&gt;AC110,$AK93&gt;9,ISNUMBER(AC110),ISNUMBER(AE110)),1,0)</f>
        <v>0</v>
      </c>
      <c r="AW116" s="146"/>
    </row>
    <row r="117" spans="1:49" s="54" customFormat="1" ht="12.75" hidden="1" customHeight="1" x14ac:dyDescent="0.2">
      <c r="A117" s="54" t="s">
        <v>55</v>
      </c>
      <c r="B117" s="55">
        <f>IF(AND(B111&gt;D111,$AK93&gt;0,$AK92&gt;1,ISNUMBER(B111),ISNUMBER(D111)),1,0)</f>
        <v>0</v>
      </c>
      <c r="C117" s="55"/>
      <c r="D117" s="56">
        <f>IF(AND(D111&gt;B111,$AK93&gt;0,$AK92&gt;1,ISNUMBER(B111),ISNUMBER(D111)),1,0)</f>
        <v>1</v>
      </c>
      <c r="E117" s="55">
        <f>IF(AND(E111&gt;G111,$AK93&gt;1,$AK92&gt;1,ISNUMBER(E111),ISNUMBER(G111)),1,0)</f>
        <v>1</v>
      </c>
      <c r="F117" s="55"/>
      <c r="G117" s="56">
        <f>IF(AND(G111&gt;E111,$AK93&gt;1,$AK92&gt;1,ISNUMBER(E111),ISNUMBER(G111)),1,0)</f>
        <v>0</v>
      </c>
      <c r="H117" s="55">
        <f>IF(AND(H111&gt;J111,$AK93&gt;2,$AK92&gt;1,ISNUMBER(H111),ISNUMBER(J111)),1,0)</f>
        <v>1</v>
      </c>
      <c r="I117" s="55"/>
      <c r="J117" s="56">
        <f>IF(AND(J111&gt;H111,$AK93&gt;2,$AK92&gt;1,ISNUMBER(H111),ISNUMBER(J111)),1,0)</f>
        <v>0</v>
      </c>
      <c r="K117" s="55">
        <f>IF(AND(K111&gt;M111,$AK93&gt;3,$AK92&gt;1,ISNUMBER(K111),ISNUMBER(M111)),1,0)</f>
        <v>1</v>
      </c>
      <c r="L117" s="55"/>
      <c r="M117" s="56">
        <f>IF(AND(M111&gt;K111,$AK93&gt;3,$AK92&gt;1,ISNUMBER(K111),ISNUMBER(M111)),1,0)</f>
        <v>0</v>
      </c>
      <c r="N117" s="55">
        <f>IF(AND(N111&gt;P111,$AK93&gt;4,$AK92&gt;1,ISNUMBER(N111),ISNUMBER(P111)),1,0)</f>
        <v>1</v>
      </c>
      <c r="O117" s="55"/>
      <c r="P117" s="56">
        <f>IF(AND(P111&gt;N111,$AK93&gt;4,$AK92&gt;1,ISNUMBER(N111),ISNUMBER(P111)),1,0)</f>
        <v>0</v>
      </c>
      <c r="Q117" s="55">
        <f>IF(AND(Q111&gt;S111,$AK93&gt;5,$AK92&gt;1,ISNUMBER(Q111),ISNUMBER(S111)),1,0)</f>
        <v>0</v>
      </c>
      <c r="R117" s="55"/>
      <c r="S117" s="56">
        <f>IF(AND(S111&gt;Q111,$AK93&gt;5,$AK92&gt;1,ISNUMBER(Q111),ISNUMBER(S111)),1,0)</f>
        <v>1</v>
      </c>
      <c r="T117" s="55">
        <f>IF(AND(T111&gt;V111,$AK93&gt;6,$AK92&gt;1,ISNUMBER(T111),ISNUMBER(V111)),1,0)</f>
        <v>0</v>
      </c>
      <c r="U117" s="55"/>
      <c r="V117" s="56">
        <f>IF(AND(V111&gt;T111,$AK93&gt;6,$AK92&gt;1,ISNUMBER(T111),ISNUMBER(V111)),1,0)</f>
        <v>1</v>
      </c>
      <c r="W117" s="55">
        <f>IF(AND(W111&gt;Y111,$AK93&gt;7,$AK92&gt;1,ISNUMBER(W111),ISNUMBER(Y111)),1,0)</f>
        <v>0</v>
      </c>
      <c r="X117" s="55"/>
      <c r="Y117" s="56">
        <f>IF(AND(Y111&gt;W111,$AK93&gt;7,$AK92&gt;1,ISNUMBER(W111),ISNUMBER(Y111)),1,0)</f>
        <v>1</v>
      </c>
      <c r="Z117" s="55">
        <f>IF(AND(Z111&gt;AB111,$AK93&gt;8,$AK92&gt;1,ISNUMBER(Z111),ISNUMBER(AB111)),1,0)</f>
        <v>0</v>
      </c>
      <c r="AA117" s="55"/>
      <c r="AB117" s="56">
        <f>IF(AND(AB111&gt;Z111,$AK93&gt;8,$AK92&gt;1,ISNUMBER(Z111),ISNUMBER(AB111)),1,0)</f>
        <v>1</v>
      </c>
      <c r="AC117" s="55">
        <f>IF(AND(AC111&gt;AE111,$AK93&gt;9,$AK92&gt;1,ISNUMBER(AC111),ISNUMBER(AE111)),1,0)</f>
        <v>0</v>
      </c>
      <c r="AD117" s="55"/>
      <c r="AE117" s="56">
        <f>IF(AND(AE111&gt;AC111,$AK93&gt;9,$AK92&gt;1,ISNUMBER(AC111),ISNUMBER(AE111)),1,0)</f>
        <v>1</v>
      </c>
      <c r="AW117" s="146"/>
    </row>
    <row r="118" spans="1:49" s="54" customFormat="1" ht="12.75" hidden="1" customHeight="1" x14ac:dyDescent="0.2">
      <c r="A118" s="54" t="s">
        <v>56</v>
      </c>
      <c r="B118" s="55">
        <f>IF(AND(B112&gt;D112,$AK93&gt;0,$AK92&gt;2,ISNUMBER(B112),ISNUMBER(D112)),1,0)</f>
        <v>0</v>
      </c>
      <c r="C118" s="55"/>
      <c r="D118" s="56">
        <f>IF(AND(D112&gt;B112,$AK93&gt;0,$AK92&gt;2,ISNUMBER(B112),ISNUMBER(D112)),1,0)</f>
        <v>0</v>
      </c>
      <c r="E118" s="55">
        <f>IF(AND(E112&gt;G112,$AK93&gt;1,$AK92&gt;2,ISNUMBER(E112),ISNUMBER(G112)),1,0)</f>
        <v>0</v>
      </c>
      <c r="F118" s="55"/>
      <c r="G118" s="56">
        <f>IF(AND(G112&gt;E112,$AK93&gt;1,$AK92&gt;2,ISNUMBER(E112),ISNUMBER(G112)),1,0)</f>
        <v>0</v>
      </c>
      <c r="H118" s="55">
        <f>IF(AND(H112&gt;J112,$AK93&gt;2,$AK92&gt;2,ISNUMBER(H112),ISNUMBER(J112)),1,0)</f>
        <v>0</v>
      </c>
      <c r="I118" s="55"/>
      <c r="J118" s="56">
        <f>IF(AND(J112&gt;H112,$AK93&gt;2,$AK92&gt;2,ISNUMBER(H112),ISNUMBER(J112)),1,0)</f>
        <v>0</v>
      </c>
      <c r="K118" s="55">
        <f>IF(AND(K112&gt;M112,$AK93&gt;3,$AK92&gt;2,ISNUMBER(K112),ISNUMBER(M112)),1,0)</f>
        <v>0</v>
      </c>
      <c r="L118" s="55"/>
      <c r="M118" s="56">
        <f>IF(AND(M112&gt;K112,$AK93&gt;3,$AK92&gt;2,ISNUMBER(K112),ISNUMBER(M112)),1,0)</f>
        <v>0</v>
      </c>
      <c r="N118" s="55">
        <f>IF(AND(N112&gt;P112,$AK93&gt;4,$AK92&gt;2,ISNUMBER(N112),ISNUMBER(P112)),1,0)</f>
        <v>0</v>
      </c>
      <c r="O118" s="55"/>
      <c r="P118" s="56">
        <f>IF(AND(P112&gt;N112,$AK93&gt;4,$AK92&gt;2,ISNUMBER(N112),ISNUMBER(P112)),1,0)</f>
        <v>0</v>
      </c>
      <c r="Q118" s="55">
        <f>IF(AND(Q112&gt;S112,$AK93&gt;5,$AK92&gt;2,ISNUMBER(Q112),ISNUMBER(S112)),1,0)</f>
        <v>0</v>
      </c>
      <c r="R118" s="55"/>
      <c r="S118" s="56">
        <f>IF(AND(S112&gt;Q112,$AK93&gt;5,$AK92&gt;2,ISNUMBER(Q112),ISNUMBER(S112)),1,0)</f>
        <v>0</v>
      </c>
      <c r="T118" s="55">
        <f>IF(AND(T112&gt;V112,$AK93&gt;6,$AK92&gt;2,ISNUMBER(T112),ISNUMBER(V112)),1,0)</f>
        <v>0</v>
      </c>
      <c r="U118" s="55"/>
      <c r="V118" s="56">
        <f>IF(AND(V112&gt;T112,$AK93&gt;6,$AK92&gt;2,ISNUMBER(T112),ISNUMBER(V112)),1,0)</f>
        <v>0</v>
      </c>
      <c r="W118" s="55">
        <f>IF(AND(W112&gt;Y112,$AK93&gt;7,$AK92&gt;2,ISNUMBER(W112),ISNUMBER(Y112)),1,0)</f>
        <v>0</v>
      </c>
      <c r="X118" s="55"/>
      <c r="Y118" s="56">
        <f>IF(AND(Y112&gt;W112,$AK93&gt;7,$AK92&gt;2,ISNUMBER(W112),ISNUMBER(Y112)),1,0)</f>
        <v>0</v>
      </c>
      <c r="Z118" s="55">
        <f>IF(AND(Z112&gt;AB112,$AK93&gt;8,$AK92&gt;2,ISNUMBER(Z112),ISNUMBER(AB112)),1,0)</f>
        <v>0</v>
      </c>
      <c r="AA118" s="55"/>
      <c r="AB118" s="56">
        <f>IF(AND(AB112&gt;Z112,$AK93&gt;8,$AK92&gt;2,ISNUMBER(Z112),ISNUMBER(AB112)),1,0)</f>
        <v>0</v>
      </c>
      <c r="AC118" s="55">
        <f>IF(AND(AC112&gt;AE112,$AK93&gt;9,$AK92&gt;2,ISNUMBER(AC112),ISNUMBER(AE112)),1,0)</f>
        <v>0</v>
      </c>
      <c r="AD118" s="55"/>
      <c r="AE118" s="56">
        <f>IF(AND(AE112&gt;AC112,$AK93&gt;9,$AK92&gt;2,ISNUMBER(AC112),ISNUMBER(AE112)),1,0)</f>
        <v>0</v>
      </c>
      <c r="AW118" s="146"/>
    </row>
    <row r="119" spans="1:49" s="54" customFormat="1" ht="12.75" hidden="1" customHeight="1" x14ac:dyDescent="0.2">
      <c r="A119" s="54" t="s">
        <v>57</v>
      </c>
      <c r="B119" s="55">
        <f>IF(AND(B113&gt;D113,$AK93&gt;0,$AK92&gt;3,ISNUMBER(B113),ISNUMBER(D113)),1,0)</f>
        <v>0</v>
      </c>
      <c r="C119" s="55"/>
      <c r="D119" s="56">
        <f>IF(AND(D113&gt;B113,$AK93&gt;0,$AK92&gt;3,ISNUMBER(B113),ISNUMBER(D113)),1,0)</f>
        <v>0</v>
      </c>
      <c r="E119" s="55">
        <f>IF(AND(E113&gt;G113,$AK93&gt;1,$AK92&gt;3,ISNUMBER(E113),ISNUMBER(G113)),1,0)</f>
        <v>0</v>
      </c>
      <c r="F119" s="55"/>
      <c r="G119" s="56">
        <f>IF(AND(G113&gt;E113,$AK93&gt;1,$AK92&gt;3,ISNUMBER(E113),ISNUMBER(G113)),1,0)</f>
        <v>0</v>
      </c>
      <c r="H119" s="55">
        <f>IF(AND(H113&gt;J113,$AK93&gt;2,$AK92&gt;3,ISNUMBER(H113),ISNUMBER(J113)),1,0)</f>
        <v>0</v>
      </c>
      <c r="I119" s="55"/>
      <c r="J119" s="56">
        <f>IF(AND(J113&gt;H113,$AK93&gt;2,$AK92&gt;3,ISNUMBER(H113),ISNUMBER(J113)),1,0)</f>
        <v>0</v>
      </c>
      <c r="K119" s="55">
        <f>IF(AND(K113&gt;M113,$AK93&gt;3,$AK92&gt;3,ISNUMBER(K113),ISNUMBER(M113)),1,0)</f>
        <v>0</v>
      </c>
      <c r="L119" s="55"/>
      <c r="M119" s="56">
        <f>IF(AND(M113&gt;K113,$AK93&gt;3,$AK92&gt;3,ISNUMBER(K113),ISNUMBER(M113)),1,0)</f>
        <v>0</v>
      </c>
      <c r="N119" s="55">
        <f>IF(AND(N113&gt;P113,$AK93&gt;4,$AK92&gt;3,ISNUMBER(N113),ISNUMBER(P113)),1,0)</f>
        <v>0</v>
      </c>
      <c r="O119" s="55"/>
      <c r="P119" s="56">
        <f>IF(AND(P113&gt;N113,$AK93&gt;4,$AK92&gt;3,ISNUMBER(N113),ISNUMBER(P113)),1,0)</f>
        <v>0</v>
      </c>
      <c r="Q119" s="55">
        <f>IF(AND(Q113&gt;S113,$AK93&gt;5,$AK92&gt;3,ISNUMBER(Q113),ISNUMBER(S113)),1,0)</f>
        <v>0</v>
      </c>
      <c r="R119" s="55"/>
      <c r="S119" s="56">
        <f>IF(AND(S113&gt;Q113,$AK93&gt;5,$AK92&gt;3,ISNUMBER(Q113),ISNUMBER(S113)),1,0)</f>
        <v>0</v>
      </c>
      <c r="T119" s="55">
        <f>IF(AND(T113&gt;V113,$AK93&gt;6,$AK92&gt;3,ISNUMBER(T113),ISNUMBER(V113)),1,0)</f>
        <v>0</v>
      </c>
      <c r="U119" s="55"/>
      <c r="V119" s="56">
        <f>IF(AND(V113&gt;T113,$AK93&gt;6,$AK92&gt;3,ISNUMBER(T113),ISNUMBER(V113)),1,0)</f>
        <v>0</v>
      </c>
      <c r="W119" s="55">
        <f>IF(AND(W113&gt;Y113,$AK93&gt;7,$AK92&gt;3,ISNUMBER(W113),ISNUMBER(Y113)),1,0)</f>
        <v>0</v>
      </c>
      <c r="X119" s="55"/>
      <c r="Y119" s="56">
        <f>IF(AND(Y113&gt;W113,$AK93&gt;7,$AK92&gt;3,ISNUMBER(W113),ISNUMBER(Y113)),1,0)</f>
        <v>0</v>
      </c>
      <c r="Z119" s="55">
        <f>IF(AND(Z113&gt;AB113,$AK93&gt;8,$AK92&gt;3,ISNUMBER(Z113),ISNUMBER(AB113)),1,0)</f>
        <v>0</v>
      </c>
      <c r="AA119" s="55"/>
      <c r="AB119" s="56">
        <f>IF(AND(AB113&gt;Z113,$AK93&gt;8,$AK92&gt;3,ISNUMBER(Z113),ISNUMBER(AB113)),1,0)</f>
        <v>0</v>
      </c>
      <c r="AC119" s="55">
        <f>IF(AND(AC113&gt;AE113,$AK93&gt;9,$AK92&gt;3,ISNUMBER(AC113),ISNUMBER(AE113)),1,0)</f>
        <v>0</v>
      </c>
      <c r="AD119" s="55"/>
      <c r="AE119" s="56">
        <f>IF(AND(AE113&gt;AC113,$AK93&gt;9,$AK92&gt;3,ISNUMBER(AC113),ISNUMBER(AE113)),1,0)</f>
        <v>0</v>
      </c>
      <c r="AW119" s="146"/>
    </row>
    <row r="120" spans="1:49" s="54" customFormat="1" ht="12.75" hidden="1" customHeight="1" x14ac:dyDescent="0.2">
      <c r="A120" s="54" t="s">
        <v>58</v>
      </c>
      <c r="B120" s="55">
        <f>IF(AND(B114&gt;D114,$AK93&gt;0,$AK92&gt;4,ISNUMBER(B114),ISNUMBER(D114)),1,0)</f>
        <v>0</v>
      </c>
      <c r="C120" s="55"/>
      <c r="D120" s="56">
        <f>IF(AND(D114&gt;B114,$AK93&gt;0,$AK92&gt;4,ISNUMBER(B114),ISNUMBER(D114)),1,0)</f>
        <v>0</v>
      </c>
      <c r="E120" s="55">
        <f>IF(AND(E114&gt;G114,$AK93&gt;1,$AK92&gt;4,ISNUMBER(E114),ISNUMBER(G114)),1,0)</f>
        <v>0</v>
      </c>
      <c r="F120" s="55"/>
      <c r="G120" s="56">
        <f>IF(AND(G114&gt;E114,$AK93&gt;1,$AK92&gt;4,ISNUMBER(E114),ISNUMBER(G114)),1,0)</f>
        <v>0</v>
      </c>
      <c r="H120" s="55">
        <f>IF(AND(H114&gt;J114,$AK93&gt;2,$AK92&gt;4,ISNUMBER(H114),ISNUMBER(J114)),1,0)</f>
        <v>0</v>
      </c>
      <c r="I120" s="55"/>
      <c r="J120" s="56">
        <f>IF(AND(J114&gt;H114,$AK93&gt;2,$AK92&gt;4,ISNUMBER(H114),ISNUMBER(J114)),1,0)</f>
        <v>0</v>
      </c>
      <c r="K120" s="55">
        <f>IF(AND(K114&gt;M114,$AK93&gt;3,$AK92&gt;4,ISNUMBER(K114),ISNUMBER(M114)),1,0)</f>
        <v>0</v>
      </c>
      <c r="L120" s="55"/>
      <c r="M120" s="56">
        <f>IF(AND(M114&gt;K114,$AK93&gt;3,$AK92&gt;4,ISNUMBER(K114),ISNUMBER(M114)),1,0)</f>
        <v>0</v>
      </c>
      <c r="N120" s="55">
        <f>IF(AND(N114&gt;P114,$AK93&gt;4,$AK92&gt;4,ISNUMBER(N114),ISNUMBER(P114)),1,0)</f>
        <v>0</v>
      </c>
      <c r="O120" s="55"/>
      <c r="P120" s="56">
        <f>IF(AND(P114&gt;N114,$AK93&gt;4,$AK92&gt;4,ISNUMBER(N114),ISNUMBER(P114)),1,0)</f>
        <v>0</v>
      </c>
      <c r="Q120" s="55">
        <f>IF(AND(Q114&gt;S114,$AK93&gt;5,$AK92&gt;4,ISNUMBER(Q114),ISNUMBER(S114)),1,0)</f>
        <v>0</v>
      </c>
      <c r="R120" s="55"/>
      <c r="S120" s="56">
        <f>IF(AND(S114&gt;Q114,$AK93&gt;5,$AK92&gt;4,ISNUMBER(Q114),ISNUMBER(S114)),1,0)</f>
        <v>0</v>
      </c>
      <c r="T120" s="55">
        <f>IF(AND(T114&gt;V114,$AK93&gt;6,$AK92&gt;4,ISNUMBER(T114),ISNUMBER(V114)),1,0)</f>
        <v>0</v>
      </c>
      <c r="U120" s="55"/>
      <c r="V120" s="56">
        <f>IF(AND(V114&gt;T114,$AK93&gt;6,$AK92&gt;4,ISNUMBER(T114),ISNUMBER(V114)),1,0)</f>
        <v>0</v>
      </c>
      <c r="W120" s="55">
        <f>IF(AND(W114&gt;Y114,$AK93&gt;7,$AK92&gt;4,ISNUMBER(W114),ISNUMBER(Y114)),1,0)</f>
        <v>0</v>
      </c>
      <c r="X120" s="55"/>
      <c r="Y120" s="56">
        <f>IF(AND(Y114&gt;W114,$AK93&gt;7,$AK92&gt;4,ISNUMBER(W114),ISNUMBER(Y114)),1,0)</f>
        <v>0</v>
      </c>
      <c r="Z120" s="55">
        <f>IF(AND(Z114&gt;AB114,$AK93&gt;8,$AK92&gt;4,ISNUMBER(Z114),ISNUMBER(AB114)),1,0)</f>
        <v>0</v>
      </c>
      <c r="AA120" s="55"/>
      <c r="AB120" s="56">
        <f>IF(AND(AB114&gt;Z114,$AK93&gt;8,$AK92&gt;4,ISNUMBER(Z114),ISNUMBER(AB114)),1,0)</f>
        <v>0</v>
      </c>
      <c r="AC120" s="55">
        <f>IF(AND(AC114&gt;AE114,$AK93&gt;9,$AK92&gt;4,ISNUMBER(AC114),ISNUMBER(AE114)),1,0)</f>
        <v>0</v>
      </c>
      <c r="AD120" s="55"/>
      <c r="AE120" s="56">
        <f>IF(AND(AE114&gt;AC114,$AK93&gt;9,$AK92&gt;4,ISNUMBER(AC114),ISNUMBER(AE114)),1,0)</f>
        <v>0</v>
      </c>
      <c r="AW120" s="146"/>
    </row>
    <row r="121" spans="1:49" s="54" customFormat="1" ht="38.25" hidden="1" customHeight="1" x14ac:dyDescent="0.2">
      <c r="A121" s="57" t="s">
        <v>59</v>
      </c>
      <c r="B121" s="54">
        <f>SUM(B116:B120)</f>
        <v>0</v>
      </c>
      <c r="D121" s="58">
        <f>SUM(D116:D120)</f>
        <v>2</v>
      </c>
      <c r="E121" s="54">
        <f>SUM(E116:E120)</f>
        <v>1</v>
      </c>
      <c r="G121" s="58">
        <f>SUM(G116:G120)</f>
        <v>1</v>
      </c>
      <c r="H121" s="54">
        <f>SUM(H116:H120)</f>
        <v>2</v>
      </c>
      <c r="J121" s="58">
        <f>SUM(J116:J120)</f>
        <v>0</v>
      </c>
      <c r="K121" s="54">
        <f>SUM(K116:K120)</f>
        <v>1</v>
      </c>
      <c r="M121" s="58">
        <f>SUM(M116:M120)</f>
        <v>1</v>
      </c>
      <c r="N121" s="54">
        <f>SUM(N116:N120)</f>
        <v>1</v>
      </c>
      <c r="P121" s="58">
        <f>SUM(P116:P120)</f>
        <v>1</v>
      </c>
      <c r="Q121" s="54">
        <f>SUM(Q116:Q120)</f>
        <v>0</v>
      </c>
      <c r="S121" s="58">
        <f>SUM(S116:S120)</f>
        <v>2</v>
      </c>
      <c r="T121" s="54">
        <f>SUM(T116:T120)</f>
        <v>0</v>
      </c>
      <c r="V121" s="58">
        <f>SUM(V116:V120)</f>
        <v>2</v>
      </c>
      <c r="W121" s="54">
        <f>SUM(W116:W120)</f>
        <v>0</v>
      </c>
      <c r="Y121" s="58">
        <f>SUM(Y116:Y120)</f>
        <v>2</v>
      </c>
      <c r="Z121" s="54">
        <f>SUM(Z116:Z120)</f>
        <v>1</v>
      </c>
      <c r="AB121" s="58">
        <f>SUM(AB116:AB120)</f>
        <v>1</v>
      </c>
      <c r="AC121" s="54">
        <f>SUM(AC116:AC120)</f>
        <v>1</v>
      </c>
      <c r="AE121" s="58">
        <f>SUM(AE116:AE120)</f>
        <v>1</v>
      </c>
      <c r="AW121" s="146"/>
    </row>
    <row r="122" spans="1:49" s="54" customFormat="1" ht="25.5" hidden="1" customHeight="1" x14ac:dyDescent="0.2">
      <c r="A122" s="57" t="s">
        <v>60</v>
      </c>
      <c r="B122" s="54">
        <f>IF(B121&gt;D121,IF(C156=AK92,1,IF(C156=AK92-1,1,0)),0)</f>
        <v>0</v>
      </c>
      <c r="C122" s="54">
        <f>B122+D122</f>
        <v>1</v>
      </c>
      <c r="D122" s="58">
        <f>IF(D121&gt;B121,IF(C156=AK92,1,IF(C156=AK92-1,1,0)),0)</f>
        <v>1</v>
      </c>
      <c r="E122" s="54">
        <f>IF(E121&gt;G121,IF(F156=AK92,1,IF(F156=AK92-1,1,0)),0)</f>
        <v>0</v>
      </c>
      <c r="F122" s="54">
        <f>E122+G122</f>
        <v>0</v>
      </c>
      <c r="G122" s="58">
        <f>IF(G121&gt;E121,IF(F156=AK92,1,IF(F156=AK92-1,1,0)),0)</f>
        <v>0</v>
      </c>
      <c r="H122" s="54">
        <f>IF(H121&gt;J121,IF(I156=AK92,1,IF(I156=AK92-1,1,0)),0)</f>
        <v>1</v>
      </c>
      <c r="I122" s="54">
        <f>H122+J122</f>
        <v>1</v>
      </c>
      <c r="J122" s="58">
        <f>IF(J121&gt;H121,IF(I156=AK92,1,IF(I156=AK92-1,1,0)),0)</f>
        <v>0</v>
      </c>
      <c r="K122" s="54">
        <f>IF(K121&gt;M121,IF(L156=AK92,1,IF(L156=AK92-1,1,0)),0)</f>
        <v>0</v>
      </c>
      <c r="L122" s="54">
        <f>K122+M122</f>
        <v>0</v>
      </c>
      <c r="M122" s="58">
        <f>IF(M121&gt;K121,IF(L156=AK92,1,IF(L156=AK92-1,1,0)),0)</f>
        <v>0</v>
      </c>
      <c r="N122" s="54">
        <f>IF(N121&gt;P121,IF(O156=AK92,1,IF(O156=AK92-1,1,0)),0)</f>
        <v>0</v>
      </c>
      <c r="O122" s="54">
        <f>N122+P122</f>
        <v>0</v>
      </c>
      <c r="P122" s="58">
        <f>IF(P121&gt;N121,IF(O156=AK92,1,IF(O156=AK92-1,1,0)),0)</f>
        <v>0</v>
      </c>
      <c r="Q122" s="54">
        <f>IF(Q121&gt;S121,IF(R156=AK92,1,IF(R156=AK92-1,1,0)),0)</f>
        <v>0</v>
      </c>
      <c r="R122" s="54">
        <f>Q122+S122</f>
        <v>1</v>
      </c>
      <c r="S122" s="58">
        <f>IF(S121&gt;Q121,IF(R156=AK92,1,IF(R156=AK92-1,1,0)),0)</f>
        <v>1</v>
      </c>
      <c r="T122" s="54">
        <f>IF(T121&gt;V121,IF(U156=AK92,1,IF(U156=AK92-1,1,0)),0)</f>
        <v>0</v>
      </c>
      <c r="U122" s="54">
        <f>T122+V122</f>
        <v>1</v>
      </c>
      <c r="V122" s="58">
        <f>IF(V121&gt;T121,IF(U156=AK92,1,IF(U156=AK92-1,1,0)),0)</f>
        <v>1</v>
      </c>
      <c r="W122" s="54">
        <f>IF(W121&gt;Y121,IF(X156=AK92,1,IF(X156=AK92-1,1,0)),0)</f>
        <v>0</v>
      </c>
      <c r="X122" s="54">
        <f>W122+Y122</f>
        <v>1</v>
      </c>
      <c r="Y122" s="58">
        <f>IF(Y121&gt;W121,IF(X156=AK92,1,IF(X156=AK92-1,1,0)),0)</f>
        <v>1</v>
      </c>
      <c r="Z122" s="54">
        <f>IF(Z121&gt;AB121,IF(AA156=AK92,1,IF(AA156=AK92-1,1,0)),0)</f>
        <v>0</v>
      </c>
      <c r="AA122" s="54">
        <f>Z122+AB122</f>
        <v>0</v>
      </c>
      <c r="AB122" s="58">
        <f>IF(AB121&gt;Z121,IF(AA156=AK92,1,IF(AA156=AK92-1,1,0)),0)</f>
        <v>0</v>
      </c>
      <c r="AC122" s="54">
        <f>IF(AC121&gt;AE121,IF(AD156=AK92,1,IF(AD156=AK92-1,1,0)),0)</f>
        <v>0</v>
      </c>
      <c r="AD122" s="54">
        <f>AC122+AE122</f>
        <v>0</v>
      </c>
      <c r="AE122" s="58">
        <f>IF(AE121&gt;AC121,IF(AD156=AK92,1,IF(AD156=AK92-1,1,0)),0)</f>
        <v>0</v>
      </c>
      <c r="AW122" s="146"/>
    </row>
    <row r="123" spans="1:49" s="54" customFormat="1" ht="25.5" hidden="1" customHeight="1" x14ac:dyDescent="0.2">
      <c r="A123" s="57"/>
      <c r="D123" s="58"/>
      <c r="G123" s="58"/>
      <c r="J123" s="58"/>
      <c r="M123" s="58"/>
      <c r="P123" s="58"/>
      <c r="S123" s="58"/>
      <c r="V123" s="58"/>
      <c r="Y123" s="58"/>
      <c r="AB123" s="58"/>
      <c r="AE123" s="58"/>
      <c r="AW123" s="146"/>
    </row>
    <row r="124" spans="1:49" s="54" customFormat="1" ht="12.75" hidden="1" customHeight="1" x14ac:dyDescent="0.2">
      <c r="A124" s="54" t="s">
        <v>61</v>
      </c>
      <c r="B124" s="54">
        <f>IF(B116=1,B110,0)</f>
        <v>0</v>
      </c>
      <c r="D124" s="58">
        <f t="shared" ref="D124:E128" si="11">IF(D116=1,D110,0)</f>
        <v>25</v>
      </c>
      <c r="E124" s="54">
        <f t="shared" si="11"/>
        <v>0</v>
      </c>
      <c r="G124" s="58">
        <f t="shared" ref="G124:H128" si="12">IF(G116=1,G110,0)</f>
        <v>25</v>
      </c>
      <c r="H124" s="54">
        <f t="shared" si="12"/>
        <v>25</v>
      </c>
      <c r="J124" s="58">
        <f t="shared" ref="J124:K128" si="13">IF(J116=1,J110,0)</f>
        <v>0</v>
      </c>
      <c r="K124" s="54">
        <f t="shared" si="13"/>
        <v>0</v>
      </c>
      <c r="M124" s="58">
        <f t="shared" ref="M124:N128" si="14">IF(M116=1,M110,0)</f>
        <v>25</v>
      </c>
      <c r="N124" s="54">
        <f t="shared" si="14"/>
        <v>0</v>
      </c>
      <c r="P124" s="58">
        <f t="shared" ref="P124:Q128" si="15">IF(P116=1,P110,0)</f>
        <v>25</v>
      </c>
      <c r="Q124" s="54">
        <f t="shared" si="15"/>
        <v>0</v>
      </c>
      <c r="S124" s="58">
        <f t="shared" ref="S124:T128" si="16">IF(S116=1,S110,0)</f>
        <v>25</v>
      </c>
      <c r="T124" s="54">
        <f t="shared" si="16"/>
        <v>0</v>
      </c>
      <c r="V124" s="58">
        <f t="shared" ref="V124:W128" si="17">IF(V116=1,V110,0)</f>
        <v>25</v>
      </c>
      <c r="W124" s="54">
        <f t="shared" si="17"/>
        <v>0</v>
      </c>
      <c r="Y124" s="58">
        <f t="shared" ref="Y124:Z128" si="18">IF(Y116=1,Y110,0)</f>
        <v>25</v>
      </c>
      <c r="Z124" s="54">
        <f t="shared" si="18"/>
        <v>25</v>
      </c>
      <c r="AB124" s="58">
        <f t="shared" ref="AB124:AC128" si="19">IF(AB116=1,AB110,0)</f>
        <v>0</v>
      </c>
      <c r="AC124" s="54">
        <f t="shared" si="19"/>
        <v>25</v>
      </c>
      <c r="AE124" s="58">
        <f>IF(AE116=1,AE110,0)</f>
        <v>0</v>
      </c>
      <c r="AW124" s="146"/>
    </row>
    <row r="125" spans="1:49" s="54" customFormat="1" ht="12.75" hidden="1" customHeight="1" x14ac:dyDescent="0.2">
      <c r="A125" s="54" t="s">
        <v>62</v>
      </c>
      <c r="B125" s="54">
        <f>IF(B117=1,B111,0)</f>
        <v>0</v>
      </c>
      <c r="D125" s="58">
        <f t="shared" si="11"/>
        <v>25</v>
      </c>
      <c r="E125" s="54">
        <f t="shared" si="11"/>
        <v>25</v>
      </c>
      <c r="G125" s="58">
        <f t="shared" si="12"/>
        <v>0</v>
      </c>
      <c r="H125" s="54">
        <f t="shared" si="12"/>
        <v>25</v>
      </c>
      <c r="J125" s="58">
        <f t="shared" si="13"/>
        <v>0</v>
      </c>
      <c r="K125" s="54">
        <f t="shared" si="13"/>
        <v>25</v>
      </c>
      <c r="M125" s="58">
        <f t="shared" si="14"/>
        <v>0</v>
      </c>
      <c r="N125" s="54">
        <f t="shared" si="14"/>
        <v>25</v>
      </c>
      <c r="P125" s="58">
        <f t="shared" si="15"/>
        <v>0</v>
      </c>
      <c r="Q125" s="54">
        <f t="shared" si="15"/>
        <v>0</v>
      </c>
      <c r="S125" s="58">
        <f t="shared" si="16"/>
        <v>25</v>
      </c>
      <c r="T125" s="54">
        <f t="shared" si="16"/>
        <v>0</v>
      </c>
      <c r="V125" s="58">
        <f t="shared" si="17"/>
        <v>25</v>
      </c>
      <c r="W125" s="54">
        <f t="shared" si="17"/>
        <v>0</v>
      </c>
      <c r="Y125" s="58">
        <f t="shared" si="18"/>
        <v>27</v>
      </c>
      <c r="Z125" s="54">
        <f t="shared" si="18"/>
        <v>0</v>
      </c>
      <c r="AB125" s="58">
        <f t="shared" si="19"/>
        <v>25</v>
      </c>
      <c r="AC125" s="54">
        <f t="shared" si="19"/>
        <v>0</v>
      </c>
      <c r="AE125" s="58">
        <f>IF(AE117=1,AE111,0)</f>
        <v>25</v>
      </c>
      <c r="AW125" s="146"/>
    </row>
    <row r="126" spans="1:49" s="54" customFormat="1" ht="12.75" hidden="1" customHeight="1" x14ac:dyDescent="0.2">
      <c r="A126" s="54" t="s">
        <v>63</v>
      </c>
      <c r="B126" s="54">
        <f>IF(B118=1,B112,0)</f>
        <v>0</v>
      </c>
      <c r="D126" s="58">
        <f t="shared" si="11"/>
        <v>0</v>
      </c>
      <c r="E126" s="54">
        <f t="shared" si="11"/>
        <v>0</v>
      </c>
      <c r="G126" s="58">
        <f t="shared" si="12"/>
        <v>0</v>
      </c>
      <c r="H126" s="54">
        <f t="shared" si="12"/>
        <v>0</v>
      </c>
      <c r="J126" s="58">
        <f t="shared" si="13"/>
        <v>0</v>
      </c>
      <c r="K126" s="54">
        <f t="shared" si="13"/>
        <v>0</v>
      </c>
      <c r="M126" s="58">
        <f t="shared" si="14"/>
        <v>0</v>
      </c>
      <c r="N126" s="54">
        <f t="shared" si="14"/>
        <v>0</v>
      </c>
      <c r="P126" s="58">
        <f t="shared" si="15"/>
        <v>0</v>
      </c>
      <c r="Q126" s="54">
        <f t="shared" si="15"/>
        <v>0</v>
      </c>
      <c r="S126" s="58">
        <f t="shared" si="16"/>
        <v>0</v>
      </c>
      <c r="T126" s="54">
        <f t="shared" si="16"/>
        <v>0</v>
      </c>
      <c r="V126" s="58">
        <f t="shared" si="17"/>
        <v>0</v>
      </c>
      <c r="W126" s="54">
        <f t="shared" si="17"/>
        <v>0</v>
      </c>
      <c r="Y126" s="58">
        <f t="shared" si="18"/>
        <v>0</v>
      </c>
      <c r="Z126" s="54">
        <f t="shared" si="18"/>
        <v>0</v>
      </c>
      <c r="AB126" s="58">
        <f t="shared" si="19"/>
        <v>0</v>
      </c>
      <c r="AC126" s="54">
        <f t="shared" si="19"/>
        <v>0</v>
      </c>
      <c r="AE126" s="58">
        <f>IF(AE118=1,AE112,0)</f>
        <v>0</v>
      </c>
      <c r="AW126" s="146"/>
    </row>
    <row r="127" spans="1:49" s="54" customFormat="1" ht="12.75" hidden="1" customHeight="1" x14ac:dyDescent="0.2">
      <c r="A127" s="54" t="s">
        <v>64</v>
      </c>
      <c r="B127" s="54">
        <f>IF(B119=1,B113,0)</f>
        <v>0</v>
      </c>
      <c r="D127" s="58">
        <f t="shared" si="11"/>
        <v>0</v>
      </c>
      <c r="E127" s="54">
        <f t="shared" si="11"/>
        <v>0</v>
      </c>
      <c r="G127" s="58">
        <f t="shared" si="12"/>
        <v>0</v>
      </c>
      <c r="H127" s="54">
        <f t="shared" si="12"/>
        <v>0</v>
      </c>
      <c r="J127" s="58">
        <f t="shared" si="13"/>
        <v>0</v>
      </c>
      <c r="K127" s="54">
        <f t="shared" si="13"/>
        <v>0</v>
      </c>
      <c r="M127" s="58">
        <f t="shared" si="14"/>
        <v>0</v>
      </c>
      <c r="N127" s="54">
        <f t="shared" si="14"/>
        <v>0</v>
      </c>
      <c r="P127" s="58">
        <f t="shared" si="15"/>
        <v>0</v>
      </c>
      <c r="Q127" s="54">
        <f t="shared" si="15"/>
        <v>0</v>
      </c>
      <c r="S127" s="58">
        <f t="shared" si="16"/>
        <v>0</v>
      </c>
      <c r="T127" s="54">
        <f t="shared" si="16"/>
        <v>0</v>
      </c>
      <c r="V127" s="58">
        <f t="shared" si="17"/>
        <v>0</v>
      </c>
      <c r="W127" s="54">
        <f t="shared" si="17"/>
        <v>0</v>
      </c>
      <c r="Y127" s="58">
        <f t="shared" si="18"/>
        <v>0</v>
      </c>
      <c r="Z127" s="54">
        <f t="shared" si="18"/>
        <v>0</v>
      </c>
      <c r="AB127" s="58">
        <f t="shared" si="19"/>
        <v>0</v>
      </c>
      <c r="AC127" s="54">
        <f t="shared" si="19"/>
        <v>0</v>
      </c>
      <c r="AE127" s="58">
        <f>IF(AE119=1,AE113,0)</f>
        <v>0</v>
      </c>
      <c r="AW127" s="146"/>
    </row>
    <row r="128" spans="1:49" s="54" customFormat="1" ht="12.75" hidden="1" customHeight="1" x14ac:dyDescent="0.2">
      <c r="A128" s="54" t="s">
        <v>65</v>
      </c>
      <c r="B128" s="54">
        <f>IF(B120=1,B114,0)</f>
        <v>0</v>
      </c>
      <c r="D128" s="58">
        <f t="shared" si="11"/>
        <v>0</v>
      </c>
      <c r="E128" s="54">
        <f t="shared" si="11"/>
        <v>0</v>
      </c>
      <c r="G128" s="58">
        <f t="shared" si="12"/>
        <v>0</v>
      </c>
      <c r="H128" s="54">
        <f t="shared" si="12"/>
        <v>0</v>
      </c>
      <c r="J128" s="58">
        <f t="shared" si="13"/>
        <v>0</v>
      </c>
      <c r="K128" s="54">
        <f t="shared" si="13"/>
        <v>0</v>
      </c>
      <c r="M128" s="58">
        <f t="shared" si="14"/>
        <v>0</v>
      </c>
      <c r="N128" s="54">
        <f t="shared" si="14"/>
        <v>0</v>
      </c>
      <c r="P128" s="58">
        <f t="shared" si="15"/>
        <v>0</v>
      </c>
      <c r="Q128" s="54">
        <f t="shared" si="15"/>
        <v>0</v>
      </c>
      <c r="S128" s="58">
        <f t="shared" si="16"/>
        <v>0</v>
      </c>
      <c r="T128" s="54">
        <f t="shared" si="16"/>
        <v>0</v>
      </c>
      <c r="V128" s="58">
        <f t="shared" si="17"/>
        <v>0</v>
      </c>
      <c r="W128" s="54">
        <f t="shared" si="17"/>
        <v>0</v>
      </c>
      <c r="Y128" s="58">
        <f t="shared" si="18"/>
        <v>0</v>
      </c>
      <c r="Z128" s="54">
        <f t="shared" si="18"/>
        <v>0</v>
      </c>
      <c r="AB128" s="58">
        <f t="shared" si="19"/>
        <v>0</v>
      </c>
      <c r="AC128" s="54">
        <f t="shared" si="19"/>
        <v>0</v>
      </c>
      <c r="AE128" s="58">
        <f>IF(AE120=1,AE114,0)</f>
        <v>0</v>
      </c>
      <c r="AW128" s="146"/>
    </row>
    <row r="129" spans="1:49" s="54" customFormat="1" ht="38.25" hidden="1" customHeight="1" x14ac:dyDescent="0.2">
      <c r="A129" s="57" t="s">
        <v>66</v>
      </c>
      <c r="B129" s="54">
        <f>SUM(B124:D128)</f>
        <v>50</v>
      </c>
      <c r="D129" s="58"/>
      <c r="E129" s="54">
        <f>SUM(E124:G128)</f>
        <v>50</v>
      </c>
      <c r="G129" s="58"/>
      <c r="H129" s="54">
        <f>SUM(H124:J128)</f>
        <v>50</v>
      </c>
      <c r="J129" s="58"/>
      <c r="K129" s="54">
        <f>SUM(K124:M128)</f>
        <v>50</v>
      </c>
      <c r="M129" s="58"/>
      <c r="N129" s="54">
        <f>SUM(N124:P128)</f>
        <v>50</v>
      </c>
      <c r="P129" s="58"/>
      <c r="Q129" s="54">
        <f>SUM(Q124:S128)</f>
        <v>50</v>
      </c>
      <c r="S129" s="58"/>
      <c r="T129" s="54">
        <f>SUM(T124:V128)</f>
        <v>50</v>
      </c>
      <c r="V129" s="58"/>
      <c r="W129" s="54">
        <f>SUM(W124:Y128)</f>
        <v>52</v>
      </c>
      <c r="Y129" s="58"/>
      <c r="Z129" s="54">
        <f>SUM(Z124:AB128)</f>
        <v>50</v>
      </c>
      <c r="AB129" s="58"/>
      <c r="AC129" s="54">
        <f>SUM(AC124:AE128)</f>
        <v>50</v>
      </c>
      <c r="AE129" s="58"/>
      <c r="AW129" s="146"/>
    </row>
    <row r="130" spans="1:49" s="54" customFormat="1" ht="38.25" hidden="1" customHeight="1" x14ac:dyDescent="0.2">
      <c r="A130" s="54" t="s">
        <v>67</v>
      </c>
      <c r="D130" s="58"/>
      <c r="G130" s="58"/>
      <c r="J130" s="58"/>
      <c r="M130" s="58"/>
      <c r="P130" s="58"/>
      <c r="S130" s="58"/>
      <c r="V130" s="58"/>
      <c r="Y130" s="58"/>
      <c r="AB130" s="58"/>
      <c r="AE130" s="58"/>
      <c r="AF130" s="57" t="s">
        <v>68</v>
      </c>
      <c r="AG130" s="54" t="s">
        <v>69</v>
      </c>
      <c r="AW130" s="146"/>
    </row>
    <row r="131" spans="1:49" s="54" customFormat="1" ht="12.75" hidden="1" customHeight="1" x14ac:dyDescent="0.2">
      <c r="A131" s="54" t="s">
        <v>70</v>
      </c>
      <c r="B131" s="54">
        <f>IF(B109=1,IF(B122=1,1,0),0)</f>
        <v>0</v>
      </c>
      <c r="D131" s="58">
        <f>IF(D109=1,IF(D122=1,1,0),0)</f>
        <v>0</v>
      </c>
      <c r="E131" s="54">
        <f>IF(E109=1,IF(E122=1,1,0),0)</f>
        <v>0</v>
      </c>
      <c r="G131" s="58">
        <f>IF(G109=1,IF(G122=1,1,0),0)</f>
        <v>0</v>
      </c>
      <c r="H131" s="54">
        <f>IF(H109=1,IF(H122=1,1,0),0)</f>
        <v>0</v>
      </c>
      <c r="J131" s="58">
        <f>IF(J109=1,IF(J122=1,1,0),0)</f>
        <v>0</v>
      </c>
      <c r="K131" s="54">
        <f>IF(K109=1,IF(K122=1,1,0),0)</f>
        <v>0</v>
      </c>
      <c r="M131" s="58">
        <f>IF(M109=1,IF(M122=1,1,0),0)</f>
        <v>0</v>
      </c>
      <c r="N131" s="54">
        <f>IF(N109=1,IF(N122=1,1,0),0)</f>
        <v>0</v>
      </c>
      <c r="P131" s="58">
        <f>IF(P109=1,IF(P122=1,1,0),0)</f>
        <v>0</v>
      </c>
      <c r="Q131" s="54">
        <f>IF(Q109=1,IF(Q122=1,1,0),0)</f>
        <v>0</v>
      </c>
      <c r="S131" s="58">
        <f>IF(S109=1,IF(S122=1,1,0),0)</f>
        <v>0</v>
      </c>
      <c r="T131" s="54">
        <f>IF(T109=1,IF(T122=1,1,0),0)</f>
        <v>0</v>
      </c>
      <c r="V131" s="58">
        <f>IF(V109=1,IF(V122=1,1,0),0)</f>
        <v>0</v>
      </c>
      <c r="W131" s="54">
        <f>IF(W109=1,IF(W122=1,1,0),0)</f>
        <v>0</v>
      </c>
      <c r="Y131" s="58">
        <f>IF(Y109=1,IF(Y122=1,1,0),0)</f>
        <v>0</v>
      </c>
      <c r="Z131" s="54">
        <f>IF(Z109=1,IF(Z122=1,1,0),0)</f>
        <v>0</v>
      </c>
      <c r="AB131" s="58">
        <f>IF(AB109=1,IF(AB122=1,1,0),0)</f>
        <v>0</v>
      </c>
      <c r="AC131" s="54">
        <f>IF(AC109=1,IF(AC122=1,1,0),0)</f>
        <v>0</v>
      </c>
      <c r="AE131" s="58">
        <f>IF(AE109=1,IF(AE122=1,1,0),0)</f>
        <v>0</v>
      </c>
      <c r="AF131" s="54">
        <f>SUM(B131:AE131)</f>
        <v>0</v>
      </c>
      <c r="AG131" s="54">
        <f>AF137-AF131</f>
        <v>1</v>
      </c>
      <c r="AW131" s="146"/>
    </row>
    <row r="132" spans="1:49" s="54" customFormat="1" ht="12.75" hidden="1" customHeight="1" x14ac:dyDescent="0.2">
      <c r="A132" s="54" t="s">
        <v>71</v>
      </c>
      <c r="B132" s="54">
        <f>IF(B109=2,IF(B122=1,1,0),0)</f>
        <v>0</v>
      </c>
      <c r="D132" s="58">
        <f>IF(D109=2,IF(D122=1,1,0),0)</f>
        <v>0</v>
      </c>
      <c r="E132" s="54">
        <f>IF(E109=2,IF(E122=1,1,0),0)</f>
        <v>0</v>
      </c>
      <c r="G132" s="58">
        <f>IF(G109=2,IF(G122=1,1,0),0)</f>
        <v>0</v>
      </c>
      <c r="H132" s="54">
        <f>IF(H109=2,IF(H122=1,1,0),0)</f>
        <v>0</v>
      </c>
      <c r="J132" s="58">
        <f>IF(J109=2,IF(J122=1,1,0),0)</f>
        <v>0</v>
      </c>
      <c r="K132" s="54">
        <f>IF(K109=2,IF(K122=1,1,0),0)</f>
        <v>0</v>
      </c>
      <c r="M132" s="58">
        <f>IF(M109=2,IF(M122=1,1,0),0)</f>
        <v>0</v>
      </c>
      <c r="N132" s="54">
        <f>IF(N109=2,IF(N122=1,1,0),0)</f>
        <v>0</v>
      </c>
      <c r="P132" s="58">
        <f>IF(P109=2,IF(P122=1,1,0),0)</f>
        <v>0</v>
      </c>
      <c r="Q132" s="54">
        <f>IF(Q109=2,IF(Q122=1,1,0),0)</f>
        <v>0</v>
      </c>
      <c r="S132" s="58">
        <f>IF(S109=2,IF(S122=1,1,0),0)</f>
        <v>0</v>
      </c>
      <c r="T132" s="54">
        <f>IF(T109=2,IF(T122=1,1,0),0)</f>
        <v>0</v>
      </c>
      <c r="V132" s="58">
        <f>IF(V109=2,IF(V122=1,1,0),0)</f>
        <v>0</v>
      </c>
      <c r="W132" s="54">
        <f>IF(W109=2,IF(W122=1,1,0),0)</f>
        <v>0</v>
      </c>
      <c r="Y132" s="58">
        <f>IF(Y109=2,IF(Y122=1,1,0),0)</f>
        <v>0</v>
      </c>
      <c r="Z132" s="54">
        <f>IF(Z109=2,IF(Z122=1,1,0),0)</f>
        <v>0</v>
      </c>
      <c r="AB132" s="58">
        <f>IF(AB109=2,IF(AB122=1,1,0),0)</f>
        <v>0</v>
      </c>
      <c r="AC132" s="54">
        <f>IF(AC109=2,IF(AC122=1,1,0),0)</f>
        <v>0</v>
      </c>
      <c r="AE132" s="58">
        <f>IF(AE109=2,IF(AE122=1,1,0),0)</f>
        <v>0</v>
      </c>
      <c r="AF132" s="54">
        <f>SUM(B132:AE132)</f>
        <v>0</v>
      </c>
      <c r="AG132" s="54">
        <f>AF138-AF132</f>
        <v>2</v>
      </c>
      <c r="AW132" s="146"/>
    </row>
    <row r="133" spans="1:49" s="54" customFormat="1" ht="12.75" hidden="1" customHeight="1" x14ac:dyDescent="0.2">
      <c r="A133" s="54" t="s">
        <v>72</v>
      </c>
      <c r="B133" s="54">
        <f>IF(B109=3,IF(B122=1,1,0),0)</f>
        <v>0</v>
      </c>
      <c r="D133" s="58">
        <f>IF(D109=3,IF(D122=1,1,0),0)</f>
        <v>0</v>
      </c>
      <c r="E133" s="54">
        <f>IF(E109=3,IF(E122=1,1,0),0)</f>
        <v>0</v>
      </c>
      <c r="G133" s="58">
        <f>IF(G109=3,IF(G122=1,1,0),0)</f>
        <v>0</v>
      </c>
      <c r="H133" s="54">
        <f>IF(H109=3,IF(H122=1,1,0),0)</f>
        <v>1</v>
      </c>
      <c r="J133" s="58">
        <f>IF(J109=3,IF(J122=1,1,0),0)</f>
        <v>0</v>
      </c>
      <c r="K133" s="54">
        <f>IF(K109=3,IF(K122=1,1,0),0)</f>
        <v>0</v>
      </c>
      <c r="M133" s="58">
        <f>IF(M109=3,IF(M122=1,1,0),0)</f>
        <v>0</v>
      </c>
      <c r="N133" s="54">
        <f>IF(N109=3,IF(N122=1,1,0),0)</f>
        <v>0</v>
      </c>
      <c r="P133" s="58">
        <f>IF(P109=3,IF(P122=1,1,0),0)</f>
        <v>0</v>
      </c>
      <c r="Q133" s="54">
        <f>IF(Q109=3,IF(Q122=1,1,0),0)</f>
        <v>0</v>
      </c>
      <c r="S133" s="58">
        <f>IF(S109=3,IF(S122=1,1,0),0)</f>
        <v>0</v>
      </c>
      <c r="T133" s="54">
        <f>IF(T109=3,IF(T122=1,1,0),0)</f>
        <v>0</v>
      </c>
      <c r="V133" s="58">
        <f>IF(V109=3,IF(V122=1,1,0),0)</f>
        <v>1</v>
      </c>
      <c r="W133" s="54">
        <f>IF(W109=3,IF(W122=1,1,0),0)</f>
        <v>0</v>
      </c>
      <c r="Y133" s="58">
        <f>IF(Y109=3,IF(Y122=1,1,0),0)</f>
        <v>0</v>
      </c>
      <c r="Z133" s="54">
        <f>IF(Z109=3,IF(Z122=1,1,0),0)</f>
        <v>0</v>
      </c>
      <c r="AB133" s="58">
        <f>IF(AB109=3,IF(AB122=1,1,0),0)</f>
        <v>0</v>
      </c>
      <c r="AC133" s="54">
        <f>IF(AC109=3,IF(AC122=1,1,0),0)</f>
        <v>0</v>
      </c>
      <c r="AE133" s="58">
        <f>IF(AE109=3,IF(AE122=1,1,0),0)</f>
        <v>0</v>
      </c>
      <c r="AF133" s="54">
        <f>SUM(B133:AE133)</f>
        <v>2</v>
      </c>
      <c r="AG133" s="54">
        <f>AF139-AF133</f>
        <v>0</v>
      </c>
      <c r="AW133" s="146"/>
    </row>
    <row r="134" spans="1:49" s="54" customFormat="1" ht="12.75" hidden="1" customHeight="1" x14ac:dyDescent="0.2">
      <c r="A134" s="54" t="s">
        <v>73</v>
      </c>
      <c r="B134" s="54">
        <f>IF(B109=4,IF(B122=1,1,0),0)</f>
        <v>0</v>
      </c>
      <c r="D134" s="58">
        <f>IF(D109=4,IF(D122=1,1,0),0)</f>
        <v>0</v>
      </c>
      <c r="E134" s="54">
        <f>IF(E109=4,IF(E122=1,1,0),0)</f>
        <v>0</v>
      </c>
      <c r="G134" s="58">
        <f>IF(G109=4,IF(G122=1,1,0),0)</f>
        <v>0</v>
      </c>
      <c r="H134" s="54">
        <f>IF(H109=4,IF(H122=1,1,0),0)</f>
        <v>0</v>
      </c>
      <c r="J134" s="58">
        <f>IF(J109=4,IF(J122=1,1,0),0)</f>
        <v>0</v>
      </c>
      <c r="K134" s="54">
        <f>IF(K109=4,IF(K122=1,1,0),0)</f>
        <v>0</v>
      </c>
      <c r="M134" s="58">
        <f>IF(M109=4,IF(M122=1,1,0),0)</f>
        <v>0</v>
      </c>
      <c r="N134" s="54">
        <f>IF(N109=4,IF(N122=1,1,0),0)</f>
        <v>0</v>
      </c>
      <c r="P134" s="58">
        <f>IF(P109=4,IF(P122=1,1,0),0)</f>
        <v>0</v>
      </c>
      <c r="Q134" s="54">
        <f>IF(Q109=4,IF(Q122=1,1,0),0)</f>
        <v>0</v>
      </c>
      <c r="S134" s="58">
        <f>IF(S109=4,IF(S122=1,1,0),0)</f>
        <v>0</v>
      </c>
      <c r="T134" s="54">
        <f>IF(T109=4,IF(T122=1,1,0),0)</f>
        <v>0</v>
      </c>
      <c r="V134" s="58">
        <f>IF(V109=4,IF(V122=1,1,0),0)</f>
        <v>0</v>
      </c>
      <c r="W134" s="54">
        <f>IF(W109=4,IF(W122=1,1,0),0)</f>
        <v>0</v>
      </c>
      <c r="Y134" s="58">
        <f>IF(Y109=4,IF(Y122=1,1,0),0)</f>
        <v>0</v>
      </c>
      <c r="Z134" s="54">
        <f>IF(Z109=4,IF(Z122=1,1,0),0)</f>
        <v>0</v>
      </c>
      <c r="AB134" s="58">
        <f>IF(AB109=4,IF(AB122=1,1,0),0)</f>
        <v>0</v>
      </c>
      <c r="AC134" s="54">
        <f>IF(AC109=4,IF(AC122=1,1,0),0)</f>
        <v>0</v>
      </c>
      <c r="AE134" s="58">
        <f>IF(AE109=4,IF(AE122=1,1,0),0)</f>
        <v>0</v>
      </c>
      <c r="AF134" s="54">
        <f>SUM(B134:AE134)</f>
        <v>0</v>
      </c>
      <c r="AG134" s="54">
        <f>AF140-AF134</f>
        <v>1</v>
      </c>
      <c r="AW134" s="146"/>
    </row>
    <row r="135" spans="1:49" s="54" customFormat="1" ht="12.75" hidden="1" customHeight="1" x14ac:dyDescent="0.2">
      <c r="A135" s="54" t="s">
        <v>74</v>
      </c>
      <c r="B135" s="54">
        <f>IF(B109=5,IF(B122=1,1,0),0)</f>
        <v>0</v>
      </c>
      <c r="D135" s="58">
        <f>IF(D109=5,IF(D122=1,1,0),0)</f>
        <v>1</v>
      </c>
      <c r="E135" s="54">
        <f>IF(E109=5,IF(E122=1,1,0),0)</f>
        <v>0</v>
      </c>
      <c r="G135" s="58">
        <f>IF(G109=5,IF(G122=1,1,0),0)</f>
        <v>0</v>
      </c>
      <c r="H135" s="54">
        <f>IF(H109=5,IF(H122=1,1,0),0)</f>
        <v>0</v>
      </c>
      <c r="J135" s="58">
        <f>IF(J109=5,IF(J122=1,1,0),0)</f>
        <v>0</v>
      </c>
      <c r="K135" s="54">
        <f>IF(K109=5,IF(K122=1,1,0),0)</f>
        <v>0</v>
      </c>
      <c r="M135" s="58">
        <f>IF(M109=5,IF(M122=1,1,0),0)</f>
        <v>0</v>
      </c>
      <c r="N135" s="54">
        <f>IF(N109=5,IF(N122=1,1,0),0)</f>
        <v>0</v>
      </c>
      <c r="P135" s="58">
        <f>IF(P109=5,IF(P122=1,1,0),0)</f>
        <v>0</v>
      </c>
      <c r="Q135" s="54">
        <f>IF(Q109=5,IF(Q122=1,1,0),0)</f>
        <v>0</v>
      </c>
      <c r="S135" s="58">
        <f>IF(S109=5,IF(S122=1,1,0),0)</f>
        <v>1</v>
      </c>
      <c r="T135" s="54">
        <f>IF(T109=5,IF(T122=1,1,0),0)</f>
        <v>0</v>
      </c>
      <c r="V135" s="58">
        <f>IF(V109=5,IF(V122=1,1,0),0)</f>
        <v>0</v>
      </c>
      <c r="W135" s="54">
        <f>IF(W109=5,IF(W122=1,1,0),0)</f>
        <v>0</v>
      </c>
      <c r="Y135" s="58">
        <f>IF(Y109=5,IF(Y122=1,1,0),0)</f>
        <v>1</v>
      </c>
      <c r="Z135" s="54">
        <f>IF(Z109=5,IF(Z122=1,1,0),0)</f>
        <v>0</v>
      </c>
      <c r="AB135" s="58">
        <f>IF(AB109=5,IF(AB122=1,1,0),0)</f>
        <v>0</v>
      </c>
      <c r="AC135" s="54">
        <f>IF(AC109=5,IF(AC122=1,1,0),0)</f>
        <v>0</v>
      </c>
      <c r="AE135" s="58">
        <f>IF(AE109=5,IF(AE122=1,1,0),0)</f>
        <v>0</v>
      </c>
      <c r="AF135" s="54">
        <f>SUM(B135:AE135)</f>
        <v>3</v>
      </c>
      <c r="AG135" s="54">
        <f>AF141-AF135</f>
        <v>1</v>
      </c>
      <c r="AW135" s="146"/>
    </row>
    <row r="136" spans="1:49" s="54" customFormat="1" ht="38.25" hidden="1" customHeight="1" x14ac:dyDescent="0.2">
      <c r="A136" s="57"/>
      <c r="D136" s="58"/>
      <c r="G136" s="58"/>
      <c r="J136" s="58"/>
      <c r="M136" s="58"/>
      <c r="P136" s="58"/>
      <c r="S136" s="58"/>
      <c r="V136" s="58"/>
      <c r="Y136" s="58"/>
      <c r="AB136" s="58"/>
      <c r="AE136" s="58"/>
      <c r="AF136" s="57" t="s">
        <v>75</v>
      </c>
      <c r="AW136" s="146"/>
    </row>
    <row r="137" spans="1:49" s="54" customFormat="1" ht="12.75" hidden="1" customHeight="1" x14ac:dyDescent="0.2">
      <c r="A137" s="54" t="s">
        <v>76</v>
      </c>
      <c r="B137" s="54">
        <f>IF(B109=1,IF(C122=1,1,0),0)</f>
        <v>0</v>
      </c>
      <c r="D137" s="58">
        <f>IF(D109=1,IF(C122=1,1,0),0)</f>
        <v>0</v>
      </c>
      <c r="E137" s="54">
        <f>IF(E109=1,IF(F122=1,1,0),0)</f>
        <v>0</v>
      </c>
      <c r="G137" s="58">
        <f>IF(G109=1,IF(F122=1,1,0),0)</f>
        <v>0</v>
      </c>
      <c r="H137" s="54">
        <f>IF(H109=1,IF(I122=1,1,0),0)</f>
        <v>0</v>
      </c>
      <c r="J137" s="58">
        <f>IF(J109=1,IF(I122=1,1,0),0)</f>
        <v>0</v>
      </c>
      <c r="K137" s="54">
        <f>IF(K109=1,IF(L122=1,1,0),0)</f>
        <v>0</v>
      </c>
      <c r="M137" s="58">
        <f>IF(M109=1,IF(L122=1,1,0),0)</f>
        <v>0</v>
      </c>
      <c r="N137" s="54">
        <f>IF(N109=1,IF(O122=1,1,0),0)</f>
        <v>0</v>
      </c>
      <c r="P137" s="58">
        <f>IF(P109=1,IF(O122=1,1,0),0)</f>
        <v>0</v>
      </c>
      <c r="Q137" s="54">
        <f>IF(Q109=1,IF(R122=1,1,0),0)</f>
        <v>0</v>
      </c>
      <c r="S137" s="58">
        <f>IF(S109=1,IF(R122=1,1,0),0)</f>
        <v>0</v>
      </c>
      <c r="T137" s="54">
        <f>IF(T109=1,IF(U122=1,1,0),0)</f>
        <v>0</v>
      </c>
      <c r="V137" s="58">
        <f>IF(V109=1,IF(U122=1,1,0),0)</f>
        <v>0</v>
      </c>
      <c r="W137" s="54">
        <f>IF(W109=1,IF(X122=1,1,0),0)</f>
        <v>1</v>
      </c>
      <c r="Y137" s="58">
        <f>IF(Y109=1,IF(X122=1,1,0),0)</f>
        <v>0</v>
      </c>
      <c r="Z137" s="54">
        <f>IF(Z109=1,IF(AA122=1,1,0),0)</f>
        <v>0</v>
      </c>
      <c r="AB137" s="58">
        <f>IF(AB109=1,IF(AA122=1,1,0),0)</f>
        <v>0</v>
      </c>
      <c r="AC137" s="54">
        <f>IF(AC109=1,IF(AD122=1,1,0),0)</f>
        <v>0</v>
      </c>
      <c r="AE137" s="58">
        <f>IF(AE109=1,IF(AD122=1,1,0),0)</f>
        <v>0</v>
      </c>
      <c r="AF137" s="54">
        <f>SUM(B137:AE137)</f>
        <v>1</v>
      </c>
      <c r="AW137" s="146"/>
    </row>
    <row r="138" spans="1:49" s="54" customFormat="1" ht="12.75" hidden="1" customHeight="1" x14ac:dyDescent="0.2">
      <c r="A138" s="54" t="s">
        <v>77</v>
      </c>
      <c r="B138" s="54">
        <f>IF(B109=2,IF(C122=1,1,0),0)</f>
        <v>1</v>
      </c>
      <c r="D138" s="58">
        <f>IF(D109=2,IF(C122=1,1,0),0)</f>
        <v>0</v>
      </c>
      <c r="E138" s="54">
        <f>IF(E109=2,IF(F122=1,1,0),0)</f>
        <v>0</v>
      </c>
      <c r="G138" s="58">
        <f>IF(G109=2,IF(F122=1,1,0),0)</f>
        <v>0</v>
      </c>
      <c r="H138" s="54">
        <f>IF(H109=2,IF(I122=1,1,0),0)</f>
        <v>0</v>
      </c>
      <c r="J138" s="58">
        <f>IF(J109=2,IF(I122=1,1,0),0)</f>
        <v>0</v>
      </c>
      <c r="K138" s="54">
        <f>IF(K109=2,IF(L122=1,1,0),0)</f>
        <v>0</v>
      </c>
      <c r="M138" s="58">
        <f>IF(M109=2,IF(L122=1,1,0),0)</f>
        <v>0</v>
      </c>
      <c r="N138" s="54">
        <f>IF(N109=2,IF(O122=1,1,0),0)</f>
        <v>0</v>
      </c>
      <c r="P138" s="58">
        <f>IF(P109=2,IF(O122=1,1,0),0)</f>
        <v>0</v>
      </c>
      <c r="Q138" s="54">
        <f>IF(Q109=2,IF(R122=1,1,0),0)</f>
        <v>0</v>
      </c>
      <c r="S138" s="58">
        <f>IF(S109=2,IF(R122=1,1,0),0)</f>
        <v>0</v>
      </c>
      <c r="T138" s="54">
        <f>IF(T109=2,IF(U122=1,1,0),0)</f>
        <v>1</v>
      </c>
      <c r="V138" s="58">
        <f>IF(V109=2,IF(U122=1,1,0),0)</f>
        <v>0</v>
      </c>
      <c r="W138" s="54">
        <f>IF(W109=2,IF(X122=1,1,0),0)</f>
        <v>0</v>
      </c>
      <c r="Y138" s="58">
        <f>IF(Y109=2,IF(X122=1,1,0),0)</f>
        <v>0</v>
      </c>
      <c r="Z138" s="54">
        <f>IF(Z109=2,IF(AA122=1,1,0),0)</f>
        <v>0</v>
      </c>
      <c r="AB138" s="58">
        <f>IF(AB109=2,IF(AA122=1,1,0),0)</f>
        <v>0</v>
      </c>
      <c r="AC138" s="54">
        <f>IF(AC109=2,IF(AD122=1,1,0),0)</f>
        <v>0</v>
      </c>
      <c r="AE138" s="58">
        <f>IF(AE109=2,IF(AD122=1,1,0),0)</f>
        <v>0</v>
      </c>
      <c r="AF138" s="54">
        <f>SUM(B138:AE138)</f>
        <v>2</v>
      </c>
      <c r="AW138" s="146"/>
    </row>
    <row r="139" spans="1:49" s="54" customFormat="1" ht="12.75" hidden="1" customHeight="1" x14ac:dyDescent="0.2">
      <c r="A139" s="54" t="s">
        <v>78</v>
      </c>
      <c r="B139" s="54">
        <f>IF(B109=3,IF(C122=1,1,0),0)</f>
        <v>0</v>
      </c>
      <c r="D139" s="58">
        <f>IF(D109=3,IF(C122=1,1,0),0)</f>
        <v>0</v>
      </c>
      <c r="E139" s="54">
        <f>IF(E109=3,IF(F122=1,1,0),0)</f>
        <v>0</v>
      </c>
      <c r="G139" s="58">
        <f>IF(G109=3,IF(F122=1,1,0),0)</f>
        <v>0</v>
      </c>
      <c r="H139" s="54">
        <f>IF(H109=3,IF(I122=1,1,0),0)</f>
        <v>1</v>
      </c>
      <c r="J139" s="58">
        <f>IF(J109=3,IF(I122=1,1,0),0)</f>
        <v>0</v>
      </c>
      <c r="K139" s="54">
        <f>IF(K109=3,IF(L122=1,1,0),0)</f>
        <v>0</v>
      </c>
      <c r="M139" s="58">
        <f>IF(M109=3,IF(L122=1,1,0),0)</f>
        <v>0</v>
      </c>
      <c r="N139" s="54">
        <f>IF(N109=3,IF(O122=1,1,0),0)</f>
        <v>0</v>
      </c>
      <c r="P139" s="58">
        <f>IF(P109=3,IF(O122=1,1,0),0)</f>
        <v>0</v>
      </c>
      <c r="Q139" s="54">
        <f>IF(Q109=3,IF(R122=1,1,0),0)</f>
        <v>0</v>
      </c>
      <c r="S139" s="58">
        <f>IF(S109=3,IF(R122=1,1,0),0)</f>
        <v>0</v>
      </c>
      <c r="T139" s="54">
        <f>IF(T109=3,IF(U122=1,1,0),0)</f>
        <v>0</v>
      </c>
      <c r="V139" s="58">
        <f>IF(V109=3,IF(U122=1,1,0),0)</f>
        <v>1</v>
      </c>
      <c r="W139" s="54">
        <f>IF(W109=3,IF(X122=1,1,0),0)</f>
        <v>0</v>
      </c>
      <c r="Y139" s="58">
        <f>IF(Y109=3,IF(X122=1,1,0),0)</f>
        <v>0</v>
      </c>
      <c r="Z139" s="54">
        <f>IF(Z109=3,IF(AA122=1,1,0),0)</f>
        <v>0</v>
      </c>
      <c r="AB139" s="58">
        <f>IF(AB109=3,IF(AA122=1,1,0),0)</f>
        <v>0</v>
      </c>
      <c r="AC139" s="54">
        <f>IF(AC109=3,IF(AD122=1,1,0),0)</f>
        <v>0</v>
      </c>
      <c r="AE139" s="58">
        <f>IF(AE109=3,IF(AD122=1,1,0),0)</f>
        <v>0</v>
      </c>
      <c r="AF139" s="54">
        <f>SUM(B139:AE139)</f>
        <v>2</v>
      </c>
      <c r="AW139" s="146"/>
    </row>
    <row r="140" spans="1:49" s="54" customFormat="1" ht="12.75" hidden="1" customHeight="1" x14ac:dyDescent="0.2">
      <c r="A140" s="54" t="s">
        <v>79</v>
      </c>
      <c r="B140" s="54">
        <f>IF(B109=4,IF(C122=1,1,0),0)</f>
        <v>0</v>
      </c>
      <c r="D140" s="58">
        <f>IF(D109=4,IF(C122=1,1,0),0)</f>
        <v>0</v>
      </c>
      <c r="E140" s="54">
        <f>IF(E109=4,IF(F122=1,1,0),0)</f>
        <v>0</v>
      </c>
      <c r="G140" s="58">
        <f>IF(G109=4,IF(F122=1,1,0),0)</f>
        <v>0</v>
      </c>
      <c r="H140" s="54">
        <f>IF(H109=4,IF(I122=1,1,0),0)</f>
        <v>0</v>
      </c>
      <c r="J140" s="58">
        <f>IF(J109=4,IF(I122=1,1,0),0)</f>
        <v>0</v>
      </c>
      <c r="K140" s="54">
        <f>IF(K109=4,IF(L122=1,1,0),0)</f>
        <v>0</v>
      </c>
      <c r="M140" s="58">
        <f>IF(M109=4,IF(L122=1,1,0),0)</f>
        <v>0</v>
      </c>
      <c r="N140" s="54">
        <f>IF(N109=4,IF(O122=1,1,0),0)</f>
        <v>0</v>
      </c>
      <c r="P140" s="58">
        <f>IF(P109=4,IF(O122=1,1,0),0)</f>
        <v>0</v>
      </c>
      <c r="Q140" s="54">
        <f>IF(Q109=4,IF(R122=1,1,0),0)</f>
        <v>1</v>
      </c>
      <c r="S140" s="58">
        <f>IF(S109=4,IF(R122=1,1,0),0)</f>
        <v>0</v>
      </c>
      <c r="T140" s="54">
        <f>IF(T109=4,IF(U122=1,1,0),0)</f>
        <v>0</v>
      </c>
      <c r="V140" s="58">
        <f>IF(V109=4,IF(U122=1,1,0),0)</f>
        <v>0</v>
      </c>
      <c r="W140" s="54">
        <f>IF(W109=4,IF(X122=1,1,0),0)</f>
        <v>0</v>
      </c>
      <c r="Y140" s="58">
        <f>IF(Y109=4,IF(X122=1,1,0),0)</f>
        <v>0</v>
      </c>
      <c r="Z140" s="54">
        <f>IF(Z109=4,IF(AA122=1,1,0),0)</f>
        <v>0</v>
      </c>
      <c r="AB140" s="58">
        <f>IF(AB109=4,IF(AA122=1,1,0),0)</f>
        <v>0</v>
      </c>
      <c r="AC140" s="54">
        <f>IF(AC109=4,IF(AD122=1,1,0),0)</f>
        <v>0</v>
      </c>
      <c r="AE140" s="58">
        <f>IF(AE109=4,IF(AD122=1,1,0),0)</f>
        <v>0</v>
      </c>
      <c r="AF140" s="54">
        <f>SUM(B140:AE140)</f>
        <v>1</v>
      </c>
      <c r="AW140" s="146"/>
    </row>
    <row r="141" spans="1:49" s="54" customFormat="1" ht="12.75" hidden="1" customHeight="1" x14ac:dyDescent="0.2">
      <c r="A141" s="54" t="s">
        <v>80</v>
      </c>
      <c r="B141" s="54">
        <f>IF(B109=5,IF(C122=1,1,0),0)</f>
        <v>0</v>
      </c>
      <c r="D141" s="58">
        <f>IF(D109=5,IF(C122=1,1,0),0)</f>
        <v>1</v>
      </c>
      <c r="E141" s="54">
        <f>IF(E109=5,IF(F122=1,1,0),0)</f>
        <v>0</v>
      </c>
      <c r="G141" s="58">
        <f>IF(G109=5,IF(F122=1,1,0),0)</f>
        <v>0</v>
      </c>
      <c r="H141" s="54">
        <f>IF(H109=5,IF(I122=1,1,0),0)</f>
        <v>0</v>
      </c>
      <c r="J141" s="58">
        <f>IF(J109=5,IF(I122=1,1,0),0)</f>
        <v>1</v>
      </c>
      <c r="K141" s="54">
        <f>IF(K109=5,IF(L122=1,1,0),0)</f>
        <v>0</v>
      </c>
      <c r="M141" s="58">
        <f>IF(M109=5,IF(L122=1,1,0),0)</f>
        <v>0</v>
      </c>
      <c r="N141" s="54">
        <f>IF(N109=5,IF(O122=1,1,0),0)</f>
        <v>0</v>
      </c>
      <c r="P141" s="58">
        <f>IF(P109=5,IF(O122=1,1,0),0)</f>
        <v>0</v>
      </c>
      <c r="Q141" s="54">
        <f>IF(Q109=5,IF(R122=1,1,0),0)</f>
        <v>0</v>
      </c>
      <c r="S141" s="58">
        <f>IF(S109=5,IF(R122=1,1,0),0)</f>
        <v>1</v>
      </c>
      <c r="T141" s="54">
        <f>IF(T109=5,IF(U122=1,1,0),0)</f>
        <v>0</v>
      </c>
      <c r="V141" s="58">
        <f>IF(V109=5,IF(U122=1,1,0),0)</f>
        <v>0</v>
      </c>
      <c r="W141" s="54">
        <f>IF(W109=5,IF(X122=1,1,0),0)</f>
        <v>0</v>
      </c>
      <c r="Y141" s="58">
        <f>IF(Y109=5,IF(X122=1,1,0),0)</f>
        <v>1</v>
      </c>
      <c r="Z141" s="54">
        <f>IF(Z109=5,IF(AA122=1,1,0),0)</f>
        <v>0</v>
      </c>
      <c r="AB141" s="58">
        <f>IF(AB109=5,IF(AA122=1,1,0),0)</f>
        <v>0</v>
      </c>
      <c r="AC141" s="54">
        <f>IF(AC109=5,IF(AD122=1,1,0),0)</f>
        <v>0</v>
      </c>
      <c r="AE141" s="58">
        <f>IF(AE109=5,IF(AD122=1,1,0),0)</f>
        <v>0</v>
      </c>
      <c r="AF141" s="54">
        <f>SUM(B141:AE141)</f>
        <v>4</v>
      </c>
      <c r="AW141" s="146"/>
    </row>
    <row r="142" spans="1:49" s="54" customFormat="1" ht="38.25" hidden="1" customHeight="1" x14ac:dyDescent="0.2">
      <c r="A142" s="57"/>
      <c r="D142" s="58"/>
      <c r="G142" s="58"/>
      <c r="J142" s="58"/>
      <c r="M142" s="58"/>
      <c r="P142" s="58"/>
      <c r="S142" s="58"/>
      <c r="V142" s="58"/>
      <c r="Y142" s="58"/>
      <c r="AB142" s="58"/>
      <c r="AE142" s="58"/>
      <c r="AF142" s="57" t="s">
        <v>81</v>
      </c>
      <c r="AG142" s="789"/>
      <c r="AH142" s="789"/>
      <c r="AI142" s="789"/>
      <c r="AJ142" s="789"/>
      <c r="AK142" s="789"/>
      <c r="AW142" s="146"/>
    </row>
    <row r="143" spans="1:49" s="54" customFormat="1" ht="12.75" hidden="1" customHeight="1" x14ac:dyDescent="0.2">
      <c r="A143" s="54" t="s">
        <v>76</v>
      </c>
      <c r="B143" s="54">
        <f>IF(B109=1,B129,0)</f>
        <v>0</v>
      </c>
      <c r="D143" s="58">
        <f>IF(D109=1,B129,0)</f>
        <v>0</v>
      </c>
      <c r="E143" s="54">
        <f>IF(E109=1,E129,0)</f>
        <v>50</v>
      </c>
      <c r="G143" s="58">
        <f>IF(G109=1,E129,0)</f>
        <v>0</v>
      </c>
      <c r="H143" s="54">
        <f>IF(H109=1,H129,0)</f>
        <v>0</v>
      </c>
      <c r="J143" s="58">
        <f>IF(J109=1,H129,0)</f>
        <v>0</v>
      </c>
      <c r="K143" s="54">
        <f>IF(K109=1,K129,0)</f>
        <v>0</v>
      </c>
      <c r="M143" s="58">
        <f>IF(M109=1,K129,0)</f>
        <v>0</v>
      </c>
      <c r="N143" s="54">
        <f>IF(N109=1,N129,0)</f>
        <v>50</v>
      </c>
      <c r="P143" s="58">
        <f>IF(P109=1,N129,0)</f>
        <v>0</v>
      </c>
      <c r="Q143" s="54">
        <f>IF(Q109=1,Q129,0)</f>
        <v>0</v>
      </c>
      <c r="S143" s="58">
        <f>IF(S109=1,Q129,0)</f>
        <v>0</v>
      </c>
      <c r="T143" s="54">
        <f>IF(T109=1,T129,0)</f>
        <v>0</v>
      </c>
      <c r="V143" s="58">
        <f>IF(V109=1,T129,0)</f>
        <v>0</v>
      </c>
      <c r="W143" s="54">
        <f>IF(W109=1,W129,0)</f>
        <v>52</v>
      </c>
      <c r="Y143" s="58">
        <f>IF(Y109=1,W129,0)</f>
        <v>0</v>
      </c>
      <c r="Z143" s="54">
        <f>IF(Z109=1,Z129,0)</f>
        <v>0</v>
      </c>
      <c r="AB143" s="58">
        <f>IF(AB109=1,Z129,0)</f>
        <v>0</v>
      </c>
      <c r="AC143" s="54">
        <f>IF(AC109=1,AC129,0)</f>
        <v>50</v>
      </c>
      <c r="AE143" s="58">
        <f>IF(AE109=1,AC129,0)</f>
        <v>0</v>
      </c>
      <c r="AF143" s="54">
        <f>SUM(B143:AE143)</f>
        <v>202</v>
      </c>
      <c r="AW143" s="146"/>
    </row>
    <row r="144" spans="1:49" s="54" customFormat="1" ht="12.75" hidden="1" customHeight="1" x14ac:dyDescent="0.2">
      <c r="A144" s="54" t="s">
        <v>77</v>
      </c>
      <c r="B144" s="54">
        <f>IF(B109=2,B129,0)</f>
        <v>50</v>
      </c>
      <c r="D144" s="58">
        <f>IF(D109=2,B129,0)</f>
        <v>0</v>
      </c>
      <c r="E144" s="54">
        <f>IF(E109=2,E129,0)</f>
        <v>0</v>
      </c>
      <c r="G144" s="58">
        <f>IF(G109=2,E129,0)</f>
        <v>0</v>
      </c>
      <c r="H144" s="54">
        <f>IF(H109=2,H129,0)</f>
        <v>0</v>
      </c>
      <c r="J144" s="58">
        <f>IF(J109=2,H129,0)</f>
        <v>0</v>
      </c>
      <c r="K144" s="54">
        <f>IF(K109=2,K129,0)</f>
        <v>50</v>
      </c>
      <c r="M144" s="58">
        <f>IF(M109=2,K129,0)</f>
        <v>0</v>
      </c>
      <c r="N144" s="54">
        <f>IF(N109=2,N129,0)</f>
        <v>0</v>
      </c>
      <c r="P144" s="58">
        <f>IF(P109=2,N129,0)</f>
        <v>0</v>
      </c>
      <c r="Q144" s="54">
        <f>IF(Q109=2,Q129,0)</f>
        <v>0</v>
      </c>
      <c r="S144" s="58">
        <f>IF(S109=2,Q129,0)</f>
        <v>0</v>
      </c>
      <c r="T144" s="54">
        <f>IF(T109=2,T129,0)</f>
        <v>50</v>
      </c>
      <c r="V144" s="58">
        <f>IF(V109=2,T129,0)</f>
        <v>0</v>
      </c>
      <c r="W144" s="54">
        <f>IF(W109=2,W129,0)</f>
        <v>0</v>
      </c>
      <c r="Y144" s="58">
        <f>IF(Y109=2,W129,0)</f>
        <v>0</v>
      </c>
      <c r="Z144" s="54">
        <f>IF(Z109=2,Z129,0)</f>
        <v>0</v>
      </c>
      <c r="AB144" s="58">
        <f>IF(AB109=2,Z129,0)</f>
        <v>0</v>
      </c>
      <c r="AC144" s="54">
        <f>IF(AC109=2,AC129,0)</f>
        <v>0</v>
      </c>
      <c r="AE144" s="58">
        <f>IF(AE109=2,AC129,0)</f>
        <v>50</v>
      </c>
      <c r="AF144" s="54">
        <f>SUM(B144:AE144)</f>
        <v>200</v>
      </c>
      <c r="AW144" s="146"/>
    </row>
    <row r="145" spans="1:49" s="54" customFormat="1" ht="12.75" hidden="1" customHeight="1" x14ac:dyDescent="0.2">
      <c r="A145" s="54" t="s">
        <v>78</v>
      </c>
      <c r="B145" s="54">
        <f>IF(B109=3,B129,0)</f>
        <v>0</v>
      </c>
      <c r="D145" s="58">
        <f>IF(D109=3,B129,0)</f>
        <v>0</v>
      </c>
      <c r="E145" s="54">
        <f>IF(E109=3,E129,0)</f>
        <v>0</v>
      </c>
      <c r="G145" s="58">
        <f>IF(G109=3,E129,0)</f>
        <v>0</v>
      </c>
      <c r="H145" s="54">
        <f>IF(H109=3,H129,0)</f>
        <v>50</v>
      </c>
      <c r="J145" s="58">
        <f>IF(J109=3,H129,0)</f>
        <v>0</v>
      </c>
      <c r="K145" s="54">
        <f>IF(K109=3,K129,0)</f>
        <v>0</v>
      </c>
      <c r="M145" s="58">
        <f>IF(M109=3,K129,0)</f>
        <v>0</v>
      </c>
      <c r="N145" s="54">
        <f>IF(N109=3,N129,0)</f>
        <v>0</v>
      </c>
      <c r="P145" s="58">
        <f>IF(P109=3,N129,0)</f>
        <v>50</v>
      </c>
      <c r="Q145" s="54">
        <f>IF(Q109=3,Q129,0)</f>
        <v>0</v>
      </c>
      <c r="S145" s="58">
        <f>IF(S109=3,Q129,0)</f>
        <v>0</v>
      </c>
      <c r="T145" s="54">
        <f>IF(T109=3,T129,0)</f>
        <v>0</v>
      </c>
      <c r="V145" s="58">
        <f>IF(V109=3,T129,0)</f>
        <v>50</v>
      </c>
      <c r="W145" s="54">
        <f>IF(W109=3,W129,0)</f>
        <v>0</v>
      </c>
      <c r="Y145" s="58">
        <f>IF(Y109=3,W129,0)</f>
        <v>0</v>
      </c>
      <c r="Z145" s="54">
        <f>IF(Z109=3,Z129,0)</f>
        <v>50</v>
      </c>
      <c r="AB145" s="58">
        <f>IF(AB109=3,Z129,0)</f>
        <v>0</v>
      </c>
      <c r="AC145" s="54">
        <f>IF(AC109=3,AC129,0)</f>
        <v>0</v>
      </c>
      <c r="AE145" s="58">
        <f>IF(AE109=3,AC129,0)</f>
        <v>0</v>
      </c>
      <c r="AF145" s="54">
        <f>SUM(B145:AE145)</f>
        <v>200</v>
      </c>
      <c r="AW145" s="146"/>
    </row>
    <row r="146" spans="1:49" s="54" customFormat="1" ht="12.75" hidden="1" customHeight="1" x14ac:dyDescent="0.2">
      <c r="A146" s="54" t="s">
        <v>79</v>
      </c>
      <c r="B146" s="54">
        <f>IF(B109=4,B129,0)</f>
        <v>0</v>
      </c>
      <c r="D146" s="58">
        <f>IF(D109=4,B129,0)</f>
        <v>0</v>
      </c>
      <c r="E146" s="54">
        <f>IF(E109=4,E129,0)</f>
        <v>0</v>
      </c>
      <c r="G146" s="58">
        <f>IF(G109=4,E129,0)</f>
        <v>50</v>
      </c>
      <c r="H146" s="54">
        <f>IF(H109=4,H129,0)</f>
        <v>0</v>
      </c>
      <c r="J146" s="58">
        <f>IF(J109=4,H129,0)</f>
        <v>0</v>
      </c>
      <c r="K146" s="54">
        <f>IF(K109=4,K129,0)</f>
        <v>0</v>
      </c>
      <c r="M146" s="58">
        <f>IF(M109=4,K129,0)</f>
        <v>50</v>
      </c>
      <c r="N146" s="54">
        <f>IF(N109=4,N129,0)</f>
        <v>0</v>
      </c>
      <c r="P146" s="58">
        <f>IF(P109=4,N129,0)</f>
        <v>0</v>
      </c>
      <c r="Q146" s="54">
        <f>IF(Q109=4,Q129,0)</f>
        <v>50</v>
      </c>
      <c r="S146" s="58">
        <f>IF(S109=4,Q129,0)</f>
        <v>0</v>
      </c>
      <c r="T146" s="54">
        <f>IF(T109=4,T129,0)</f>
        <v>0</v>
      </c>
      <c r="V146" s="58">
        <f>IF(V109=4,T129,0)</f>
        <v>0</v>
      </c>
      <c r="W146" s="54">
        <f>IF(W109=4,W129,0)</f>
        <v>0</v>
      </c>
      <c r="Y146" s="58">
        <f>IF(Y109=4,W129,0)</f>
        <v>0</v>
      </c>
      <c r="Z146" s="54">
        <f>IF(Z109=4,Z129,0)</f>
        <v>0</v>
      </c>
      <c r="AB146" s="58">
        <f>IF(AB109=4,Z129,0)</f>
        <v>50</v>
      </c>
      <c r="AC146" s="54">
        <f>IF(AC109=4,AC129,0)</f>
        <v>0</v>
      </c>
      <c r="AE146" s="58">
        <f>IF(AE109=4,AC129,0)</f>
        <v>0</v>
      </c>
      <c r="AF146" s="54">
        <f>SUM(B146:AE146)</f>
        <v>200</v>
      </c>
      <c r="AW146" s="146"/>
    </row>
    <row r="147" spans="1:49" s="54" customFormat="1" ht="12.75" hidden="1" customHeight="1" x14ac:dyDescent="0.2">
      <c r="A147" s="54" t="s">
        <v>80</v>
      </c>
      <c r="B147" s="54">
        <f>IF(B109=5,B129,0)</f>
        <v>0</v>
      </c>
      <c r="D147" s="58">
        <f>IF(D109=5,B129,0)</f>
        <v>50</v>
      </c>
      <c r="E147" s="54">
        <f>IF(E109=5,E129,0)</f>
        <v>0</v>
      </c>
      <c r="G147" s="58">
        <f>IF(G109=5,E129,0)</f>
        <v>0</v>
      </c>
      <c r="H147" s="54">
        <f>IF(H109=5,H129,0)</f>
        <v>0</v>
      </c>
      <c r="J147" s="58">
        <f>IF(J109=5,H129,0)</f>
        <v>50</v>
      </c>
      <c r="K147" s="54">
        <f>IF(K109=5,K129,0)</f>
        <v>0</v>
      </c>
      <c r="M147" s="58">
        <f>IF(M109=5,K129,0)</f>
        <v>0</v>
      </c>
      <c r="N147" s="54">
        <f>IF(N109=5,N129,0)</f>
        <v>0</v>
      </c>
      <c r="P147" s="58">
        <f>IF(P109=5,N129,0)</f>
        <v>0</v>
      </c>
      <c r="Q147" s="54">
        <f>IF(Q109=5,Q129,0)</f>
        <v>0</v>
      </c>
      <c r="S147" s="58">
        <f>IF(S109=5,Q129,0)</f>
        <v>50</v>
      </c>
      <c r="T147" s="54">
        <f>IF(T109=5,T129,0)</f>
        <v>0</v>
      </c>
      <c r="V147" s="58">
        <f>IF(V109=5,T129,0)</f>
        <v>0</v>
      </c>
      <c r="W147" s="54">
        <f>IF(W109=5,W129,0)</f>
        <v>0</v>
      </c>
      <c r="Y147" s="58">
        <f>IF(Y109=5,W129,0)</f>
        <v>52</v>
      </c>
      <c r="Z147" s="54">
        <f>IF(Z109=5,Z129,0)</f>
        <v>0</v>
      </c>
      <c r="AB147" s="58">
        <f>IF(AB109=5,Z129,0)</f>
        <v>0</v>
      </c>
      <c r="AC147" s="54">
        <f>IF(AC109=5,AC129,0)</f>
        <v>0</v>
      </c>
      <c r="AE147" s="58">
        <f>IF(AE109=5,AC129,0)</f>
        <v>0</v>
      </c>
      <c r="AF147" s="54">
        <f>SUM(B147:AE147)</f>
        <v>202</v>
      </c>
      <c r="AW147" s="146"/>
    </row>
    <row r="148" spans="1:49" s="54" customFormat="1" ht="38.25" hidden="1" customHeight="1" x14ac:dyDescent="0.2">
      <c r="A148" s="54" t="s">
        <v>82</v>
      </c>
      <c r="D148" s="58"/>
      <c r="G148" s="58"/>
      <c r="J148" s="58"/>
      <c r="M148" s="58"/>
      <c r="P148" s="58"/>
      <c r="S148" s="58"/>
      <c r="V148" s="58"/>
      <c r="Y148" s="58"/>
      <c r="AB148" s="58"/>
      <c r="AE148" s="58"/>
      <c r="AF148" s="57" t="s">
        <v>83</v>
      </c>
      <c r="AG148" s="54" t="s">
        <v>84</v>
      </c>
      <c r="AW148" s="146"/>
    </row>
    <row r="149" spans="1:49" s="54" customFormat="1" ht="12.75" hidden="1" customHeight="1" x14ac:dyDescent="0.2">
      <c r="A149" s="54" t="s">
        <v>70</v>
      </c>
      <c r="B149" s="54">
        <f>IF(B109=1,SUMIF(B116:B120,"&gt;0"),0)</f>
        <v>0</v>
      </c>
      <c r="D149" s="58">
        <f>IF(D109=1,SUMIF(D116:D120,"&gt;0"),0)</f>
        <v>0</v>
      </c>
      <c r="E149" s="54">
        <f>IF(E109=1,SUMIF(E116:E120,"&gt;0"),0)</f>
        <v>1</v>
      </c>
      <c r="G149" s="58">
        <f>IF(G109=1,SUMIF(G116:G120,"&gt;0"),0)</f>
        <v>0</v>
      </c>
      <c r="H149" s="54">
        <f>IF(H109=1,SUMIF(H116:H120,"&gt;0"),0)</f>
        <v>0</v>
      </c>
      <c r="J149" s="58">
        <f>IF(J109=1,SUMIF(J116:J120,"&gt;0"),0)</f>
        <v>0</v>
      </c>
      <c r="K149" s="54">
        <f>IF(K109=1,SUMIF(K116:K120,"&gt;0"),0)</f>
        <v>0</v>
      </c>
      <c r="M149" s="58">
        <f>IF(M109=1,SUMIF(M116:M120,"&gt;0"),0)</f>
        <v>0</v>
      </c>
      <c r="N149" s="54">
        <f>IF(N109=1,SUMIF(N116:N120,"&gt;0"),0)</f>
        <v>1</v>
      </c>
      <c r="P149" s="58">
        <f>IF(P109=1,SUMIF(P116:P120,"&gt;0"),0)</f>
        <v>0</v>
      </c>
      <c r="Q149" s="54">
        <f>IF(Q109=1,SUMIF(Q116:Q120,"&gt;0"),0)</f>
        <v>0</v>
      </c>
      <c r="S149" s="58">
        <f>IF(S109=1,SUMIF(S116:S120,"&gt;0"),0)</f>
        <v>0</v>
      </c>
      <c r="T149" s="54">
        <f>IF(T109=1,SUMIF(T116:T120,"&gt;0"),0)</f>
        <v>0</v>
      </c>
      <c r="V149" s="58">
        <f>IF(V109=1,SUMIF(V116:V120,"&gt;0"),0)</f>
        <v>0</v>
      </c>
      <c r="W149" s="54">
        <f>IF(W109=1,SUMIF(W116:W120,"&gt;0"),0)</f>
        <v>0</v>
      </c>
      <c r="Y149" s="58">
        <f>IF(Y109=1,SUMIF(Y116:Y120,"&gt;0"),0)</f>
        <v>0</v>
      </c>
      <c r="Z149" s="54">
        <f>IF(Z109=1,SUMIF(Z116:Z120,"&gt;0"),0)</f>
        <v>0</v>
      </c>
      <c r="AB149" s="58">
        <f>IF(AB109=1,SUMIF(AB116:AB120,"&gt;0"),0)</f>
        <v>0</v>
      </c>
      <c r="AC149" s="54">
        <f>IF(AC109=1,SUMIF(AC116:AC120,"&gt;0"),0)</f>
        <v>1</v>
      </c>
      <c r="AE149" s="58">
        <f>IF(AE109=1,SUMIF(AE116:AE120,"&gt;0"),0)</f>
        <v>0</v>
      </c>
      <c r="AF149" s="54">
        <f>SUM(B149:AE149)</f>
        <v>3</v>
      </c>
      <c r="AG149" s="54">
        <f>AF157-AF149</f>
        <v>5</v>
      </c>
      <c r="AW149" s="146"/>
    </row>
    <row r="150" spans="1:49" s="54" customFormat="1" ht="12.75" hidden="1" customHeight="1" x14ac:dyDescent="0.2">
      <c r="A150" s="54" t="s">
        <v>71</v>
      </c>
      <c r="B150" s="54">
        <f>IF(B109=2,SUMIF(B116:B120,"&gt;0"),0)</f>
        <v>0</v>
      </c>
      <c r="D150" s="58">
        <f>IF(D109=2,SUMIF(D116:D120,"&gt;0"),0)</f>
        <v>0</v>
      </c>
      <c r="E150" s="54">
        <f>IF(E109=2,SUMIF(E116:E120,"&gt;0"),0)</f>
        <v>0</v>
      </c>
      <c r="G150" s="58">
        <f>IF(G109=2,SUMIF(G116:G120,"&gt;0"),0)</f>
        <v>0</v>
      </c>
      <c r="H150" s="54">
        <f>IF(H109=2,SUMIF(H116:H120,"&gt;0"),0)</f>
        <v>0</v>
      </c>
      <c r="J150" s="58">
        <f>IF(J109=2,SUMIF(J116:J120,"&gt;0"),0)</f>
        <v>0</v>
      </c>
      <c r="K150" s="54">
        <f>IF(K109=2,SUMIF(K116:K120,"&gt;0"),0)</f>
        <v>1</v>
      </c>
      <c r="M150" s="58">
        <f>IF(M109=2,SUMIF(M116:M120,"&gt;0"),0)</f>
        <v>0</v>
      </c>
      <c r="N150" s="54">
        <f>IF(N109=2,SUMIF(N116:N120,"&gt;0"),0)</f>
        <v>0</v>
      </c>
      <c r="P150" s="58">
        <f>IF(P109=2,SUMIF(P116:P120,"&gt;0"),0)</f>
        <v>0</v>
      </c>
      <c r="Q150" s="54">
        <f>IF(Q109=2,SUMIF(Q116:Q120,"&gt;0"),0)</f>
        <v>0</v>
      </c>
      <c r="S150" s="58">
        <f>IF(S109=2,SUMIF(S116:S120,"&gt;0"),0)</f>
        <v>0</v>
      </c>
      <c r="T150" s="54">
        <f>IF(T109=2,SUMIF(T116:T120,"&gt;0"),0)</f>
        <v>0</v>
      </c>
      <c r="V150" s="58">
        <f>IF(V109=2,SUMIF(V116:V120,"&gt;0"),0)</f>
        <v>0</v>
      </c>
      <c r="W150" s="54">
        <f>IF(W109=2,SUMIF(W116:W120,"&gt;0"),0)</f>
        <v>0</v>
      </c>
      <c r="Y150" s="58">
        <f>IF(Y109=2,SUMIF(Y116:Y120,"&gt;0"),0)</f>
        <v>0</v>
      </c>
      <c r="Z150" s="54">
        <f>IF(Z109=2,SUMIF(Z116:Z120,"&gt;0"),0)</f>
        <v>0</v>
      </c>
      <c r="AB150" s="58">
        <f>IF(AB109=2,SUMIF(AB116:AB120,"&gt;0"),0)</f>
        <v>0</v>
      </c>
      <c r="AC150" s="54">
        <f>IF(AC109=2,SUMIF(AC116:AC120,"&gt;0"),0)</f>
        <v>0</v>
      </c>
      <c r="AE150" s="58">
        <f>IF(AE109=2,SUMIF(AE116:AE120,"&gt;0"),0)</f>
        <v>1</v>
      </c>
      <c r="AF150" s="54">
        <f>SUM(B150:AE150)</f>
        <v>2</v>
      </c>
      <c r="AG150" s="54">
        <f>AF158-AF150</f>
        <v>6</v>
      </c>
      <c r="AW150" s="146"/>
    </row>
    <row r="151" spans="1:49" s="54" customFormat="1" ht="12.75" hidden="1" customHeight="1" x14ac:dyDescent="0.2">
      <c r="A151" s="54" t="s">
        <v>72</v>
      </c>
      <c r="B151" s="54">
        <f>IF(B109=3,SUMIF(B116:B120,"&gt;0"),0)</f>
        <v>0</v>
      </c>
      <c r="D151" s="58">
        <f>IF(D109=3,SUMIF(D116:D120,"&gt;0"),0)</f>
        <v>0</v>
      </c>
      <c r="E151" s="54">
        <f>IF(E109=3,SUMIF(E116:E120,"&gt;0"),0)</f>
        <v>0</v>
      </c>
      <c r="G151" s="58">
        <f>IF(G109=3,SUMIF(G116:G120,"&gt;0"),0)</f>
        <v>0</v>
      </c>
      <c r="H151" s="54">
        <f>IF(H109=3,SUMIF(H116:H120,"&gt;0"),0)</f>
        <v>2</v>
      </c>
      <c r="J151" s="58">
        <f>IF(J109=3,SUMIF(J116:J120,"&gt;0"),0)</f>
        <v>0</v>
      </c>
      <c r="K151" s="54">
        <f>IF(K109=3,SUMIF(K116:K120,"&gt;0"),0)</f>
        <v>0</v>
      </c>
      <c r="M151" s="58">
        <f>IF(M109=3,SUMIF(M116:M120,"&gt;0"),0)</f>
        <v>0</v>
      </c>
      <c r="N151" s="54">
        <f>IF(N109=3,SUMIF(N116:N120,"&gt;0"),0)</f>
        <v>0</v>
      </c>
      <c r="P151" s="58">
        <f>IF(P109=3,SUMIF(P116:P120,"&gt;0"),0)</f>
        <v>1</v>
      </c>
      <c r="Q151" s="54">
        <f>IF(Q109=3,SUMIF(Q116:Q120,"&gt;0"),0)</f>
        <v>0</v>
      </c>
      <c r="S151" s="58">
        <f>IF(S109=3,SUMIF(S116:S120,"&gt;0"),0)</f>
        <v>0</v>
      </c>
      <c r="T151" s="54">
        <f>IF(T109=3,SUMIF(T116:T120,"&gt;0"),0)</f>
        <v>0</v>
      </c>
      <c r="V151" s="58">
        <f>IF(V109=3,SUMIF(V116:V120,"&gt;0"),0)</f>
        <v>2</v>
      </c>
      <c r="W151" s="54">
        <f>IF(W109=3,SUMIF(W116:W120,"&gt;0"),0)</f>
        <v>0</v>
      </c>
      <c r="Y151" s="58">
        <f>IF(Y109=3,SUMIF(Y116:Y120,"&gt;0"),0)</f>
        <v>0</v>
      </c>
      <c r="Z151" s="54">
        <f>IF(Z109=3,SUMIF(Z116:Z120,"&gt;0"),0)</f>
        <v>1</v>
      </c>
      <c r="AB151" s="58">
        <f>IF(AB109=3,SUMIF(AB116:AB120,"&gt;0"),0)</f>
        <v>0</v>
      </c>
      <c r="AC151" s="54">
        <f>IF(AC109=3,SUMIF(AC116:AC120,"&gt;0"),0)</f>
        <v>0</v>
      </c>
      <c r="AE151" s="58">
        <f>IF(AE109=3,SUMIF(AE116:AE120,"&gt;0"),0)</f>
        <v>0</v>
      </c>
      <c r="AF151" s="54">
        <f>SUM(B151:AE151)</f>
        <v>6</v>
      </c>
      <c r="AG151" s="54">
        <f>AF159-AF151</f>
        <v>2</v>
      </c>
      <c r="AW151" s="146"/>
    </row>
    <row r="152" spans="1:49" s="54" customFormat="1" ht="12.75" hidden="1" customHeight="1" x14ac:dyDescent="0.2">
      <c r="A152" s="54" t="s">
        <v>73</v>
      </c>
      <c r="B152" s="54">
        <f>IF(B109=4,SUMIF(B116:B120,"&gt;0"),0)</f>
        <v>0</v>
      </c>
      <c r="D152" s="58">
        <f>IF(D109=4,SUMIF(D116:D120,"&gt;0"),0)</f>
        <v>0</v>
      </c>
      <c r="E152" s="54">
        <f>IF(E109=4,SUMIF(E116:E120,"&gt;0"),0)</f>
        <v>0</v>
      </c>
      <c r="G152" s="58">
        <f>IF(G109=4,SUMIF(G116:G120,"&gt;0"),0)</f>
        <v>1</v>
      </c>
      <c r="H152" s="54">
        <f>IF(H109=4,SUMIF(H116:H120,"&gt;0"),0)</f>
        <v>0</v>
      </c>
      <c r="J152" s="58">
        <f>IF(J109=4,SUMIF(J116:J120,"&gt;0"),0)</f>
        <v>0</v>
      </c>
      <c r="K152" s="54">
        <f>IF(K109=4,SUMIF(K116:K120,"&gt;0"),0)</f>
        <v>0</v>
      </c>
      <c r="M152" s="58">
        <f>IF(M109=4,SUMIF(M116:M120,"&gt;0"),0)</f>
        <v>1</v>
      </c>
      <c r="N152" s="54">
        <f>IF(N109=4,SUMIF(N116:N120,"&gt;0"),0)</f>
        <v>0</v>
      </c>
      <c r="P152" s="58">
        <f>IF(P109=4,SUMIF(P116:P120,"&gt;0"),0)</f>
        <v>0</v>
      </c>
      <c r="Q152" s="54">
        <f>IF(Q109=4,SUMIF(Q116:Q120,"&gt;0"),0)</f>
        <v>0</v>
      </c>
      <c r="S152" s="58">
        <f>IF(S109=4,SUMIF(S116:S120,"&gt;0"),0)</f>
        <v>0</v>
      </c>
      <c r="T152" s="54">
        <f>IF(T109=4,SUMIF(T116:T120,"&gt;0"),0)</f>
        <v>0</v>
      </c>
      <c r="V152" s="58">
        <f>IF(V109=4,SUMIF(V116:V120,"&gt;0"),0)</f>
        <v>0</v>
      </c>
      <c r="W152" s="54">
        <f>IF(W109=4,SUMIF(W116:W120,"&gt;0"),0)</f>
        <v>0</v>
      </c>
      <c r="Y152" s="58">
        <f>IF(Y109=4,SUMIF(Y116:Y120,"&gt;0"),0)</f>
        <v>0</v>
      </c>
      <c r="Z152" s="54">
        <f>IF(Z109=4,SUMIF(Z116:Z120,"&gt;0"),0)</f>
        <v>0</v>
      </c>
      <c r="AB152" s="58">
        <f>IF(AB109=4,SUMIF(AB116:AB120,"&gt;0"),0)</f>
        <v>1</v>
      </c>
      <c r="AC152" s="54">
        <f>IF(AC109=4,SUMIF(AC116:AC120,"&gt;0"),0)</f>
        <v>0</v>
      </c>
      <c r="AE152" s="58">
        <f>IF(AE109=4,SUMIF(AE116:AE120,"&gt;0"),0)</f>
        <v>0</v>
      </c>
      <c r="AF152" s="54">
        <f>SUM(B152:AE152)</f>
        <v>3</v>
      </c>
      <c r="AG152" s="54">
        <f>AF160-AF152</f>
        <v>5</v>
      </c>
      <c r="AW152" s="146"/>
    </row>
    <row r="153" spans="1:49" s="54" customFormat="1" ht="12.75" hidden="1" customHeight="1" x14ac:dyDescent="0.2">
      <c r="A153" s="54" t="s">
        <v>74</v>
      </c>
      <c r="B153" s="54">
        <f>IF(B109=5,SUMIF(B116:B120,"&gt;0"),0)</f>
        <v>0</v>
      </c>
      <c r="D153" s="58">
        <f>IF(D109=5,SUMIF(D116:D120,"&gt;0"),0)</f>
        <v>2</v>
      </c>
      <c r="E153" s="54">
        <f>IF(E109=5,SUMIF(E116:E120,"&gt;0"),0)</f>
        <v>0</v>
      </c>
      <c r="G153" s="58">
        <f>IF(G109=5,SUMIF(G116:G120,"&gt;0"),0)</f>
        <v>0</v>
      </c>
      <c r="H153" s="54">
        <f>IF(H109=5,SUMIF(H116:H120,"&gt;0"),0)</f>
        <v>0</v>
      </c>
      <c r="J153" s="58">
        <f>IF(J109=5,SUMIF(J116:J120,"&gt;0"),0)</f>
        <v>0</v>
      </c>
      <c r="K153" s="54">
        <f>IF(K109=5,SUMIF(K116:K120,"&gt;0"),0)</f>
        <v>0</v>
      </c>
      <c r="M153" s="58">
        <f>IF(M109=5,SUMIF(M116:M120,"&gt;0"),0)</f>
        <v>0</v>
      </c>
      <c r="N153" s="54">
        <f>IF(N109=5,SUMIF(N116:N120,"&gt;0"),0)</f>
        <v>0</v>
      </c>
      <c r="P153" s="58">
        <f>IF(P109=5,SUMIF(P116:P120,"&gt;0"),0)</f>
        <v>0</v>
      </c>
      <c r="Q153" s="54">
        <f>IF(Q109=5,SUMIF(Q116:Q120,"&gt;0"),0)</f>
        <v>0</v>
      </c>
      <c r="S153" s="58">
        <f>IF(S109=5,SUMIF(S116:S120,"&gt;0"),0)</f>
        <v>2</v>
      </c>
      <c r="T153" s="54">
        <f>IF(T109=5,SUMIF(T116:T120,"&gt;0"),0)</f>
        <v>0</v>
      </c>
      <c r="V153" s="58">
        <f>IF(V109=5,SUMIF(V116:V120,"&gt;0"),0)</f>
        <v>0</v>
      </c>
      <c r="W153" s="54">
        <f>IF(W109=5,SUMIF(W116:W120,"&gt;0"),0)</f>
        <v>0</v>
      </c>
      <c r="Y153" s="58">
        <f>IF(Y109=5,SUMIF(Y116:Y120,"&gt;0"),0)</f>
        <v>2</v>
      </c>
      <c r="Z153" s="54">
        <f>IF(Z109=5,SUMIF(Z116:Z120,"&gt;0"),0)</f>
        <v>0</v>
      </c>
      <c r="AB153" s="58">
        <f>IF(AB109=5,SUMIF(AB116:AB120,"&gt;0"),0)</f>
        <v>0</v>
      </c>
      <c r="AC153" s="54">
        <f>IF(AC109=5,SUMIF(AC116:AC120,"&gt;0"),0)</f>
        <v>0</v>
      </c>
      <c r="AE153" s="58">
        <f>IF(AE109=5,SUMIF(AE116:AE120,"&gt;0"),0)</f>
        <v>0</v>
      </c>
      <c r="AF153" s="54">
        <f>SUM(B153:AE153)</f>
        <v>6</v>
      </c>
      <c r="AG153" s="54">
        <f>AF161-AF153</f>
        <v>2</v>
      </c>
      <c r="AW153" s="146"/>
    </row>
    <row r="154" spans="1:49" s="54" customFormat="1" ht="12.75" hidden="1" customHeight="1" x14ac:dyDescent="0.2">
      <c r="D154" s="58"/>
      <c r="G154" s="58"/>
      <c r="J154" s="58"/>
      <c r="M154" s="58"/>
      <c r="P154" s="58"/>
      <c r="S154" s="58"/>
      <c r="V154" s="58"/>
      <c r="Y154" s="58"/>
      <c r="AB154" s="58"/>
      <c r="AE154" s="58"/>
      <c r="AW154" s="146"/>
    </row>
    <row r="155" spans="1:49" s="54" customFormat="1" ht="12.75" hidden="1" customHeight="1" x14ac:dyDescent="0.2">
      <c r="D155" s="58"/>
      <c r="G155" s="58"/>
      <c r="J155" s="58"/>
      <c r="M155" s="58"/>
      <c r="P155" s="58"/>
      <c r="S155" s="58"/>
      <c r="V155" s="58"/>
      <c r="Y155" s="58"/>
      <c r="AB155" s="58"/>
      <c r="AE155" s="58"/>
      <c r="AW155" s="146"/>
    </row>
    <row r="156" spans="1:49" s="54" customFormat="1" ht="51" hidden="1" customHeight="1" x14ac:dyDescent="0.2">
      <c r="A156" s="57" t="s">
        <v>85</v>
      </c>
      <c r="C156" s="54">
        <f>SUMIF(B149:D153,"&gt;0")</f>
        <v>2</v>
      </c>
      <c r="D156" s="58"/>
      <c r="F156" s="54">
        <f>SUMIF(E149:G153,"&gt;0")</f>
        <v>2</v>
      </c>
      <c r="G156" s="58"/>
      <c r="I156" s="54">
        <f>SUMIF(H149:J153,"&gt;0")</f>
        <v>2</v>
      </c>
      <c r="J156" s="58"/>
      <c r="L156" s="54">
        <f>SUMIF(K149:M153,"&gt;0")</f>
        <v>2</v>
      </c>
      <c r="M156" s="58"/>
      <c r="O156" s="54">
        <f>SUMIF(N149:P153,"&gt;0")</f>
        <v>2</v>
      </c>
      <c r="P156" s="58"/>
      <c r="R156" s="54">
        <f>SUMIF(Q149:S153,"&gt;0")</f>
        <v>2</v>
      </c>
      <c r="S156" s="58"/>
      <c r="U156" s="54">
        <f>SUMIF(T149:V153,"&gt;0")</f>
        <v>2</v>
      </c>
      <c r="V156" s="58"/>
      <c r="X156" s="54">
        <f>SUMIF(W149:Y153,"&gt;0")</f>
        <v>2</v>
      </c>
      <c r="Y156" s="58"/>
      <c r="AA156" s="54">
        <f>SUMIF(Z149:AB153,"&gt;0")</f>
        <v>2</v>
      </c>
      <c r="AB156" s="58"/>
      <c r="AD156" s="54">
        <f>SUMIF(AC149:AE153,"&gt;0")</f>
        <v>2</v>
      </c>
      <c r="AE156" s="58"/>
      <c r="AF156" s="57" t="s">
        <v>86</v>
      </c>
      <c r="AW156" s="146"/>
    </row>
    <row r="157" spans="1:49" s="54" customFormat="1" ht="12.75" hidden="1" customHeight="1" x14ac:dyDescent="0.2">
      <c r="A157" s="54" t="s">
        <v>76</v>
      </c>
      <c r="B157" s="54">
        <f>IF(B109=1,C156,0)</f>
        <v>0</v>
      </c>
      <c r="D157" s="58">
        <f>IF(D109=1,C156,0)</f>
        <v>0</v>
      </c>
      <c r="E157" s="54">
        <f>IF(E109=1,F156,0)</f>
        <v>2</v>
      </c>
      <c r="G157" s="58">
        <f>IF(G109=1,F156,0)</f>
        <v>0</v>
      </c>
      <c r="H157" s="54">
        <f>IF(H109=1,I156,0)</f>
        <v>0</v>
      </c>
      <c r="J157" s="58">
        <f>IF(J109=1,I156,0)</f>
        <v>0</v>
      </c>
      <c r="K157" s="54">
        <f>IF(K109=1,L156,0)</f>
        <v>0</v>
      </c>
      <c r="M157" s="58">
        <f>IF(M109=1,L156,0)</f>
        <v>0</v>
      </c>
      <c r="N157" s="54">
        <f>IF(N109=1,O156,0)</f>
        <v>2</v>
      </c>
      <c r="P157" s="58">
        <f>IF(P109=1,O156,0)</f>
        <v>0</v>
      </c>
      <c r="Q157" s="54">
        <f>IF(Q109=1,R156,0)</f>
        <v>0</v>
      </c>
      <c r="S157" s="58">
        <f>IF(S109=1,R156,0)</f>
        <v>0</v>
      </c>
      <c r="T157" s="54">
        <f>IF(T109=1,U156,0)</f>
        <v>0</v>
      </c>
      <c r="V157" s="58">
        <f>IF(V109=1,U156,0)</f>
        <v>0</v>
      </c>
      <c r="W157" s="54">
        <f>IF(W109=1,X156,0)</f>
        <v>2</v>
      </c>
      <c r="Y157" s="58">
        <f>IF(Y109=1,X156,0)</f>
        <v>0</v>
      </c>
      <c r="Z157" s="54">
        <f>IF(Z109=1,AA156,0)</f>
        <v>0</v>
      </c>
      <c r="AB157" s="58">
        <f>IF(AB109=1,AA156,0)</f>
        <v>0</v>
      </c>
      <c r="AC157" s="54">
        <f>IF(AC109=1,AD156,0)</f>
        <v>2</v>
      </c>
      <c r="AE157" s="58">
        <f>IF(AE109=1,AD156,0)</f>
        <v>0</v>
      </c>
      <c r="AF157" s="54">
        <f>SUM(B157:AE157)</f>
        <v>8</v>
      </c>
      <c r="AW157" s="146"/>
    </row>
    <row r="158" spans="1:49" s="54" customFormat="1" ht="12.75" hidden="1" customHeight="1" x14ac:dyDescent="0.2">
      <c r="A158" s="54" t="s">
        <v>77</v>
      </c>
      <c r="B158" s="54">
        <f>IF(B109=2,C156,0)</f>
        <v>2</v>
      </c>
      <c r="D158" s="58">
        <f>IF(D109=2,C156,0)</f>
        <v>0</v>
      </c>
      <c r="E158" s="54">
        <f>IF(E109=2,F156,0)</f>
        <v>0</v>
      </c>
      <c r="G158" s="58">
        <f>IF(G109=2,F156,0)</f>
        <v>0</v>
      </c>
      <c r="H158" s="54">
        <f>IF(H109=2,I156,0)</f>
        <v>0</v>
      </c>
      <c r="J158" s="58">
        <f>IF(J109=2,I156,0)</f>
        <v>0</v>
      </c>
      <c r="K158" s="54">
        <f>IF(K109=2,L156,0)</f>
        <v>2</v>
      </c>
      <c r="M158" s="58">
        <f>IF(M109=2,L156,0)</f>
        <v>0</v>
      </c>
      <c r="N158" s="54">
        <f>IF(N109=2,O156,0)</f>
        <v>0</v>
      </c>
      <c r="P158" s="58">
        <f>IF(P109=2,O156,0)</f>
        <v>0</v>
      </c>
      <c r="Q158" s="54">
        <f>IF(Q109=2,R156,0)</f>
        <v>0</v>
      </c>
      <c r="S158" s="58">
        <f>IF(S109=2,R156,0)</f>
        <v>0</v>
      </c>
      <c r="T158" s="54">
        <f>IF(T109=2,U156,0)</f>
        <v>2</v>
      </c>
      <c r="V158" s="58">
        <f>IF(V109=2,U156,0)</f>
        <v>0</v>
      </c>
      <c r="W158" s="54">
        <f>IF(W109=2,X156,0)</f>
        <v>0</v>
      </c>
      <c r="Y158" s="58">
        <f>IF(Y109=2,X156,0)</f>
        <v>0</v>
      </c>
      <c r="Z158" s="54">
        <f>IF(Z109=2,AA156,0)</f>
        <v>0</v>
      </c>
      <c r="AB158" s="58">
        <f>IF(AB109=2,AA156,0)</f>
        <v>0</v>
      </c>
      <c r="AC158" s="54">
        <f>IF(AC109=2,AD156,0)</f>
        <v>0</v>
      </c>
      <c r="AE158" s="58">
        <f>IF(AE109=2,AD156,0)</f>
        <v>2</v>
      </c>
      <c r="AF158" s="54">
        <f>SUM(B158:AE158)</f>
        <v>8</v>
      </c>
      <c r="AW158" s="146"/>
    </row>
    <row r="159" spans="1:49" s="54" customFormat="1" ht="12.75" hidden="1" customHeight="1" x14ac:dyDescent="0.2">
      <c r="A159" s="54" t="s">
        <v>78</v>
      </c>
      <c r="B159" s="54">
        <f>IF(B109=3,C156,0)</f>
        <v>0</v>
      </c>
      <c r="D159" s="58">
        <f>IF(D109=3,C156,0)</f>
        <v>0</v>
      </c>
      <c r="E159" s="54">
        <f>IF(E109=3,F156,0)</f>
        <v>0</v>
      </c>
      <c r="G159" s="58">
        <f>IF(G109=3,F156,0)</f>
        <v>0</v>
      </c>
      <c r="H159" s="54">
        <f>IF(H109=3,I156,0)</f>
        <v>2</v>
      </c>
      <c r="J159" s="58">
        <f>IF(J109=3,I156,0)</f>
        <v>0</v>
      </c>
      <c r="K159" s="54">
        <f>IF(K109=3,L156,0)</f>
        <v>0</v>
      </c>
      <c r="M159" s="58">
        <f>IF(M109=3,L156,0)</f>
        <v>0</v>
      </c>
      <c r="N159" s="54">
        <f>IF(N109=3,O156,0)</f>
        <v>0</v>
      </c>
      <c r="P159" s="58">
        <f>IF(P109=3,O156,0)</f>
        <v>2</v>
      </c>
      <c r="Q159" s="54">
        <f>IF(Q109=3,R156,0)</f>
        <v>0</v>
      </c>
      <c r="S159" s="58">
        <f>IF(S109=3,R156,0)</f>
        <v>0</v>
      </c>
      <c r="T159" s="54">
        <f>IF(T109=3,U156,0)</f>
        <v>0</v>
      </c>
      <c r="V159" s="58">
        <f>IF(V109=3,U156,0)</f>
        <v>2</v>
      </c>
      <c r="W159" s="54">
        <f>IF(W109=3,X156,0)</f>
        <v>0</v>
      </c>
      <c r="Y159" s="58">
        <f>IF(Y109=3,X156,0)</f>
        <v>0</v>
      </c>
      <c r="Z159" s="54">
        <f>IF(Z109=3,AA156,0)</f>
        <v>2</v>
      </c>
      <c r="AB159" s="58">
        <f>IF(AB109=3,AA156,0)</f>
        <v>0</v>
      </c>
      <c r="AC159" s="54">
        <f>IF(AC109=3,AD156,0)</f>
        <v>0</v>
      </c>
      <c r="AE159" s="58">
        <f>IF(AE109=3,AD156,0)</f>
        <v>0</v>
      </c>
      <c r="AF159" s="54">
        <f>SUM(B159:AE159)</f>
        <v>8</v>
      </c>
      <c r="AW159" s="146"/>
    </row>
    <row r="160" spans="1:49" s="54" customFormat="1" ht="12.75" hidden="1" customHeight="1" x14ac:dyDescent="0.2">
      <c r="A160" s="54" t="s">
        <v>79</v>
      </c>
      <c r="B160" s="54">
        <f>IF(B109=4,C156,0)</f>
        <v>0</v>
      </c>
      <c r="D160" s="58">
        <f>IF(D109=4,C156,0)</f>
        <v>0</v>
      </c>
      <c r="E160" s="54">
        <f>IF(E109=4,F156,0)</f>
        <v>0</v>
      </c>
      <c r="G160" s="58">
        <f>IF(G109=4,F156,0)</f>
        <v>2</v>
      </c>
      <c r="H160" s="54">
        <f>IF(H109=4,I156,0)</f>
        <v>0</v>
      </c>
      <c r="J160" s="58">
        <f>IF(J109=4,I156,0)</f>
        <v>0</v>
      </c>
      <c r="K160" s="54">
        <f>IF(K109=4,L156,0)</f>
        <v>0</v>
      </c>
      <c r="M160" s="58">
        <f>IF(M109=4,L156,0)</f>
        <v>2</v>
      </c>
      <c r="N160" s="54">
        <f>IF(N109=4,O156,0)</f>
        <v>0</v>
      </c>
      <c r="P160" s="58">
        <f>IF(P109=4,O156,0)</f>
        <v>0</v>
      </c>
      <c r="Q160" s="54">
        <f>IF(Q109=4,R156,0)</f>
        <v>2</v>
      </c>
      <c r="S160" s="58">
        <f>IF(S109=4,R156,0)</f>
        <v>0</v>
      </c>
      <c r="T160" s="54">
        <f>IF(T109=4,U156,0)</f>
        <v>0</v>
      </c>
      <c r="V160" s="58">
        <f>IF(V109=4,U156,0)</f>
        <v>0</v>
      </c>
      <c r="W160" s="54">
        <f>IF(W109=4,X156,0)</f>
        <v>0</v>
      </c>
      <c r="Y160" s="58">
        <f>IF(Y109=4,X156,0)</f>
        <v>0</v>
      </c>
      <c r="Z160" s="54">
        <f>IF(Z109=4,AA156,0)</f>
        <v>0</v>
      </c>
      <c r="AB160" s="58">
        <f>IF(AB109=4,AA156,0)</f>
        <v>2</v>
      </c>
      <c r="AC160" s="54">
        <f>IF(AC109=4,AD156,0)</f>
        <v>0</v>
      </c>
      <c r="AE160" s="58">
        <f>IF(AE109=4,AD156,0)</f>
        <v>0</v>
      </c>
      <c r="AF160" s="54">
        <f>SUM(B160:AE160)</f>
        <v>8</v>
      </c>
      <c r="AW160" s="146"/>
    </row>
    <row r="161" spans="1:54" s="54" customFormat="1" ht="12.75" hidden="1" customHeight="1" x14ac:dyDescent="0.2">
      <c r="A161" s="54" t="s">
        <v>80</v>
      </c>
      <c r="B161" s="54">
        <f>IF(B109=5,C156,0)</f>
        <v>0</v>
      </c>
      <c r="D161" s="58">
        <f>IF(D109=5,C156,0)</f>
        <v>2</v>
      </c>
      <c r="E161" s="54">
        <f>IF(E109=5,F156,0)</f>
        <v>0</v>
      </c>
      <c r="G161" s="58">
        <f>IF(G109=5,F156,0)</f>
        <v>0</v>
      </c>
      <c r="H161" s="54">
        <f>IF(H109=5,I156,0)</f>
        <v>0</v>
      </c>
      <c r="J161" s="58">
        <f>IF(J109=5,I156,0)</f>
        <v>2</v>
      </c>
      <c r="K161" s="54">
        <f>IF(K109=5,L156,0)</f>
        <v>0</v>
      </c>
      <c r="M161" s="58">
        <f>IF(M109=5,L156,0)</f>
        <v>0</v>
      </c>
      <c r="N161" s="54">
        <f>IF(N109=5,O156,0)</f>
        <v>0</v>
      </c>
      <c r="P161" s="58">
        <f>IF(P109=5,O156,0)</f>
        <v>0</v>
      </c>
      <c r="Q161" s="54">
        <f>IF(Q109=5,R156,0)</f>
        <v>0</v>
      </c>
      <c r="S161" s="58">
        <f>IF(S109=5,R156,0)</f>
        <v>2</v>
      </c>
      <c r="T161" s="54">
        <f>IF(T109=5,U156,0)</f>
        <v>0</v>
      </c>
      <c r="V161" s="58">
        <f>IF(V109=5,U156,0)</f>
        <v>0</v>
      </c>
      <c r="W161" s="54">
        <f>IF(W109=5,X156,0)</f>
        <v>0</v>
      </c>
      <c r="Y161" s="58">
        <f>IF(Y109=5,X156,0)</f>
        <v>2</v>
      </c>
      <c r="Z161" s="54">
        <f>IF(Z109=5,AA156,0)</f>
        <v>0</v>
      </c>
      <c r="AB161" s="58">
        <f>IF(AB109=5,AA156,0)</f>
        <v>0</v>
      </c>
      <c r="AC161" s="54">
        <f>IF(AC109=5,AD156,0)</f>
        <v>0</v>
      </c>
      <c r="AE161" s="58">
        <f>IF(AE109=5,AD156,0)</f>
        <v>0</v>
      </c>
      <c r="AF161" s="54">
        <f>SUM(B161:AE161)</f>
        <v>8</v>
      </c>
      <c r="AW161" s="146"/>
    </row>
    <row r="162" spans="1:54" hidden="1" x14ac:dyDescent="0.2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60"/>
      <c r="AO162" s="60"/>
      <c r="AP162" s="60"/>
      <c r="AQ162" s="60"/>
      <c r="AR162" s="61"/>
      <c r="AS162" s="61"/>
      <c r="AT162" s="61"/>
      <c r="AU162" s="61"/>
      <c r="AV162" s="61"/>
      <c r="BB162" s="62"/>
    </row>
    <row r="163" spans="1:54" s="61" customFormat="1" hidden="1" x14ac:dyDescent="0.2">
      <c r="A163" s="63"/>
      <c r="B163" s="63"/>
      <c r="C163" s="63" t="s">
        <v>87</v>
      </c>
      <c r="D163" s="63">
        <v>1</v>
      </c>
      <c r="E163" s="63"/>
      <c r="F163" s="63"/>
      <c r="G163" s="63">
        <v>2</v>
      </c>
      <c r="H163" s="63"/>
      <c r="I163" s="63"/>
      <c r="J163" s="63">
        <v>3</v>
      </c>
      <c r="K163" s="63"/>
      <c r="L163" s="63"/>
      <c r="M163" s="63">
        <v>4</v>
      </c>
      <c r="N163" s="63"/>
      <c r="O163" s="63"/>
      <c r="P163" s="63">
        <v>5</v>
      </c>
      <c r="Q163" s="63"/>
      <c r="R163" s="63"/>
      <c r="S163" s="63">
        <v>6</v>
      </c>
      <c r="T163" s="63"/>
      <c r="U163" s="63"/>
      <c r="V163" s="63">
        <v>7</v>
      </c>
      <c r="W163" s="63"/>
      <c r="X163" s="63"/>
      <c r="Y163" s="63">
        <v>8</v>
      </c>
      <c r="Z163" s="63"/>
      <c r="AA163" s="63"/>
      <c r="AB163" s="63">
        <v>9</v>
      </c>
      <c r="AC163" s="63"/>
      <c r="AD163" s="63"/>
      <c r="AE163" s="63">
        <v>10</v>
      </c>
      <c r="AF163" s="4"/>
      <c r="AG163" s="63"/>
      <c r="AI163" s="64"/>
      <c r="AJ163" s="4"/>
      <c r="AK163" s="4"/>
      <c r="AL163" s="4"/>
      <c r="AM163" s="4"/>
      <c r="AN163" s="4"/>
      <c r="AO163" s="4"/>
      <c r="AT163" s="64" t="s">
        <v>88</v>
      </c>
      <c r="AW163" s="65"/>
      <c r="BB163" s="65"/>
    </row>
    <row r="164" spans="1:54" s="61" customFormat="1" hidden="1" x14ac:dyDescent="0.2">
      <c r="A164" s="66">
        <v>1</v>
      </c>
      <c r="B164" s="66" t="str">
        <f>E93</f>
        <v>MBVC 13 Red</v>
      </c>
      <c r="C164" s="66">
        <f>VLOOKUP(B164,AU$3:AY$12,3,FALSE)</f>
        <v>1600</v>
      </c>
      <c r="D164" s="66">
        <f>IF(B157,B172,IF(D157,D172,C164))</f>
        <v>1600</v>
      </c>
      <c r="E164" s="66"/>
      <c r="F164" s="66"/>
      <c r="G164" s="66">
        <f>IF(E157,E172,IF(G157,G172,D164))</f>
        <v>1595.6430263657148</v>
      </c>
      <c r="H164" s="66"/>
      <c r="I164" s="66"/>
      <c r="J164" s="66">
        <f>IF(H157,H172,IF(J157,J172,G164))</f>
        <v>1595.6430263657148</v>
      </c>
      <c r="K164" s="66"/>
      <c r="L164" s="66"/>
      <c r="M164" s="66">
        <f>IF(K157,K172,IF(M157,M172,J164))</f>
        <v>1595.6430263657148</v>
      </c>
      <c r="N164" s="66"/>
      <c r="O164" s="66"/>
      <c r="P164" s="66">
        <f>IF(N157,N172,IF(P157,P172,M164))</f>
        <v>1595.8927397880427</v>
      </c>
      <c r="Q164" s="66"/>
      <c r="R164" s="66"/>
      <c r="S164" s="66">
        <f>IF(Q157,Q172,IF(S157,S172,P164))</f>
        <v>1595.8927397880427</v>
      </c>
      <c r="T164" s="66"/>
      <c r="U164" s="66"/>
      <c r="V164" s="66">
        <f>IF(T157,T172,IF(V157,V172,S164))</f>
        <v>1595.8927397880427</v>
      </c>
      <c r="W164" s="66"/>
      <c r="X164" s="66"/>
      <c r="Y164" s="66">
        <f>IF(W157,W172,IF(Y157,Y172,V164))</f>
        <v>1557.6756334828476</v>
      </c>
      <c r="Z164" s="66"/>
      <c r="AA164" s="66"/>
      <c r="AB164" s="66">
        <f>IF(Z157,Z172,IF(AB157,AB172,Y164))</f>
        <v>1557.6756334828476</v>
      </c>
      <c r="AC164" s="66"/>
      <c r="AD164" s="66"/>
      <c r="AE164" s="66">
        <f>IF(AC157,AC172,IF(AE157,AE172,AB164))</f>
        <v>1551.0543894736661</v>
      </c>
      <c r="AF164" s="4"/>
      <c r="AG164" s="4"/>
      <c r="AJ164" s="4"/>
      <c r="AK164" s="4"/>
      <c r="AL164" s="4"/>
      <c r="AM164" s="4"/>
      <c r="AN164" s="4"/>
      <c r="AO164" s="4"/>
      <c r="AT164" s="61" t="str">
        <f>B164</f>
        <v>MBVC 13 Red</v>
      </c>
      <c r="AU164" s="61">
        <f>AE164</f>
        <v>1551.0543894736661</v>
      </c>
      <c r="AW164" s="65"/>
      <c r="BB164" s="65"/>
    </row>
    <row r="165" spans="1:54" s="61" customFormat="1" hidden="1" x14ac:dyDescent="0.2">
      <c r="A165" s="66">
        <v>2</v>
      </c>
      <c r="B165" s="66" t="str">
        <f>E95</f>
        <v>High Velocity 13's</v>
      </c>
      <c r="C165" s="66">
        <f>VLOOKUP(B165,AU$3:AY$12,3,FALSE)</f>
        <v>1541.5139178594579</v>
      </c>
      <c r="D165" s="66">
        <f>IF(B158,B172,IF(D158,D172,C165))</f>
        <v>1503.8368854001899</v>
      </c>
      <c r="E165" s="66"/>
      <c r="F165" s="66"/>
      <c r="G165" s="66">
        <f>IF(E158,E172,IF(G158,G172,D165))</f>
        <v>1503.8368854001899</v>
      </c>
      <c r="H165" s="66"/>
      <c r="I165" s="66"/>
      <c r="J165" s="66">
        <f>IF(H158,H172,IF(J158,J172,G165))</f>
        <v>1503.8368854001899</v>
      </c>
      <c r="K165" s="66"/>
      <c r="L165" s="66"/>
      <c r="M165" s="66">
        <f>IF(K158,K172,IF(M158,M172,J165))</f>
        <v>1508.6735816661314</v>
      </c>
      <c r="N165" s="66"/>
      <c r="O165" s="66"/>
      <c r="P165" s="66">
        <f>IF(N158,N172,IF(P158,P172,M165))</f>
        <v>1508.6735816661314</v>
      </c>
      <c r="Q165" s="66"/>
      <c r="R165" s="66"/>
      <c r="S165" s="66">
        <f>IF(Q158,Q172,IF(S158,S172,P165))</f>
        <v>1508.6735816661314</v>
      </c>
      <c r="T165" s="66"/>
      <c r="U165" s="66"/>
      <c r="V165" s="66">
        <f>IF(T158,T172,IF(V158,V172,S165))</f>
        <v>1484.73326213933</v>
      </c>
      <c r="W165" s="66"/>
      <c r="X165" s="66"/>
      <c r="Y165" s="66">
        <f>IF(W158,W172,IF(Y158,Y172,V165))</f>
        <v>1484.73326213933</v>
      </c>
      <c r="Z165" s="66"/>
      <c r="AA165" s="66"/>
      <c r="AB165" s="66">
        <f>IF(Z158,Z172,IF(AB158,AB172,Y165))</f>
        <v>1484.73326213933</v>
      </c>
      <c r="AC165" s="66"/>
      <c r="AD165" s="66"/>
      <c r="AE165" s="66">
        <f>IF(AC158,AC172,IF(AE158,AE172,AB165))</f>
        <v>1491.3545061485115</v>
      </c>
      <c r="AF165" s="4"/>
      <c r="AG165" s="4"/>
      <c r="AJ165" s="4"/>
      <c r="AL165" s="4"/>
      <c r="AM165" s="4"/>
      <c r="AN165" s="4"/>
      <c r="AO165" s="4"/>
      <c r="AT165" s="61" t="str">
        <f>B165</f>
        <v>High Velocity 13's</v>
      </c>
      <c r="AU165" s="61">
        <f>AE165</f>
        <v>1491.3545061485115</v>
      </c>
      <c r="AW165" s="65"/>
      <c r="BB165" s="65"/>
    </row>
    <row r="166" spans="1:54" s="61" customFormat="1" hidden="1" x14ac:dyDescent="0.2">
      <c r="A166" s="66">
        <v>3</v>
      </c>
      <c r="B166" s="66" t="str">
        <f>E97</f>
        <v>Sumter VBC 13</v>
      </c>
      <c r="C166" s="66">
        <f>VLOOKUP(B166,AU$3:AY$12,3,FALSE)</f>
        <v>1571.3271481700851</v>
      </c>
      <c r="D166" s="66">
        <f>IF(B159,B172,IF(D159,D172,C166))</f>
        <v>1571.3271481700851</v>
      </c>
      <c r="E166" s="66"/>
      <c r="F166" s="66"/>
      <c r="G166" s="66">
        <f>IF(E159,E172,IF(G159,G172,D166))</f>
        <v>1571.3271481700851</v>
      </c>
      <c r="H166" s="66"/>
      <c r="I166" s="66"/>
      <c r="J166" s="66">
        <f>IF(H159,H172,IF(J159,J172,G166))</f>
        <v>1598.3543104357871</v>
      </c>
      <c r="K166" s="66"/>
      <c r="L166" s="66"/>
      <c r="M166" s="66">
        <f>IF(K159,K172,IF(M159,M172,J166))</f>
        <v>1598.3543104357871</v>
      </c>
      <c r="N166" s="66"/>
      <c r="O166" s="66"/>
      <c r="P166" s="66">
        <f>IF(N159,N172,IF(P159,P172,M166))</f>
        <v>1598.1045970134592</v>
      </c>
      <c r="Q166" s="66"/>
      <c r="R166" s="66"/>
      <c r="S166" s="66">
        <f>IF(Q159,Q172,IF(S159,S172,P166))</f>
        <v>1598.1045970134592</v>
      </c>
      <c r="T166" s="66"/>
      <c r="U166" s="66"/>
      <c r="V166" s="66">
        <f>IF(T159,T172,IF(V159,V172,S166))</f>
        <v>1622.0449165402606</v>
      </c>
      <c r="W166" s="66"/>
      <c r="X166" s="66"/>
      <c r="Y166" s="66">
        <f>IF(W159,W172,IF(Y159,Y172,V166))</f>
        <v>1622.0449165402606</v>
      </c>
      <c r="Z166" s="66"/>
      <c r="AA166" s="66"/>
      <c r="AB166" s="66">
        <f>IF(Z159,Z172,IF(AB159,AB172,Y166))</f>
        <v>1612.4245874710323</v>
      </c>
      <c r="AC166" s="66"/>
      <c r="AD166" s="66"/>
      <c r="AE166" s="66">
        <f>IF(AC159,AC172,IF(AE159,AE172,AB166))</f>
        <v>1612.4245874710323</v>
      </c>
      <c r="AF166" s="4"/>
      <c r="AG166" s="4"/>
      <c r="AJ166" s="4"/>
      <c r="AL166" s="4"/>
      <c r="AM166" s="4"/>
      <c r="AN166" s="4"/>
      <c r="AO166" s="4"/>
      <c r="AT166" s="61" t="str">
        <f>B166</f>
        <v>Sumter VBC 13</v>
      </c>
      <c r="AU166" s="61">
        <f>AE166</f>
        <v>1612.4245874710323</v>
      </c>
      <c r="AW166" s="65"/>
      <c r="BB166" s="65"/>
    </row>
    <row r="167" spans="1:54" s="61" customFormat="1" hidden="1" x14ac:dyDescent="0.2">
      <c r="A167" s="66">
        <v>4</v>
      </c>
      <c r="B167" s="66" t="str">
        <f>E99</f>
        <v>C1VB Juniors Black</v>
      </c>
      <c r="C167" s="66">
        <f>VLOOKUP(B167,AU$3:AY$12,3,FALSE)</f>
        <v>1552.399145092096</v>
      </c>
      <c r="D167" s="66">
        <f>IF(B160,B172,IF(D160,D172,C167))</f>
        <v>1552.399145092096</v>
      </c>
      <c r="E167" s="66"/>
      <c r="F167" s="66"/>
      <c r="G167" s="66">
        <f>IF(E160,E172,IF(G160,G172,D167))</f>
        <v>1556.7561187263811</v>
      </c>
      <c r="H167" s="66"/>
      <c r="I167" s="66"/>
      <c r="J167" s="66">
        <f>IF(H160,H172,IF(J160,J172,G167))</f>
        <v>1556.7561187263811</v>
      </c>
      <c r="K167" s="66"/>
      <c r="L167" s="66"/>
      <c r="M167" s="66">
        <f>IF(K160,K172,IF(M160,M172,J167))</f>
        <v>1551.9194224604396</v>
      </c>
      <c r="N167" s="66"/>
      <c r="O167" s="66"/>
      <c r="P167" s="66">
        <f>IF(N160,N172,IF(P160,P172,M167))</f>
        <v>1551.9194224604396</v>
      </c>
      <c r="Q167" s="66"/>
      <c r="R167" s="66"/>
      <c r="S167" s="66">
        <f>IF(Q160,Q172,IF(S160,S172,P167))</f>
        <v>1514.2641912533693</v>
      </c>
      <c r="T167" s="66"/>
      <c r="U167" s="66"/>
      <c r="V167" s="66">
        <f>IF(T160,T172,IF(V160,V172,S167))</f>
        <v>1514.2641912533693</v>
      </c>
      <c r="W167" s="66"/>
      <c r="X167" s="66"/>
      <c r="Y167" s="66">
        <f>IF(W160,W172,IF(Y160,Y172,V167))</f>
        <v>1514.2641912533693</v>
      </c>
      <c r="Z167" s="66"/>
      <c r="AA167" s="66"/>
      <c r="AB167" s="66">
        <f>IF(Z160,Z172,IF(AB160,AB172,Y167))</f>
        <v>1523.8845203225976</v>
      </c>
      <c r="AC167" s="66"/>
      <c r="AD167" s="66"/>
      <c r="AE167" s="66">
        <f>IF(AC160,AC172,IF(AE160,AE172,AB167))</f>
        <v>1523.8845203225976</v>
      </c>
      <c r="AF167" s="4"/>
      <c r="AG167" s="4"/>
      <c r="AJ167" s="4"/>
      <c r="AL167" s="4"/>
      <c r="AM167" s="4"/>
      <c r="AN167" s="4"/>
      <c r="AO167" s="4"/>
      <c r="AT167" s="61" t="str">
        <f>B167</f>
        <v>C1VB Juniors Black</v>
      </c>
      <c r="AU167" s="61">
        <f>AE167</f>
        <v>1523.8845203225976</v>
      </c>
      <c r="AW167" s="65"/>
      <c r="BB167" s="65"/>
    </row>
    <row r="168" spans="1:54" s="61" customFormat="1" hidden="1" x14ac:dyDescent="0.2">
      <c r="A168" s="66">
        <v>5</v>
      </c>
      <c r="B168" s="66" t="str">
        <f>E101</f>
        <v>SC Midlands 13 Black</v>
      </c>
      <c r="C168" s="66">
        <f>VLOOKUP(B168,AU$3:AY$12,3,FALSE)</f>
        <v>1479.2171814305723</v>
      </c>
      <c r="D168" s="66">
        <f>IF(B161,B172,IF(D161,D172,C168))</f>
        <v>1516.8942138898403</v>
      </c>
      <c r="E168" s="66"/>
      <c r="F168" s="66"/>
      <c r="G168" s="66">
        <f>IF(E161,E172,IF(G161,G172,D168))</f>
        <v>1516.8942138898403</v>
      </c>
      <c r="H168" s="66"/>
      <c r="I168" s="66"/>
      <c r="J168" s="66">
        <f>IF(H161,H172,IF(J161,J172,G168))</f>
        <v>1489.8670516241384</v>
      </c>
      <c r="K168" s="66"/>
      <c r="L168" s="66"/>
      <c r="M168" s="66">
        <f>IF(K161,K172,IF(M161,M172,J168))</f>
        <v>1489.8670516241384</v>
      </c>
      <c r="N168" s="66"/>
      <c r="O168" s="66"/>
      <c r="P168" s="66">
        <f>IF(N161,N172,IF(P161,P172,M168))</f>
        <v>1489.8670516241384</v>
      </c>
      <c r="Q168" s="66"/>
      <c r="R168" s="66"/>
      <c r="S168" s="66">
        <f>IF(Q161,Q172,IF(S161,S172,P168))</f>
        <v>1527.5222828312087</v>
      </c>
      <c r="T168" s="66"/>
      <c r="U168" s="66"/>
      <c r="V168" s="66">
        <f>IF(T161,T172,IF(V161,V172,S168))</f>
        <v>1527.5222828312087</v>
      </c>
      <c r="W168" s="66"/>
      <c r="X168" s="66"/>
      <c r="Y168" s="66">
        <f>IF(W161,W172,IF(Y161,Y172,V168))</f>
        <v>1565.7393891364038</v>
      </c>
      <c r="Z168" s="66"/>
      <c r="AA168" s="66"/>
      <c r="AB168" s="66">
        <f>IF(Z161,Z172,IF(AB161,AB172,Y168))</f>
        <v>1565.7393891364038</v>
      </c>
      <c r="AC168" s="66"/>
      <c r="AD168" s="66"/>
      <c r="AE168" s="66">
        <f>IF(AC161,AC172,IF(AE161,AE172,AB168))</f>
        <v>1565.7393891364038</v>
      </c>
      <c r="AF168" s="4"/>
      <c r="AG168" s="4"/>
      <c r="AJ168" s="4"/>
      <c r="AL168" s="4"/>
      <c r="AM168" s="4"/>
      <c r="AN168" s="4"/>
      <c r="AO168" s="4"/>
      <c r="AT168" s="61" t="str">
        <f>B168</f>
        <v>SC Midlands 13 Black</v>
      </c>
      <c r="AU168" s="61">
        <f>AE168</f>
        <v>1565.7393891364038</v>
      </c>
      <c r="AW168" s="65"/>
      <c r="BB168" s="65"/>
    </row>
    <row r="169" spans="1:54" s="61" customFormat="1" hidden="1" x14ac:dyDescent="0.2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4"/>
      <c r="AG169" s="4"/>
      <c r="AJ169" s="4"/>
      <c r="AL169" s="4"/>
      <c r="AM169" s="4"/>
      <c r="AN169" s="4"/>
      <c r="AO169" s="4"/>
      <c r="AW169" s="65"/>
      <c r="BB169" s="65"/>
    </row>
    <row r="170" spans="1:54" s="61" customFormat="1" hidden="1" x14ac:dyDescent="0.2">
      <c r="A170" s="66" t="s">
        <v>89</v>
      </c>
      <c r="B170" s="66">
        <f>VLOOKUP(B109,$A164:$AE168,3,FALSE)</f>
        <v>1541.5139178594579</v>
      </c>
      <c r="C170" s="66">
        <v>1</v>
      </c>
      <c r="D170" s="66">
        <f>VLOOKUP(D109,$A164:$AE168,3,FALSE)</f>
        <v>1479.2171814305723</v>
      </c>
      <c r="E170" s="66">
        <f>VLOOKUP(E109,$A164:$AE168,4,FALSE)</f>
        <v>1600</v>
      </c>
      <c r="F170" s="66">
        <v>2</v>
      </c>
      <c r="G170" s="66">
        <f>VLOOKUP(G109,$A164:$AE168,4,FALSE)</f>
        <v>1552.399145092096</v>
      </c>
      <c r="H170" s="66">
        <f>VLOOKUP(H109,$A164:$AE168,7,FALSE)</f>
        <v>1571.3271481700851</v>
      </c>
      <c r="I170" s="66">
        <v>3</v>
      </c>
      <c r="J170" s="66">
        <f>VLOOKUP(J109,$A164:$AE168,7,FALSE)</f>
        <v>1516.8942138898403</v>
      </c>
      <c r="K170" s="66">
        <f>VLOOKUP(K109,$A164:$AE168,10,FALSE)</f>
        <v>1503.8368854001899</v>
      </c>
      <c r="L170" s="66">
        <v>4</v>
      </c>
      <c r="M170" s="66">
        <f>VLOOKUP(M109,$A164:$AE168,10,FALSE)</f>
        <v>1556.7561187263811</v>
      </c>
      <c r="N170" s="66">
        <f>VLOOKUP(N109,$A164:$AE168,13,FALSE)</f>
        <v>1595.6430263657148</v>
      </c>
      <c r="O170" s="66">
        <v>5</v>
      </c>
      <c r="P170" s="66">
        <f>VLOOKUP(P109,$A164:$AE168,13,FALSE)</f>
        <v>1598.3543104357871</v>
      </c>
      <c r="Q170" s="66">
        <f>VLOOKUP(Q109,$A164:$AE168,16,FALSE)</f>
        <v>1551.9194224604396</v>
      </c>
      <c r="R170" s="66">
        <v>6</v>
      </c>
      <c r="S170" s="66">
        <f>VLOOKUP(S109,$A164:$AE168,16,FALSE)</f>
        <v>1489.8670516241384</v>
      </c>
      <c r="T170" s="66">
        <f>VLOOKUP(T109,$A164:$AE168,19,FALSE)</f>
        <v>1508.6735816661314</v>
      </c>
      <c r="U170" s="66">
        <v>7</v>
      </c>
      <c r="V170" s="66">
        <f>VLOOKUP(V109,$A164:$AE168,19,FALSE)</f>
        <v>1598.1045970134592</v>
      </c>
      <c r="W170" s="66">
        <f>VLOOKUP(W109,$A164:$AE168,22,FALSE)</f>
        <v>1595.8927397880427</v>
      </c>
      <c r="X170" s="66">
        <v>8</v>
      </c>
      <c r="Y170" s="66">
        <f>VLOOKUP(Y109,$A164:$AE168,22,FALSE)</f>
        <v>1527.5222828312087</v>
      </c>
      <c r="Z170" s="66">
        <f>VLOOKUP(Z109,$A164:$AE168,25,FALSE)</f>
        <v>1622.0449165402606</v>
      </c>
      <c r="AA170" s="66">
        <v>9</v>
      </c>
      <c r="AB170" s="66">
        <f>VLOOKUP(AB109,$A164:$AE168,25,FALSE)</f>
        <v>1514.2641912533693</v>
      </c>
      <c r="AC170" s="66">
        <f>VLOOKUP(AC109,$A164:$AE168,28,FALSE)</f>
        <v>1557.6756334828476</v>
      </c>
      <c r="AD170" s="66">
        <v>10</v>
      </c>
      <c r="AE170" s="66">
        <f>VLOOKUP(AE109,$A164:$AE168,28,FALSE)</f>
        <v>1484.73326213933</v>
      </c>
      <c r="AF170" s="4"/>
      <c r="AG170" s="59"/>
      <c r="AH170" s="59"/>
      <c r="AI170" s="59"/>
      <c r="AJ170" s="59"/>
      <c r="AK170" s="59"/>
      <c r="AL170" s="59"/>
      <c r="AM170" s="59"/>
      <c r="AN170" s="60"/>
      <c r="AO170" s="60"/>
      <c r="AP170" s="60"/>
      <c r="AQ170" s="60"/>
      <c r="AW170" s="65"/>
      <c r="BB170" s="65"/>
    </row>
    <row r="171" spans="1:54" s="71" customFormat="1" hidden="1" x14ac:dyDescent="0.2">
      <c r="A171" s="67" t="s">
        <v>90</v>
      </c>
      <c r="B171" s="67">
        <f>1/(1+(10^-((B170-D170)/400)))*(B121+D121)</f>
        <v>1.1774072643521261</v>
      </c>
      <c r="C171" s="67"/>
      <c r="D171" s="67">
        <f>1/(1+(10^-((D170-B170)/400)))*(B121+D121)</f>
        <v>0.82259273564787372</v>
      </c>
      <c r="E171" s="67">
        <f>1/(1+(10^-((E170-G170)/400)))*(E121+G121)</f>
        <v>1.1361554260714113</v>
      </c>
      <c r="F171" s="67"/>
      <c r="G171" s="67">
        <f>1/(1+(10^-((G170-E170)/400)))*(E121+G121)</f>
        <v>0.86384457392858882</v>
      </c>
      <c r="H171" s="67">
        <f>1/(1+(10^-((H170-J170)/400)))*(H121+J121)</f>
        <v>1.1554011791968155</v>
      </c>
      <c r="I171" s="67"/>
      <c r="J171" s="67">
        <f>1/(1+(10^-((J170-H170)/400)))*(H121+J121)</f>
        <v>0.84459882080318438</v>
      </c>
      <c r="K171" s="67">
        <f>1/(1+(10^-((K170-M170)/400)))*(K121+M121)</f>
        <v>0.84885324168932563</v>
      </c>
      <c r="L171" s="67"/>
      <c r="M171" s="67">
        <f>1/(1+(10^-((M170-K170)/400)))*(K121+M121)</f>
        <v>1.1511467583106745</v>
      </c>
      <c r="N171" s="67">
        <f>1/(1+(10^-((N170-P170)/400)))*(N121+P121)</f>
        <v>0.99219645555225433</v>
      </c>
      <c r="O171" s="67"/>
      <c r="P171" s="67">
        <f>1/(1+(10^-((P170-N170)/400)))*(N121+P121)</f>
        <v>1.0078035444477458</v>
      </c>
      <c r="Q171" s="67">
        <f>1/(1+(10^-((Q170-S170)/400)))*(Q121+S121)</f>
        <v>1.1767259752209467</v>
      </c>
      <c r="R171" s="67"/>
      <c r="S171" s="67">
        <f>1/(1+(10^-((S170-Q170)/400)))*(Q121+S121)</f>
        <v>0.82327402477905343</v>
      </c>
      <c r="T171" s="67">
        <f>1/(1+(10^-((T170-V170)/400)))*(T121+V121)</f>
        <v>0.74813498521254229</v>
      </c>
      <c r="U171" s="67"/>
      <c r="V171" s="67">
        <f>1/(1+(10^-((V170-T170)/400)))*(T121+V121)</f>
        <v>1.2518650147874577</v>
      </c>
      <c r="W171" s="67">
        <f>1/(1+(10^-((W170-Y170)/400)))*(W121+Y121)</f>
        <v>1.1942845720373494</v>
      </c>
      <c r="X171" s="67"/>
      <c r="Y171" s="67">
        <f>1/(1+(10^-((Y170-W170)/400)))*(W121+Y121)</f>
        <v>0.80571542796265061</v>
      </c>
      <c r="Z171" s="67">
        <f>1/(1+(10^-((Z170-AB170)/400)))*(Z121+AB121)</f>
        <v>1.3006352834133867</v>
      </c>
      <c r="AA171" s="67"/>
      <c r="AB171" s="67">
        <f>1/(1+(10^-((AB170-Z170)/400)))*(Z121+AB121)</f>
        <v>0.69936471658661337</v>
      </c>
      <c r="AC171" s="67">
        <f>1/(1+(10^-((AC170-AE170)/400)))*(AC121+AE121)</f>
        <v>1.206913875286924</v>
      </c>
      <c r="AD171" s="67"/>
      <c r="AE171" s="67">
        <f>1/(1+(10^-((AE170-AC170)/400)))*(AC121+AE121)</f>
        <v>0.79308612471307594</v>
      </c>
      <c r="AF171" s="68"/>
      <c r="AG171" s="69"/>
      <c r="AH171" s="69"/>
      <c r="AI171" s="69"/>
      <c r="AJ171" s="69"/>
      <c r="AK171" s="69"/>
      <c r="AL171" s="69"/>
      <c r="AM171" s="69"/>
      <c r="AN171" s="70"/>
      <c r="AO171" s="70"/>
      <c r="AP171" s="70"/>
      <c r="AQ171" s="70"/>
      <c r="AW171" s="72"/>
      <c r="BB171" s="72"/>
    </row>
    <row r="172" spans="1:54" s="77" customFormat="1" hidden="1" x14ac:dyDescent="0.2">
      <c r="A172" s="73" t="s">
        <v>91</v>
      </c>
      <c r="B172" s="73">
        <f>B170+(B121-B171)*$BA$1</f>
        <v>1503.8368854001899</v>
      </c>
      <c r="C172" s="73"/>
      <c r="D172" s="73">
        <f>D170+(D121-D171)*$BA$1</f>
        <v>1516.8942138898403</v>
      </c>
      <c r="E172" s="73">
        <f>E170+(E121-E171)*$BA$1</f>
        <v>1595.6430263657148</v>
      </c>
      <c r="F172" s="73"/>
      <c r="G172" s="73">
        <f>G170+(G121-G171)*$BA$1</f>
        <v>1556.7561187263811</v>
      </c>
      <c r="H172" s="73">
        <f>H170+(H121-H171)*$BA$1</f>
        <v>1598.3543104357871</v>
      </c>
      <c r="I172" s="73"/>
      <c r="J172" s="73">
        <f>J170+(J121-J171)*$BA$1</f>
        <v>1489.8670516241384</v>
      </c>
      <c r="K172" s="73">
        <f>K170+(K121-K171)*$BA$1</f>
        <v>1508.6735816661314</v>
      </c>
      <c r="L172" s="73"/>
      <c r="M172" s="73">
        <f>M170+(M121-M171)*$BA$1</f>
        <v>1551.9194224604396</v>
      </c>
      <c r="N172" s="73">
        <f>N170+(N121-N171)*$BA$1</f>
        <v>1595.8927397880427</v>
      </c>
      <c r="O172" s="73"/>
      <c r="P172" s="73">
        <f>P170+(P121-P171)*$BA$1</f>
        <v>1598.1045970134592</v>
      </c>
      <c r="Q172" s="73">
        <f>Q170+(Q121-Q171)*$BA$1</f>
        <v>1514.2641912533693</v>
      </c>
      <c r="R172" s="73"/>
      <c r="S172" s="73">
        <f>S170+(S121-S171)*$BA$1</f>
        <v>1527.5222828312087</v>
      </c>
      <c r="T172" s="73">
        <f>T170+(T121-T171)*$BA$1</f>
        <v>1484.73326213933</v>
      </c>
      <c r="U172" s="73"/>
      <c r="V172" s="73">
        <f>V170+(V121-V171)*$BA$1</f>
        <v>1622.0449165402606</v>
      </c>
      <c r="W172" s="73">
        <f>W170+(W121-W171)*$BA$1</f>
        <v>1557.6756334828476</v>
      </c>
      <c r="X172" s="73"/>
      <c r="Y172" s="73">
        <f>Y170+(Y121-Y171)*$BA$1</f>
        <v>1565.7393891364038</v>
      </c>
      <c r="Z172" s="73">
        <f>Z170+(Z121-Z171)*$BA$1</f>
        <v>1612.4245874710323</v>
      </c>
      <c r="AA172" s="73"/>
      <c r="AB172" s="73">
        <f>AB170+(AB121-AB171)*$BA$1</f>
        <v>1523.8845203225976</v>
      </c>
      <c r="AC172" s="73">
        <f>AC170+(AC121-AC171)*$BA$1</f>
        <v>1551.0543894736661</v>
      </c>
      <c r="AD172" s="73"/>
      <c r="AE172" s="73">
        <f>AE170+(AE121-AE171)*$BA$1</f>
        <v>1491.3545061485115</v>
      </c>
      <c r="AF172" s="74"/>
      <c r="AG172" s="75"/>
      <c r="AH172" s="75"/>
      <c r="AI172" s="75"/>
      <c r="AJ172" s="75"/>
      <c r="AK172" s="75"/>
      <c r="AL172" s="75"/>
      <c r="AM172" s="75"/>
      <c r="AN172" s="76"/>
      <c r="AO172" s="76"/>
      <c r="AP172" s="76"/>
      <c r="AQ172" s="76"/>
      <c r="AW172" s="78"/>
      <c r="BB172" s="78"/>
    </row>
    <row r="173" spans="1:54" s="77" customFormat="1" hidden="1" x14ac:dyDescent="0.2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  <c r="AD173" s="73"/>
      <c r="AE173" s="73"/>
      <c r="AF173" s="74"/>
      <c r="AG173" s="75"/>
      <c r="AH173" s="75"/>
      <c r="AI173" s="75"/>
      <c r="AJ173" s="75"/>
      <c r="AK173" s="75"/>
      <c r="AL173" s="75"/>
      <c r="AM173" s="75"/>
      <c r="AN173" s="76"/>
      <c r="AO173" s="76"/>
      <c r="AP173" s="76"/>
      <c r="AQ173" s="76"/>
      <c r="AW173" s="78"/>
      <c r="BB173" s="78"/>
    </row>
    <row r="174" spans="1:54" s="61" customFormat="1" x14ac:dyDescent="0.2">
      <c r="A174" s="790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790"/>
      <c r="C174" s="790"/>
      <c r="D174" s="790"/>
      <c r="E174" s="790"/>
      <c r="F174" s="790"/>
      <c r="G174" s="790"/>
      <c r="H174" s="790"/>
      <c r="I174" s="790"/>
      <c r="J174" s="790"/>
      <c r="K174" s="790"/>
      <c r="L174" s="790"/>
      <c r="M174" s="790"/>
      <c r="N174" s="790"/>
      <c r="O174" s="790"/>
      <c r="P174" s="790"/>
      <c r="Q174" s="790"/>
      <c r="R174" s="790"/>
      <c r="S174" s="790"/>
      <c r="T174" s="790"/>
      <c r="U174" s="790"/>
      <c r="V174" s="790"/>
      <c r="W174" s="790"/>
      <c r="X174" s="790"/>
      <c r="Y174" s="790"/>
      <c r="Z174" s="790"/>
      <c r="AA174" s="790"/>
      <c r="AB174" s="790"/>
      <c r="AC174" s="790"/>
      <c r="AD174" s="790"/>
      <c r="AE174" s="790"/>
      <c r="AF174" s="790"/>
      <c r="AG174" s="790"/>
      <c r="AH174" s="790"/>
      <c r="AI174" s="790"/>
      <c r="AJ174" s="790"/>
      <c r="AK174" s="790"/>
      <c r="AL174" s="790"/>
      <c r="AM174" s="790"/>
      <c r="AN174" s="768"/>
      <c r="AO174" s="768"/>
      <c r="AP174" s="768"/>
      <c r="AQ174" s="768"/>
      <c r="AW174" s="65"/>
    </row>
    <row r="175" spans="1:54" s="61" customFormat="1" x14ac:dyDescent="0.2">
      <c r="A175" s="791"/>
      <c r="B175" s="791"/>
      <c r="C175" s="791"/>
      <c r="D175" s="791"/>
      <c r="E175" s="791"/>
      <c r="F175" s="791"/>
      <c r="G175" s="791"/>
      <c r="H175" s="791"/>
      <c r="I175" s="791"/>
      <c r="J175" s="791"/>
      <c r="K175" s="791"/>
      <c r="L175" s="791"/>
      <c r="M175" s="791"/>
      <c r="N175" s="791"/>
      <c r="O175" s="791"/>
      <c r="P175" s="791"/>
      <c r="Q175" s="791"/>
      <c r="R175" s="791"/>
      <c r="S175" s="791"/>
      <c r="T175" s="791"/>
      <c r="U175" s="791"/>
      <c r="V175" s="791"/>
      <c r="W175" s="791"/>
      <c r="X175" s="791"/>
      <c r="Y175" s="791"/>
      <c r="Z175" s="791"/>
      <c r="AA175" s="791"/>
      <c r="AB175" s="791"/>
      <c r="AC175" s="791"/>
      <c r="AD175" s="791"/>
      <c r="AE175" s="791"/>
      <c r="AF175" s="791"/>
      <c r="AG175" s="791"/>
      <c r="AH175" s="791"/>
      <c r="AI175" s="791"/>
      <c r="AJ175" s="791"/>
      <c r="AK175" s="791"/>
      <c r="AL175" s="791"/>
      <c r="AM175" s="791"/>
      <c r="AN175" s="791"/>
      <c r="AO175" s="791"/>
      <c r="AP175" s="791"/>
      <c r="AQ175" s="791"/>
      <c r="AW175" s="65"/>
    </row>
    <row r="176" spans="1:54" ht="21" thickBot="1" x14ac:dyDescent="0.35">
      <c r="A176" s="780" t="s">
        <v>93</v>
      </c>
      <c r="B176" s="780"/>
      <c r="C176" s="780"/>
      <c r="D176" s="780"/>
      <c r="E176" s="780"/>
      <c r="F176" s="780"/>
      <c r="G176" s="780"/>
      <c r="H176" s="780"/>
      <c r="I176" s="780"/>
      <c r="J176" s="780"/>
      <c r="K176" s="780"/>
      <c r="L176" s="780"/>
      <c r="M176" s="780"/>
      <c r="N176" s="780"/>
      <c r="O176" s="780"/>
      <c r="P176" s="780"/>
      <c r="Q176" s="780"/>
      <c r="R176" s="780"/>
      <c r="S176" s="780"/>
      <c r="T176" s="780"/>
      <c r="U176" s="780"/>
      <c r="V176" s="780"/>
      <c r="W176" s="780"/>
      <c r="X176" s="780"/>
      <c r="Y176" s="780"/>
      <c r="Z176" s="780"/>
      <c r="AA176" s="780"/>
      <c r="AB176" s="780"/>
      <c r="AC176" s="780"/>
      <c r="AD176" s="780"/>
      <c r="AE176" s="780"/>
      <c r="AF176" s="780"/>
      <c r="AG176" s="780"/>
      <c r="AH176" s="780"/>
      <c r="AI176" s="780"/>
      <c r="AJ176" s="780"/>
      <c r="AK176" s="780"/>
      <c r="AL176" s="780"/>
      <c r="AM176" s="780"/>
      <c r="AN176" s="780"/>
      <c r="AO176" s="780"/>
      <c r="AP176" s="780"/>
      <c r="AQ176" s="780"/>
    </row>
    <row r="177" spans="1:53" ht="13.5" thickBot="1" x14ac:dyDescent="0.25">
      <c r="A177" s="781" t="s">
        <v>94</v>
      </c>
      <c r="B177" s="783" t="s">
        <v>95</v>
      </c>
      <c r="C177" s="784"/>
      <c r="D177" s="784"/>
      <c r="E177" s="784"/>
      <c r="F177" s="784"/>
      <c r="G177" s="784"/>
      <c r="H177" s="784"/>
      <c r="I177" s="784"/>
      <c r="J177" s="784"/>
      <c r="K177" s="785"/>
      <c r="L177" s="783" t="s">
        <v>96</v>
      </c>
      <c r="M177" s="784"/>
      <c r="N177" s="784"/>
      <c r="O177" s="784"/>
      <c r="P177" s="784"/>
      <c r="Q177" s="784"/>
      <c r="R177" s="784"/>
      <c r="S177" s="784"/>
      <c r="T177" s="784"/>
      <c r="U177" s="785"/>
      <c r="V177" s="783" t="s">
        <v>97</v>
      </c>
      <c r="W177" s="784"/>
      <c r="X177" s="784"/>
      <c r="Y177" s="784"/>
      <c r="Z177" s="784"/>
      <c r="AA177" s="784"/>
      <c r="AB177" s="784"/>
      <c r="AC177" s="784"/>
      <c r="AD177" s="784"/>
      <c r="AE177" s="785"/>
      <c r="AF177" s="783" t="s">
        <v>98</v>
      </c>
      <c r="AG177" s="784"/>
      <c r="AH177" s="784"/>
      <c r="AI177" s="784"/>
      <c r="AJ177" s="784"/>
      <c r="AK177" s="784"/>
      <c r="AL177" s="784"/>
      <c r="AM177" s="784"/>
      <c r="AN177" s="784"/>
      <c r="AO177" s="785"/>
    </row>
    <row r="178" spans="1:53" ht="13.5" thickBot="1" x14ac:dyDescent="0.25">
      <c r="A178" s="782"/>
      <c r="B178" s="777" t="s">
        <v>7</v>
      </c>
      <c r="C178" s="778"/>
      <c r="D178" s="778"/>
      <c r="E178" s="778"/>
      <c r="F178" s="778"/>
      <c r="G178" s="779"/>
      <c r="H178" s="777" t="s">
        <v>99</v>
      </c>
      <c r="I178" s="778"/>
      <c r="J178" s="778"/>
      <c r="K178" s="779"/>
      <c r="L178" s="777" t="s">
        <v>7</v>
      </c>
      <c r="M178" s="778"/>
      <c r="N178" s="778"/>
      <c r="O178" s="778"/>
      <c r="P178" s="778"/>
      <c r="Q178" s="779"/>
      <c r="R178" s="777" t="s">
        <v>99</v>
      </c>
      <c r="S178" s="778"/>
      <c r="T178" s="778"/>
      <c r="U178" s="779"/>
      <c r="V178" s="777" t="s">
        <v>7</v>
      </c>
      <c r="W178" s="778"/>
      <c r="X178" s="778"/>
      <c r="Y178" s="778"/>
      <c r="Z178" s="778"/>
      <c r="AA178" s="779"/>
      <c r="AB178" s="777" t="s">
        <v>99</v>
      </c>
      <c r="AC178" s="778"/>
      <c r="AD178" s="778"/>
      <c r="AE178" s="779"/>
      <c r="AF178" s="777" t="s">
        <v>7</v>
      </c>
      <c r="AG178" s="778"/>
      <c r="AH178" s="778"/>
      <c r="AI178" s="778"/>
      <c r="AJ178" s="778"/>
      <c r="AK178" s="779"/>
      <c r="AL178" s="777" t="s">
        <v>99</v>
      </c>
      <c r="AM178" s="778"/>
      <c r="AN178" s="778"/>
      <c r="AO178" s="779"/>
    </row>
    <row r="179" spans="1:53" x14ac:dyDescent="0.2">
      <c r="A179" s="157" t="s">
        <v>100</v>
      </c>
      <c r="B179" s="769" t="str">
        <f>IF($AF$8=1,$E$8,IF($AF$10=1,$E$10,IF($AF$12=1,$E$12,IF($AF$14=1,$E$14,IF($AF$16=1,$E$16,"1st Place "&amp;$A179)))))</f>
        <v>Kershaw 13 Black</v>
      </c>
      <c r="C179" s="770"/>
      <c r="D179" s="770"/>
      <c r="E179" s="770"/>
      <c r="F179" s="770"/>
      <c r="G179" s="770"/>
      <c r="H179" s="771" t="str">
        <f>IF($AF$8=1,$E$9,IF($AF$10=1,$E$11,IF($AF$12=1,$E$13,IF($AF$14=1,$E$15,IF($AF$16=1,$E$17,"1st Place "&amp;$A179)))))</f>
        <v>fj3kersh1pm</v>
      </c>
      <c r="I179" s="771"/>
      <c r="J179" s="771"/>
      <c r="K179" s="772"/>
      <c r="L179" s="769" t="str">
        <f>IF($AF$8=2,$E$8,IF($AF$10=2,$E$10,IF($AF$12=2,$E$12,IF($AF$14=2,$E$14,IF($AF$16=2,$E$16,"2nd Place "&amp;$A179)))))</f>
        <v>Chas Jrs 13 White</v>
      </c>
      <c r="M179" s="770"/>
      <c r="N179" s="770"/>
      <c r="O179" s="770"/>
      <c r="P179" s="770"/>
      <c r="Q179" s="770"/>
      <c r="R179" s="771" t="str">
        <f>IF($AF$8=2,$E$9,IF($AF$10=2,$E$11,IF($AF$12=2,$E$13,IF($AF$14=2,$E$15,IF($AF$16=2,$E$17,"2nd Place "&amp;$A179)))))</f>
        <v>fj3charl3pm</v>
      </c>
      <c r="S179" s="771"/>
      <c r="T179" s="771"/>
      <c r="U179" s="772"/>
      <c r="V179" s="769" t="str">
        <f>IF($AF$8=3,$E$8,IF($AF$10=3,$E$10,IF($AF$12=3,$E$12,IF($AF$14=3,$E$14,IF($AF$16=3,$E$16,"3rd Place "&amp;$A179)))))</f>
        <v>RHVC 13 Club Jade</v>
      </c>
      <c r="W179" s="770"/>
      <c r="X179" s="770"/>
      <c r="Y179" s="770"/>
      <c r="Z179" s="770"/>
      <c r="AA179" s="770"/>
      <c r="AB179" s="771" t="str">
        <f>IF($AF$8=3,$E$9,IF($AF$10=3,$E$11,IF($AF$12=3,$E$13,IF($AF$14=3,$E$15,IF($AF$16=3,$E$17,"3rd Place "&amp;$A179)))))</f>
        <v>fj3rockh1pm</v>
      </c>
      <c r="AC179" s="771"/>
      <c r="AD179" s="771"/>
      <c r="AE179" s="772"/>
      <c r="AF179" s="769" t="str">
        <f>IF($AF$8=4,$E$8,IF($AF$10=4,$E$10,IF($AF$12=4,$E$12,IF($AF$14=4,$E$14,IF($AF$16=4,$E$16,"4th Place "&amp;$A179)))))</f>
        <v>MEVC13U</v>
      </c>
      <c r="AG179" s="770"/>
      <c r="AH179" s="770"/>
      <c r="AI179" s="770"/>
      <c r="AJ179" s="770"/>
      <c r="AK179" s="770"/>
      <c r="AL179" s="771" t="str">
        <f>IF($AF$8=4,$E$9,IF($AF$10=4,$E$11,IF($AF$12=4,$E$13,IF($AF$14=4,$E$15,IF($AF$16=4,$E$17,"4th Place "&amp;$A179)))))</f>
        <v>fj3mtnel1pm</v>
      </c>
      <c r="AM179" s="771"/>
      <c r="AN179" s="771"/>
      <c r="AO179" s="772"/>
    </row>
    <row r="180" spans="1:53" ht="13.5" thickBot="1" x14ac:dyDescent="0.25">
      <c r="A180" s="79" t="s">
        <v>101</v>
      </c>
      <c r="B180" s="773" t="str">
        <f>IF($AF$93=1,$E$93,IF($AF$95=1,$E$95,IF($AF$97=1,$E$97,IF($AF$99=1,$E$99,IF($AF$101=1,$E$101,"1st Place "&amp;$A180)))))</f>
        <v>Sumter VBC 13</v>
      </c>
      <c r="C180" s="774"/>
      <c r="D180" s="774"/>
      <c r="E180" s="774"/>
      <c r="F180" s="774"/>
      <c r="G180" s="774"/>
      <c r="H180" s="775" t="str">
        <f>IF($AF$93=1,$E$94,IF($AF$95=1,$E$96,IF($AF$97=1,$E$98,IF($AF$99=1,$E$100,IF($AF$101=1,$E$102,"1st Place "&amp;$A180)))))</f>
        <v>fj3sumtr1pm</v>
      </c>
      <c r="I180" s="775"/>
      <c r="J180" s="775"/>
      <c r="K180" s="776"/>
      <c r="L180" s="773" t="str">
        <f>IF($AF$93=2,$E$93,IF($AF$95=2,$E$95,IF($AF$97=2,$E$97,IF($AF$99=2,$E$99,IF($AF$101=2,$E$101,"2nd Place "&amp;$A180)))))</f>
        <v>SC Midlands 13 Black</v>
      </c>
      <c r="M180" s="774"/>
      <c r="N180" s="774"/>
      <c r="O180" s="774"/>
      <c r="P180" s="774"/>
      <c r="Q180" s="774"/>
      <c r="R180" s="775" t="str">
        <f>IF($AF$93=2,$E$94,IF($AF$95=2,$E$96,IF($AF$97=2,$E$98,IF($AF$99=2,$E$100,IF($AF$101=2,$E$102,"2nd Place "&amp;$A180)))))</f>
        <v>fj3scmid2pm</v>
      </c>
      <c r="S180" s="775"/>
      <c r="T180" s="775"/>
      <c r="U180" s="776"/>
      <c r="V180" s="773" t="str">
        <f>IF($AF$93=3,$E$93,IF($AF$95=3,$E$95,IF($AF$97=3,$E$97,IF($AF$99=3,$E$99,IF($AF$101=3,$E$101,"3rd Place "&amp;$A180)))))</f>
        <v>C1VB Juniors Black</v>
      </c>
      <c r="W180" s="774"/>
      <c r="X180" s="774"/>
      <c r="Y180" s="774"/>
      <c r="Z180" s="774"/>
      <c r="AA180" s="774"/>
      <c r="AB180" s="775" t="str">
        <f>IF($AF$93=3,$E$94,IF($AF$95=3,$E$96,IF($AF$97=3,$E$98,IF($AF$99=3,$E$100,IF($AF$101=3,$E$102,"3rd Place "&amp;$A180)))))</f>
        <v>fj2crone6pm</v>
      </c>
      <c r="AC180" s="775"/>
      <c r="AD180" s="775"/>
      <c r="AE180" s="776"/>
      <c r="AF180" s="773" t="str">
        <f>IF($AF$93=4,$E$93,IF($AF$95=4,$E$95,IF($AF$97=4,$E$97,IF($AF$99=4,$E$99,IF($AF$101=4,$E$101,"4th Place "&amp;$A180)))))</f>
        <v>MBVC 13 Red</v>
      </c>
      <c r="AG180" s="774"/>
      <c r="AH180" s="774"/>
      <c r="AI180" s="774"/>
      <c r="AJ180" s="774"/>
      <c r="AK180" s="774"/>
      <c r="AL180" s="775" t="str">
        <f>IF($AF$93=4,$E$94,IF($AF$95=4,$E$96,IF($AF$97=4,$E$98,IF($AF$99=4,$E$100,IF($AF$101=4,$E$102,"4th Place "&amp;$A180)))))</f>
        <v>fj3mbeac1pm</v>
      </c>
      <c r="AM180" s="775"/>
      <c r="AN180" s="775"/>
      <c r="AO180" s="776"/>
    </row>
    <row r="181" spans="1:53" s="3" customFormat="1" x14ac:dyDescent="0.2">
      <c r="A181" s="80"/>
      <c r="B181" s="81"/>
      <c r="C181" s="81"/>
      <c r="D181" s="81"/>
      <c r="E181" s="81"/>
      <c r="F181" s="81"/>
      <c r="G181" s="81"/>
      <c r="H181" s="81"/>
      <c r="I181" s="81"/>
      <c r="J181" s="81"/>
      <c r="K181" s="81"/>
      <c r="L181" s="81"/>
      <c r="M181" s="81"/>
      <c r="N181" s="81"/>
      <c r="O181" s="81"/>
      <c r="P181" s="81"/>
      <c r="Q181" s="81"/>
      <c r="R181" s="81"/>
      <c r="S181" s="81"/>
      <c r="T181" s="81"/>
      <c r="U181" s="81"/>
      <c r="V181" s="81"/>
      <c r="W181" s="81"/>
      <c r="X181" s="81"/>
      <c r="Y181" s="81"/>
      <c r="Z181" s="81"/>
      <c r="AA181" s="81"/>
      <c r="AB181" s="81"/>
      <c r="AC181" s="81"/>
      <c r="AD181" s="81"/>
      <c r="AE181" s="81"/>
      <c r="AF181" s="81"/>
      <c r="AG181" s="81"/>
      <c r="AH181" s="81"/>
      <c r="AI181" s="81"/>
      <c r="AJ181" s="81"/>
      <c r="AK181" s="81"/>
      <c r="AL181" s="81"/>
      <c r="AM181" s="81"/>
      <c r="AN181" s="81"/>
      <c r="AO181" s="81"/>
      <c r="AW181" s="62"/>
      <c r="AX181" s="4"/>
      <c r="AY181" s="4"/>
      <c r="AZ181" s="4"/>
      <c r="BA181" s="4"/>
    </row>
    <row r="182" spans="1:53" ht="15.75" x14ac:dyDescent="0.25">
      <c r="A182" s="763" t="s">
        <v>102</v>
      </c>
      <c r="B182" s="763"/>
      <c r="C182" s="763"/>
      <c r="D182" s="763"/>
      <c r="E182" s="763"/>
      <c r="F182" s="763"/>
      <c r="G182" s="763"/>
      <c r="H182" s="763"/>
      <c r="I182" s="763"/>
      <c r="J182" s="763"/>
      <c r="K182" s="763"/>
      <c r="L182" s="763"/>
      <c r="M182" s="763"/>
      <c r="N182" s="763"/>
      <c r="O182" s="763"/>
      <c r="P182" s="763"/>
      <c r="Q182" s="763"/>
      <c r="R182" s="763"/>
      <c r="S182" s="763"/>
      <c r="T182" s="763"/>
      <c r="U182" s="763"/>
      <c r="V182" s="763"/>
      <c r="W182" s="763"/>
      <c r="X182" s="763"/>
      <c r="Y182" s="763"/>
      <c r="Z182" s="763"/>
      <c r="AA182" s="763"/>
      <c r="AB182" s="763"/>
      <c r="AC182" s="763"/>
      <c r="AD182" s="763"/>
      <c r="AE182" s="763"/>
      <c r="AF182" s="763"/>
      <c r="AG182" s="763"/>
      <c r="AH182" s="763"/>
      <c r="AI182" s="763"/>
      <c r="AJ182" s="763"/>
      <c r="AK182" s="763"/>
      <c r="AL182" s="763"/>
      <c r="AM182" s="763"/>
      <c r="AN182" s="763"/>
      <c r="AO182" s="763"/>
      <c r="AP182" s="763"/>
      <c r="AQ182" s="763"/>
      <c r="AT182" s="83"/>
      <c r="AU182" s="83"/>
      <c r="AV182" s="83"/>
    </row>
    <row r="183" spans="1:53" ht="36" customHeight="1" x14ac:dyDescent="0.25">
      <c r="A183" s="764" t="s">
        <v>350</v>
      </c>
      <c r="B183" s="765"/>
      <c r="C183" s="765"/>
      <c r="D183" s="765"/>
      <c r="E183" s="765"/>
      <c r="F183" s="765"/>
      <c r="G183" s="765"/>
      <c r="H183" s="765"/>
      <c r="I183" s="765"/>
      <c r="J183" s="765"/>
      <c r="K183" s="765"/>
      <c r="L183" s="765"/>
      <c r="M183" s="765"/>
      <c r="N183" s="765"/>
      <c r="O183" s="765"/>
      <c r="P183" s="765"/>
      <c r="Q183" s="765"/>
      <c r="R183" s="765"/>
      <c r="S183" s="765"/>
      <c r="T183" s="765"/>
      <c r="U183" s="765"/>
      <c r="V183" s="765"/>
      <c r="W183" s="765"/>
      <c r="X183" s="765"/>
      <c r="Y183" s="765"/>
      <c r="Z183" s="765"/>
      <c r="AA183" s="765"/>
      <c r="AB183" s="765"/>
      <c r="AC183" s="765"/>
      <c r="AD183" s="765"/>
      <c r="AE183" s="765"/>
      <c r="AF183" s="765"/>
      <c r="AG183" s="765"/>
      <c r="AH183" s="765"/>
      <c r="AI183" s="765"/>
      <c r="AJ183" s="765"/>
      <c r="AK183" s="765"/>
      <c r="AL183" s="765"/>
      <c r="AM183" s="765"/>
      <c r="AN183" s="765"/>
      <c r="AO183" s="765"/>
      <c r="AP183" s="765"/>
      <c r="AQ183" s="765"/>
    </row>
    <row r="184" spans="1:53" x14ac:dyDescent="0.2">
      <c r="A184" s="766" t="s">
        <v>103</v>
      </c>
      <c r="B184" s="766"/>
      <c r="C184" s="766"/>
      <c r="D184" s="766"/>
      <c r="E184" s="766"/>
      <c r="F184" s="766"/>
      <c r="G184" s="766"/>
      <c r="H184" s="766"/>
      <c r="I184" s="766"/>
      <c r="J184" s="766"/>
      <c r="K184" s="766"/>
      <c r="L184" s="766"/>
      <c r="M184" s="766"/>
      <c r="N184" s="766"/>
      <c r="O184" s="766"/>
      <c r="P184" s="766"/>
      <c r="Q184" s="766"/>
      <c r="R184" s="766"/>
      <c r="S184" s="766"/>
      <c r="T184" s="766"/>
      <c r="U184" s="766"/>
      <c r="V184" s="766"/>
      <c r="W184" s="766"/>
      <c r="X184" s="766"/>
      <c r="Y184" s="766"/>
      <c r="Z184" s="766"/>
      <c r="AA184" s="766"/>
      <c r="AB184" s="766"/>
      <c r="AC184" s="766"/>
      <c r="AD184" s="766"/>
      <c r="AE184" s="766"/>
      <c r="AF184" s="766"/>
      <c r="AG184" s="766"/>
      <c r="AH184" s="766"/>
      <c r="AI184" s="766"/>
      <c r="AJ184" s="766"/>
      <c r="AK184" s="766"/>
      <c r="AL184" s="766"/>
      <c r="AM184" s="766"/>
      <c r="AN184" s="766"/>
      <c r="AO184" s="766"/>
      <c r="AP184" s="766"/>
      <c r="AQ184" s="766"/>
    </row>
    <row r="185" spans="1:53" x14ac:dyDescent="0.2">
      <c r="A185" s="766"/>
      <c r="B185" s="766"/>
      <c r="C185" s="766"/>
      <c r="D185" s="766"/>
      <c r="E185" s="766"/>
      <c r="F185" s="766"/>
      <c r="G185" s="766"/>
      <c r="H185" s="766"/>
      <c r="I185" s="766"/>
      <c r="J185" s="766"/>
      <c r="K185" s="766"/>
      <c r="L185" s="766"/>
      <c r="M185" s="766"/>
      <c r="N185" s="766"/>
      <c r="O185" s="766"/>
      <c r="P185" s="766"/>
      <c r="Q185" s="766"/>
      <c r="R185" s="766"/>
      <c r="S185" s="766"/>
      <c r="T185" s="766"/>
      <c r="U185" s="766"/>
      <c r="V185" s="766"/>
      <c r="W185" s="766"/>
      <c r="X185" s="766"/>
      <c r="Y185" s="766"/>
      <c r="Z185" s="766"/>
      <c r="AA185" s="766"/>
      <c r="AB185" s="766"/>
      <c r="AC185" s="766"/>
      <c r="AD185" s="766"/>
      <c r="AE185" s="766"/>
      <c r="AF185" s="766"/>
      <c r="AG185" s="766"/>
      <c r="AH185" s="766"/>
      <c r="AI185" s="766"/>
      <c r="AJ185" s="766"/>
      <c r="AK185" s="766"/>
      <c r="AL185" s="766"/>
      <c r="AM185" s="766"/>
      <c r="AN185" s="766"/>
      <c r="AO185" s="766"/>
      <c r="AP185" s="766"/>
      <c r="AQ185" s="766"/>
    </row>
    <row r="186" spans="1:53" x14ac:dyDescent="0.2">
      <c r="A186" s="767" t="s">
        <v>104</v>
      </c>
      <c r="B186" s="767"/>
      <c r="C186" s="767"/>
      <c r="D186" s="767"/>
      <c r="E186" s="767"/>
      <c r="F186" s="767"/>
      <c r="G186" s="767"/>
      <c r="H186" s="767"/>
      <c r="I186" s="767"/>
      <c r="J186" s="767"/>
      <c r="K186" s="767"/>
      <c r="L186" s="84"/>
    </row>
    <row r="187" spans="1:53" x14ac:dyDescent="0.2">
      <c r="C187" s="3"/>
      <c r="D187" s="3"/>
      <c r="E187" s="3"/>
      <c r="L187" s="84"/>
    </row>
    <row r="188" spans="1:53" x14ac:dyDescent="0.2">
      <c r="A188" s="768" t="s">
        <v>105</v>
      </c>
      <c r="B188" s="768"/>
      <c r="C188" s="768"/>
      <c r="D188" s="768"/>
      <c r="E188" s="768"/>
      <c r="F188" s="768"/>
      <c r="G188" s="768"/>
      <c r="H188" s="768"/>
      <c r="I188" s="768"/>
      <c r="J188" s="768"/>
      <c r="K188" s="768"/>
      <c r="L188" s="768"/>
      <c r="M188" s="768"/>
      <c r="N188" s="768"/>
      <c r="O188" s="768"/>
      <c r="P188" s="62"/>
      <c r="R188" s="768" t="s">
        <v>106</v>
      </c>
      <c r="S188" s="768"/>
      <c r="T188" s="768"/>
      <c r="U188" s="768"/>
      <c r="V188" s="768"/>
      <c r="W188" s="768"/>
      <c r="X188" s="768"/>
      <c r="Y188" s="768"/>
      <c r="Z188" s="768"/>
      <c r="AA188" s="768"/>
      <c r="AB188" s="768"/>
      <c r="AC188" s="768"/>
      <c r="AD188" s="768"/>
      <c r="AE188" s="768"/>
      <c r="AF188" s="768"/>
    </row>
    <row r="190" spans="1:53" ht="13.5" thickBot="1" x14ac:dyDescent="0.25">
      <c r="A190" s="736" t="str">
        <f>IF(B218=1,B210,IF(B218=2,B211,IF(B218=3,B212,IF(B218=4,B213,IF(OR(B218="B",B218="b"),"BYE","invalid")))))</f>
        <v>Kershaw 13 Black</v>
      </c>
      <c r="B190" s="736"/>
      <c r="C190" s="736"/>
      <c r="D190" s="736"/>
      <c r="E190" s="736"/>
      <c r="F190" s="88"/>
      <c r="G190" s="88"/>
      <c r="H190" s="88"/>
      <c r="I190" s="88"/>
      <c r="J190" s="88"/>
      <c r="K190" s="88"/>
      <c r="L190" s="88"/>
      <c r="M190" s="88"/>
      <c r="N190" s="88"/>
      <c r="S190" s="89"/>
      <c r="T190" s="89"/>
      <c r="U190" s="736" t="str">
        <f>IF(W218=1,X210,IF(W218=2,X211,IF(W218=3,X212,IF(W218=4,X213,IF(OR(W218="B",W218="b"),"BYE","invalid")))))</f>
        <v>RHVC 13 Club Jade</v>
      </c>
      <c r="V190" s="736"/>
      <c r="W190" s="736"/>
      <c r="X190" s="736"/>
      <c r="Y190" s="736"/>
      <c r="Z190" s="736"/>
      <c r="AA190" s="736"/>
      <c r="AB190" s="88"/>
      <c r="AC190" s="88"/>
      <c r="AD190" s="88"/>
      <c r="AE190" s="88"/>
    </row>
    <row r="191" spans="1:53" x14ac:dyDescent="0.2">
      <c r="A191" s="738" t="s">
        <v>107</v>
      </c>
      <c r="B191" s="738"/>
      <c r="C191" s="738"/>
      <c r="D191" s="738"/>
      <c r="E191" s="738"/>
      <c r="F191" s="91"/>
      <c r="G191" s="88"/>
      <c r="H191" s="88"/>
      <c r="I191" s="88"/>
      <c r="J191" s="88"/>
      <c r="K191" s="88"/>
      <c r="L191" s="88"/>
      <c r="M191" s="88"/>
      <c r="N191" s="88"/>
      <c r="S191" s="92"/>
      <c r="T191" s="92"/>
      <c r="U191" s="739" t="s">
        <v>108</v>
      </c>
      <c r="V191" s="739"/>
      <c r="W191" s="739"/>
      <c r="X191" s="739"/>
      <c r="Y191" s="739"/>
      <c r="Z191" s="739"/>
      <c r="AA191" s="752"/>
      <c r="AB191" s="88"/>
      <c r="AC191" s="88"/>
      <c r="AD191" s="88"/>
      <c r="AE191" s="88"/>
    </row>
    <row r="192" spans="1:53" x14ac:dyDescent="0.2">
      <c r="A192" s="88"/>
      <c r="B192" s="88"/>
      <c r="C192" s="88"/>
      <c r="D192" s="88"/>
      <c r="E192" s="88"/>
      <c r="F192" s="91"/>
      <c r="G192" s="88"/>
      <c r="H192" s="88"/>
      <c r="I192" s="88"/>
      <c r="J192" s="88"/>
      <c r="K192" s="88"/>
      <c r="L192" s="88"/>
      <c r="M192" s="88"/>
      <c r="N192" s="88"/>
      <c r="R192" s="88"/>
      <c r="S192" s="88"/>
      <c r="T192" s="88"/>
      <c r="U192" s="88"/>
      <c r="V192" s="88"/>
      <c r="W192" s="88"/>
      <c r="X192" s="88"/>
      <c r="Y192" s="88"/>
      <c r="Z192" s="88"/>
      <c r="AA192" s="165"/>
      <c r="AB192" s="88"/>
      <c r="AC192" s="88"/>
      <c r="AD192" s="88"/>
      <c r="AE192" s="88"/>
    </row>
    <row r="193" spans="1:53" ht="13.5" thickBot="1" x14ac:dyDescent="0.25">
      <c r="A193" s="739" t="str">
        <f>B212&amp;" ref"</f>
        <v>Chas Jrs 13 White ref</v>
      </c>
      <c r="B193" s="739"/>
      <c r="C193" s="739"/>
      <c r="D193" s="739"/>
      <c r="E193" s="752"/>
      <c r="F193" s="748" t="str">
        <f>IF(H218=1,B210,IF(H218=2,B211,IF(H218=3,B212,IF(H218=4,B213,"Winner Match 1"))))</f>
        <v>Kershaw 13 Black</v>
      </c>
      <c r="G193" s="749"/>
      <c r="H193" s="749"/>
      <c r="I193" s="749"/>
      <c r="J193" s="749"/>
      <c r="K193" s="749"/>
      <c r="L193" s="749"/>
      <c r="M193" s="749"/>
      <c r="N193" s="88"/>
      <c r="P193" s="96"/>
      <c r="Q193" s="96"/>
      <c r="R193" s="96"/>
      <c r="S193" s="96"/>
      <c r="T193" s="739" t="str">
        <f>X212&amp;" ref"</f>
        <v>MEVC13U ref</v>
      </c>
      <c r="U193" s="739"/>
      <c r="V193" s="739"/>
      <c r="W193" s="739"/>
      <c r="X193" s="739"/>
      <c r="Y193" s="739"/>
      <c r="Z193" s="739"/>
      <c r="AA193" s="752"/>
      <c r="AB193" s="748" t="str">
        <f>IF(AC218=1,X210,IF(AC218=2,X211,IF(AC218=3,X212,IF(AC218=4,X213,"Winner Match 1"))))</f>
        <v>RHVC 13 Club Jade</v>
      </c>
      <c r="AC193" s="749"/>
      <c r="AD193" s="749"/>
      <c r="AE193" s="749"/>
      <c r="AF193" s="749"/>
      <c r="AG193" s="749"/>
      <c r="AH193" s="749"/>
    </row>
    <row r="194" spans="1:53" x14ac:dyDescent="0.2">
      <c r="A194" s="746" t="s">
        <v>109</v>
      </c>
      <c r="B194" s="746"/>
      <c r="C194" s="746"/>
      <c r="D194" s="746"/>
      <c r="E194" s="746"/>
      <c r="F194" s="759"/>
      <c r="G194" s="760"/>
      <c r="H194" s="760"/>
      <c r="I194" s="761"/>
      <c r="J194" s="744"/>
      <c r="K194" s="745"/>
      <c r="L194" s="745"/>
      <c r="M194" s="745"/>
      <c r="N194" s="88"/>
      <c r="O194" s="88"/>
      <c r="P194" s="95"/>
      <c r="Q194" s="10"/>
      <c r="R194" s="102"/>
      <c r="S194" s="102"/>
      <c r="T194" s="762" t="s">
        <v>110</v>
      </c>
      <c r="U194" s="762"/>
      <c r="V194" s="762"/>
      <c r="W194" s="762"/>
      <c r="X194" s="762"/>
      <c r="Y194" s="762"/>
      <c r="Z194" s="762"/>
      <c r="AA194" s="165"/>
      <c r="AB194" s="759"/>
      <c r="AC194" s="760"/>
      <c r="AD194" s="760"/>
      <c r="AE194" s="761"/>
      <c r="AF194" s="744"/>
      <c r="AG194" s="745"/>
      <c r="AH194" s="745"/>
    </row>
    <row r="195" spans="1:53" ht="13.5" thickBot="1" x14ac:dyDescent="0.25">
      <c r="A195" s="736" t="str">
        <f>IF(D218=1,B210,IF(D218=2,B211,IF(D218=3,B212,IF(D218=4,B213,IF(OR(D218="B",D218="b"),"BYE","invalid")))))</f>
        <v>SC Midlands 13 Black</v>
      </c>
      <c r="B195" s="736"/>
      <c r="C195" s="736"/>
      <c r="D195" s="736"/>
      <c r="E195" s="737"/>
      <c r="F195" s="91"/>
      <c r="G195" s="88"/>
      <c r="H195" s="88"/>
      <c r="I195" s="88"/>
      <c r="J195" s="91"/>
      <c r="K195" s="88"/>
      <c r="L195" s="88"/>
      <c r="M195" s="88"/>
      <c r="N195" s="88"/>
      <c r="O195" s="88"/>
      <c r="P195" s="88"/>
      <c r="T195" s="88"/>
      <c r="U195" s="736" t="str">
        <f>IF(Y218=1,X210,IF(Y218=2,X211,IF(Y218=3,X212,IF(Y218=4,X213,IF(OR(Y218="B",Y218="b"),"BYE","invalid")))))</f>
        <v>MBVC 13 Red</v>
      </c>
      <c r="V195" s="736"/>
      <c r="W195" s="736"/>
      <c r="X195" s="736"/>
      <c r="Y195" s="736"/>
      <c r="Z195" s="736"/>
      <c r="AA195" s="737"/>
      <c r="AB195" s="88"/>
      <c r="AC195" s="88"/>
      <c r="AD195" s="88"/>
      <c r="AE195" s="165"/>
      <c r="AF195" s="88"/>
      <c r="AG195" s="88"/>
    </row>
    <row r="196" spans="1:53" x14ac:dyDescent="0.2">
      <c r="A196" s="738" t="s">
        <v>111</v>
      </c>
      <c r="B196" s="738"/>
      <c r="C196" s="738"/>
      <c r="D196" s="738"/>
      <c r="E196" s="738"/>
      <c r="F196" s="88"/>
      <c r="G196" s="88"/>
      <c r="H196" s="88"/>
      <c r="I196" s="88"/>
      <c r="J196" s="91"/>
      <c r="K196" s="88"/>
      <c r="L196" s="88"/>
      <c r="M196" s="88"/>
      <c r="N196" s="88"/>
      <c r="O196" s="88"/>
      <c r="P196" s="88"/>
      <c r="U196" s="757" t="s">
        <v>112</v>
      </c>
      <c r="V196" s="757"/>
      <c r="W196" s="757"/>
      <c r="X196" s="757"/>
      <c r="Y196" s="757"/>
      <c r="Z196" s="757"/>
      <c r="AA196" s="757"/>
      <c r="AB196" s="88"/>
      <c r="AC196" s="88"/>
      <c r="AD196" s="88"/>
      <c r="AE196" s="165"/>
      <c r="AF196" s="88"/>
      <c r="AG196" s="88"/>
      <c r="AQ196" s="104"/>
      <c r="AR196" s="104"/>
      <c r="AS196" s="104"/>
    </row>
    <row r="197" spans="1:53" x14ac:dyDescent="0.2">
      <c r="A197" s="88"/>
      <c r="B197" s="88"/>
      <c r="C197" s="88"/>
      <c r="D197" s="88"/>
      <c r="E197" s="88"/>
      <c r="F197" s="751" t="s">
        <v>113</v>
      </c>
      <c r="G197" s="751"/>
      <c r="H197" s="751"/>
      <c r="I197" s="758"/>
      <c r="J197" s="91"/>
      <c r="K197" s="88"/>
      <c r="L197" s="88"/>
      <c r="M197" s="88"/>
      <c r="N197" s="88"/>
      <c r="O197" s="88"/>
      <c r="P197" s="88"/>
      <c r="R197" s="88"/>
      <c r="S197" s="88"/>
      <c r="T197" s="88"/>
      <c r="U197" s="88"/>
      <c r="V197" s="88"/>
      <c r="W197" s="96"/>
      <c r="X197" s="96"/>
      <c r="Y197" s="96"/>
      <c r="AA197" s="96"/>
      <c r="AB197" s="751" t="s">
        <v>113</v>
      </c>
      <c r="AC197" s="751"/>
      <c r="AD197" s="751"/>
      <c r="AE197" s="758"/>
      <c r="AF197" s="88"/>
      <c r="AG197" s="88"/>
    </row>
    <row r="198" spans="1:53" ht="13.5" thickBot="1" x14ac:dyDescent="0.25">
      <c r="A198" s="88"/>
      <c r="B198" s="88"/>
      <c r="C198" s="88"/>
      <c r="D198" s="88"/>
      <c r="E198" s="88"/>
      <c r="F198" s="88"/>
      <c r="G198" s="88"/>
      <c r="H198" s="88"/>
      <c r="I198" s="88"/>
      <c r="J198" s="753" t="str">
        <f>IF(K223=1,B210,IF(K223=2,B211,IF(K223=3,B212,IF(K223=4,B213,"Division Winner"))))</f>
        <v>Kershaw 13 Black</v>
      </c>
      <c r="K198" s="754"/>
      <c r="L198" s="754"/>
      <c r="M198" s="754"/>
      <c r="N198" s="754"/>
      <c r="O198" s="754"/>
      <c r="P198" s="754"/>
      <c r="Q198" s="89"/>
      <c r="R198" s="88"/>
      <c r="S198" s="88"/>
      <c r="T198" s="88"/>
      <c r="U198" s="88"/>
      <c r="V198" s="88"/>
      <c r="W198" s="88"/>
      <c r="X198" s="88"/>
      <c r="Y198" s="88"/>
      <c r="Z198" s="88"/>
      <c r="AA198" s="107"/>
      <c r="AB198" s="107"/>
      <c r="AC198" s="107"/>
      <c r="AD198" s="107"/>
      <c r="AE198" s="166"/>
      <c r="AF198" s="754" t="str">
        <f>IF(AF223=1,X210,IF(AF223=2,X211,IF(AF223=3,X212,IF(AF223=4,X213,"Division Winner"))))</f>
        <v>RHVC 13 Club Jade</v>
      </c>
      <c r="AG198" s="754"/>
      <c r="AH198" s="754"/>
      <c r="AI198" s="754"/>
      <c r="AJ198" s="754"/>
      <c r="AK198" s="107"/>
    </row>
    <row r="199" spans="1:53" ht="13.5" thickBot="1" x14ac:dyDescent="0.25">
      <c r="A199" s="736" t="str">
        <f>IF(E218=1,B210,IF(E218=2,B211,IF(E218=3,B212,IF(E218=4,B213,IF(OR(E218="B",E218="b"),"BYE","invalid")))))</f>
        <v>Sumter VBC 13</v>
      </c>
      <c r="B199" s="736"/>
      <c r="C199" s="736"/>
      <c r="D199" s="736"/>
      <c r="E199" s="736"/>
      <c r="F199" s="746" t="s">
        <v>114</v>
      </c>
      <c r="G199" s="746"/>
      <c r="H199" s="746"/>
      <c r="I199" s="746"/>
      <c r="J199" s="750" t="s">
        <v>115</v>
      </c>
      <c r="K199" s="751"/>
      <c r="L199" s="751"/>
      <c r="M199" s="751"/>
      <c r="N199" s="751"/>
      <c r="O199" s="751"/>
      <c r="P199" s="751"/>
      <c r="R199" s="107"/>
      <c r="S199" s="107"/>
      <c r="T199" s="107"/>
      <c r="U199" s="736" t="str">
        <f>IF(Z218=1,X210,IF(Z218=2,X211,IF(Z218=3,X212,IF(Z218=4,X213,IF(OR(Z218="B",Z218="b"),"BYE","invalid")))))</f>
        <v>C1VB Juniors Black</v>
      </c>
      <c r="V199" s="736"/>
      <c r="W199" s="736"/>
      <c r="X199" s="736"/>
      <c r="Y199" s="736"/>
      <c r="Z199" s="736"/>
      <c r="AA199" s="736"/>
      <c r="AB199" s="746" t="s">
        <v>116</v>
      </c>
      <c r="AC199" s="746"/>
      <c r="AD199" s="746"/>
      <c r="AE199" s="747"/>
      <c r="AF199" s="755" t="s">
        <v>117</v>
      </c>
      <c r="AG199" s="756"/>
      <c r="AH199" s="756"/>
      <c r="AI199" s="756"/>
      <c r="AJ199" s="756"/>
    </row>
    <row r="200" spans="1:53" x14ac:dyDescent="0.2">
      <c r="A200" s="738" t="s">
        <v>118</v>
      </c>
      <c r="B200" s="738"/>
      <c r="C200" s="738"/>
      <c r="D200" s="738"/>
      <c r="E200" s="738"/>
      <c r="F200" s="91"/>
      <c r="G200" s="88"/>
      <c r="H200" s="88"/>
      <c r="I200" s="88"/>
      <c r="J200" s="750"/>
      <c r="K200" s="751"/>
      <c r="L200" s="751"/>
      <c r="M200" s="751"/>
      <c r="N200" s="751"/>
      <c r="O200" s="751"/>
      <c r="P200" s="751"/>
      <c r="Q200" s="88"/>
      <c r="R200" s="104"/>
      <c r="S200" s="104"/>
      <c r="T200" s="104"/>
      <c r="U200" s="739" t="s">
        <v>119</v>
      </c>
      <c r="V200" s="739"/>
      <c r="W200" s="739"/>
      <c r="X200" s="739"/>
      <c r="Y200" s="739"/>
      <c r="Z200" s="739"/>
      <c r="AA200" s="752"/>
      <c r="AB200" s="88"/>
      <c r="AC200" s="88"/>
      <c r="AD200" s="88"/>
      <c r="AE200" s="165"/>
      <c r="AF200" s="88"/>
      <c r="AG200" s="88"/>
    </row>
    <row r="201" spans="1:53" x14ac:dyDescent="0.2">
      <c r="A201" s="88"/>
      <c r="B201" s="88"/>
      <c r="C201" s="88"/>
      <c r="D201" s="88"/>
      <c r="E201" s="88"/>
      <c r="F201" s="91"/>
      <c r="G201" s="88"/>
      <c r="H201" s="88"/>
      <c r="I201" s="88"/>
      <c r="J201" s="91"/>
      <c r="K201" s="88"/>
      <c r="L201" s="88"/>
      <c r="M201" s="88"/>
      <c r="N201" s="88"/>
      <c r="P201" s="88"/>
      <c r="Q201" s="88"/>
      <c r="R201" s="88"/>
      <c r="S201" s="88"/>
      <c r="T201" s="88"/>
      <c r="U201" s="88"/>
      <c r="V201" s="88"/>
      <c r="W201" s="88"/>
      <c r="X201" s="88"/>
      <c r="Y201" s="88"/>
      <c r="Z201" s="88"/>
      <c r="AA201" s="165"/>
      <c r="AB201" s="91"/>
      <c r="AC201" s="88"/>
      <c r="AD201" s="88"/>
      <c r="AE201" s="165"/>
      <c r="AF201" s="88"/>
      <c r="AG201" s="88"/>
      <c r="AW201" s="146"/>
      <c r="AX201" s="54"/>
      <c r="AY201" s="54"/>
      <c r="AZ201" s="54"/>
      <c r="BA201" s="54"/>
    </row>
    <row r="202" spans="1:53" ht="13.5" thickBot="1" x14ac:dyDescent="0.25">
      <c r="A202" s="751" t="s">
        <v>120</v>
      </c>
      <c r="B202" s="751"/>
      <c r="C202" s="751"/>
      <c r="D202" s="751"/>
      <c r="E202" s="95"/>
      <c r="F202" s="741"/>
      <c r="G202" s="742"/>
      <c r="H202" s="742"/>
      <c r="I202" s="743"/>
      <c r="J202" s="744"/>
      <c r="K202" s="745"/>
      <c r="L202" s="745"/>
      <c r="M202" s="745"/>
      <c r="N202" s="88"/>
      <c r="Q202" s="96"/>
      <c r="R202" s="96"/>
      <c r="S202" s="96"/>
      <c r="T202" s="751" t="s">
        <v>120</v>
      </c>
      <c r="U202" s="751"/>
      <c r="V202" s="751"/>
      <c r="W202" s="751"/>
      <c r="X202" s="751"/>
      <c r="Y202" s="751"/>
      <c r="Z202" s="751"/>
      <c r="AA202" s="88"/>
      <c r="AB202" s="741"/>
      <c r="AC202" s="742"/>
      <c r="AD202" s="742"/>
      <c r="AE202" s="743"/>
      <c r="AF202" s="744"/>
      <c r="AG202" s="745"/>
      <c r="AH202" s="745"/>
      <c r="AW202" s="146"/>
      <c r="AX202" s="54"/>
      <c r="AY202" s="54"/>
      <c r="AZ202" s="54"/>
      <c r="BA202" s="54"/>
    </row>
    <row r="203" spans="1:53" x14ac:dyDescent="0.2">
      <c r="A203" s="746" t="s">
        <v>109</v>
      </c>
      <c r="B203" s="746"/>
      <c r="C203" s="746"/>
      <c r="D203" s="746"/>
      <c r="E203" s="747"/>
      <c r="F203" s="748" t="str">
        <f>IF(J218=1,B210,IF(J218=2,B211,IF(J218=3,B212,IF(J218=4,B213,"Winner Match 2"))))</f>
        <v>Chas Jrs 13 White</v>
      </c>
      <c r="G203" s="749"/>
      <c r="H203" s="749"/>
      <c r="I203" s="749"/>
      <c r="J203" s="749"/>
      <c r="K203" s="749"/>
      <c r="L203" s="749"/>
      <c r="M203" s="749"/>
      <c r="N203" s="88"/>
      <c r="P203" s="95"/>
      <c r="Q203" s="95"/>
      <c r="S203" s="102"/>
      <c r="T203" s="746" t="s">
        <v>110</v>
      </c>
      <c r="U203" s="746"/>
      <c r="V203" s="746"/>
      <c r="W203" s="746"/>
      <c r="X203" s="746"/>
      <c r="Y203" s="746"/>
      <c r="Z203" s="746"/>
      <c r="AA203" s="165"/>
      <c r="AB203" s="748" t="str">
        <f>IF(AE218=1,X210,IF(AE218=2,X211,IF(AE218=3,X212,IF(AE218=4,X213,"Winner Match 2"))))</f>
        <v>MEVC13U</v>
      </c>
      <c r="AC203" s="749"/>
      <c r="AD203" s="749"/>
      <c r="AE203" s="749"/>
      <c r="AF203" s="749"/>
      <c r="AG203" s="749"/>
      <c r="AH203" s="749"/>
      <c r="AW203" s="146"/>
      <c r="AX203" s="54"/>
      <c r="AY203" s="54"/>
      <c r="AZ203" s="54"/>
      <c r="BA203" s="54"/>
    </row>
    <row r="204" spans="1:53" ht="13.5" thickBot="1" x14ac:dyDescent="0.25">
      <c r="A204" s="736" t="str">
        <f>IF(G218=1,B210,IF(G218=2,B211,IF(G218=3,B212,IF(G218=4,B213,IF(OR(G218="B",G218="b"),"BYE","invalid")))))</f>
        <v>Chas Jrs 13 White</v>
      </c>
      <c r="B204" s="736"/>
      <c r="C204" s="736"/>
      <c r="D204" s="736"/>
      <c r="E204" s="737"/>
      <c r="F204" s="91"/>
      <c r="G204" s="88"/>
      <c r="H204" s="88"/>
      <c r="I204" s="88"/>
      <c r="J204" s="88"/>
      <c r="K204" s="88"/>
      <c r="L204" s="88"/>
      <c r="M204" s="88"/>
      <c r="N204" s="88"/>
      <c r="P204" s="88"/>
      <c r="Q204" s="88"/>
      <c r="R204" s="88"/>
      <c r="S204" s="107"/>
      <c r="T204" s="107"/>
      <c r="U204" s="736" t="str">
        <f>IF(AB218=1,X210,IF(AB218=2,X211,IF(AB218=3,X212,IF(AB218=4,X213,IF(OR(AB218="B",AB218="b"),"BYE","invalid")))))</f>
        <v>MEVC13U</v>
      </c>
      <c r="V204" s="736"/>
      <c r="W204" s="736"/>
      <c r="X204" s="736"/>
      <c r="Y204" s="736"/>
      <c r="Z204" s="736"/>
      <c r="AA204" s="737"/>
      <c r="AB204" s="88"/>
      <c r="AC204" s="88"/>
      <c r="AD204" s="88"/>
      <c r="AE204" s="88"/>
      <c r="AW204" s="146"/>
      <c r="AX204" s="54"/>
      <c r="AY204" s="54"/>
      <c r="AZ204" s="54"/>
      <c r="BA204" s="54"/>
    </row>
    <row r="205" spans="1:53" x14ac:dyDescent="0.2">
      <c r="A205" s="738" t="s">
        <v>121</v>
      </c>
      <c r="B205" s="738"/>
      <c r="C205" s="738"/>
      <c r="D205" s="738"/>
      <c r="E205" s="738"/>
      <c r="S205" s="104"/>
      <c r="T205" s="104"/>
      <c r="U205" s="739" t="s">
        <v>122</v>
      </c>
      <c r="V205" s="739"/>
      <c r="W205" s="739"/>
      <c r="X205" s="739"/>
      <c r="Y205" s="739"/>
      <c r="Z205" s="739"/>
      <c r="AA205" s="739"/>
      <c r="AW205" s="146"/>
      <c r="AX205" s="54"/>
      <c r="AY205" s="54"/>
      <c r="AZ205" s="54"/>
      <c r="BA205" s="54"/>
    </row>
    <row r="206" spans="1:53" x14ac:dyDescent="0.2">
      <c r="AT206" s="54"/>
      <c r="AU206" s="54"/>
      <c r="AV206" s="54"/>
      <c r="AW206" s="146"/>
      <c r="AX206" s="54"/>
      <c r="AY206" s="54"/>
      <c r="AZ206" s="54"/>
      <c r="BA206" s="54"/>
    </row>
    <row r="207" spans="1:53" x14ac:dyDescent="0.2">
      <c r="AT207" s="54"/>
      <c r="AU207" s="54"/>
      <c r="AV207" s="54"/>
      <c r="AW207" s="146"/>
      <c r="AX207" s="54"/>
      <c r="AY207" s="54"/>
      <c r="AZ207" s="54"/>
      <c r="BA207" s="54"/>
    </row>
    <row r="208" spans="1:53" ht="16.5" thickBot="1" x14ac:dyDescent="0.3">
      <c r="A208" s="740" t="s">
        <v>123</v>
      </c>
      <c r="B208" s="740"/>
      <c r="C208" s="740"/>
      <c r="D208" s="740"/>
      <c r="E208" s="740"/>
      <c r="F208" s="740"/>
      <c r="G208" s="740"/>
      <c r="H208" s="740"/>
      <c r="I208" s="740"/>
      <c r="J208" s="740"/>
      <c r="Q208" s="82"/>
      <c r="R208" s="82"/>
      <c r="S208" s="82"/>
      <c r="U208" s="740" t="s">
        <v>124</v>
      </c>
      <c r="V208" s="740"/>
      <c r="W208" s="740"/>
      <c r="X208" s="740"/>
      <c r="Y208" s="740"/>
      <c r="Z208" s="740"/>
      <c r="AA208" s="740"/>
      <c r="AB208" s="740"/>
      <c r="AC208" s="740"/>
      <c r="AD208" s="740"/>
      <c r="AE208" s="740"/>
      <c r="AF208" s="740"/>
      <c r="AT208" s="54"/>
      <c r="AU208" s="54"/>
      <c r="AV208" s="54"/>
      <c r="AW208" s="146"/>
      <c r="AX208" s="54"/>
      <c r="AY208" s="54"/>
      <c r="AZ208" s="54"/>
      <c r="BA208" s="54"/>
    </row>
    <row r="209" spans="1:53" ht="13.5" thickBot="1" x14ac:dyDescent="0.25">
      <c r="A209" s="113" t="s">
        <v>125</v>
      </c>
      <c r="B209" s="730" t="s">
        <v>126</v>
      </c>
      <c r="C209" s="731"/>
      <c r="D209" s="731"/>
      <c r="E209" s="731"/>
      <c r="F209" s="731"/>
      <c r="G209" s="731"/>
      <c r="H209" s="731"/>
      <c r="I209" s="731"/>
      <c r="J209" s="732"/>
      <c r="K209" s="733" t="s">
        <v>127</v>
      </c>
      <c r="L209" s="734"/>
      <c r="M209" s="734"/>
      <c r="N209" s="734"/>
      <c r="O209" s="734"/>
      <c r="P209" s="734"/>
      <c r="Q209" s="735"/>
      <c r="U209" s="718" t="s">
        <v>125</v>
      </c>
      <c r="V209" s="719"/>
      <c r="W209" s="720"/>
      <c r="X209" s="730" t="s">
        <v>126</v>
      </c>
      <c r="Y209" s="731"/>
      <c r="Z209" s="731"/>
      <c r="AA209" s="731"/>
      <c r="AB209" s="731"/>
      <c r="AC209" s="731"/>
      <c r="AD209" s="731"/>
      <c r="AE209" s="731"/>
      <c r="AF209" s="732"/>
      <c r="AG209" s="733" t="s">
        <v>127</v>
      </c>
      <c r="AH209" s="734"/>
      <c r="AI209" s="734"/>
      <c r="AJ209" s="734"/>
      <c r="AK209" s="734"/>
      <c r="AL209" s="734"/>
      <c r="AM209" s="735"/>
      <c r="AT209" s="54"/>
      <c r="AU209" s="54"/>
      <c r="AV209" s="54"/>
      <c r="AW209" s="146"/>
      <c r="AX209" s="54"/>
      <c r="AY209" s="54"/>
      <c r="AZ209" s="54"/>
      <c r="BA209" s="54"/>
    </row>
    <row r="210" spans="1:53" ht="13.5" thickBot="1" x14ac:dyDescent="0.25">
      <c r="A210" s="113">
        <v>1</v>
      </c>
      <c r="B210" s="712" t="str">
        <f>B179</f>
        <v>Kershaw 13 Black</v>
      </c>
      <c r="C210" s="713"/>
      <c r="D210" s="713"/>
      <c r="E210" s="713"/>
      <c r="F210" s="713"/>
      <c r="G210" s="713"/>
      <c r="H210" s="713"/>
      <c r="I210" s="713"/>
      <c r="J210" s="714"/>
      <c r="K210" s="715" t="str">
        <f>H179</f>
        <v>fj3kersh1pm</v>
      </c>
      <c r="L210" s="716"/>
      <c r="M210" s="716"/>
      <c r="N210" s="716"/>
      <c r="O210" s="716"/>
      <c r="P210" s="716"/>
      <c r="Q210" s="717"/>
      <c r="U210" s="718">
        <v>1</v>
      </c>
      <c r="V210" s="719"/>
      <c r="W210" s="720"/>
      <c r="X210" s="712" t="str">
        <f>V179</f>
        <v>RHVC 13 Club Jade</v>
      </c>
      <c r="Y210" s="713"/>
      <c r="Z210" s="713"/>
      <c r="AA210" s="713"/>
      <c r="AB210" s="713"/>
      <c r="AC210" s="713"/>
      <c r="AD210" s="713"/>
      <c r="AE210" s="713"/>
      <c r="AF210" s="714"/>
      <c r="AG210" s="715" t="str">
        <f>AB179</f>
        <v>fj3rockh1pm</v>
      </c>
      <c r="AH210" s="716"/>
      <c r="AI210" s="716"/>
      <c r="AJ210" s="716"/>
      <c r="AK210" s="716"/>
      <c r="AL210" s="716"/>
      <c r="AM210" s="717"/>
      <c r="AT210" s="54"/>
      <c r="AU210" s="54"/>
      <c r="AV210" s="54"/>
      <c r="AW210" s="146"/>
      <c r="AX210" s="54"/>
      <c r="AY210" s="54"/>
      <c r="AZ210" s="54"/>
      <c r="BA210" s="54"/>
    </row>
    <row r="211" spans="1:53" ht="13.5" thickBot="1" x14ac:dyDescent="0.25">
      <c r="A211" s="113">
        <v>2</v>
      </c>
      <c r="B211" s="712" t="str">
        <f>B180</f>
        <v>Sumter VBC 13</v>
      </c>
      <c r="C211" s="713"/>
      <c r="D211" s="713"/>
      <c r="E211" s="713"/>
      <c r="F211" s="713"/>
      <c r="G211" s="713"/>
      <c r="H211" s="713"/>
      <c r="I211" s="713"/>
      <c r="J211" s="714"/>
      <c r="K211" s="715" t="str">
        <f>H180</f>
        <v>fj3sumtr1pm</v>
      </c>
      <c r="L211" s="716"/>
      <c r="M211" s="716"/>
      <c r="N211" s="716"/>
      <c r="O211" s="716"/>
      <c r="P211" s="716"/>
      <c r="Q211" s="717"/>
      <c r="U211" s="718">
        <v>2</v>
      </c>
      <c r="V211" s="719"/>
      <c r="W211" s="720"/>
      <c r="X211" s="712" t="str">
        <f>V180</f>
        <v>C1VB Juniors Black</v>
      </c>
      <c r="Y211" s="713"/>
      <c r="Z211" s="713"/>
      <c r="AA211" s="713"/>
      <c r="AB211" s="713"/>
      <c r="AC211" s="713"/>
      <c r="AD211" s="713"/>
      <c r="AE211" s="713"/>
      <c r="AF211" s="714"/>
      <c r="AG211" s="715" t="str">
        <f>AB180</f>
        <v>fj2crone6pm</v>
      </c>
      <c r="AH211" s="716"/>
      <c r="AI211" s="716"/>
      <c r="AJ211" s="716"/>
      <c r="AK211" s="716"/>
      <c r="AL211" s="716"/>
      <c r="AM211" s="717"/>
      <c r="AT211" s="54"/>
      <c r="AU211" s="54"/>
      <c r="AV211" s="54"/>
      <c r="AW211" s="146"/>
      <c r="AX211" s="54"/>
      <c r="AY211" s="54"/>
      <c r="AZ211" s="54"/>
      <c r="BA211" s="54"/>
    </row>
    <row r="212" spans="1:53" ht="13.5" thickBot="1" x14ac:dyDescent="0.25">
      <c r="A212" s="113">
        <v>3</v>
      </c>
      <c r="B212" s="712" t="str">
        <f>L179</f>
        <v>Chas Jrs 13 White</v>
      </c>
      <c r="C212" s="713"/>
      <c r="D212" s="713"/>
      <c r="E212" s="713"/>
      <c r="F212" s="713"/>
      <c r="G212" s="713"/>
      <c r="H212" s="713"/>
      <c r="I212" s="713"/>
      <c r="J212" s="714"/>
      <c r="K212" s="715" t="str">
        <f>R179</f>
        <v>fj3charl3pm</v>
      </c>
      <c r="L212" s="716"/>
      <c r="M212" s="716"/>
      <c r="N212" s="716"/>
      <c r="O212" s="716"/>
      <c r="P212" s="716"/>
      <c r="Q212" s="717"/>
      <c r="U212" s="718">
        <v>3</v>
      </c>
      <c r="V212" s="719"/>
      <c r="W212" s="720"/>
      <c r="X212" s="712" t="str">
        <f>AF179</f>
        <v>MEVC13U</v>
      </c>
      <c r="Y212" s="713"/>
      <c r="Z212" s="713"/>
      <c r="AA212" s="713"/>
      <c r="AB212" s="713"/>
      <c r="AC212" s="713"/>
      <c r="AD212" s="713"/>
      <c r="AE212" s="713"/>
      <c r="AF212" s="714"/>
      <c r="AG212" s="715" t="str">
        <f>AL179</f>
        <v>fj3mtnel1pm</v>
      </c>
      <c r="AH212" s="716"/>
      <c r="AI212" s="716"/>
      <c r="AJ212" s="716"/>
      <c r="AK212" s="716"/>
      <c r="AL212" s="716"/>
      <c r="AM212" s="717"/>
      <c r="AT212" s="54"/>
      <c r="AU212" s="54"/>
      <c r="AV212" s="54"/>
      <c r="AW212" s="146"/>
      <c r="AX212" s="54"/>
      <c r="AY212" s="54"/>
      <c r="AZ212" s="54"/>
      <c r="BA212" s="54"/>
    </row>
    <row r="213" spans="1:53" ht="13.5" thickBot="1" x14ac:dyDescent="0.25">
      <c r="A213" s="113">
        <v>4</v>
      </c>
      <c r="B213" s="712" t="str">
        <f>L180</f>
        <v>SC Midlands 13 Black</v>
      </c>
      <c r="C213" s="713"/>
      <c r="D213" s="713"/>
      <c r="E213" s="713"/>
      <c r="F213" s="713"/>
      <c r="G213" s="713"/>
      <c r="H213" s="713"/>
      <c r="I213" s="713"/>
      <c r="J213" s="714"/>
      <c r="K213" s="715" t="str">
        <f>R180</f>
        <v>fj3scmid2pm</v>
      </c>
      <c r="L213" s="716"/>
      <c r="M213" s="716"/>
      <c r="N213" s="716"/>
      <c r="O213" s="716"/>
      <c r="P213" s="716"/>
      <c r="Q213" s="717"/>
      <c r="U213" s="718">
        <v>4</v>
      </c>
      <c r="V213" s="719"/>
      <c r="W213" s="720"/>
      <c r="X213" s="712" t="str">
        <f>AF180</f>
        <v>MBVC 13 Red</v>
      </c>
      <c r="Y213" s="713"/>
      <c r="Z213" s="713"/>
      <c r="AA213" s="713"/>
      <c r="AB213" s="713"/>
      <c r="AC213" s="713"/>
      <c r="AD213" s="713"/>
      <c r="AE213" s="713"/>
      <c r="AF213" s="714"/>
      <c r="AG213" s="715" t="str">
        <f>AL180</f>
        <v>fj3mbeac1pm</v>
      </c>
      <c r="AH213" s="716"/>
      <c r="AI213" s="716"/>
      <c r="AJ213" s="716"/>
      <c r="AK213" s="716"/>
      <c r="AL213" s="716"/>
      <c r="AM213" s="717"/>
      <c r="AT213" s="54"/>
      <c r="AU213" s="54"/>
      <c r="AV213" s="54"/>
      <c r="AW213" s="146"/>
      <c r="AX213" s="54"/>
      <c r="AY213" s="54"/>
      <c r="AZ213" s="54"/>
      <c r="BA213" s="54"/>
    </row>
    <row r="214" spans="1:53" ht="13.5" thickBot="1" x14ac:dyDescent="0.25">
      <c r="AT214" s="54"/>
      <c r="AU214" s="54"/>
      <c r="AV214" s="54"/>
      <c r="AW214" s="146"/>
      <c r="AX214" s="54"/>
      <c r="AY214" s="54"/>
      <c r="AZ214" s="54"/>
      <c r="BA214" s="54"/>
    </row>
    <row r="215" spans="1:53" x14ac:dyDescent="0.2">
      <c r="B215" s="721" t="s">
        <v>128</v>
      </c>
      <c r="C215" s="693"/>
      <c r="D215" s="694"/>
      <c r="E215" s="692" t="s">
        <v>128</v>
      </c>
      <c r="F215" s="693"/>
      <c r="G215" s="694"/>
      <c r="H215" s="692" t="s">
        <v>11</v>
      </c>
      <c r="I215" s="693"/>
      <c r="J215" s="695"/>
      <c r="K215" s="696" t="s">
        <v>129</v>
      </c>
      <c r="L215" s="722"/>
      <c r="M215" s="722"/>
      <c r="N215" s="722"/>
      <c r="O215" s="722"/>
      <c r="P215" s="722"/>
      <c r="Q215" s="723"/>
      <c r="R215" s="85"/>
      <c r="S215" s="85"/>
      <c r="T215" s="85"/>
      <c r="U215" s="85"/>
      <c r="W215" s="721" t="s">
        <v>128</v>
      </c>
      <c r="X215" s="693"/>
      <c r="Y215" s="694"/>
      <c r="Z215" s="692" t="s">
        <v>128</v>
      </c>
      <c r="AA215" s="693"/>
      <c r="AB215" s="694"/>
      <c r="AC215" s="692" t="s">
        <v>11</v>
      </c>
      <c r="AD215" s="693"/>
      <c r="AE215" s="695"/>
      <c r="AF215" s="696" t="s">
        <v>129</v>
      </c>
      <c r="AG215" s="697"/>
      <c r="AH215" s="697"/>
      <c r="AI215" s="697"/>
      <c r="AJ215" s="698"/>
      <c r="AW215" s="146"/>
      <c r="AX215" s="54"/>
      <c r="AY215" s="54"/>
      <c r="AZ215" s="54"/>
      <c r="BA215" s="54"/>
    </row>
    <row r="216" spans="1:53" x14ac:dyDescent="0.2">
      <c r="A216" s="41" t="s">
        <v>130</v>
      </c>
      <c r="B216" s="705">
        <v>3</v>
      </c>
      <c r="C216" s="706"/>
      <c r="D216" s="707"/>
      <c r="E216" s="708" t="s">
        <v>131</v>
      </c>
      <c r="F216" s="706"/>
      <c r="G216" s="707"/>
      <c r="H216" s="708" t="s">
        <v>132</v>
      </c>
      <c r="I216" s="706"/>
      <c r="J216" s="709"/>
      <c r="K216" s="724"/>
      <c r="L216" s="725"/>
      <c r="M216" s="725"/>
      <c r="N216" s="725"/>
      <c r="O216" s="725"/>
      <c r="P216" s="725"/>
      <c r="Q216" s="726"/>
      <c r="R216" s="85"/>
      <c r="S216" s="85"/>
      <c r="T216" s="710" t="s">
        <v>130</v>
      </c>
      <c r="U216" s="710"/>
      <c r="V216" s="711"/>
      <c r="W216" s="705">
        <v>3</v>
      </c>
      <c r="X216" s="706"/>
      <c r="Y216" s="707"/>
      <c r="Z216" s="708" t="s">
        <v>131</v>
      </c>
      <c r="AA216" s="706"/>
      <c r="AB216" s="707"/>
      <c r="AC216" s="708" t="s">
        <v>132</v>
      </c>
      <c r="AD216" s="706"/>
      <c r="AE216" s="709"/>
      <c r="AF216" s="699"/>
      <c r="AG216" s="700"/>
      <c r="AH216" s="700"/>
      <c r="AI216" s="700"/>
      <c r="AJ216" s="701"/>
      <c r="AW216" s="146"/>
      <c r="AX216" s="54"/>
      <c r="AY216" s="54"/>
      <c r="AZ216" s="54"/>
      <c r="BA216" s="54"/>
    </row>
    <row r="217" spans="1:53" ht="13.5" thickBot="1" x14ac:dyDescent="0.25">
      <c r="A217" s="11"/>
      <c r="B217" s="690" t="s">
        <v>43</v>
      </c>
      <c r="C217" s="685"/>
      <c r="D217" s="691"/>
      <c r="E217" s="684" t="s">
        <v>133</v>
      </c>
      <c r="F217" s="685"/>
      <c r="G217" s="691"/>
      <c r="H217" s="684" t="s">
        <v>134</v>
      </c>
      <c r="I217" s="685"/>
      <c r="J217" s="686"/>
      <c r="K217" s="727"/>
      <c r="L217" s="728"/>
      <c r="M217" s="728"/>
      <c r="N217" s="728"/>
      <c r="O217" s="728"/>
      <c r="P217" s="728"/>
      <c r="Q217" s="729"/>
      <c r="R217" s="85"/>
      <c r="S217" s="85"/>
      <c r="T217" s="671"/>
      <c r="U217" s="671"/>
      <c r="V217" s="672"/>
      <c r="W217" s="690" t="s">
        <v>43</v>
      </c>
      <c r="X217" s="685"/>
      <c r="Y217" s="691"/>
      <c r="Z217" s="684" t="s">
        <v>133</v>
      </c>
      <c r="AA217" s="685"/>
      <c r="AB217" s="691"/>
      <c r="AC217" s="684" t="s">
        <v>134</v>
      </c>
      <c r="AD217" s="685"/>
      <c r="AE217" s="686"/>
      <c r="AF217" s="702"/>
      <c r="AG217" s="703"/>
      <c r="AH217" s="703"/>
      <c r="AI217" s="703"/>
      <c r="AJ217" s="704"/>
      <c r="AW217" s="146"/>
      <c r="AX217" s="54"/>
      <c r="AY217" s="54"/>
      <c r="AZ217" s="54"/>
      <c r="BA217" s="54"/>
    </row>
    <row r="218" spans="1:53" ht="13.5" thickBot="1" x14ac:dyDescent="0.25">
      <c r="A218" s="11"/>
      <c r="B218" s="117">
        <v>1</v>
      </c>
      <c r="C218" s="118" t="s">
        <v>51</v>
      </c>
      <c r="D218" s="119">
        <v>4</v>
      </c>
      <c r="E218" s="120">
        <v>2</v>
      </c>
      <c r="F218" s="118" t="s">
        <v>51</v>
      </c>
      <c r="G218" s="119">
        <v>3</v>
      </c>
      <c r="H218" s="121">
        <f>IF(OR(AND(OR(B222&gt;0,D222&gt;0),B222&gt;D222),OR(D218="b",D218="B")),B218,IF(OR(AND(OR(B222&gt;0,D222&gt;0),D222&gt;B222),OR(B218="b",B218="B")),D218,"W1"))</f>
        <v>1</v>
      </c>
      <c r="I218" s="122" t="s">
        <v>51</v>
      </c>
      <c r="J218" s="123">
        <f>IF(OR(AND(OR(E222&gt;0,G222&gt;0),E222&gt;G222),OR(G218="b",G218="B")),E218,IF(OR(AND(OR(E222&gt;0,G222&gt;0),G222&gt;E222),OR(E218="b",E218="B")),G218,"W2"))</f>
        <v>3</v>
      </c>
      <c r="K218" s="687" t="s">
        <v>135</v>
      </c>
      <c r="L218" s="688"/>
      <c r="M218" s="688"/>
      <c r="N218" s="689"/>
      <c r="R218" s="85"/>
      <c r="S218" s="85"/>
      <c r="T218" s="671"/>
      <c r="U218" s="671"/>
      <c r="V218" s="672"/>
      <c r="W218" s="117">
        <v>1</v>
      </c>
      <c r="X218" s="118" t="s">
        <v>51</v>
      </c>
      <c r="Y218" s="119">
        <v>4</v>
      </c>
      <c r="Z218" s="120">
        <v>2</v>
      </c>
      <c r="AA218" s="118" t="s">
        <v>51</v>
      </c>
      <c r="AB218" s="119">
        <v>3</v>
      </c>
      <c r="AC218" s="121">
        <f>IF(OR(AND(OR(W222&gt;0,Y222&gt;0),W222&gt;Y222),OR(Y218="b",Y218="B")),W218,IF(OR(AND(OR(W222&gt;0,Y222&gt;0),Y222&gt;W222),OR(W218="b",W218="B")),Y218,"W1"))</f>
        <v>1</v>
      </c>
      <c r="AD218" s="122" t="s">
        <v>51</v>
      </c>
      <c r="AE218" s="123">
        <f>IF(OR(AND(OR(Z222&gt;0,AB222&gt;0),Z222&gt;AB222),OR(AB222="b",AB222="B")),Z218,IF(OR(AND(OR(Z222&gt;0,AB222&gt;0),AB222&gt;Z222),OR(Z222="b",Z222="B")),AB218,"W2"))</f>
        <v>3</v>
      </c>
      <c r="AF218" s="687" t="s">
        <v>135</v>
      </c>
      <c r="AG218" s="689"/>
      <c r="AH218" s="85"/>
      <c r="AI218" s="85"/>
      <c r="AJ218" s="85"/>
      <c r="AW218" s="146"/>
      <c r="AX218" s="54"/>
      <c r="AY218" s="54"/>
      <c r="AZ218" s="54"/>
      <c r="BA218" s="54"/>
    </row>
    <row r="219" spans="1:53" ht="13.5" hidden="1" customHeight="1" x14ac:dyDescent="0.2">
      <c r="A219" s="11"/>
      <c r="B219" s="129">
        <f>IF(B223&gt;D223,1,0)</f>
        <v>1</v>
      </c>
      <c r="C219" s="130"/>
      <c r="D219" s="131">
        <f>IF(D223&gt;B223,1,0)</f>
        <v>0</v>
      </c>
      <c r="E219" s="129">
        <f>IF(E223&gt;G223,1,0)</f>
        <v>0</v>
      </c>
      <c r="F219" s="130"/>
      <c r="G219" s="131">
        <f>IF(G223&gt;E223,1,0)</f>
        <v>1</v>
      </c>
      <c r="H219" s="129">
        <f>IF(H223&gt;J223,1,0)</f>
        <v>1</v>
      </c>
      <c r="I219" s="130"/>
      <c r="J219" s="131">
        <f>IF(J223&gt;H223,1,0)</f>
        <v>0</v>
      </c>
      <c r="K219" s="132"/>
      <c r="L219" s="133"/>
      <c r="M219" s="133"/>
      <c r="N219" s="134"/>
      <c r="R219" s="85"/>
      <c r="S219" s="85"/>
      <c r="T219" s="671"/>
      <c r="U219" s="671"/>
      <c r="V219" s="672"/>
      <c r="W219" s="129">
        <f>IF(W223&gt;Y223,1,0)</f>
        <v>1</v>
      </c>
      <c r="X219" s="130"/>
      <c r="Y219" s="131">
        <f>IF(Y223&gt;W223,1,0)</f>
        <v>0</v>
      </c>
      <c r="Z219" s="129">
        <f>IF(Z223&gt;AB223,1,0)</f>
        <v>0</v>
      </c>
      <c r="AA219" s="130"/>
      <c r="AB219" s="131">
        <f>IF(AB223&gt;Z223,1,0)</f>
        <v>1</v>
      </c>
      <c r="AC219" s="129">
        <f>IF(AC223&gt;AE223,1,0)</f>
        <v>1</v>
      </c>
      <c r="AD219" s="130"/>
      <c r="AE219" s="131">
        <f>IF(AE223&gt;AC223,1,0)</f>
        <v>0</v>
      </c>
      <c r="AF219" s="124"/>
      <c r="AG219" s="125"/>
      <c r="AH219" s="85"/>
      <c r="AI219" s="85"/>
      <c r="AJ219" s="85"/>
      <c r="AW219" s="146"/>
      <c r="AX219" s="54"/>
      <c r="AY219" s="54"/>
      <c r="AZ219" s="54"/>
      <c r="BA219" s="54"/>
    </row>
    <row r="220" spans="1:53" ht="13.5" hidden="1" customHeight="1" x14ac:dyDescent="0.2">
      <c r="A220" s="11"/>
      <c r="B220" s="129">
        <f>IF(B224&gt;D224,1,0)</f>
        <v>0</v>
      </c>
      <c r="C220" s="130"/>
      <c r="D220" s="131">
        <f>IF(D224&gt;B224,1,0)</f>
        <v>0</v>
      </c>
      <c r="E220" s="129">
        <f>IF(E224&gt;G224,1,0)</f>
        <v>0</v>
      </c>
      <c r="F220" s="130"/>
      <c r="G220" s="131">
        <f>IF(G224&gt;E224,1,0)</f>
        <v>0</v>
      </c>
      <c r="H220" s="129">
        <f>IF(H224&gt;J224,1,0)</f>
        <v>1</v>
      </c>
      <c r="I220" s="130"/>
      <c r="J220" s="131">
        <f>IF(J224&gt;H224,1,0)</f>
        <v>0</v>
      </c>
      <c r="K220" s="132"/>
      <c r="L220" s="133"/>
      <c r="M220" s="133"/>
      <c r="N220" s="134"/>
      <c r="R220" s="85"/>
      <c r="S220" s="85"/>
      <c r="T220" s="671"/>
      <c r="U220" s="671"/>
      <c r="V220" s="672"/>
      <c r="W220" s="129">
        <f>IF(W224&gt;Y224,1,0)</f>
        <v>0</v>
      </c>
      <c r="X220" s="130"/>
      <c r="Y220" s="131">
        <f>IF(Y224&gt;W224,1,0)</f>
        <v>0</v>
      </c>
      <c r="Z220" s="129">
        <f>IF(Z224&gt;AB224,1,0)</f>
        <v>0</v>
      </c>
      <c r="AA220" s="130"/>
      <c r="AB220" s="131">
        <f>IF(AB224&gt;Z224,1,0)</f>
        <v>0</v>
      </c>
      <c r="AC220" s="129">
        <f>IF(AC224&gt;AE224,1,0)</f>
        <v>1</v>
      </c>
      <c r="AD220" s="130"/>
      <c r="AE220" s="131">
        <f>IF(AE224&gt;AC224,1,0)</f>
        <v>0</v>
      </c>
      <c r="AF220" s="124"/>
      <c r="AG220" s="125"/>
      <c r="AH220" s="85"/>
      <c r="AI220" s="85"/>
      <c r="AJ220" s="85"/>
      <c r="AW220" s="146"/>
      <c r="AX220" s="54"/>
      <c r="AY220" s="54"/>
      <c r="AZ220" s="54"/>
      <c r="BA220" s="54"/>
    </row>
    <row r="221" spans="1:53" ht="13.5" hidden="1" customHeight="1" thickBot="1" x14ac:dyDescent="0.25">
      <c r="A221" s="11"/>
      <c r="B221" s="129">
        <f>IF(B225&gt;D225,1,0)</f>
        <v>0</v>
      </c>
      <c r="C221" s="130"/>
      <c r="D221" s="131">
        <f>IF(D225&gt;B225,1,0)</f>
        <v>0</v>
      </c>
      <c r="E221" s="129">
        <f>IF(E225&gt;G225,1,0)</f>
        <v>0</v>
      </c>
      <c r="F221" s="130"/>
      <c r="G221" s="131">
        <f>IF(G225&gt;E225,1,0)</f>
        <v>0</v>
      </c>
      <c r="H221" s="129">
        <f>IF(H225&gt;J225,1,0)</f>
        <v>0</v>
      </c>
      <c r="I221" s="130"/>
      <c r="J221" s="131">
        <f>IF(J225&gt;H225,1,0)</f>
        <v>0</v>
      </c>
      <c r="K221" s="132"/>
      <c r="L221" s="133"/>
      <c r="M221" s="133"/>
      <c r="N221" s="134"/>
      <c r="R221" s="85"/>
      <c r="S221" s="85"/>
      <c r="T221" s="671"/>
      <c r="U221" s="671"/>
      <c r="V221" s="672"/>
      <c r="W221" s="129">
        <f>IF(W225&gt;Y225,1,0)</f>
        <v>0</v>
      </c>
      <c r="X221" s="130"/>
      <c r="Y221" s="131">
        <f>IF(Y225&gt;W225,1,0)</f>
        <v>0</v>
      </c>
      <c r="Z221" s="129">
        <f>IF(Z225&gt;AB225,1,0)</f>
        <v>0</v>
      </c>
      <c r="AA221" s="130"/>
      <c r="AB221" s="131">
        <f>IF(AB225&gt;Z225,1,0)</f>
        <v>0</v>
      </c>
      <c r="AC221" s="129">
        <f>IF(AC225&gt;AE225,1,0)</f>
        <v>0</v>
      </c>
      <c r="AD221" s="130"/>
      <c r="AE221" s="131">
        <f>IF(AE225&gt;AC225,1,0)</f>
        <v>0</v>
      </c>
      <c r="AF221" s="124"/>
      <c r="AG221" s="125"/>
      <c r="AH221" s="85"/>
      <c r="AI221" s="85"/>
      <c r="AJ221" s="85"/>
      <c r="AW221" s="146"/>
      <c r="AX221" s="54"/>
      <c r="AY221" s="54"/>
      <c r="AZ221" s="54"/>
      <c r="BA221" s="54"/>
    </row>
    <row r="222" spans="1:53" ht="13.5" hidden="1" customHeight="1" x14ac:dyDescent="0.2">
      <c r="A222" s="11"/>
      <c r="B222" s="129">
        <f>SUM(B219:B221)</f>
        <v>1</v>
      </c>
      <c r="C222" s="130"/>
      <c r="D222" s="129">
        <f>SUM(D219:D221)</f>
        <v>0</v>
      </c>
      <c r="E222" s="129">
        <f>SUM(E219:E221)</f>
        <v>0</v>
      </c>
      <c r="F222" s="130"/>
      <c r="G222" s="129">
        <f>SUM(G219:G221)</f>
        <v>1</v>
      </c>
      <c r="H222" s="129">
        <f>SUM(H219:H221)</f>
        <v>2</v>
      </c>
      <c r="I222" s="130"/>
      <c r="J222" s="129">
        <f>SUM(J219:J221)</f>
        <v>0</v>
      </c>
      <c r="K222" s="132"/>
      <c r="L222" s="133"/>
      <c r="M222" s="133"/>
      <c r="N222" s="134"/>
      <c r="R222" s="85"/>
      <c r="S222" s="85"/>
      <c r="T222" s="671"/>
      <c r="U222" s="671"/>
      <c r="V222" s="672"/>
      <c r="W222" s="129">
        <f>SUM(W219:W221)</f>
        <v>1</v>
      </c>
      <c r="X222" s="130"/>
      <c r="Y222" s="129">
        <f>SUM(Y219:Y221)</f>
        <v>0</v>
      </c>
      <c r="Z222" s="129">
        <f>SUM(Z219:Z221)</f>
        <v>0</v>
      </c>
      <c r="AA222" s="130"/>
      <c r="AB222" s="129">
        <f>SUM(AB219:AB221)</f>
        <v>1</v>
      </c>
      <c r="AC222" s="129">
        <f>SUM(AC219:AC221)</f>
        <v>2</v>
      </c>
      <c r="AD222" s="130"/>
      <c r="AE222" s="129">
        <f>SUM(AE219:AE221)</f>
        <v>0</v>
      </c>
      <c r="AF222" s="124"/>
      <c r="AG222" s="125"/>
      <c r="AH222" s="85"/>
      <c r="AI222" s="85"/>
      <c r="AJ222" s="85"/>
      <c r="AW222" s="146"/>
      <c r="AX222" s="54"/>
      <c r="AY222" s="54"/>
      <c r="AZ222" s="54"/>
      <c r="BA222" s="54"/>
    </row>
    <row r="223" spans="1:53" ht="12.75" customHeight="1" x14ac:dyDescent="0.2">
      <c r="A223" s="9" t="s">
        <v>52</v>
      </c>
      <c r="B223" s="135">
        <v>25</v>
      </c>
      <c r="C223" s="50" t="s">
        <v>53</v>
      </c>
      <c r="D223" s="136">
        <v>8</v>
      </c>
      <c r="E223" s="137">
        <v>18</v>
      </c>
      <c r="F223" s="50" t="s">
        <v>53</v>
      </c>
      <c r="G223" s="136">
        <v>25</v>
      </c>
      <c r="H223" s="137">
        <v>25</v>
      </c>
      <c r="I223" s="50" t="s">
        <v>53</v>
      </c>
      <c r="J223" s="138">
        <v>17</v>
      </c>
      <c r="K223" s="673">
        <f>IF(AND(OR(H222&gt;0,J222&gt;0),AND(1&lt;=H218,H218&lt;=4),AND(1&lt;=J218,J218&lt;=4)),IF(H222&gt;J222,H218,IF(J222&gt;H222,J218,"")),"")</f>
        <v>1</v>
      </c>
      <c r="L223" s="674"/>
      <c r="M223" s="674"/>
      <c r="N223" s="675"/>
      <c r="R223" s="85"/>
      <c r="S223" s="85"/>
      <c r="T223" s="86"/>
      <c r="U223" s="86"/>
      <c r="V223" s="9" t="s">
        <v>52</v>
      </c>
      <c r="W223" s="135">
        <v>25</v>
      </c>
      <c r="X223" s="50" t="s">
        <v>53</v>
      </c>
      <c r="Y223" s="136">
        <v>10</v>
      </c>
      <c r="Z223" s="137">
        <v>20</v>
      </c>
      <c r="AA223" s="50" t="s">
        <v>53</v>
      </c>
      <c r="AB223" s="136">
        <v>25</v>
      </c>
      <c r="AC223" s="137">
        <v>25</v>
      </c>
      <c r="AD223" s="50" t="s">
        <v>53</v>
      </c>
      <c r="AE223" s="138">
        <v>16</v>
      </c>
      <c r="AF223" s="673">
        <f>IF(AND(OR(AC222&gt;0,AE222&gt;0),AND(1&lt;=AC218,AC218&lt;=4),AND(1&lt;=AE218,AE218&lt;=4)),IF(AC222&gt;AE222,AC218,IF(AE222&gt;AC222,AE218,"")),"")</f>
        <v>1</v>
      </c>
      <c r="AG223" s="675"/>
      <c r="AH223" s="85"/>
      <c r="AI223" s="85"/>
      <c r="AJ223" s="85"/>
      <c r="AW223" s="146"/>
      <c r="AX223" s="54"/>
      <c r="AY223" s="54"/>
      <c r="AZ223" s="54"/>
      <c r="BA223" s="54"/>
    </row>
    <row r="224" spans="1:53" ht="12.75" customHeight="1" x14ac:dyDescent="0.2">
      <c r="A224" s="9" t="s">
        <v>136</v>
      </c>
      <c r="B224" s="135"/>
      <c r="C224" s="50" t="s">
        <v>53</v>
      </c>
      <c r="D224" s="136"/>
      <c r="E224" s="137"/>
      <c r="F224" s="50" t="s">
        <v>53</v>
      </c>
      <c r="G224" s="136"/>
      <c r="H224" s="137">
        <v>25</v>
      </c>
      <c r="I224" s="50" t="s">
        <v>53</v>
      </c>
      <c r="J224" s="138">
        <v>14</v>
      </c>
      <c r="K224" s="676"/>
      <c r="L224" s="677"/>
      <c r="M224" s="677"/>
      <c r="N224" s="678"/>
      <c r="R224" s="85"/>
      <c r="S224" s="85"/>
      <c r="T224" s="86"/>
      <c r="U224" s="86"/>
      <c r="V224" s="9" t="s">
        <v>136</v>
      </c>
      <c r="W224" s="135"/>
      <c r="X224" s="50" t="s">
        <v>53</v>
      </c>
      <c r="Y224" s="136"/>
      <c r="Z224" s="137"/>
      <c r="AA224" s="50" t="s">
        <v>53</v>
      </c>
      <c r="AB224" s="136"/>
      <c r="AC224" s="137">
        <v>25</v>
      </c>
      <c r="AD224" s="50" t="s">
        <v>53</v>
      </c>
      <c r="AE224" s="138">
        <v>21</v>
      </c>
      <c r="AF224" s="676"/>
      <c r="AG224" s="678"/>
      <c r="AH224" s="85"/>
      <c r="AI224" s="85"/>
      <c r="AJ224" s="85"/>
      <c r="AW224" s="146"/>
      <c r="AX224" s="54"/>
      <c r="AY224" s="54"/>
      <c r="AZ224" s="54"/>
      <c r="BA224" s="54"/>
    </row>
    <row r="225" spans="1:77" ht="13.5" customHeight="1" thickBot="1" x14ac:dyDescent="0.25">
      <c r="A225" s="9" t="s">
        <v>137</v>
      </c>
      <c r="B225" s="141"/>
      <c r="C225" s="142" t="s">
        <v>53</v>
      </c>
      <c r="D225" s="143"/>
      <c r="E225" s="144"/>
      <c r="F225" s="142" t="s">
        <v>53</v>
      </c>
      <c r="G225" s="143"/>
      <c r="H225" s="144"/>
      <c r="I225" s="142" t="s">
        <v>53</v>
      </c>
      <c r="J225" s="145"/>
      <c r="K225" s="679"/>
      <c r="L225" s="680"/>
      <c r="M225" s="680"/>
      <c r="N225" s="681"/>
      <c r="R225" s="85"/>
      <c r="S225" s="85"/>
      <c r="T225" s="86"/>
      <c r="U225" s="86"/>
      <c r="V225" s="9" t="s">
        <v>137</v>
      </c>
      <c r="W225" s="141"/>
      <c r="X225" s="142" t="s">
        <v>53</v>
      </c>
      <c r="Y225" s="143"/>
      <c r="Z225" s="144"/>
      <c r="AA225" s="142" t="s">
        <v>53</v>
      </c>
      <c r="AB225" s="143"/>
      <c r="AC225" s="144"/>
      <c r="AD225" s="142" t="s">
        <v>53</v>
      </c>
      <c r="AE225" s="145"/>
      <c r="AF225" s="679"/>
      <c r="AG225" s="681"/>
      <c r="AH225" s="85"/>
      <c r="AI225" s="85"/>
      <c r="AJ225" s="85"/>
      <c r="AW225" s="146"/>
      <c r="AX225" s="54"/>
      <c r="AY225" s="54"/>
      <c r="AZ225" s="54"/>
      <c r="BA225" s="54"/>
    </row>
    <row r="226" spans="1:77" hidden="1" x14ac:dyDescent="0.2">
      <c r="B226" s="3"/>
      <c r="C226" s="90" t="s">
        <v>87</v>
      </c>
      <c r="D226" s="3" t="s">
        <v>138</v>
      </c>
      <c r="E226" s="3"/>
      <c r="F226" s="90"/>
      <c r="G226" s="4" t="s">
        <v>139</v>
      </c>
      <c r="J226" s="4" t="s">
        <v>140</v>
      </c>
      <c r="W226" s="3"/>
      <c r="X226" s="90" t="s">
        <v>87</v>
      </c>
      <c r="Y226" s="3" t="s">
        <v>138</v>
      </c>
      <c r="Z226" s="3"/>
      <c r="AA226" s="90"/>
      <c r="AB226" s="4" t="s">
        <v>139</v>
      </c>
      <c r="AE226" s="4" t="s">
        <v>140</v>
      </c>
      <c r="AT226" s="4" t="str">
        <f>B227</f>
        <v>Kershaw 13 Black</v>
      </c>
      <c r="AU226" s="4">
        <f>J227</f>
        <v>1772.6865459012897</v>
      </c>
      <c r="AW226" s="146"/>
      <c r="AX226" s="54"/>
      <c r="AY226" s="54"/>
      <c r="AZ226" s="54"/>
      <c r="BA226" s="54"/>
      <c r="BB226" s="146"/>
      <c r="BC226" s="54"/>
      <c r="BD226" s="54"/>
      <c r="BE226" s="146"/>
      <c r="BF226" s="54"/>
      <c r="BG226" s="54"/>
      <c r="BH226" s="146"/>
      <c r="BI226" s="54"/>
      <c r="BJ226" s="54"/>
      <c r="BK226" s="146"/>
      <c r="BL226" s="54"/>
      <c r="BM226" s="54"/>
      <c r="BN226" s="146"/>
      <c r="BO226" s="54"/>
      <c r="BP226" s="54"/>
      <c r="BQ226" s="146"/>
      <c r="BR226" s="54"/>
      <c r="BS226" s="54"/>
      <c r="BT226" s="146"/>
      <c r="BU226" s="54"/>
      <c r="BV226" s="54"/>
      <c r="BW226" s="146"/>
      <c r="BX226" s="54"/>
      <c r="BY226" s="54"/>
    </row>
    <row r="227" spans="1:77" hidden="1" x14ac:dyDescent="0.2">
      <c r="A227" s="4">
        <v>1</v>
      </c>
      <c r="B227" s="4" t="str">
        <f>B210</f>
        <v>Kershaw 13 Black</v>
      </c>
      <c r="C227" s="4">
        <f>VLOOKUP(B227,AU$2:AY$22,4,FALSE)</f>
        <v>1758.354629044893</v>
      </c>
      <c r="D227" s="4">
        <f>IF(A227=B218,B233,IF(A227=D218,D233,C227))</f>
        <v>1762.3241961992219</v>
      </c>
      <c r="G227" s="4">
        <f>IF(A227=E218,E233,IF(A227=G218,G233,D227))</f>
        <v>1762.3241961992219</v>
      </c>
      <c r="J227" s="4">
        <f>IF(A227=H218,H233,IF(A227=J218,J233,G227))</f>
        <v>1772.6865459012897</v>
      </c>
      <c r="U227" s="164"/>
      <c r="V227" s="164">
        <v>1</v>
      </c>
      <c r="W227" s="4" t="str">
        <f>X210</f>
        <v>RHVC 13 Club Jade</v>
      </c>
      <c r="X227" s="4">
        <f>VLOOKUP(W227,AU$2:AY$22,4,FALSE)</f>
        <v>1622.4997451731924</v>
      </c>
      <c r="Y227" s="4">
        <f>IF(V227=W218,W233,IF(V227=Y218,Y233,X227))</f>
        <v>1628.877457688669</v>
      </c>
      <c r="AB227" s="4">
        <f>IF(V227=Z218,Z233,IF(V227=AB218,AB233,Y227))</f>
        <v>1628.877457688669</v>
      </c>
      <c r="AE227" s="4">
        <f>IF(V227=AC218,AC233,IF(V227=AE218,AE233,AB227))</f>
        <v>1638.7065670849699</v>
      </c>
      <c r="AT227" s="4" t="str">
        <f>B228</f>
        <v>Sumter VBC 13</v>
      </c>
      <c r="AU227" s="4">
        <f>J228</f>
        <v>1604.7543289628434</v>
      </c>
      <c r="AW227" s="146"/>
      <c r="AX227" s="54"/>
      <c r="AY227" s="54"/>
      <c r="AZ227" s="54"/>
      <c r="BA227" s="54"/>
      <c r="BB227" s="146"/>
      <c r="BC227" s="54"/>
      <c r="BD227" s="54"/>
      <c r="BE227" s="146"/>
      <c r="BF227" s="54"/>
      <c r="BG227" s="54"/>
      <c r="BH227" s="146"/>
      <c r="BI227" s="54"/>
      <c r="BJ227" s="54"/>
      <c r="BK227" s="146"/>
      <c r="BL227" s="54"/>
      <c r="BM227" s="54"/>
      <c r="BN227" s="146"/>
      <c r="BO227" s="54"/>
      <c r="BP227" s="54"/>
      <c r="BQ227" s="146"/>
      <c r="BR227" s="54"/>
      <c r="BS227" s="54"/>
      <c r="BT227" s="146"/>
      <c r="BU227" s="54"/>
      <c r="BV227" s="54"/>
      <c r="BW227" s="146"/>
      <c r="BX227" s="54"/>
      <c r="BY227" s="54"/>
    </row>
    <row r="228" spans="1:77" hidden="1" x14ac:dyDescent="0.2">
      <c r="A228" s="4">
        <v>2</v>
      </c>
      <c r="B228" s="4" t="str">
        <f>B211</f>
        <v>Sumter VBC 13</v>
      </c>
      <c r="C228" s="4">
        <f>VLOOKUP(B228,AU$2:AY$22,4,FALSE)</f>
        <v>1612.4245874710323</v>
      </c>
      <c r="D228" s="4">
        <f>IF(A228=B218,B233,IF(A228=D218,D233,C228))</f>
        <v>1612.4245874710323</v>
      </c>
      <c r="G228" s="4">
        <f>IF(A228=E218,E233,IF(A228=G218,G233,D228))</f>
        <v>1604.7543289628434</v>
      </c>
      <c r="J228" s="4">
        <f>IF(A228=H218,H233,IF(A228=J218,J233,G228))</f>
        <v>1604.7543289628434</v>
      </c>
      <c r="U228" s="164"/>
      <c r="V228" s="164">
        <v>2</v>
      </c>
      <c r="W228" s="4" t="str">
        <f>X211</f>
        <v>C1VB Juniors Black</v>
      </c>
      <c r="X228" s="4">
        <f>VLOOKUP(W228,AU$2:AY$22,4,FALSE)</f>
        <v>1523.8845203225976</v>
      </c>
      <c r="Y228" s="4">
        <f>IF(V228=W218,W233,IF(V228=Y218,Y233,X228))</f>
        <v>1523.8845203225976</v>
      </c>
      <c r="AB228" s="4">
        <f>IF(V228=Z218,Z233,IF(V228=AB218,AB233,Y228))</f>
        <v>1514.8461190674018</v>
      </c>
      <c r="AE228" s="4">
        <f>IF(V228=AC218,AC233,IF(V228=AE218,AE233,AB228))</f>
        <v>1514.8461190674018</v>
      </c>
      <c r="AT228" s="4" t="str">
        <f>B229</f>
        <v>Chas Jrs 13 White</v>
      </c>
      <c r="AU228" s="4">
        <f>J229</f>
        <v>1624.0611052715087</v>
      </c>
      <c r="AW228" s="146"/>
      <c r="AX228" s="54"/>
      <c r="AY228" s="54"/>
      <c r="AZ228" s="54"/>
      <c r="BA228" s="54"/>
      <c r="BB228" s="146"/>
      <c r="BC228" s="54"/>
      <c r="BD228" s="54"/>
      <c r="BE228" s="146"/>
      <c r="BF228" s="54"/>
      <c r="BG228" s="54"/>
      <c r="BH228" s="146"/>
      <c r="BI228" s="54"/>
      <c r="BJ228" s="54"/>
      <c r="BK228" s="146"/>
      <c r="BL228" s="54"/>
      <c r="BM228" s="54"/>
      <c r="BN228" s="146"/>
      <c r="BO228" s="54"/>
      <c r="BP228" s="54"/>
      <c r="BQ228" s="146"/>
      <c r="BR228" s="54"/>
      <c r="BS228" s="54"/>
      <c r="BT228" s="146"/>
      <c r="BU228" s="54"/>
      <c r="BV228" s="54"/>
      <c r="BW228" s="146"/>
      <c r="BX228" s="54"/>
      <c r="BY228" s="54"/>
    </row>
    <row r="229" spans="1:77" hidden="1" x14ac:dyDescent="0.2">
      <c r="A229" s="4">
        <v>3</v>
      </c>
      <c r="B229" s="4" t="str">
        <f>B212</f>
        <v>Chas Jrs 13 White</v>
      </c>
      <c r="C229" s="4">
        <f>VLOOKUP(B229,AU$2:AY$22,4,FALSE)</f>
        <v>1626.7531964653876</v>
      </c>
      <c r="D229" s="4">
        <f>IF(A229=B218,B233,IF(A229=D218,D233,C229))</f>
        <v>1626.7531964653876</v>
      </c>
      <c r="G229" s="4">
        <f>IF(A229=E218,E233,IF(A229=G218,G233,D229))</f>
        <v>1634.4234549735766</v>
      </c>
      <c r="J229" s="4">
        <f>IF(A229=H218,H233,IF(A229=J218,J233,G229))</f>
        <v>1624.0611052715087</v>
      </c>
      <c r="U229" s="164"/>
      <c r="V229" s="164">
        <v>3</v>
      </c>
      <c r="W229" s="4" t="str">
        <f>X212</f>
        <v>MEVC13U</v>
      </c>
      <c r="X229" s="4">
        <f>VLOOKUP(W229,AU$2:AY$22,4,FALSE)</f>
        <v>1478.5314682985249</v>
      </c>
      <c r="Y229" s="4">
        <f>IF(V229=W218,W233,IF(V229=Y218,Y233,X229))</f>
        <v>1478.5314682985249</v>
      </c>
      <c r="AB229" s="4">
        <f>IF(V229=Z218,Z233,IF(V229=AB218,AB233,Y229))</f>
        <v>1487.5698695537208</v>
      </c>
      <c r="AE229" s="4">
        <f>IF(V229=AC218,AC233,IF(V229=AE218,AE233,AB229))</f>
        <v>1477.7407601574198</v>
      </c>
      <c r="AT229" s="4" t="str">
        <f>B230</f>
        <v>SC Midlands 13 Black</v>
      </c>
      <c r="AU229" s="4">
        <f>J230</f>
        <v>1561.769821982075</v>
      </c>
      <c r="AW229" s="146"/>
      <c r="AX229" s="54"/>
      <c r="AY229" s="54"/>
      <c r="AZ229" s="54"/>
      <c r="BA229" s="54"/>
      <c r="BB229" s="146"/>
      <c r="BC229" s="54"/>
      <c r="BD229" s="54"/>
      <c r="BE229" s="146"/>
      <c r="BF229" s="54"/>
      <c r="BG229" s="54"/>
      <c r="BH229" s="146"/>
      <c r="BI229" s="54"/>
      <c r="BJ229" s="54"/>
      <c r="BK229" s="146"/>
      <c r="BL229" s="54"/>
      <c r="BM229" s="54"/>
      <c r="BN229" s="146"/>
      <c r="BO229" s="54"/>
      <c r="BP229" s="54"/>
      <c r="BQ229" s="146"/>
      <c r="BR229" s="54"/>
      <c r="BS229" s="54"/>
      <c r="BT229" s="146"/>
      <c r="BU229" s="54"/>
      <c r="BV229" s="54"/>
      <c r="BW229" s="146"/>
      <c r="BX229" s="54"/>
      <c r="BY229" s="54"/>
    </row>
    <row r="230" spans="1:77" hidden="1" x14ac:dyDescent="0.2">
      <c r="A230" s="4">
        <v>4</v>
      </c>
      <c r="B230" s="4" t="str">
        <f>B213</f>
        <v>SC Midlands 13 Black</v>
      </c>
      <c r="C230" s="4">
        <f>VLOOKUP(B230,AU$2:AY$22,4,FALSE)</f>
        <v>1565.7393891364038</v>
      </c>
      <c r="D230" s="4">
        <f>IF(A230=B218,B233,IF(A230=D218,D233,C230))</f>
        <v>1561.769821982075</v>
      </c>
      <c r="G230" s="4">
        <f>IF(A230=E218,E233,IF(A230=G218,G233,D230))</f>
        <v>1561.769821982075</v>
      </c>
      <c r="J230" s="4">
        <f>IF(A230=H218,H233,IF(A230=J218,J233,G230))</f>
        <v>1561.769821982075</v>
      </c>
      <c r="U230" s="164"/>
      <c r="V230" s="164">
        <v>4</v>
      </c>
      <c r="W230" s="4" t="str">
        <f>X213</f>
        <v>MBVC 13 Red</v>
      </c>
      <c r="X230" s="4">
        <f>VLOOKUP(W230,AU$2:AY$22,4,FALSE)</f>
        <v>1551.0543894736661</v>
      </c>
      <c r="Y230" s="4">
        <f>IF(V230=W218,W233,IF(V230=Y218,Y233,X230))</f>
        <v>1544.6766769581895</v>
      </c>
      <c r="AB230" s="4">
        <f>IF(V230=Z218,Z233,IF(V230=AB218,AB233,Y230))</f>
        <v>1544.6766769581895</v>
      </c>
      <c r="AE230" s="4">
        <f>IF(V230=AC218,AC233,IF(V230=AE218,AE233,AB230))</f>
        <v>1544.6766769581895</v>
      </c>
      <c r="AT230" s="4" t="str">
        <f>W227</f>
        <v>RHVC 13 Club Jade</v>
      </c>
      <c r="AU230" s="4">
        <f>AE227</f>
        <v>1638.7065670849699</v>
      </c>
      <c r="AW230" s="146"/>
      <c r="AX230" s="54"/>
      <c r="AY230" s="54"/>
      <c r="AZ230" s="54"/>
      <c r="BA230" s="54"/>
      <c r="BB230" s="146"/>
      <c r="BC230" s="54"/>
      <c r="BD230" s="54"/>
      <c r="BE230" s="146"/>
      <c r="BF230" s="54"/>
      <c r="BG230" s="54"/>
      <c r="BH230" s="146"/>
      <c r="BI230" s="54"/>
      <c r="BJ230" s="54"/>
      <c r="BK230" s="146"/>
      <c r="BL230" s="54"/>
      <c r="BM230" s="54"/>
      <c r="BN230" s="146"/>
      <c r="BO230" s="54"/>
      <c r="BP230" s="54"/>
      <c r="BQ230" s="146"/>
      <c r="BR230" s="54"/>
      <c r="BS230" s="54"/>
      <c r="BT230" s="146"/>
      <c r="BU230" s="54"/>
      <c r="BV230" s="54"/>
      <c r="BW230" s="146"/>
      <c r="BX230" s="54"/>
      <c r="BY230" s="54"/>
    </row>
    <row r="231" spans="1:77" hidden="1" x14ac:dyDescent="0.2">
      <c r="A231" s="4" t="s">
        <v>89</v>
      </c>
      <c r="B231" s="4">
        <f>VLOOKUP(B218,$A227:$J230,3,FALSE)</f>
        <v>1758.354629044893</v>
      </c>
      <c r="D231" s="4">
        <f>VLOOKUP(D218,$A227:$J230,3,FALSE)</f>
        <v>1565.7393891364038</v>
      </c>
      <c r="E231" s="4">
        <f>VLOOKUP(E218,$A227:$J230,4,FALSE)</f>
        <v>1612.4245874710323</v>
      </c>
      <c r="G231" s="4">
        <f>VLOOKUP(G218,$A227:$J230,4,FALSE)</f>
        <v>1626.7531964653876</v>
      </c>
      <c r="H231" s="4">
        <f>VLOOKUP(H218,$A227:$J230,7,FALSE)</f>
        <v>1762.3241961992219</v>
      </c>
      <c r="J231" s="4">
        <f>VLOOKUP(J218,$A227:$J230,7,FALSE)</f>
        <v>1634.4234549735766</v>
      </c>
      <c r="T231" s="682" t="s">
        <v>89</v>
      </c>
      <c r="U231" s="682"/>
      <c r="V231" s="682"/>
      <c r="W231" s="4">
        <f>VLOOKUP(W218,$V227:$AE230,3,FALSE)</f>
        <v>1622.4997451731924</v>
      </c>
      <c r="Y231" s="4">
        <f>VLOOKUP(Y218,$V227:$AE230,3,FALSE)</f>
        <v>1551.0543894736661</v>
      </c>
      <c r="Z231" s="4">
        <f>VLOOKUP(Z218,$V227:$AE230,4,FALSE)</f>
        <v>1523.8845203225976</v>
      </c>
      <c r="AB231" s="4">
        <f>VLOOKUP(AB218,$V227:$AE230,4,FALSE)</f>
        <v>1478.5314682985249</v>
      </c>
      <c r="AC231" s="4">
        <f>VLOOKUP(AC218,$V227:$AE230,7,FALSE)</f>
        <v>1628.877457688669</v>
      </c>
      <c r="AE231" s="4">
        <f>VLOOKUP(AE218,$V227:$AE230,7,FALSE)</f>
        <v>1487.5698695537208</v>
      </c>
      <c r="AT231" s="4" t="str">
        <f>W228</f>
        <v>C1VB Juniors Black</v>
      </c>
      <c r="AU231" s="4">
        <f>AE228</f>
        <v>1514.8461190674018</v>
      </c>
      <c r="AW231" s="146"/>
      <c r="AX231" s="54"/>
      <c r="AY231" s="54"/>
      <c r="AZ231" s="54"/>
      <c r="BA231" s="54"/>
      <c r="BB231" s="146"/>
      <c r="BC231" s="54"/>
      <c r="BD231" s="54"/>
      <c r="BE231" s="146"/>
      <c r="BF231" s="54"/>
      <c r="BG231" s="54"/>
      <c r="BH231" s="146"/>
      <c r="BI231" s="54"/>
      <c r="BJ231" s="54"/>
      <c r="BK231" s="146"/>
      <c r="BL231" s="54"/>
      <c r="BM231" s="54"/>
      <c r="BN231" s="146"/>
      <c r="BO231" s="54"/>
      <c r="BP231" s="54"/>
      <c r="BQ231" s="146"/>
      <c r="BR231" s="54"/>
      <c r="BS231" s="54"/>
      <c r="BT231" s="146"/>
      <c r="BU231" s="54"/>
      <c r="BV231" s="54"/>
      <c r="BW231" s="146"/>
      <c r="BX231" s="54"/>
      <c r="BY231" s="54"/>
    </row>
    <row r="232" spans="1:77" hidden="1" x14ac:dyDescent="0.2">
      <c r="A232" s="68" t="s">
        <v>90</v>
      </c>
      <c r="B232" s="68">
        <f>1/(1+(10^-((B231-D231)/400)))*(B222+D222)</f>
        <v>0.75190205285444356</v>
      </c>
      <c r="C232" s="68"/>
      <c r="D232" s="68">
        <f>1/(1+(10^-((D231-B231)/400)))*(B222+D222)</f>
        <v>0.2480979471455565</v>
      </c>
      <c r="E232" s="68">
        <f>1/(1+(10^-((E231-G231)/400)))*(E222+G222)</f>
        <v>0.47939115676181226</v>
      </c>
      <c r="G232" s="68">
        <f>1/(1+(10^-((G231-E231)/400)))*(E222+G222)</f>
        <v>0.52060884323818779</v>
      </c>
      <c r="H232" s="68">
        <f>1/(1+(10^-((H231-J231)/400)))*(H222+J222)</f>
        <v>1.3523531436207641</v>
      </c>
      <c r="J232" s="68">
        <f>1/(1+(10^-((J231-H231)/400)))*(H222+J222)</f>
        <v>0.64764685637923591</v>
      </c>
      <c r="T232" s="683" t="s">
        <v>90</v>
      </c>
      <c r="U232" s="683"/>
      <c r="V232" s="683"/>
      <c r="W232" s="68">
        <f>1/(1+(10^-((W231-Y231)/400)))*(W222+Y222)</f>
        <v>0.60139296778271434</v>
      </c>
      <c r="X232" s="68"/>
      <c r="Y232" s="68">
        <f>1/(1+(10^-((Y231-W231)/400)))*(W222+Y222)</f>
        <v>0.39860703221728572</v>
      </c>
      <c r="Z232" s="68">
        <f>1/(1+(10^-((Z231-AB231)/400)))*(Z222+AB222)</f>
        <v>0.56490007844973666</v>
      </c>
      <c r="AB232" s="68">
        <f>1/(1+(10^-((AB231-Z231)/400)))*(Z222+AB222)</f>
        <v>0.43509992155026334</v>
      </c>
      <c r="AC232" s="68">
        <f>1/(1+(10^-((AC231-AE231)/400)))*(AC222+AE222)</f>
        <v>1.3856806627311944</v>
      </c>
      <c r="AE232" s="68">
        <f>1/(1+(10^-((AE231-AC231)/400)))*(AC222+AE222)</f>
        <v>0.61431933726880561</v>
      </c>
      <c r="AT232" s="4" t="str">
        <f>W229</f>
        <v>MEVC13U</v>
      </c>
      <c r="AU232" s="4">
        <f>AE229</f>
        <v>1477.7407601574198</v>
      </c>
      <c r="AW232" s="146"/>
      <c r="AX232" s="54"/>
      <c r="AY232" s="54"/>
      <c r="AZ232" s="54"/>
      <c r="BA232" s="54"/>
      <c r="BB232" s="146"/>
      <c r="BC232" s="54"/>
      <c r="BD232" s="54"/>
      <c r="BE232" s="146"/>
      <c r="BF232" s="54"/>
      <c r="BG232" s="54"/>
      <c r="BH232" s="146"/>
      <c r="BI232" s="54"/>
      <c r="BJ232" s="54"/>
      <c r="BK232" s="146"/>
      <c r="BL232" s="54"/>
      <c r="BM232" s="54"/>
      <c r="BN232" s="146"/>
      <c r="BO232" s="54"/>
      <c r="BP232" s="54"/>
      <c r="BQ232" s="146"/>
      <c r="BR232" s="54"/>
      <c r="BS232" s="54"/>
      <c r="BT232" s="146"/>
      <c r="BU232" s="54"/>
      <c r="BV232" s="54"/>
      <c r="BW232" s="146"/>
      <c r="BX232" s="54"/>
      <c r="BY232" s="54"/>
    </row>
    <row r="233" spans="1:77" hidden="1" x14ac:dyDescent="0.2">
      <c r="A233" s="74" t="s">
        <v>91</v>
      </c>
      <c r="B233" s="74">
        <f>B231+(B222-B232)*$BA$2</f>
        <v>1762.3241961992219</v>
      </c>
      <c r="C233" s="74"/>
      <c r="D233" s="74">
        <f>D231+(D222-D232)*$BA$2</f>
        <v>1561.769821982075</v>
      </c>
      <c r="E233" s="74">
        <f>E231+(E222-E232)*$BA$2</f>
        <v>1604.7543289628434</v>
      </c>
      <c r="G233" s="74">
        <f>G231+(G222-G232)*$BA$2</f>
        <v>1634.4234549735766</v>
      </c>
      <c r="H233" s="74">
        <f>H231+(H222-H232)*$BA$2</f>
        <v>1772.6865459012897</v>
      </c>
      <c r="J233" s="74">
        <f>J231+(J222-J232)*$BA$2</f>
        <v>1624.0611052715087</v>
      </c>
      <c r="T233" s="669" t="s">
        <v>91</v>
      </c>
      <c r="U233" s="669"/>
      <c r="V233" s="669"/>
      <c r="W233" s="74">
        <f>W231+(W222-W232)*$BA$2</f>
        <v>1628.877457688669</v>
      </c>
      <c r="X233" s="74"/>
      <c r="Y233" s="74">
        <f>Y231+(Y222-Y232)*$BA$2</f>
        <v>1544.6766769581895</v>
      </c>
      <c r="Z233" s="74">
        <f>Z231+(Z222-Z232)*$BA$2</f>
        <v>1514.8461190674018</v>
      </c>
      <c r="AB233" s="74">
        <f>AB231+(AB222-AB232)*$BA$2</f>
        <v>1487.5698695537208</v>
      </c>
      <c r="AC233" s="74">
        <f>AC231+(AC222-AC232)*$BA$2</f>
        <v>1638.7065670849699</v>
      </c>
      <c r="AE233" s="74">
        <f>AE231+(AE222-AE232)*$BA$2</f>
        <v>1477.7407601574198</v>
      </c>
      <c r="AT233" s="4" t="str">
        <f>W230</f>
        <v>MBVC 13 Red</v>
      </c>
      <c r="AU233" s="4">
        <f>AE230</f>
        <v>1544.6766769581895</v>
      </c>
      <c r="AW233" s="146"/>
      <c r="AX233" s="54"/>
      <c r="AY233" s="54"/>
      <c r="AZ233" s="54"/>
      <c r="BA233" s="54"/>
      <c r="BB233" s="146"/>
      <c r="BC233" s="54"/>
      <c r="BD233" s="54"/>
      <c r="BE233" s="146"/>
      <c r="BF233" s="54"/>
      <c r="BG233" s="54"/>
      <c r="BH233" s="146"/>
      <c r="BI233" s="54"/>
      <c r="BJ233" s="54"/>
      <c r="BK233" s="146"/>
      <c r="BL233" s="54"/>
      <c r="BM233" s="54"/>
      <c r="BN233" s="146"/>
      <c r="BO233" s="54"/>
      <c r="BP233" s="54"/>
      <c r="BQ233" s="146"/>
      <c r="BR233" s="54"/>
      <c r="BS233" s="54"/>
      <c r="BT233" s="146"/>
      <c r="BU233" s="54"/>
      <c r="BV233" s="54"/>
      <c r="BW233" s="146"/>
      <c r="BX233" s="54"/>
      <c r="BY233" s="54"/>
    </row>
    <row r="234" spans="1:77" x14ac:dyDescent="0.2">
      <c r="A234" s="670" t="s">
        <v>141</v>
      </c>
      <c r="B234" s="670"/>
      <c r="C234" s="670"/>
      <c r="D234" s="670"/>
      <c r="E234" s="670"/>
      <c r="F234" s="670"/>
      <c r="G234" s="670"/>
      <c r="H234" s="670"/>
      <c r="I234" s="670"/>
      <c r="J234" s="670"/>
      <c r="K234" s="670"/>
      <c r="L234" s="670"/>
      <c r="M234" s="670"/>
      <c r="R234" s="85"/>
      <c r="S234" s="85"/>
      <c r="T234" s="86"/>
      <c r="U234" s="86"/>
      <c r="V234" s="670" t="s">
        <v>141</v>
      </c>
      <c r="W234" s="670"/>
      <c r="X234" s="670"/>
      <c r="Y234" s="670"/>
      <c r="Z234" s="670"/>
      <c r="AA234" s="670"/>
      <c r="AB234" s="670"/>
      <c r="AC234" s="670"/>
      <c r="AD234" s="670"/>
      <c r="AE234" s="670"/>
      <c r="AF234" s="670"/>
      <c r="AG234" s="670"/>
      <c r="AH234" s="85"/>
      <c r="AI234" s="85"/>
      <c r="AJ234" s="85"/>
      <c r="AW234" s="146"/>
      <c r="AX234" s="54"/>
      <c r="AY234" s="54"/>
      <c r="AZ234" s="54"/>
      <c r="BA234" s="54"/>
    </row>
    <row r="235" spans="1:77" x14ac:dyDescent="0.2">
      <c r="AT235" s="54"/>
      <c r="AU235" s="54"/>
      <c r="AV235" s="54"/>
      <c r="AW235" s="146"/>
      <c r="AX235" s="54"/>
      <c r="AY235" s="54"/>
      <c r="AZ235" s="54"/>
      <c r="BA235" s="54"/>
    </row>
    <row r="236" spans="1:77" x14ac:dyDescent="0.2">
      <c r="AT236" s="54"/>
      <c r="AU236" s="54"/>
      <c r="AV236" s="54"/>
      <c r="AW236" s="146"/>
      <c r="AX236" s="54"/>
      <c r="AY236" s="54"/>
      <c r="AZ236" s="54"/>
      <c r="BA236" s="54"/>
    </row>
    <row r="237" spans="1:77" x14ac:dyDescent="0.2">
      <c r="AT237" s="54"/>
      <c r="AU237" s="54"/>
      <c r="AV237" s="54"/>
      <c r="AW237" s="146"/>
      <c r="AX237" s="54"/>
      <c r="AY237" s="54"/>
      <c r="AZ237" s="54"/>
      <c r="BA237" s="54"/>
    </row>
    <row r="238" spans="1:77" x14ac:dyDescent="0.2">
      <c r="AT238" s="54"/>
      <c r="AU238" s="54"/>
      <c r="AV238" s="54"/>
      <c r="AW238" s="146"/>
      <c r="AX238" s="54"/>
      <c r="AY238" s="54"/>
      <c r="AZ238" s="54"/>
      <c r="BA238" s="54"/>
    </row>
    <row r="239" spans="1:77" x14ac:dyDescent="0.2">
      <c r="AT239" s="54"/>
      <c r="AU239" s="54"/>
      <c r="AV239" s="54"/>
      <c r="AW239" s="146"/>
      <c r="AX239" s="54"/>
      <c r="AY239" s="54"/>
      <c r="AZ239" s="54"/>
      <c r="BA239" s="54"/>
    </row>
    <row r="240" spans="1:77" x14ac:dyDescent="0.2">
      <c r="AT240" s="54"/>
      <c r="AU240" s="54"/>
      <c r="AV240" s="54"/>
      <c r="AW240" s="146"/>
      <c r="AX240" s="54"/>
      <c r="AY240" s="54"/>
      <c r="AZ240" s="54"/>
      <c r="BA240" s="54"/>
    </row>
    <row r="241" spans="46:53" x14ac:dyDescent="0.2">
      <c r="AT241" s="54"/>
      <c r="AU241" s="54"/>
      <c r="AV241" s="54"/>
      <c r="AW241" s="146"/>
      <c r="AX241" s="54"/>
      <c r="AY241" s="54"/>
      <c r="AZ241" s="54"/>
      <c r="BA241" s="54"/>
    </row>
    <row r="242" spans="46:53" x14ac:dyDescent="0.2">
      <c r="AT242" s="54"/>
      <c r="AU242" s="54"/>
      <c r="AV242" s="54"/>
      <c r="AW242" s="146"/>
      <c r="AX242" s="54"/>
      <c r="AY242" s="54"/>
      <c r="AZ242" s="54"/>
      <c r="BA242" s="54"/>
    </row>
    <row r="243" spans="46:53" x14ac:dyDescent="0.2">
      <c r="AT243" s="54"/>
      <c r="AU243" s="54"/>
      <c r="AV243" s="54"/>
      <c r="AW243" s="146"/>
      <c r="AX243" s="54"/>
      <c r="AY243" s="54"/>
      <c r="AZ243" s="54"/>
      <c r="BA243" s="54"/>
    </row>
    <row r="244" spans="46:53" x14ac:dyDescent="0.2">
      <c r="AT244" s="54"/>
      <c r="AU244" s="54"/>
      <c r="AV244" s="54"/>
      <c r="AW244" s="146"/>
      <c r="AX244" s="54"/>
      <c r="AY244" s="54"/>
      <c r="AZ244" s="54"/>
      <c r="BA244" s="54"/>
    </row>
    <row r="245" spans="46:53" x14ac:dyDescent="0.2">
      <c r="AT245" s="54"/>
      <c r="AU245" s="54"/>
      <c r="AV245" s="54"/>
      <c r="AW245" s="146"/>
      <c r="AX245" s="54"/>
      <c r="AY245" s="54"/>
      <c r="AZ245" s="54"/>
      <c r="BA245" s="54"/>
    </row>
    <row r="246" spans="46:53" x14ac:dyDescent="0.2">
      <c r="AT246" s="54"/>
      <c r="AU246" s="54"/>
      <c r="AV246" s="54"/>
      <c r="AW246" s="146"/>
      <c r="AX246" s="54"/>
      <c r="AY246" s="54"/>
      <c r="AZ246" s="54"/>
      <c r="BA246" s="54"/>
    </row>
    <row r="247" spans="46:53" x14ac:dyDescent="0.2">
      <c r="AT247" s="54"/>
      <c r="AU247" s="54"/>
      <c r="AV247" s="54"/>
    </row>
    <row r="248" spans="46:53" x14ac:dyDescent="0.2">
      <c r="AT248" s="54"/>
      <c r="AU248" s="54"/>
      <c r="AV248" s="54"/>
      <c r="AW248" s="65"/>
      <c r="AX248" s="61"/>
      <c r="AY248" s="61"/>
      <c r="AZ248" s="61"/>
      <c r="BA248" s="61"/>
    </row>
    <row r="249" spans="46:53" x14ac:dyDescent="0.2">
      <c r="AT249" s="54"/>
      <c r="AU249" s="54"/>
      <c r="AV249" s="54"/>
      <c r="AW249" s="65"/>
      <c r="AX249" s="61"/>
      <c r="AY249" s="61"/>
      <c r="AZ249" s="61"/>
      <c r="BA249" s="61"/>
    </row>
    <row r="250" spans="46:53" x14ac:dyDescent="0.2">
      <c r="AT250" s="54"/>
      <c r="AU250" s="54"/>
      <c r="AV250" s="54"/>
      <c r="AW250" s="65"/>
      <c r="AX250" s="61"/>
      <c r="AY250" s="61"/>
      <c r="AZ250" s="61"/>
      <c r="BA250" s="61"/>
    </row>
    <row r="251" spans="46:53" x14ac:dyDescent="0.2">
      <c r="AT251" s="54"/>
      <c r="AU251" s="54"/>
      <c r="AV251" s="54"/>
      <c r="AW251" s="65"/>
      <c r="AX251" s="61"/>
      <c r="AY251" s="61"/>
      <c r="AZ251" s="61"/>
      <c r="BA251" s="61"/>
    </row>
    <row r="252" spans="46:53" x14ac:dyDescent="0.2">
      <c r="AT252" s="54"/>
      <c r="AU252" s="54"/>
      <c r="AV252" s="54"/>
      <c r="AW252" s="65"/>
      <c r="AX252" s="61"/>
      <c r="AY252" s="61"/>
      <c r="AZ252" s="61"/>
      <c r="BA252" s="61"/>
    </row>
    <row r="253" spans="46:53" x14ac:dyDescent="0.2">
      <c r="AT253" s="54"/>
      <c r="AU253" s="54"/>
      <c r="AV253" s="54"/>
      <c r="AW253" s="65"/>
      <c r="AX253" s="61"/>
      <c r="AY253" s="61"/>
      <c r="AZ253" s="61"/>
      <c r="BA253" s="61"/>
    </row>
    <row r="254" spans="46:53" x14ac:dyDescent="0.2">
      <c r="AT254" s="54"/>
      <c r="AU254" s="54"/>
      <c r="AV254" s="54"/>
      <c r="AW254" s="65"/>
      <c r="AX254" s="61"/>
      <c r="AY254" s="61"/>
      <c r="AZ254" s="61"/>
      <c r="BA254" s="61"/>
    </row>
    <row r="255" spans="46:53" x14ac:dyDescent="0.2">
      <c r="AT255" s="54"/>
      <c r="AU255" s="54"/>
      <c r="AV255" s="54"/>
      <c r="AW255" s="65"/>
      <c r="AX255" s="61"/>
      <c r="AY255" s="61"/>
      <c r="AZ255" s="61"/>
      <c r="BA255" s="61"/>
    </row>
    <row r="256" spans="46:53" x14ac:dyDescent="0.2">
      <c r="AT256" s="54"/>
      <c r="AU256" s="54"/>
      <c r="AV256" s="54"/>
      <c r="AW256" s="72"/>
      <c r="AX256" s="71"/>
      <c r="AY256" s="71"/>
      <c r="AZ256" s="71"/>
      <c r="BA256" s="71"/>
    </row>
    <row r="257" spans="46:53" x14ac:dyDescent="0.2">
      <c r="AT257" s="54"/>
      <c r="AU257" s="54"/>
      <c r="AV257" s="54"/>
      <c r="AW257" s="78"/>
      <c r="AX257" s="77"/>
      <c r="AY257" s="77"/>
      <c r="AZ257" s="77"/>
      <c r="BA257" s="77"/>
    </row>
    <row r="258" spans="46:53" x14ac:dyDescent="0.2">
      <c r="AT258" s="54"/>
      <c r="AU258" s="54"/>
      <c r="AV258" s="54"/>
      <c r="AW258" s="78"/>
      <c r="AX258" s="77"/>
      <c r="AY258" s="77"/>
      <c r="AZ258" s="77"/>
      <c r="BA258" s="77"/>
    </row>
    <row r="259" spans="46:53" x14ac:dyDescent="0.2">
      <c r="AT259" s="54"/>
      <c r="AU259" s="54"/>
      <c r="AV259" s="54"/>
      <c r="AW259" s="65"/>
      <c r="AX259" s="61"/>
      <c r="AY259" s="61"/>
      <c r="AZ259" s="61"/>
      <c r="BA259" s="61"/>
    </row>
    <row r="260" spans="46:53" x14ac:dyDescent="0.2">
      <c r="AT260" s="61"/>
      <c r="AU260" s="61"/>
      <c r="AV260" s="61"/>
      <c r="AW260" s="65"/>
      <c r="AX260" s="61"/>
      <c r="AY260" s="61"/>
      <c r="AZ260" s="61"/>
      <c r="BA260" s="61"/>
    </row>
    <row r="261" spans="46:53" x14ac:dyDescent="0.2">
      <c r="AT261" s="61"/>
      <c r="AU261" s="61"/>
      <c r="AV261" s="61"/>
    </row>
    <row r="286" spans="46:53" x14ac:dyDescent="0.2">
      <c r="AT286" s="54"/>
      <c r="AU286" s="54"/>
      <c r="AV286" s="54"/>
      <c r="AW286" s="146"/>
      <c r="AX286" s="54"/>
      <c r="AY286" s="54"/>
      <c r="AZ286" s="54"/>
      <c r="BA286" s="54"/>
    </row>
    <row r="287" spans="46:53" x14ac:dyDescent="0.2">
      <c r="AT287" s="54"/>
      <c r="AU287" s="54"/>
      <c r="AV287" s="54"/>
      <c r="AW287" s="146"/>
      <c r="AX287" s="54"/>
      <c r="AY287" s="54"/>
      <c r="AZ287" s="54"/>
      <c r="BA287" s="54"/>
    </row>
    <row r="288" spans="46:53" x14ac:dyDescent="0.2">
      <c r="AT288" s="54"/>
      <c r="AU288" s="54"/>
      <c r="AV288" s="54"/>
      <c r="AW288" s="146"/>
      <c r="AX288" s="54"/>
      <c r="AY288" s="54"/>
      <c r="AZ288" s="54"/>
      <c r="BA288" s="54"/>
    </row>
    <row r="289" spans="46:53" x14ac:dyDescent="0.2">
      <c r="AT289" s="54"/>
      <c r="AU289" s="54"/>
      <c r="AV289" s="54"/>
      <c r="AW289" s="146"/>
      <c r="AX289" s="54"/>
      <c r="AY289" s="54"/>
      <c r="AZ289" s="54"/>
      <c r="BA289" s="54"/>
    </row>
    <row r="290" spans="46:53" x14ac:dyDescent="0.2">
      <c r="AT290" s="54"/>
      <c r="AU290" s="54"/>
      <c r="AV290" s="54"/>
      <c r="AW290" s="146"/>
      <c r="AX290" s="54"/>
      <c r="AY290" s="54"/>
      <c r="AZ290" s="54"/>
      <c r="BA290" s="54"/>
    </row>
    <row r="291" spans="46:53" x14ac:dyDescent="0.2">
      <c r="AT291" s="54"/>
      <c r="AU291" s="54"/>
      <c r="AV291" s="54"/>
      <c r="AW291" s="146"/>
      <c r="AX291" s="54"/>
      <c r="AY291" s="54"/>
      <c r="AZ291" s="54"/>
      <c r="BA291" s="54"/>
    </row>
    <row r="292" spans="46:53" x14ac:dyDescent="0.2">
      <c r="AT292" s="54"/>
      <c r="AU292" s="54"/>
      <c r="AV292" s="54"/>
      <c r="AW292" s="146"/>
      <c r="AX292" s="54"/>
      <c r="AY292" s="54"/>
      <c r="AZ292" s="54"/>
      <c r="BA292" s="54"/>
    </row>
    <row r="293" spans="46:53" x14ac:dyDescent="0.2">
      <c r="AT293" s="54"/>
      <c r="AU293" s="54"/>
      <c r="AV293" s="54"/>
      <c r="AW293" s="146"/>
      <c r="AX293" s="54"/>
      <c r="AY293" s="54"/>
      <c r="AZ293" s="54"/>
      <c r="BA293" s="54"/>
    </row>
    <row r="294" spans="46:53" x14ac:dyDescent="0.2">
      <c r="AT294" s="54"/>
      <c r="AU294" s="54"/>
      <c r="AV294" s="54"/>
      <c r="AW294" s="146"/>
      <c r="AX294" s="54"/>
      <c r="AY294" s="54"/>
      <c r="AZ294" s="54"/>
      <c r="BA294" s="54"/>
    </row>
    <row r="295" spans="46:53" x14ac:dyDescent="0.2">
      <c r="AT295" s="54"/>
      <c r="AU295" s="54"/>
      <c r="AV295" s="54"/>
      <c r="AW295" s="146"/>
      <c r="AX295" s="54"/>
      <c r="AY295" s="54"/>
      <c r="AZ295" s="54"/>
      <c r="BA295" s="54"/>
    </row>
    <row r="296" spans="46:53" x14ac:dyDescent="0.2">
      <c r="AT296" s="54"/>
      <c r="AU296" s="54"/>
      <c r="AV296" s="54"/>
      <c r="AW296" s="146"/>
      <c r="AX296" s="54"/>
      <c r="AY296" s="54"/>
      <c r="AZ296" s="54"/>
      <c r="BA296" s="54"/>
    </row>
    <row r="297" spans="46:53" x14ac:dyDescent="0.2">
      <c r="AT297" s="54"/>
      <c r="AU297" s="54"/>
      <c r="AV297" s="54"/>
      <c r="AW297" s="146"/>
      <c r="AX297" s="54"/>
      <c r="AY297" s="54"/>
      <c r="AZ297" s="54"/>
      <c r="BA297" s="54"/>
    </row>
    <row r="298" spans="46:53" x14ac:dyDescent="0.2">
      <c r="AT298" s="54"/>
      <c r="AU298" s="54"/>
      <c r="AV298" s="54"/>
      <c r="AW298" s="146"/>
      <c r="AX298" s="54"/>
      <c r="AY298" s="54"/>
      <c r="AZ298" s="54"/>
      <c r="BA298" s="54"/>
    </row>
    <row r="299" spans="46:53" x14ac:dyDescent="0.2">
      <c r="AT299" s="54"/>
      <c r="AU299" s="54"/>
      <c r="AV299" s="54"/>
      <c r="AW299" s="146"/>
      <c r="AX299" s="54"/>
      <c r="AY299" s="54"/>
      <c r="AZ299" s="54"/>
      <c r="BA299" s="54"/>
    </row>
    <row r="300" spans="46:53" x14ac:dyDescent="0.2">
      <c r="AT300" s="54"/>
      <c r="AU300" s="54"/>
      <c r="AV300" s="54"/>
      <c r="AW300" s="146"/>
      <c r="AX300" s="54"/>
      <c r="AY300" s="54"/>
      <c r="AZ300" s="54"/>
      <c r="BA300" s="54"/>
    </row>
    <row r="301" spans="46:53" x14ac:dyDescent="0.2">
      <c r="AT301" s="54"/>
      <c r="AU301" s="54"/>
      <c r="AV301" s="54"/>
      <c r="AW301" s="146"/>
      <c r="AX301" s="54"/>
      <c r="AY301" s="54"/>
      <c r="AZ301" s="54"/>
      <c r="BA301" s="54"/>
    </row>
    <row r="302" spans="46:53" x14ac:dyDescent="0.2">
      <c r="AT302" s="54"/>
      <c r="AU302" s="54"/>
      <c r="AV302" s="54"/>
      <c r="AW302" s="146"/>
      <c r="AX302" s="54"/>
      <c r="AY302" s="54"/>
      <c r="AZ302" s="54"/>
      <c r="BA302" s="54"/>
    </row>
    <row r="303" spans="46:53" x14ac:dyDescent="0.2">
      <c r="AT303" s="54"/>
      <c r="AU303" s="54"/>
      <c r="AV303" s="54"/>
      <c r="AW303" s="146"/>
      <c r="AX303" s="54"/>
      <c r="AY303" s="54"/>
      <c r="AZ303" s="54"/>
      <c r="BA303" s="54"/>
    </row>
    <row r="304" spans="46:53" x14ac:dyDescent="0.2">
      <c r="AT304" s="54"/>
      <c r="AU304" s="54"/>
      <c r="AV304" s="54"/>
      <c r="AW304" s="146"/>
      <c r="AX304" s="54"/>
      <c r="AY304" s="54"/>
      <c r="AZ304" s="54"/>
      <c r="BA304" s="54"/>
    </row>
    <row r="305" spans="46:53" x14ac:dyDescent="0.2">
      <c r="AT305" s="54"/>
      <c r="AU305" s="54"/>
      <c r="AV305" s="54"/>
      <c r="AW305" s="146"/>
      <c r="AX305" s="54"/>
      <c r="AY305" s="54"/>
      <c r="AZ305" s="54"/>
      <c r="BA305" s="54"/>
    </row>
    <row r="306" spans="46:53" x14ac:dyDescent="0.2">
      <c r="AT306" s="54"/>
      <c r="AU306" s="54"/>
      <c r="AV306" s="54"/>
      <c r="AW306" s="146"/>
      <c r="AX306" s="54"/>
      <c r="AY306" s="54"/>
      <c r="AZ306" s="54"/>
      <c r="BA306" s="54"/>
    </row>
    <row r="307" spans="46:53" x14ac:dyDescent="0.2">
      <c r="AT307" s="54"/>
      <c r="AU307" s="54"/>
      <c r="AV307" s="54"/>
      <c r="AW307" s="146"/>
      <c r="AX307" s="54"/>
      <c r="AY307" s="54"/>
      <c r="AZ307" s="54"/>
      <c r="BA307" s="54"/>
    </row>
    <row r="308" spans="46:53" x14ac:dyDescent="0.2">
      <c r="AT308" s="54"/>
      <c r="AU308" s="54"/>
      <c r="AV308" s="54"/>
      <c r="AW308" s="146"/>
      <c r="AX308" s="54"/>
      <c r="AY308" s="54"/>
      <c r="AZ308" s="54"/>
      <c r="BA308" s="54"/>
    </row>
    <row r="309" spans="46:53" x14ac:dyDescent="0.2">
      <c r="AT309" s="54"/>
      <c r="AU309" s="54"/>
      <c r="AV309" s="54"/>
      <c r="AW309" s="146"/>
      <c r="AX309" s="54"/>
      <c r="AY309" s="54"/>
      <c r="AZ309" s="54"/>
      <c r="BA309" s="54"/>
    </row>
    <row r="310" spans="46:53" x14ac:dyDescent="0.2">
      <c r="AT310" s="54"/>
      <c r="AU310" s="54"/>
      <c r="AV310" s="54"/>
      <c r="AW310" s="146"/>
      <c r="AX310" s="54"/>
      <c r="AY310" s="54"/>
      <c r="AZ310" s="54"/>
      <c r="BA310" s="54"/>
    </row>
    <row r="311" spans="46:53" x14ac:dyDescent="0.2">
      <c r="AT311" s="54"/>
      <c r="AU311" s="54"/>
      <c r="AV311" s="54"/>
      <c r="AW311" s="146"/>
      <c r="AX311" s="54"/>
      <c r="AY311" s="54"/>
      <c r="AZ311" s="54"/>
      <c r="BA311" s="54"/>
    </row>
    <row r="312" spans="46:53" x14ac:dyDescent="0.2">
      <c r="AT312" s="54"/>
      <c r="AU312" s="54"/>
      <c r="AV312" s="54"/>
      <c r="AW312" s="146"/>
      <c r="AX312" s="54"/>
      <c r="AY312" s="54"/>
      <c r="AZ312" s="54"/>
      <c r="BA312" s="54"/>
    </row>
    <row r="313" spans="46:53" x14ac:dyDescent="0.2">
      <c r="AT313" s="54"/>
      <c r="AU313" s="54"/>
      <c r="AV313" s="54"/>
      <c r="AW313" s="146"/>
      <c r="AX313" s="54"/>
      <c r="AY313" s="54"/>
      <c r="AZ313" s="54"/>
      <c r="BA313" s="54"/>
    </row>
    <row r="314" spans="46:53" x14ac:dyDescent="0.2">
      <c r="AT314" s="54"/>
      <c r="AU314" s="54"/>
      <c r="AV314" s="54"/>
      <c r="AW314" s="146"/>
      <c r="AX314" s="54"/>
      <c r="AY314" s="54"/>
      <c r="AZ314" s="54"/>
      <c r="BA314" s="54"/>
    </row>
    <row r="315" spans="46:53" x14ac:dyDescent="0.2">
      <c r="AT315" s="54"/>
      <c r="AU315" s="54"/>
      <c r="AV315" s="54"/>
      <c r="AW315" s="146"/>
      <c r="AX315" s="54"/>
      <c r="AY315" s="54"/>
      <c r="AZ315" s="54"/>
      <c r="BA315" s="54"/>
    </row>
    <row r="316" spans="46:53" x14ac:dyDescent="0.2">
      <c r="AT316" s="54"/>
      <c r="AU316" s="54"/>
      <c r="AV316" s="54"/>
      <c r="AW316" s="146"/>
      <c r="AX316" s="54"/>
      <c r="AY316" s="54"/>
      <c r="AZ316" s="54"/>
      <c r="BA316" s="54"/>
    </row>
    <row r="317" spans="46:53" x14ac:dyDescent="0.2">
      <c r="AT317" s="54"/>
      <c r="AU317" s="54"/>
      <c r="AV317" s="54"/>
      <c r="AW317" s="146"/>
      <c r="AX317" s="54"/>
      <c r="AY317" s="54"/>
      <c r="AZ317" s="54"/>
      <c r="BA317" s="54"/>
    </row>
    <row r="318" spans="46:53" x14ac:dyDescent="0.2">
      <c r="AT318" s="54"/>
      <c r="AU318" s="54"/>
      <c r="AV318" s="54"/>
      <c r="AW318" s="146"/>
      <c r="AX318" s="54"/>
      <c r="AY318" s="54"/>
      <c r="AZ318" s="54"/>
      <c r="BA318" s="54"/>
    </row>
    <row r="319" spans="46:53" x14ac:dyDescent="0.2">
      <c r="AT319" s="54"/>
      <c r="AU319" s="54"/>
      <c r="AV319" s="54"/>
      <c r="AW319" s="146"/>
      <c r="AX319" s="54"/>
      <c r="AY319" s="54"/>
      <c r="AZ319" s="54"/>
      <c r="BA319" s="54"/>
    </row>
    <row r="320" spans="46:53" x14ac:dyDescent="0.2">
      <c r="AT320" s="54"/>
      <c r="AU320" s="54"/>
      <c r="AV320" s="54"/>
      <c r="AW320" s="146"/>
      <c r="AX320" s="54"/>
      <c r="AY320" s="54"/>
      <c r="AZ320" s="54"/>
      <c r="BA320" s="54"/>
    </row>
    <row r="321" spans="46:53" x14ac:dyDescent="0.2">
      <c r="AT321" s="54"/>
      <c r="AU321" s="54"/>
      <c r="AV321" s="54"/>
      <c r="AW321" s="146"/>
      <c r="AX321" s="54"/>
      <c r="AY321" s="54"/>
      <c r="AZ321" s="54"/>
      <c r="BA321" s="54"/>
    </row>
    <row r="322" spans="46:53" x14ac:dyDescent="0.2">
      <c r="AT322" s="54"/>
      <c r="AU322" s="54"/>
      <c r="AV322" s="54"/>
      <c r="AW322" s="146"/>
      <c r="AX322" s="54"/>
      <c r="AY322" s="54"/>
      <c r="AZ322" s="54"/>
      <c r="BA322" s="54"/>
    </row>
    <row r="323" spans="46:53" x14ac:dyDescent="0.2">
      <c r="AT323" s="54"/>
      <c r="AU323" s="54"/>
      <c r="AV323" s="54"/>
      <c r="AW323" s="146"/>
      <c r="AX323" s="54"/>
      <c r="AY323" s="54"/>
      <c r="AZ323" s="54"/>
      <c r="BA323" s="54"/>
    </row>
    <row r="324" spans="46:53" x14ac:dyDescent="0.2">
      <c r="AT324" s="54"/>
      <c r="AU324" s="54"/>
      <c r="AV324" s="54"/>
      <c r="AW324" s="146"/>
      <c r="AX324" s="54"/>
      <c r="AY324" s="54"/>
      <c r="AZ324" s="54"/>
      <c r="BA324" s="54"/>
    </row>
    <row r="325" spans="46:53" x14ac:dyDescent="0.2">
      <c r="AT325" s="54"/>
      <c r="AU325" s="54"/>
      <c r="AV325" s="54"/>
      <c r="AW325" s="146"/>
      <c r="AX325" s="54"/>
      <c r="AY325" s="54"/>
      <c r="AZ325" s="54"/>
      <c r="BA325" s="54"/>
    </row>
    <row r="326" spans="46:53" x14ac:dyDescent="0.2">
      <c r="AT326" s="54"/>
      <c r="AU326" s="54"/>
      <c r="AV326" s="54"/>
      <c r="AW326" s="146"/>
      <c r="AX326" s="54"/>
      <c r="AY326" s="54"/>
      <c r="AZ326" s="54"/>
      <c r="BA326" s="54"/>
    </row>
    <row r="327" spans="46:53" x14ac:dyDescent="0.2">
      <c r="AT327" s="54"/>
      <c r="AU327" s="54"/>
      <c r="AV327" s="54"/>
      <c r="AW327" s="146"/>
      <c r="AX327" s="54"/>
      <c r="AY327" s="54"/>
      <c r="AZ327" s="54"/>
      <c r="BA327" s="54"/>
    </row>
    <row r="328" spans="46:53" x14ac:dyDescent="0.2">
      <c r="AT328" s="54"/>
      <c r="AU328" s="54"/>
      <c r="AV328" s="54"/>
      <c r="AW328" s="146"/>
      <c r="AX328" s="54"/>
      <c r="AY328" s="54"/>
      <c r="AZ328" s="54"/>
      <c r="BA328" s="54"/>
    </row>
    <row r="329" spans="46:53" x14ac:dyDescent="0.2">
      <c r="AT329" s="54"/>
      <c r="AU329" s="54"/>
      <c r="AV329" s="54"/>
      <c r="AW329" s="146"/>
      <c r="AX329" s="54"/>
      <c r="AY329" s="54"/>
      <c r="AZ329" s="54"/>
      <c r="BA329" s="54"/>
    </row>
    <row r="330" spans="46:53" x14ac:dyDescent="0.2">
      <c r="AT330" s="54"/>
      <c r="AU330" s="54"/>
      <c r="AV330" s="54"/>
      <c r="AW330" s="146"/>
      <c r="AX330" s="54"/>
      <c r="AY330" s="54"/>
      <c r="AZ330" s="54"/>
      <c r="BA330" s="54"/>
    </row>
    <row r="331" spans="46:53" x14ac:dyDescent="0.2">
      <c r="AT331" s="54"/>
      <c r="AU331" s="54"/>
      <c r="AV331" s="54"/>
      <c r="AW331" s="146"/>
      <c r="AX331" s="54"/>
      <c r="AY331" s="54"/>
      <c r="AZ331" s="54"/>
      <c r="BA331" s="54"/>
    </row>
    <row r="332" spans="46:53" x14ac:dyDescent="0.2">
      <c r="AT332" s="61"/>
      <c r="AU332" s="61"/>
      <c r="AV332" s="61"/>
    </row>
    <row r="333" spans="46:53" x14ac:dyDescent="0.2">
      <c r="AT333" s="61"/>
      <c r="AU333" s="61"/>
      <c r="AV333" s="61"/>
      <c r="AW333" s="65"/>
      <c r="AX333" s="61"/>
      <c r="AY333" s="61"/>
      <c r="AZ333" s="61"/>
      <c r="BA333" s="61"/>
    </row>
    <row r="334" spans="46:53" x14ac:dyDescent="0.2">
      <c r="AW334" s="65"/>
      <c r="AX334" s="61"/>
      <c r="AY334" s="61"/>
      <c r="AZ334" s="61"/>
      <c r="BA334" s="61"/>
    </row>
    <row r="335" spans="46:53" x14ac:dyDescent="0.2">
      <c r="AW335" s="65"/>
      <c r="AX335" s="61"/>
      <c r="AY335" s="61"/>
      <c r="AZ335" s="61"/>
      <c r="BA335" s="61"/>
    </row>
    <row r="336" spans="46:53" x14ac:dyDescent="0.2">
      <c r="AW336" s="65"/>
      <c r="AX336" s="61"/>
      <c r="AY336" s="61"/>
      <c r="AZ336" s="61"/>
      <c r="BA336" s="61"/>
    </row>
    <row r="337" spans="46:53" x14ac:dyDescent="0.2">
      <c r="AW337" s="65"/>
      <c r="AX337" s="61"/>
      <c r="AY337" s="61"/>
      <c r="AZ337" s="61"/>
      <c r="BA337" s="61"/>
    </row>
    <row r="338" spans="46:53" x14ac:dyDescent="0.2">
      <c r="AW338" s="65"/>
      <c r="AX338" s="61"/>
      <c r="AY338" s="61"/>
      <c r="AZ338" s="61"/>
      <c r="BA338" s="61"/>
    </row>
    <row r="339" spans="46:53" x14ac:dyDescent="0.2">
      <c r="AW339" s="65"/>
      <c r="AX339" s="61"/>
      <c r="AY339" s="61"/>
      <c r="AZ339" s="61"/>
      <c r="BA339" s="61"/>
    </row>
    <row r="340" spans="46:53" x14ac:dyDescent="0.2">
      <c r="AW340" s="65"/>
      <c r="AX340" s="61"/>
      <c r="AY340" s="61"/>
      <c r="AZ340" s="61"/>
      <c r="BA340" s="61"/>
    </row>
    <row r="341" spans="46:53" x14ac:dyDescent="0.2">
      <c r="AW341" s="72"/>
      <c r="AX341" s="71"/>
      <c r="AY341" s="71"/>
      <c r="AZ341" s="71"/>
      <c r="BA341" s="71"/>
    </row>
    <row r="342" spans="46:53" x14ac:dyDescent="0.2">
      <c r="AW342" s="78"/>
      <c r="AX342" s="77"/>
      <c r="AY342" s="77"/>
      <c r="AZ342" s="77"/>
      <c r="BA342" s="77"/>
    </row>
    <row r="343" spans="46:53" x14ac:dyDescent="0.2">
      <c r="AW343" s="78"/>
      <c r="AX343" s="77"/>
      <c r="AY343" s="77"/>
      <c r="AZ343" s="77"/>
      <c r="BA343" s="77"/>
    </row>
    <row r="344" spans="46:53" x14ac:dyDescent="0.2">
      <c r="AW344" s="65"/>
      <c r="AX344" s="61"/>
      <c r="AY344" s="61"/>
      <c r="AZ344" s="61"/>
      <c r="BA344" s="61"/>
    </row>
    <row r="345" spans="46:53" x14ac:dyDescent="0.2">
      <c r="AW345" s="65"/>
      <c r="AX345" s="61"/>
      <c r="AY345" s="61"/>
      <c r="AZ345" s="61"/>
      <c r="BA345" s="61"/>
    </row>
    <row r="348" spans="46:53" x14ac:dyDescent="0.2">
      <c r="AT348" s="104"/>
      <c r="AU348" s="104"/>
    </row>
    <row r="371" spans="46:53" x14ac:dyDescent="0.2">
      <c r="AW371" s="146"/>
      <c r="AX371" s="54"/>
      <c r="AY371" s="54"/>
      <c r="AZ371" s="54"/>
      <c r="BA371" s="54"/>
    </row>
    <row r="372" spans="46:53" x14ac:dyDescent="0.2">
      <c r="AW372" s="146"/>
      <c r="AX372" s="54"/>
      <c r="AY372" s="54"/>
      <c r="AZ372" s="54"/>
      <c r="BA372" s="54"/>
    </row>
    <row r="373" spans="46:53" x14ac:dyDescent="0.2">
      <c r="AW373" s="146"/>
      <c r="AX373" s="54"/>
      <c r="AY373" s="54"/>
      <c r="AZ373" s="54"/>
      <c r="BA373" s="54"/>
    </row>
    <row r="374" spans="46:53" x14ac:dyDescent="0.2">
      <c r="AW374" s="146"/>
      <c r="AX374" s="54"/>
      <c r="AY374" s="54"/>
      <c r="AZ374" s="54"/>
      <c r="BA374" s="54"/>
    </row>
    <row r="375" spans="46:53" x14ac:dyDescent="0.2">
      <c r="AW375" s="146"/>
      <c r="AX375" s="54"/>
      <c r="AY375" s="54"/>
      <c r="AZ375" s="54"/>
      <c r="BA375" s="54"/>
    </row>
    <row r="376" spans="46:53" x14ac:dyDescent="0.2">
      <c r="AW376" s="146"/>
      <c r="AX376" s="54"/>
      <c r="AY376" s="54"/>
      <c r="AZ376" s="54"/>
      <c r="BA376" s="54"/>
    </row>
    <row r="377" spans="46:53" x14ac:dyDescent="0.2">
      <c r="AW377" s="146"/>
      <c r="AX377" s="54"/>
      <c r="AY377" s="54"/>
      <c r="AZ377" s="54"/>
      <c r="BA377" s="54"/>
    </row>
    <row r="378" spans="46:53" x14ac:dyDescent="0.2">
      <c r="AW378" s="146"/>
      <c r="AX378" s="54"/>
      <c r="AY378" s="54"/>
      <c r="AZ378" s="54"/>
      <c r="BA378" s="54"/>
    </row>
    <row r="379" spans="46:53" x14ac:dyDescent="0.2">
      <c r="AW379" s="146"/>
      <c r="AX379" s="54"/>
      <c r="AY379" s="54"/>
      <c r="AZ379" s="54"/>
      <c r="BA379" s="54"/>
    </row>
    <row r="380" spans="46:53" x14ac:dyDescent="0.2">
      <c r="AW380" s="146"/>
      <c r="AX380" s="54"/>
      <c r="AY380" s="54"/>
      <c r="AZ380" s="54"/>
      <c r="BA380" s="54"/>
    </row>
    <row r="381" spans="46:53" x14ac:dyDescent="0.2">
      <c r="AW381" s="146"/>
      <c r="AX381" s="54"/>
      <c r="AY381" s="54"/>
      <c r="AZ381" s="54"/>
      <c r="BA381" s="54"/>
    </row>
    <row r="382" spans="46:53" x14ac:dyDescent="0.2">
      <c r="AW382" s="146"/>
      <c r="AX382" s="54"/>
      <c r="AY382" s="54"/>
      <c r="AZ382" s="54"/>
      <c r="BA382" s="54"/>
    </row>
    <row r="383" spans="46:53" x14ac:dyDescent="0.2">
      <c r="AW383" s="146"/>
      <c r="AX383" s="54"/>
      <c r="AY383" s="54"/>
      <c r="AZ383" s="54"/>
      <c r="BA383" s="54"/>
    </row>
    <row r="384" spans="46:53" x14ac:dyDescent="0.2">
      <c r="AT384" s="104"/>
      <c r="AU384" s="104"/>
      <c r="AW384" s="146"/>
      <c r="AX384" s="54"/>
      <c r="AY384" s="54"/>
      <c r="AZ384" s="54"/>
      <c r="BA384" s="54"/>
    </row>
    <row r="385" spans="49:53" x14ac:dyDescent="0.2">
      <c r="AW385" s="146"/>
      <c r="AX385" s="54"/>
      <c r="AY385" s="54"/>
      <c r="AZ385" s="54"/>
      <c r="BA385" s="54"/>
    </row>
    <row r="386" spans="49:53" x14ac:dyDescent="0.2">
      <c r="AW386" s="146"/>
      <c r="AX386" s="54"/>
      <c r="AY386" s="54"/>
      <c r="AZ386" s="54"/>
      <c r="BA386" s="54"/>
    </row>
    <row r="387" spans="49:53" x14ac:dyDescent="0.2">
      <c r="AW387" s="146"/>
      <c r="AX387" s="54"/>
      <c r="AY387" s="54"/>
      <c r="AZ387" s="54"/>
      <c r="BA387" s="54"/>
    </row>
    <row r="388" spans="49:53" x14ac:dyDescent="0.2">
      <c r="AW388" s="146"/>
      <c r="AX388" s="54"/>
      <c r="AY388" s="54"/>
      <c r="AZ388" s="54"/>
      <c r="BA388" s="54"/>
    </row>
    <row r="389" spans="49:53" x14ac:dyDescent="0.2">
      <c r="AW389" s="146"/>
      <c r="AX389" s="54"/>
      <c r="AY389" s="54"/>
      <c r="AZ389" s="54"/>
      <c r="BA389" s="54"/>
    </row>
    <row r="390" spans="49:53" x14ac:dyDescent="0.2">
      <c r="AW390" s="146"/>
      <c r="AX390" s="54"/>
      <c r="AY390" s="54"/>
      <c r="AZ390" s="54"/>
      <c r="BA390" s="54"/>
    </row>
    <row r="391" spans="49:53" x14ac:dyDescent="0.2">
      <c r="AW391" s="146"/>
      <c r="AX391" s="54"/>
      <c r="AY391" s="54"/>
      <c r="AZ391" s="54"/>
      <c r="BA391" s="54"/>
    </row>
    <row r="392" spans="49:53" x14ac:dyDescent="0.2">
      <c r="AW392" s="146"/>
      <c r="AX392" s="54"/>
      <c r="AY392" s="54"/>
      <c r="AZ392" s="54"/>
      <c r="BA392" s="54"/>
    </row>
    <row r="393" spans="49:53" x14ac:dyDescent="0.2">
      <c r="AW393" s="146"/>
      <c r="AX393" s="54"/>
      <c r="AY393" s="54"/>
      <c r="AZ393" s="54"/>
      <c r="BA393" s="54"/>
    </row>
    <row r="394" spans="49:53" x14ac:dyDescent="0.2">
      <c r="AW394" s="146"/>
      <c r="AX394" s="54"/>
      <c r="AY394" s="54"/>
      <c r="AZ394" s="54"/>
      <c r="BA394" s="54"/>
    </row>
    <row r="395" spans="49:53" x14ac:dyDescent="0.2">
      <c r="AW395" s="146"/>
      <c r="AX395" s="54"/>
      <c r="AY395" s="54"/>
      <c r="AZ395" s="54"/>
      <c r="BA395" s="54"/>
    </row>
    <row r="396" spans="49:53" x14ac:dyDescent="0.2">
      <c r="AW396" s="146"/>
      <c r="AX396" s="54"/>
      <c r="AY396" s="54"/>
      <c r="AZ396" s="54"/>
      <c r="BA396" s="54"/>
    </row>
    <row r="397" spans="49:53" x14ac:dyDescent="0.2">
      <c r="AW397" s="146"/>
      <c r="AX397" s="54"/>
      <c r="AY397" s="54"/>
      <c r="AZ397" s="54"/>
      <c r="BA397" s="54"/>
    </row>
    <row r="398" spans="49:53" x14ac:dyDescent="0.2">
      <c r="AW398" s="146"/>
      <c r="AX398" s="54"/>
      <c r="AY398" s="54"/>
      <c r="AZ398" s="54"/>
      <c r="BA398" s="54"/>
    </row>
    <row r="399" spans="49:53" x14ac:dyDescent="0.2">
      <c r="AW399" s="146"/>
      <c r="AX399" s="54"/>
      <c r="AY399" s="54"/>
      <c r="AZ399" s="54"/>
      <c r="BA399" s="54"/>
    </row>
    <row r="400" spans="49:53" x14ac:dyDescent="0.2">
      <c r="AW400" s="146"/>
      <c r="AX400" s="54"/>
      <c r="AY400" s="54"/>
      <c r="AZ400" s="54"/>
      <c r="BA400" s="54"/>
    </row>
    <row r="401" spans="49:53" x14ac:dyDescent="0.2">
      <c r="AW401" s="146"/>
      <c r="AX401" s="54"/>
      <c r="AY401" s="54"/>
      <c r="AZ401" s="54"/>
      <c r="BA401" s="54"/>
    </row>
    <row r="402" spans="49:53" x14ac:dyDescent="0.2">
      <c r="AW402" s="146"/>
      <c r="AX402" s="54"/>
      <c r="AY402" s="54"/>
      <c r="AZ402" s="54"/>
      <c r="BA402" s="54"/>
    </row>
    <row r="403" spans="49:53" x14ac:dyDescent="0.2">
      <c r="AW403" s="146"/>
      <c r="AX403" s="54"/>
      <c r="AY403" s="54"/>
      <c r="AZ403" s="54"/>
      <c r="BA403" s="54"/>
    </row>
    <row r="404" spans="49:53" x14ac:dyDescent="0.2">
      <c r="AW404" s="146"/>
      <c r="AX404" s="54"/>
      <c r="AY404" s="54"/>
      <c r="AZ404" s="54"/>
      <c r="BA404" s="54"/>
    </row>
    <row r="405" spans="49:53" x14ac:dyDescent="0.2">
      <c r="AW405" s="146"/>
      <c r="AX405" s="54"/>
      <c r="AY405" s="54"/>
      <c r="AZ405" s="54"/>
      <c r="BA405" s="54"/>
    </row>
    <row r="406" spans="49:53" x14ac:dyDescent="0.2">
      <c r="AW406" s="146"/>
      <c r="AX406" s="54"/>
      <c r="AY406" s="54"/>
      <c r="AZ406" s="54"/>
      <c r="BA406" s="54"/>
    </row>
    <row r="407" spans="49:53" x14ac:dyDescent="0.2">
      <c r="AW407" s="146"/>
      <c r="AX407" s="54"/>
      <c r="AY407" s="54"/>
      <c r="AZ407" s="54"/>
      <c r="BA407" s="54"/>
    </row>
    <row r="408" spans="49:53" x14ac:dyDescent="0.2">
      <c r="AW408" s="146"/>
      <c r="AX408" s="54"/>
      <c r="AY408" s="54"/>
      <c r="AZ408" s="54"/>
      <c r="BA408" s="54"/>
    </row>
    <row r="409" spans="49:53" x14ac:dyDescent="0.2">
      <c r="AW409" s="146"/>
      <c r="AX409" s="54"/>
      <c r="AY409" s="54"/>
      <c r="AZ409" s="54"/>
      <c r="BA409" s="54"/>
    </row>
    <row r="410" spans="49:53" x14ac:dyDescent="0.2">
      <c r="AW410" s="146"/>
      <c r="AX410" s="54"/>
      <c r="AY410" s="54"/>
      <c r="AZ410" s="54"/>
      <c r="BA410" s="54"/>
    </row>
    <row r="411" spans="49:53" x14ac:dyDescent="0.2">
      <c r="AW411" s="146"/>
      <c r="AX411" s="54"/>
      <c r="AY411" s="54"/>
      <c r="AZ411" s="54"/>
      <c r="BA411" s="54"/>
    </row>
    <row r="412" spans="49:53" x14ac:dyDescent="0.2">
      <c r="AW412" s="146"/>
      <c r="AX412" s="54"/>
      <c r="AY412" s="54"/>
      <c r="AZ412" s="54"/>
      <c r="BA412" s="54"/>
    </row>
    <row r="413" spans="49:53" x14ac:dyDescent="0.2">
      <c r="AW413" s="146"/>
      <c r="AX413" s="54"/>
      <c r="AY413" s="54"/>
      <c r="AZ413" s="54"/>
      <c r="BA413" s="54"/>
    </row>
    <row r="414" spans="49:53" x14ac:dyDescent="0.2">
      <c r="AW414" s="146"/>
      <c r="AX414" s="54"/>
      <c r="AY414" s="54"/>
      <c r="AZ414" s="54"/>
      <c r="BA414" s="54"/>
    </row>
    <row r="415" spans="49:53" x14ac:dyDescent="0.2">
      <c r="AW415" s="146"/>
      <c r="AX415" s="54"/>
      <c r="AY415" s="54"/>
      <c r="AZ415" s="54"/>
      <c r="BA415" s="54"/>
    </row>
    <row r="416" spans="49:53" x14ac:dyDescent="0.2">
      <c r="AW416" s="146"/>
      <c r="AX416" s="54"/>
      <c r="AY416" s="54"/>
      <c r="AZ416" s="54"/>
      <c r="BA416" s="54"/>
    </row>
    <row r="418" spans="49:53" x14ac:dyDescent="0.2">
      <c r="AW418" s="65"/>
      <c r="AX418" s="61"/>
      <c r="AY418" s="61"/>
      <c r="AZ418" s="61"/>
      <c r="BA418" s="61"/>
    </row>
    <row r="419" spans="49:53" x14ac:dyDescent="0.2">
      <c r="AW419" s="65"/>
      <c r="AX419" s="61"/>
      <c r="AY419" s="61"/>
      <c r="AZ419" s="61"/>
      <c r="BA419" s="61"/>
    </row>
    <row r="420" spans="49:53" x14ac:dyDescent="0.2">
      <c r="AW420" s="65"/>
      <c r="AX420" s="61"/>
      <c r="AY420" s="61"/>
      <c r="AZ420" s="61"/>
      <c r="BA420" s="61"/>
    </row>
    <row r="421" spans="49:53" x14ac:dyDescent="0.2">
      <c r="AW421" s="65"/>
      <c r="AX421" s="61"/>
      <c r="AY421" s="61"/>
      <c r="AZ421" s="61"/>
      <c r="BA421" s="61"/>
    </row>
    <row r="422" spans="49:53" x14ac:dyDescent="0.2">
      <c r="AW422" s="65"/>
      <c r="AX422" s="61"/>
      <c r="AY422" s="61"/>
      <c r="AZ422" s="61"/>
      <c r="BA422" s="61"/>
    </row>
    <row r="423" spans="49:53" x14ac:dyDescent="0.2">
      <c r="AW423" s="65"/>
      <c r="AX423" s="61"/>
      <c r="AY423" s="61"/>
      <c r="AZ423" s="61"/>
      <c r="BA423" s="61"/>
    </row>
    <row r="424" spans="49:53" x14ac:dyDescent="0.2">
      <c r="AW424" s="65"/>
      <c r="AX424" s="61"/>
      <c r="AY424" s="61"/>
      <c r="AZ424" s="61"/>
      <c r="BA424" s="61"/>
    </row>
    <row r="425" spans="49:53" x14ac:dyDescent="0.2">
      <c r="AW425" s="65"/>
      <c r="AX425" s="61"/>
      <c r="AY425" s="61"/>
      <c r="AZ425" s="61"/>
      <c r="BA425" s="61"/>
    </row>
    <row r="426" spans="49:53" x14ac:dyDescent="0.2">
      <c r="AW426" s="72"/>
      <c r="AX426" s="71"/>
      <c r="AY426" s="71"/>
      <c r="AZ426" s="71"/>
      <c r="BA426" s="71"/>
    </row>
    <row r="427" spans="49:53" x14ac:dyDescent="0.2">
      <c r="AW427" s="78"/>
      <c r="AX427" s="77"/>
      <c r="AY427" s="77"/>
      <c r="AZ427" s="77"/>
      <c r="BA427" s="77"/>
    </row>
    <row r="428" spans="49:53" x14ac:dyDescent="0.2">
      <c r="AW428" s="78"/>
      <c r="AX428" s="77"/>
      <c r="AY428" s="77"/>
      <c r="AZ428" s="77"/>
      <c r="BA428" s="77"/>
    </row>
    <row r="429" spans="49:53" x14ac:dyDescent="0.2">
      <c r="AW429" s="65"/>
      <c r="AX429" s="61"/>
      <c r="AY429" s="61"/>
      <c r="AZ429" s="61"/>
      <c r="BA429" s="61"/>
    </row>
    <row r="430" spans="49:53" x14ac:dyDescent="0.2">
      <c r="AW430" s="65"/>
      <c r="AX430" s="61"/>
      <c r="AY430" s="61"/>
      <c r="AZ430" s="61"/>
      <c r="BA430" s="61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CalcPr fullCalcOnLoad="1"/>
  <sheetProtection sheet="1" objects="1" scenarios="1" formatCells="0" selectLockedCells="1"/>
  <mergeCells count="431">
    <mergeCell ref="A1:AI1"/>
    <mergeCell ref="AT1:AW1"/>
    <mergeCell ref="AX1:AY1"/>
    <mergeCell ref="A2:I2"/>
    <mergeCell ref="J2:X2"/>
    <mergeCell ref="Y2:AC2"/>
    <mergeCell ref="AD2:AI2"/>
    <mergeCell ref="B3:O3"/>
    <mergeCell ref="P3:R3"/>
    <mergeCell ref="S3:X3"/>
    <mergeCell ref="Y3:AD3"/>
    <mergeCell ref="AE3:AF3"/>
    <mergeCell ref="AG3:AI3"/>
    <mergeCell ref="A4:D4"/>
    <mergeCell ref="E4:M4"/>
    <mergeCell ref="N4:Q4"/>
    <mergeCell ref="R4:AA4"/>
    <mergeCell ref="AB4:AE4"/>
    <mergeCell ref="AF4:AI4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AC8:AE9"/>
    <mergeCell ref="AF8:AF9"/>
    <mergeCell ref="AG8:AG9"/>
    <mergeCell ref="AH8:AI9"/>
    <mergeCell ref="B9:D9"/>
    <mergeCell ref="E9:K9"/>
    <mergeCell ref="A10:A11"/>
    <mergeCell ref="B10:D10"/>
    <mergeCell ref="E10:K10"/>
    <mergeCell ref="L10:P11"/>
    <mergeCell ref="R10:V11"/>
    <mergeCell ref="W10:Y11"/>
    <mergeCell ref="Z10:AB11"/>
    <mergeCell ref="AC10:AE11"/>
    <mergeCell ref="AF10:AF11"/>
    <mergeCell ref="AG10:AG11"/>
    <mergeCell ref="AH10:AI11"/>
    <mergeCell ref="B11:D11"/>
    <mergeCell ref="E11:K11"/>
    <mergeCell ref="A12:A13"/>
    <mergeCell ref="B12:D12"/>
    <mergeCell ref="E12:K12"/>
    <mergeCell ref="L12:P13"/>
    <mergeCell ref="R12:V13"/>
    <mergeCell ref="W12:Y13"/>
    <mergeCell ref="Z12:AB13"/>
    <mergeCell ref="AC12:AE13"/>
    <mergeCell ref="AF12:AF13"/>
    <mergeCell ref="AG12:AG13"/>
    <mergeCell ref="AH12:AI13"/>
    <mergeCell ref="B13:D13"/>
    <mergeCell ref="E13:K13"/>
    <mergeCell ref="AT13:AY14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AG14:AG15"/>
    <mergeCell ref="AH14:AI15"/>
    <mergeCell ref="B15:D15"/>
    <mergeCell ref="E15:K15"/>
    <mergeCell ref="A16:A17"/>
    <mergeCell ref="B16:D16"/>
    <mergeCell ref="E16:K16"/>
    <mergeCell ref="L16:P17"/>
    <mergeCell ref="R16:V17"/>
    <mergeCell ref="W16:Y17"/>
    <mergeCell ref="Z16:AB17"/>
    <mergeCell ref="AC16:AE17"/>
    <mergeCell ref="AF16:AF17"/>
    <mergeCell ref="AG16:AG17"/>
    <mergeCell ref="AH16:AI17"/>
    <mergeCell ref="B17:D17"/>
    <mergeCell ref="E17:K17"/>
    <mergeCell ref="B18:AI18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3:AB23"/>
    <mergeCell ref="AC23:AE23"/>
    <mergeCell ref="AG57:AK57"/>
    <mergeCell ref="A89:AM89"/>
    <mergeCell ref="AN89:AQ89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Z95:AB96"/>
    <mergeCell ref="AC95:AE96"/>
    <mergeCell ref="AF95:AF96"/>
    <mergeCell ref="AG95:AG96"/>
    <mergeCell ref="AH95:AI96"/>
    <mergeCell ref="B96:D96"/>
    <mergeCell ref="E96:K96"/>
    <mergeCell ref="A97:A98"/>
    <mergeCell ref="B97:D97"/>
    <mergeCell ref="E97:K97"/>
    <mergeCell ref="L97:P98"/>
    <mergeCell ref="R97:V98"/>
    <mergeCell ref="W97:Y98"/>
    <mergeCell ref="Z97:AB98"/>
    <mergeCell ref="AC97:AE98"/>
    <mergeCell ref="AF97:AF98"/>
    <mergeCell ref="AG97:AG98"/>
    <mergeCell ref="AH97:AI98"/>
    <mergeCell ref="B98:D98"/>
    <mergeCell ref="E98:K98"/>
    <mergeCell ref="A99:A100"/>
    <mergeCell ref="B99:D99"/>
    <mergeCell ref="E99:K99"/>
    <mergeCell ref="L99:P100"/>
    <mergeCell ref="R99:V100"/>
    <mergeCell ref="W99:Y100"/>
    <mergeCell ref="Z99:AB100"/>
    <mergeCell ref="AC99:AE100"/>
    <mergeCell ref="AF99:AF100"/>
    <mergeCell ref="AG99:AG100"/>
    <mergeCell ref="AH99:AI100"/>
    <mergeCell ref="B100:D100"/>
    <mergeCell ref="E100:K100"/>
    <mergeCell ref="A101:A102"/>
    <mergeCell ref="B101:D101"/>
    <mergeCell ref="E101:K101"/>
    <mergeCell ref="L101:P102"/>
    <mergeCell ref="R101:V102"/>
    <mergeCell ref="W101:Y102"/>
    <mergeCell ref="Z101:AB102"/>
    <mergeCell ref="AC101:AE102"/>
    <mergeCell ref="AF101:AF102"/>
    <mergeCell ref="AG101:AG102"/>
    <mergeCell ref="AH101:AI102"/>
    <mergeCell ref="B102:D102"/>
    <mergeCell ref="E102:K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8:AB108"/>
    <mergeCell ref="AC108:AE108"/>
    <mergeCell ref="AG142:AK142"/>
    <mergeCell ref="A174:AM174"/>
    <mergeCell ref="AN174:AQ174"/>
    <mergeCell ref="A175:AQ175"/>
    <mergeCell ref="A176:AQ176"/>
    <mergeCell ref="A177:A178"/>
    <mergeCell ref="B177:K177"/>
    <mergeCell ref="L177:U177"/>
    <mergeCell ref="V177:AE177"/>
    <mergeCell ref="AF177:AO177"/>
    <mergeCell ref="B178:G178"/>
    <mergeCell ref="H178:K178"/>
    <mergeCell ref="L178:Q178"/>
    <mergeCell ref="R178:U178"/>
    <mergeCell ref="V178:AA178"/>
    <mergeCell ref="AB178:AE178"/>
    <mergeCell ref="AF178:AK178"/>
    <mergeCell ref="AL178:AO178"/>
    <mergeCell ref="B179:G179"/>
    <mergeCell ref="H179:K179"/>
    <mergeCell ref="L179:Q179"/>
    <mergeCell ref="R179:U179"/>
    <mergeCell ref="V179:AA179"/>
    <mergeCell ref="AB179:AE179"/>
    <mergeCell ref="AF179:AK179"/>
    <mergeCell ref="AL179:AO179"/>
    <mergeCell ref="B180:G180"/>
    <mergeCell ref="H180:K180"/>
    <mergeCell ref="L180:Q180"/>
    <mergeCell ref="R180:U180"/>
    <mergeCell ref="V180:AA180"/>
    <mergeCell ref="AB180:AE180"/>
    <mergeCell ref="AF180:AK180"/>
    <mergeCell ref="AL180:AO180"/>
    <mergeCell ref="A182:AQ182"/>
    <mergeCell ref="A183:AQ183"/>
    <mergeCell ref="A184:AQ184"/>
    <mergeCell ref="A185:AQ185"/>
    <mergeCell ref="A186:K186"/>
    <mergeCell ref="A188:O188"/>
    <mergeCell ref="R188:AF188"/>
    <mergeCell ref="A190:E190"/>
    <mergeCell ref="U190:AA190"/>
    <mergeCell ref="A191:E191"/>
    <mergeCell ref="U191:AA191"/>
    <mergeCell ref="A193:E193"/>
    <mergeCell ref="F193:M193"/>
    <mergeCell ref="T193:AA193"/>
    <mergeCell ref="AB193:AH193"/>
    <mergeCell ref="A194:E194"/>
    <mergeCell ref="F194:I194"/>
    <mergeCell ref="J194:M194"/>
    <mergeCell ref="T194:Z194"/>
    <mergeCell ref="AB194:AE194"/>
    <mergeCell ref="AF194:AH194"/>
    <mergeCell ref="A195:E195"/>
    <mergeCell ref="U195:AA195"/>
    <mergeCell ref="A196:E196"/>
    <mergeCell ref="U196:AA196"/>
    <mergeCell ref="F197:I197"/>
    <mergeCell ref="AB197:AE197"/>
    <mergeCell ref="J198:P198"/>
    <mergeCell ref="AF198:AJ198"/>
    <mergeCell ref="A199:E199"/>
    <mergeCell ref="F199:I199"/>
    <mergeCell ref="J199:P199"/>
    <mergeCell ref="U199:AA199"/>
    <mergeCell ref="AB199:AE199"/>
    <mergeCell ref="AF199:AJ199"/>
    <mergeCell ref="A200:E200"/>
    <mergeCell ref="J200:P200"/>
    <mergeCell ref="U200:AA200"/>
    <mergeCell ref="A202:D202"/>
    <mergeCell ref="F202:I202"/>
    <mergeCell ref="J202:M202"/>
    <mergeCell ref="T202:Z202"/>
    <mergeCell ref="AB202:AE202"/>
    <mergeCell ref="AF202:AH202"/>
    <mergeCell ref="A203:E203"/>
    <mergeCell ref="F203:M203"/>
    <mergeCell ref="T203:Z203"/>
    <mergeCell ref="AB203:AH203"/>
    <mergeCell ref="A204:E204"/>
    <mergeCell ref="U204:AA204"/>
    <mergeCell ref="A205:E205"/>
    <mergeCell ref="U205:AA205"/>
    <mergeCell ref="A208:J208"/>
    <mergeCell ref="U208:AF208"/>
    <mergeCell ref="B209:J209"/>
    <mergeCell ref="K209:Q209"/>
    <mergeCell ref="U209:W209"/>
    <mergeCell ref="X209:AF209"/>
    <mergeCell ref="AG209:AM209"/>
    <mergeCell ref="B210:J210"/>
    <mergeCell ref="K210:Q210"/>
    <mergeCell ref="U210:W210"/>
    <mergeCell ref="X210:AF210"/>
    <mergeCell ref="AG210:AM210"/>
    <mergeCell ref="B211:J211"/>
    <mergeCell ref="K211:Q211"/>
    <mergeCell ref="U211:W211"/>
    <mergeCell ref="X211:AF211"/>
    <mergeCell ref="AG211:AM211"/>
    <mergeCell ref="B212:J212"/>
    <mergeCell ref="K212:Q212"/>
    <mergeCell ref="U212:W212"/>
    <mergeCell ref="X212:AF212"/>
    <mergeCell ref="AG212:AM212"/>
    <mergeCell ref="B213:J213"/>
    <mergeCell ref="K213:Q213"/>
    <mergeCell ref="U213:W213"/>
    <mergeCell ref="X213:AF213"/>
    <mergeCell ref="AG213:AM213"/>
    <mergeCell ref="B215:D215"/>
    <mergeCell ref="E215:G215"/>
    <mergeCell ref="H215:J215"/>
    <mergeCell ref="K215:Q217"/>
    <mergeCell ref="W215:Y215"/>
    <mergeCell ref="Z215:AB215"/>
    <mergeCell ref="AC215:AE215"/>
    <mergeCell ref="AF215:AJ217"/>
    <mergeCell ref="B216:D216"/>
    <mergeCell ref="E216:G216"/>
    <mergeCell ref="H216:J216"/>
    <mergeCell ref="T216:V216"/>
    <mergeCell ref="W216:Y216"/>
    <mergeCell ref="Z216:AB216"/>
    <mergeCell ref="AC216:AE216"/>
    <mergeCell ref="B217:D217"/>
    <mergeCell ref="E217:G217"/>
    <mergeCell ref="H217:J217"/>
    <mergeCell ref="T217:V217"/>
    <mergeCell ref="W217:Y217"/>
    <mergeCell ref="Z217:AB217"/>
    <mergeCell ref="AC217:AE217"/>
    <mergeCell ref="K218:N218"/>
    <mergeCell ref="T218:V218"/>
    <mergeCell ref="AF218:AG218"/>
    <mergeCell ref="T219:V219"/>
    <mergeCell ref="T220:V220"/>
    <mergeCell ref="T233:V233"/>
    <mergeCell ref="A234:M234"/>
    <mergeCell ref="V234:AG234"/>
    <mergeCell ref="T221:V221"/>
    <mergeCell ref="T222:V222"/>
    <mergeCell ref="K223:N225"/>
    <mergeCell ref="AF223:AG225"/>
    <mergeCell ref="T231:V231"/>
    <mergeCell ref="T232:V232"/>
  </mergeCells>
  <conditionalFormatting sqref="A8 A93">
    <cfRule type="expression" dxfId="2096" priority="4" stopIfTrue="1">
      <formula>IF(AK9&gt;0,0,1)</formula>
    </cfRule>
  </conditionalFormatting>
  <conditionalFormatting sqref="A10:A11 A95:A96">
    <cfRule type="expression" dxfId="2095" priority="5" stopIfTrue="1">
      <formula>IF(#REF!&gt;1,0,1)</formula>
    </cfRule>
  </conditionalFormatting>
  <conditionalFormatting sqref="A12:A13 A97:A98">
    <cfRule type="expression" dxfId="2094" priority="6" stopIfTrue="1">
      <formula>IF(#REF!&gt;2,0,1)</formula>
    </cfRule>
  </conditionalFormatting>
  <conditionalFormatting sqref="A14:A15 A99:A100">
    <cfRule type="expression" dxfId="2093" priority="7" stopIfTrue="1">
      <formula>IF(#REF!&gt;3,0,1)</formula>
    </cfRule>
  </conditionalFormatting>
  <conditionalFormatting sqref="A16:A17 A101:A102">
    <cfRule type="expression" dxfId="2092" priority="8" stopIfTrue="1">
      <formula>IF(#REF!&gt;4,0,1)</formula>
    </cfRule>
  </conditionalFormatting>
  <conditionalFormatting sqref="B8 B93">
    <cfRule type="expression" dxfId="2091" priority="9" stopIfTrue="1">
      <formula>IF(AK9&gt;0,0,1)</formula>
    </cfRule>
  </conditionalFormatting>
  <conditionalFormatting sqref="B9 B94">
    <cfRule type="expression" dxfId="2090" priority="10" stopIfTrue="1">
      <formula>IF(AK9&gt;0,0,1)</formula>
    </cfRule>
  </conditionalFormatting>
  <conditionalFormatting sqref="B10 B95">
    <cfRule type="expression" dxfId="2089" priority="11" stopIfTrue="1">
      <formula>IF(#REF!&gt;1,0,1)</formula>
    </cfRule>
  </conditionalFormatting>
  <conditionalFormatting sqref="B11:D11 B96:D96">
    <cfRule type="expression" dxfId="2088" priority="12" stopIfTrue="1">
      <formula>IF(#REF!&gt;1,0,1)</formula>
    </cfRule>
  </conditionalFormatting>
  <conditionalFormatting sqref="B12:D12 B97:D97">
    <cfRule type="expression" dxfId="2087" priority="13" stopIfTrue="1">
      <formula>IF(#REF!&gt;2,0,1)</formula>
    </cfRule>
  </conditionalFormatting>
  <conditionalFormatting sqref="B13:D13 B98:D98">
    <cfRule type="expression" dxfId="2086" priority="14" stopIfTrue="1">
      <formula>IF(#REF!&gt;2,0,1)</formula>
    </cfRule>
  </conditionalFormatting>
  <conditionalFormatting sqref="B14:D14 B99:D99">
    <cfRule type="expression" dxfId="2085" priority="15" stopIfTrue="1">
      <formula>IF(#REF!&gt;3,0,1)</formula>
    </cfRule>
  </conditionalFormatting>
  <conditionalFormatting sqref="B15:D15 B100:D100">
    <cfRule type="expression" dxfId="2084" priority="16" stopIfTrue="1">
      <formula>IF(#REF!&gt;3,0,1)</formula>
    </cfRule>
  </conditionalFormatting>
  <conditionalFormatting sqref="B16:D16 B101:D101">
    <cfRule type="expression" dxfId="2083" priority="17" stopIfTrue="1">
      <formula>IF(#REF!&gt;4,0,1)</formula>
    </cfRule>
  </conditionalFormatting>
  <conditionalFormatting sqref="B17:D17 B102:D102">
    <cfRule type="expression" dxfId="2082" priority="18" stopIfTrue="1">
      <formula>IF(#REF!&gt;4,0,1)</formula>
    </cfRule>
  </conditionalFormatting>
  <conditionalFormatting sqref="E8 E93">
    <cfRule type="expression" dxfId="2081" priority="19" stopIfTrue="1">
      <formula>IF(AK9&gt;0,0,1)</formula>
    </cfRule>
  </conditionalFormatting>
  <conditionalFormatting sqref="E9 E94">
    <cfRule type="expression" dxfId="2080" priority="20" stopIfTrue="1">
      <formula>IF(AK9&gt;0,0,1)</formula>
    </cfRule>
  </conditionalFormatting>
  <conditionalFormatting sqref="E10 E95">
    <cfRule type="expression" dxfId="2079" priority="21" stopIfTrue="1">
      <formula>IF(#REF!&gt;1,0,1)</formula>
    </cfRule>
  </conditionalFormatting>
  <conditionalFormatting sqref="E11 E96">
    <cfRule type="expression" dxfId="2078" priority="22" stopIfTrue="1">
      <formula>IF(#REF!&gt;1,0,1)</formula>
    </cfRule>
  </conditionalFormatting>
  <conditionalFormatting sqref="E12 E97">
    <cfRule type="expression" dxfId="2077" priority="23" stopIfTrue="1">
      <formula>IF(#REF!&gt;2,0,1)</formula>
    </cfRule>
  </conditionalFormatting>
  <conditionalFormatting sqref="E13 E98">
    <cfRule type="expression" dxfId="2076" priority="24" stopIfTrue="1">
      <formula>IF(#REF!&gt;2,0,1)</formula>
    </cfRule>
  </conditionalFormatting>
  <conditionalFormatting sqref="E14 E99">
    <cfRule type="expression" dxfId="2075" priority="25" stopIfTrue="1">
      <formula>IF(#REF!&gt;3,0,1)</formula>
    </cfRule>
  </conditionalFormatting>
  <conditionalFormatting sqref="E15 E100">
    <cfRule type="expression" dxfId="2074" priority="26" stopIfTrue="1">
      <formula>IF(#REF!&gt;3,0,1)</formula>
    </cfRule>
  </conditionalFormatting>
  <conditionalFormatting sqref="E16 E101">
    <cfRule type="expression" dxfId="2073" priority="27" stopIfTrue="1">
      <formula>IF(#REF!&gt;4,0,1)</formula>
    </cfRule>
  </conditionalFormatting>
  <conditionalFormatting sqref="E17 E102">
    <cfRule type="expression" dxfId="2072" priority="28" stopIfTrue="1">
      <formula>IF(#REF!&gt;4,0,1)</formula>
    </cfRule>
  </conditionalFormatting>
  <conditionalFormatting sqref="AC8 AC93">
    <cfRule type="expression" dxfId="2071" priority="29" stopIfTrue="1">
      <formula>IF(AK11=1,IF(AK9&gt;0,0,1),1)</formula>
    </cfRule>
  </conditionalFormatting>
  <conditionalFormatting sqref="AC10:AE11 AC95:AE96">
    <cfRule type="expression" dxfId="2070" priority="30" stopIfTrue="1">
      <formula>IF(AK11=1,IF(#REF!&gt;1,0,1),1)</formula>
    </cfRule>
  </conditionalFormatting>
  <conditionalFormatting sqref="AC12:AE13 AC97:AE98">
    <cfRule type="expression" dxfId="2069" priority="31" stopIfTrue="1">
      <formula>IF(#REF!=1,IF(#REF!&gt;2,0,1),1)</formula>
    </cfRule>
  </conditionalFormatting>
  <conditionalFormatting sqref="AC14:AE15 AC99:AE100">
    <cfRule type="expression" dxfId="2068" priority="32" stopIfTrue="1">
      <formula>IF(#REF!=1,IF(#REF!&gt;3,0,1),1)</formula>
    </cfRule>
  </conditionalFormatting>
  <conditionalFormatting sqref="AC16:AE17 AC101:AE102">
    <cfRule type="expression" dxfId="2067" priority="33" stopIfTrue="1">
      <formula>IF(#REF!=1,IF(#REF!&gt;4,0,1),1)</formula>
    </cfRule>
  </conditionalFormatting>
  <conditionalFormatting sqref="AH8 AH93">
    <cfRule type="expression" dxfId="2066" priority="34" stopIfTrue="1">
      <formula>IF(AK9&gt;0,0,1)</formula>
    </cfRule>
  </conditionalFormatting>
  <conditionalFormatting sqref="AH10:AI11 AH95:AI96">
    <cfRule type="expression" dxfId="2065" priority="35" stopIfTrue="1">
      <formula>IF(#REF!&gt;1,0,1)</formula>
    </cfRule>
  </conditionalFormatting>
  <conditionalFormatting sqref="AH12:AI13 AH97:AI98">
    <cfRule type="expression" dxfId="2064" priority="36" stopIfTrue="1">
      <formula>IF(#REF!&gt;2,0,1)</formula>
    </cfRule>
  </conditionalFormatting>
  <conditionalFormatting sqref="AH14:AI15 AH99:AI100">
    <cfRule type="expression" dxfId="2063" priority="37" stopIfTrue="1">
      <formula>IF(#REF!&gt;3,0,1)</formula>
    </cfRule>
  </conditionalFormatting>
  <conditionalFormatting sqref="AH16:AI17 AH101:AI102">
    <cfRule type="expression" dxfId="2062" priority="38" stopIfTrue="1">
      <formula>IF(#REF!&gt;4,0,1)</formula>
    </cfRule>
  </conditionalFormatting>
  <conditionalFormatting sqref="B19:D19 B104:D104">
    <cfRule type="expression" dxfId="2061" priority="39" stopIfTrue="1">
      <formula>IF(#REF!&gt;0,0,1)</formula>
    </cfRule>
  </conditionalFormatting>
  <conditionalFormatting sqref="E19:G19 E104:G104">
    <cfRule type="expression" dxfId="2060" priority="40" stopIfTrue="1">
      <formula>IF(#REF!&gt;1,0,1)</formula>
    </cfRule>
  </conditionalFormatting>
  <conditionalFormatting sqref="H19:J19 H104:J104">
    <cfRule type="expression" dxfId="2059" priority="41" stopIfTrue="1">
      <formula>IF(#REF!&gt;2,0,1)</formula>
    </cfRule>
  </conditionalFormatting>
  <conditionalFormatting sqref="K19:M19 K104:M104">
    <cfRule type="expression" dxfId="2058" priority="42" stopIfTrue="1">
      <formula>IF(#REF!&gt;3,0,1)</formula>
    </cfRule>
  </conditionalFormatting>
  <conditionalFormatting sqref="N19:P19 N104:P104">
    <cfRule type="expression" dxfId="2057" priority="43" stopIfTrue="1">
      <formula>IF(#REF!&gt;4,0,1)</formula>
    </cfRule>
  </conditionalFormatting>
  <conditionalFormatting sqref="Q19:S19 Q104:S104">
    <cfRule type="expression" dxfId="2056" priority="44" stopIfTrue="1">
      <formula>IF(#REF!&gt;5,0,1)</formula>
    </cfRule>
  </conditionalFormatting>
  <conditionalFormatting sqref="T19:V19 T104:V104">
    <cfRule type="expression" dxfId="2055" priority="45" stopIfTrue="1">
      <formula>IF(#REF!&gt;6,0,1)</formula>
    </cfRule>
  </conditionalFormatting>
  <conditionalFormatting sqref="W19:Y19 W104:Y104">
    <cfRule type="expression" dxfId="2054" priority="46" stopIfTrue="1">
      <formula>IF(#REF!&gt;7,0,1)</formula>
    </cfRule>
  </conditionalFormatting>
  <conditionalFormatting sqref="Z19:AB19 Z104:AB104">
    <cfRule type="expression" dxfId="2053" priority="47" stopIfTrue="1">
      <formula>IF(#REF!&gt;8,0,1)</formula>
    </cfRule>
  </conditionalFormatting>
  <conditionalFormatting sqref="AC19:AE19 AC104:AE104">
    <cfRule type="expression" dxfId="2052" priority="48" stopIfTrue="1">
      <formula>IF(#REF!&gt;9,0,1)</formula>
    </cfRule>
  </conditionalFormatting>
  <conditionalFormatting sqref="B20:D20 B105:D105">
    <cfRule type="expression" dxfId="2051" priority="49" stopIfTrue="1">
      <formula>IF(#REF!&gt;0,0,1)</formula>
    </cfRule>
  </conditionalFormatting>
  <conditionalFormatting sqref="E20:G20 E105:G105">
    <cfRule type="expression" dxfId="2050" priority="50" stopIfTrue="1">
      <formula>IF(#REF!&gt;1,0,1)</formula>
    </cfRule>
  </conditionalFormatting>
  <conditionalFormatting sqref="H20:J20 H105:J105">
    <cfRule type="expression" dxfId="2049" priority="51" stopIfTrue="1">
      <formula>IF(#REF!&gt;2,0,1)</formula>
    </cfRule>
  </conditionalFormatting>
  <conditionalFormatting sqref="K20:M20 K105:M105">
    <cfRule type="expression" dxfId="2048" priority="52" stopIfTrue="1">
      <formula>IF(#REF!&gt;3,0,1)</formula>
    </cfRule>
  </conditionalFormatting>
  <conditionalFormatting sqref="N20:P20 N105:P105">
    <cfRule type="expression" dxfId="2047" priority="53" stopIfTrue="1">
      <formula>IF(#REF!&gt;4,0,1)</formula>
    </cfRule>
  </conditionalFormatting>
  <conditionalFormatting sqref="Q20:S20 Q105:S105">
    <cfRule type="expression" dxfId="2046" priority="54" stopIfTrue="1">
      <formula>IF(#REF!&gt;5,0,1)</formula>
    </cfRule>
  </conditionalFormatting>
  <conditionalFormatting sqref="T20:V20 T105:V105">
    <cfRule type="expression" dxfId="2045" priority="55" stopIfTrue="1">
      <formula>IF(#REF!&gt;6,0,1)</formula>
    </cfRule>
  </conditionalFormatting>
  <conditionalFormatting sqref="W20:Y20 W105:Y105">
    <cfRule type="expression" dxfId="2044" priority="56" stopIfTrue="1">
      <formula>IF(#REF!&gt;7,0,1)</formula>
    </cfRule>
  </conditionalFormatting>
  <conditionalFormatting sqref="Z20:AB20 Z105:AB105">
    <cfRule type="expression" dxfId="2043" priority="57" stopIfTrue="1">
      <formula>IF(#REF!&gt;8,0,1)</formula>
    </cfRule>
  </conditionalFormatting>
  <conditionalFormatting sqref="AC20:AE20 AC105:AE105">
    <cfRule type="expression" dxfId="2042" priority="58" stopIfTrue="1">
      <formula>IF(#REF!&gt;9,0,1)</formula>
    </cfRule>
  </conditionalFormatting>
  <conditionalFormatting sqref="E22:G22 E107:G107">
    <cfRule type="expression" dxfId="2041" priority="59" stopIfTrue="1">
      <formula>IF(#REF!&gt;1,0,1)</formula>
    </cfRule>
  </conditionalFormatting>
  <conditionalFormatting sqref="H22:J22 H107:J107">
    <cfRule type="expression" dxfId="2040" priority="60" stopIfTrue="1">
      <formula>IF(#REF!&gt;2,0,1)</formula>
    </cfRule>
  </conditionalFormatting>
  <conditionalFormatting sqref="K22:M22 K107:M107">
    <cfRule type="expression" dxfId="2039" priority="61" stopIfTrue="1">
      <formula>IF(#REF!&gt;3,0,1)</formula>
    </cfRule>
  </conditionalFormatting>
  <conditionalFormatting sqref="N22:P22 N107:P107">
    <cfRule type="expression" dxfId="2038" priority="62" stopIfTrue="1">
      <formula>IF(#REF!&gt;4,0,1)</formula>
    </cfRule>
  </conditionalFormatting>
  <conditionalFormatting sqref="Q22:S22 Q107:S107">
    <cfRule type="expression" dxfId="2037" priority="63" stopIfTrue="1">
      <formula>IF(#REF!&gt;5,0,1)</formula>
    </cfRule>
  </conditionalFormatting>
  <conditionalFormatting sqref="T22:V22 T107:V107">
    <cfRule type="expression" dxfId="2036" priority="64" stopIfTrue="1">
      <formula>IF(#REF!&gt;6,0,1)</formula>
    </cfRule>
  </conditionalFormatting>
  <conditionalFormatting sqref="W22:Y22 W107:Y107">
    <cfRule type="expression" dxfId="2035" priority="65" stopIfTrue="1">
      <formula>IF(#REF!&gt;7,0,1)</formula>
    </cfRule>
  </conditionalFormatting>
  <conditionalFormatting sqref="Z22:AB22 Z107:AB107">
    <cfRule type="expression" dxfId="2034" priority="66" stopIfTrue="1">
      <formula>IF(#REF!&gt;8,0,1)</formula>
    </cfRule>
  </conditionalFormatting>
  <conditionalFormatting sqref="AC22:AE22 AC107:AE107">
    <cfRule type="expression" dxfId="2033" priority="67" stopIfTrue="1">
      <formula>IF(#REF!&gt;9,0,1)</formula>
    </cfRule>
  </conditionalFormatting>
  <conditionalFormatting sqref="B24 B109">
    <cfRule type="expression" dxfId="2032" priority="68" stopIfTrue="1">
      <formula>IF(#REF!&gt;0,0,1)</formula>
    </cfRule>
  </conditionalFormatting>
  <conditionalFormatting sqref="C24 C109">
    <cfRule type="expression" dxfId="2031" priority="69" stopIfTrue="1">
      <formula>IF(#REF!&gt;0,0,1)</formula>
    </cfRule>
  </conditionalFormatting>
  <conditionalFormatting sqref="D24 D109">
    <cfRule type="expression" dxfId="2030" priority="70" stopIfTrue="1">
      <formula>IF(#REF!&gt;0,0,1)</formula>
    </cfRule>
  </conditionalFormatting>
  <conditionalFormatting sqref="E23:G23 E108:G108">
    <cfRule type="expression" dxfId="2029" priority="71" stopIfTrue="1">
      <formula>IF(#REF!&gt;1,0,1)</formula>
    </cfRule>
  </conditionalFormatting>
  <conditionalFormatting sqref="F24 F109">
    <cfRule type="expression" dxfId="2028" priority="72" stopIfTrue="1">
      <formula>IF(#REF!&gt;1,0,1)</formula>
    </cfRule>
  </conditionalFormatting>
  <conditionalFormatting sqref="G24 G109">
    <cfRule type="expression" dxfId="2027" priority="73" stopIfTrue="1">
      <formula>IF(#REF!&gt;1,0,1)</formula>
    </cfRule>
  </conditionalFormatting>
  <conditionalFormatting sqref="H23:J23 H108:J108">
    <cfRule type="expression" dxfId="2026" priority="74" stopIfTrue="1">
      <formula>IF(#REF!&gt;2,0,1)</formula>
    </cfRule>
  </conditionalFormatting>
  <conditionalFormatting sqref="I24 I109">
    <cfRule type="expression" dxfId="2025" priority="75" stopIfTrue="1">
      <formula>IF(#REF!&gt;2,0,1)</formula>
    </cfRule>
  </conditionalFormatting>
  <conditionalFormatting sqref="J24 J109">
    <cfRule type="expression" dxfId="2024" priority="76" stopIfTrue="1">
      <formula>IF(#REF!&gt;2,0,1)</formula>
    </cfRule>
  </conditionalFormatting>
  <conditionalFormatting sqref="K23:M23 K108:M108">
    <cfRule type="expression" dxfId="2023" priority="77" stopIfTrue="1">
      <formula>IF(#REF!&gt;3,0,1)</formula>
    </cfRule>
  </conditionalFormatting>
  <conditionalFormatting sqref="L24 L109">
    <cfRule type="expression" dxfId="2022" priority="78" stopIfTrue="1">
      <formula>IF(#REF!&gt;3,0,1)</formula>
    </cfRule>
  </conditionalFormatting>
  <conditionalFormatting sqref="M24 M109">
    <cfRule type="expression" dxfId="2021" priority="79" stopIfTrue="1">
      <formula>IF(#REF!&gt;3,0,1)</formula>
    </cfRule>
  </conditionalFormatting>
  <conditionalFormatting sqref="N23:P23 N108:P108">
    <cfRule type="expression" dxfId="2020" priority="80" stopIfTrue="1">
      <formula>IF(#REF!&gt;4,0,1)</formula>
    </cfRule>
  </conditionalFormatting>
  <conditionalFormatting sqref="O24 O109">
    <cfRule type="expression" dxfId="2019" priority="81" stopIfTrue="1">
      <formula>IF(#REF!&gt;4,0,1)</formula>
    </cfRule>
  </conditionalFormatting>
  <conditionalFormatting sqref="P24 P109">
    <cfRule type="expression" dxfId="2018" priority="82" stopIfTrue="1">
      <formula>IF(#REF!&gt;4,0,1)</formula>
    </cfRule>
  </conditionalFormatting>
  <conditionalFormatting sqref="Q23:S23 Q108:S108">
    <cfRule type="expression" dxfId="2017" priority="83" stopIfTrue="1">
      <formula>IF(#REF!&gt;5,0,1)</formula>
    </cfRule>
  </conditionalFormatting>
  <conditionalFormatting sqref="R24 R109">
    <cfRule type="expression" dxfId="2016" priority="84" stopIfTrue="1">
      <formula>IF(#REF!&gt;5,0,1)</formula>
    </cfRule>
  </conditionalFormatting>
  <conditionalFormatting sqref="S24 S109">
    <cfRule type="expression" dxfId="2015" priority="85" stopIfTrue="1">
      <formula>IF(#REF!&gt;5,0,1)</formula>
    </cfRule>
  </conditionalFormatting>
  <conditionalFormatting sqref="T23:V23 T108:V108">
    <cfRule type="expression" dxfId="2014" priority="86" stopIfTrue="1">
      <formula>IF(#REF!&gt;6,0,1)</formula>
    </cfRule>
  </conditionalFormatting>
  <conditionalFormatting sqref="U24 U109">
    <cfRule type="expression" dxfId="2013" priority="87" stopIfTrue="1">
      <formula>IF(#REF!&gt;6,0,1)</formula>
    </cfRule>
  </conditionalFormatting>
  <conditionalFormatting sqref="V24 V109">
    <cfRule type="expression" dxfId="2012" priority="88" stopIfTrue="1">
      <formula>IF(#REF!&gt;6,0,1)</formula>
    </cfRule>
  </conditionalFormatting>
  <conditionalFormatting sqref="W23:Y23 W108:Y108">
    <cfRule type="expression" dxfId="2011" priority="89" stopIfTrue="1">
      <formula>IF(#REF!&gt;7,0,1)</formula>
    </cfRule>
  </conditionalFormatting>
  <conditionalFormatting sqref="X24 X109">
    <cfRule type="expression" dxfId="2010" priority="90" stopIfTrue="1">
      <formula>IF(#REF!&gt;7,0,1)</formula>
    </cfRule>
  </conditionalFormatting>
  <conditionalFormatting sqref="Y24 Y109">
    <cfRule type="expression" dxfId="2009" priority="91" stopIfTrue="1">
      <formula>IF(#REF!&gt;7,0,1)</formula>
    </cfRule>
  </conditionalFormatting>
  <conditionalFormatting sqref="Z23:AB23 Z108:AB108">
    <cfRule type="expression" dxfId="2008" priority="92" stopIfTrue="1">
      <formula>IF(#REF!&gt;8,0,1)</formula>
    </cfRule>
  </conditionalFormatting>
  <conditionalFormatting sqref="AA24 AA109">
    <cfRule type="expression" dxfId="2007" priority="93" stopIfTrue="1">
      <formula>IF(#REF!&gt;8,0,1)</formula>
    </cfRule>
  </conditionalFormatting>
  <conditionalFormatting sqref="AB24 AB109">
    <cfRule type="expression" dxfId="2006" priority="94" stopIfTrue="1">
      <formula>IF(#REF!&gt;8,0,1)</formula>
    </cfRule>
  </conditionalFormatting>
  <conditionalFormatting sqref="AC23:AE23 AC108:AE108">
    <cfRule type="expression" dxfId="2005" priority="95" stopIfTrue="1">
      <formula>IF(#REF!&gt;9,0,1)</formula>
    </cfRule>
  </conditionalFormatting>
  <conditionalFormatting sqref="AD24 AD109">
    <cfRule type="expression" dxfId="2004" priority="96" stopIfTrue="1">
      <formula>IF(#REF!&gt;9,0,1)</formula>
    </cfRule>
  </conditionalFormatting>
  <conditionalFormatting sqref="AE24 AE109">
    <cfRule type="expression" dxfId="2003" priority="97" stopIfTrue="1">
      <formula>IF(#REF!&gt;9,0,1)</formula>
    </cfRule>
  </conditionalFormatting>
  <conditionalFormatting sqref="A26 A111">
    <cfRule type="expression" dxfId="2002" priority="98" stopIfTrue="1">
      <formula>IF(#REF!&gt;1,0,1)</formula>
    </cfRule>
  </conditionalFormatting>
  <conditionalFormatting sqref="A27 A112">
    <cfRule type="expression" dxfId="2001" priority="99" stopIfTrue="1">
      <formula>IF(#REF!&gt;2,0,1)</formula>
    </cfRule>
  </conditionalFormatting>
  <conditionalFormatting sqref="A28 A113">
    <cfRule type="expression" dxfId="2000" priority="100" stopIfTrue="1">
      <formula>IF(#REF!&gt;3,0,1)</formula>
    </cfRule>
  </conditionalFormatting>
  <conditionalFormatting sqref="A29 A114">
    <cfRule type="expression" dxfId="1999" priority="101" stopIfTrue="1">
      <formula>IF(#REF!&gt;4,0,1)</formula>
    </cfRule>
  </conditionalFormatting>
  <conditionalFormatting sqref="B25:D25 B110:D110">
    <cfRule type="expression" dxfId="1998" priority="102" stopIfTrue="1">
      <formula>IF(#REF!&gt;0,0,1)</formula>
    </cfRule>
  </conditionalFormatting>
  <conditionalFormatting sqref="B26:D26 B111:D111">
    <cfRule type="expression" dxfId="1997" priority="103" stopIfTrue="1">
      <formula>IF(#REF!&lt;1,1,IF(#REF!&lt;2,1,0))</formula>
    </cfRule>
  </conditionalFormatting>
  <conditionalFormatting sqref="B27:D27 B112:D112">
    <cfRule type="expression" dxfId="1996" priority="104" stopIfTrue="1">
      <formula>IF(#REF!&lt;1,1,IF(#REF!&lt;3,1,0))</formula>
    </cfRule>
  </conditionalFormatting>
  <conditionalFormatting sqref="B28:D28 B113:D113">
    <cfRule type="expression" dxfId="1995" priority="105" stopIfTrue="1">
      <formula>IF(#REF!&lt;1,1,IF(#REF!&lt;4,1,0))</formula>
    </cfRule>
  </conditionalFormatting>
  <conditionalFormatting sqref="B29:D29 B114:D114">
    <cfRule type="expression" dxfId="1994" priority="106" stopIfTrue="1">
      <formula>IF(#REF!&lt;1,1,IF(#REF!&lt;5,1,0))</formula>
    </cfRule>
  </conditionalFormatting>
  <conditionalFormatting sqref="AG23 AG108">
    <cfRule type="expression" dxfId="1993" priority="107" stopIfTrue="1">
      <formula>IF(#REF!&lt;1,1,0)</formula>
    </cfRule>
  </conditionalFormatting>
  <conditionalFormatting sqref="AH23 AH108">
    <cfRule type="expression" dxfId="1992" priority="108" stopIfTrue="1">
      <formula>IF(#REF!&lt;2,1,0)</formula>
    </cfRule>
  </conditionalFormatting>
  <conditionalFormatting sqref="AI23 AI108">
    <cfRule type="expression" dxfId="1991" priority="109" stopIfTrue="1">
      <formula>IF(#REF!&lt;3,1,0)</formula>
    </cfRule>
  </conditionalFormatting>
  <conditionalFormatting sqref="AJ23 AJ108">
    <cfRule type="expression" dxfId="1990" priority="110" stopIfTrue="1">
      <formula>IF(#REF!&lt;4,1,0)</formula>
    </cfRule>
  </conditionalFormatting>
  <conditionalFormatting sqref="AK23 AK108">
    <cfRule type="expression" dxfId="1989" priority="111" stopIfTrue="1">
      <formula>IF(#REF!&lt;5,1,0)</formula>
    </cfRule>
  </conditionalFormatting>
  <conditionalFormatting sqref="AL23 AL108">
    <cfRule type="expression" dxfId="1988" priority="112" stopIfTrue="1">
      <formula>IF(#REF!&lt;6,1,0)</formula>
    </cfRule>
  </conditionalFormatting>
  <conditionalFormatting sqref="AM23 AM108">
    <cfRule type="expression" dxfId="1987" priority="113" stopIfTrue="1">
      <formula>IF(#REF!&lt;7,1,0)</formula>
    </cfRule>
  </conditionalFormatting>
  <conditionalFormatting sqref="AN23 AN108">
    <cfRule type="expression" dxfId="1986" priority="114" stopIfTrue="1">
      <formula>IF(#REF!&lt;8,1,0)</formula>
    </cfRule>
  </conditionalFormatting>
  <conditionalFormatting sqref="AO23 AO108">
    <cfRule type="expression" dxfId="1985" priority="115" stopIfTrue="1">
      <formula>IF(#REF!&lt;9,1,0)</formula>
    </cfRule>
  </conditionalFormatting>
  <conditionalFormatting sqref="AP23 AP108">
    <cfRule type="expression" dxfId="1984" priority="116" stopIfTrue="1">
      <formula>IF(#REF!&lt;10,1,0)</formula>
    </cfRule>
  </conditionalFormatting>
  <conditionalFormatting sqref="AQ24 AQ109">
    <cfRule type="expression" dxfId="1983" priority="117" stopIfTrue="1">
      <formula>IF(#REF!&gt;0,0,1)</formula>
    </cfRule>
  </conditionalFormatting>
  <conditionalFormatting sqref="AQ25 AQ110">
    <cfRule type="expression" dxfId="1982" priority="118" stopIfTrue="1">
      <formula>IF(#REF!&gt;1,0,1)</formula>
    </cfRule>
  </conditionalFormatting>
  <conditionalFormatting sqref="AQ26 H25:J25 AQ111 H110:J110">
    <cfRule type="expression" dxfId="1981" priority="119" stopIfTrue="1">
      <formula>IF(#REF!&gt;2,0,1)</formula>
    </cfRule>
  </conditionalFormatting>
  <conditionalFormatting sqref="K25:M25 K110:M110">
    <cfRule type="expression" dxfId="1980" priority="120" stopIfTrue="1">
      <formula>IF(#REF!&gt;3,0,1)</formula>
    </cfRule>
  </conditionalFormatting>
  <conditionalFormatting sqref="AQ28 AQ113">
    <cfRule type="expression" dxfId="1979" priority="121" stopIfTrue="1">
      <formula>IF(#REF!&gt;4,0,1)</formula>
    </cfRule>
  </conditionalFormatting>
  <conditionalFormatting sqref="E26:G26 E111:G111">
    <cfRule type="expression" dxfId="1978" priority="122" stopIfTrue="1">
      <formula>IF(#REF!&lt;2,1,IF(#REF!&lt;2,1,0))</formula>
    </cfRule>
  </conditionalFormatting>
  <conditionalFormatting sqref="E27:G27 E112:G112">
    <cfRule type="expression" dxfId="1977" priority="123" stopIfTrue="1">
      <formula>IF(#REF!&lt;2,1,IF(#REF!&lt;3,1,0))</formula>
    </cfRule>
  </conditionalFormatting>
  <conditionalFormatting sqref="E28:G28 E113:G113">
    <cfRule type="expression" dxfId="1976" priority="124" stopIfTrue="1">
      <formula>IF(#REF!&lt;2,1,IF(#REF!&lt;4,1,0))</formula>
    </cfRule>
  </conditionalFormatting>
  <conditionalFormatting sqref="E29:G29 E114:G114">
    <cfRule type="expression" dxfId="1975" priority="125" stopIfTrue="1">
      <formula>IF(#REF!&lt;2,1,IF(#REF!&lt;5,1,0))</formula>
    </cfRule>
  </conditionalFormatting>
  <conditionalFormatting sqref="N25:P25 N110:P110">
    <cfRule type="expression" dxfId="1974" priority="126" stopIfTrue="1">
      <formula>IF(#REF!&gt;4,0,1)</formula>
    </cfRule>
  </conditionalFormatting>
  <conditionalFormatting sqref="Q25:S25 Q110:S110">
    <cfRule type="expression" dxfId="1973" priority="127" stopIfTrue="1">
      <formula>IF(#REF!&gt;5,0,1)</formula>
    </cfRule>
  </conditionalFormatting>
  <conditionalFormatting sqref="T25:V25 T110:V110">
    <cfRule type="expression" dxfId="1972" priority="128" stopIfTrue="1">
      <formula>IF(#REF!&gt;6,0,1)</formula>
    </cfRule>
  </conditionalFormatting>
  <conditionalFormatting sqref="W25:Y25 W110:Y110">
    <cfRule type="expression" dxfId="1971" priority="129" stopIfTrue="1">
      <formula>IF(#REF!&gt;7,0,1)</formula>
    </cfRule>
  </conditionalFormatting>
  <conditionalFormatting sqref="Z25:AB25 Z110:AB110">
    <cfRule type="expression" dxfId="1970" priority="130" stopIfTrue="1">
      <formula>IF(#REF!&gt;8,0,1)</formula>
    </cfRule>
  </conditionalFormatting>
  <conditionalFormatting sqref="AC25:AE25 AC110:AE110">
    <cfRule type="expression" dxfId="1969" priority="131" stopIfTrue="1">
      <formula>IF(#REF!&gt;9,0,1)</formula>
    </cfRule>
  </conditionalFormatting>
  <conditionalFormatting sqref="H26:J26 H111:J111">
    <cfRule type="expression" dxfId="1968" priority="132" stopIfTrue="1">
      <formula>IF(#REF!&lt;3,1,IF(#REF!&lt;2,1,0))</formula>
    </cfRule>
  </conditionalFormatting>
  <conditionalFormatting sqref="K26:M26 K111:M111">
    <cfRule type="expression" dxfId="1967" priority="133" stopIfTrue="1">
      <formula>IF(#REF!&lt;4,1,IF(#REF!&lt;2,1,0))</formula>
    </cfRule>
  </conditionalFormatting>
  <conditionalFormatting sqref="N26:P26 N111:P111">
    <cfRule type="expression" dxfId="1966" priority="134" stopIfTrue="1">
      <formula>IF(#REF!&lt;5,1,IF(#REF!&lt;2,1,0))</formula>
    </cfRule>
  </conditionalFormatting>
  <conditionalFormatting sqref="Q26:S26 Q111:S111">
    <cfRule type="expression" dxfId="1965" priority="135" stopIfTrue="1">
      <formula>IF(#REF!&lt;6,1,IF(#REF!&lt;2,1,0))</formula>
    </cfRule>
  </conditionalFormatting>
  <conditionalFormatting sqref="T26:V26 T111:V111">
    <cfRule type="expression" dxfId="1964" priority="136" stopIfTrue="1">
      <formula>IF(#REF!&lt;7,1,IF(#REF!&lt;2,1,0))</formula>
    </cfRule>
  </conditionalFormatting>
  <conditionalFormatting sqref="W26:Y26 W111:Y111">
    <cfRule type="expression" dxfId="1963" priority="137" stopIfTrue="1">
      <formula>IF(#REF!&lt;8,1,IF(#REF!&lt;2,1,0))</formula>
    </cfRule>
  </conditionalFormatting>
  <conditionalFormatting sqref="Z26:AB26 Z111:AB111">
    <cfRule type="expression" dxfId="1962" priority="138" stopIfTrue="1">
      <formula>IF(#REF!&lt;9,1,IF(#REF!&lt;2,1,0))</formula>
    </cfRule>
  </conditionalFormatting>
  <conditionalFormatting sqref="AC26:AE26 AC111:AE111">
    <cfRule type="expression" dxfId="1961" priority="139" stopIfTrue="1">
      <formula>IF(#REF!&lt;10,1,IF(#REF!&lt;2,1,0))</formula>
    </cfRule>
  </conditionalFormatting>
  <conditionalFormatting sqref="H27:J27 H112:J112">
    <cfRule type="expression" dxfId="1960" priority="140" stopIfTrue="1">
      <formula>IF(#REF!&lt;3,1,IF(#REF!&lt;3,1,0))</formula>
    </cfRule>
  </conditionalFormatting>
  <conditionalFormatting sqref="K27:M27 K112:M112">
    <cfRule type="expression" dxfId="1959" priority="141" stopIfTrue="1">
      <formula>IF(#REF!&lt;4,1,IF(#REF!&lt;3,1,0))</formula>
    </cfRule>
  </conditionalFormatting>
  <conditionalFormatting sqref="N27:P27 N112:P112">
    <cfRule type="expression" dxfId="1958" priority="142" stopIfTrue="1">
      <formula>IF(#REF!&lt;5,1,IF(#REF!&lt;3,1,0))</formula>
    </cfRule>
  </conditionalFormatting>
  <conditionalFormatting sqref="Q27:S27 Q112:S112">
    <cfRule type="expression" dxfId="1957" priority="143" stopIfTrue="1">
      <formula>IF(#REF!&lt;6,1,IF(#REF!&lt;3,1,0))</formula>
    </cfRule>
  </conditionalFormatting>
  <conditionalFormatting sqref="T27:V27 T112:V112">
    <cfRule type="expression" dxfId="1956" priority="144" stopIfTrue="1">
      <formula>IF(#REF!&lt;7,1,IF(#REF!&lt;3,1,0))</formula>
    </cfRule>
  </conditionalFormatting>
  <conditionalFormatting sqref="W27:Y27 W112:Y112">
    <cfRule type="expression" dxfId="1955" priority="145" stopIfTrue="1">
      <formula>IF(#REF!&lt;8,1,IF(#REF!&lt;3,1,0))</formula>
    </cfRule>
  </conditionalFormatting>
  <conditionalFormatting sqref="Z27:AB27 Z112:AB112">
    <cfRule type="expression" dxfId="1954" priority="146" stopIfTrue="1">
      <formula>IF(#REF!&lt;9,1,IF(#REF!&lt;3,1,0))</formula>
    </cfRule>
  </conditionalFormatting>
  <conditionalFormatting sqref="AC27:AE27 AC112:AE112">
    <cfRule type="expression" dxfId="1953" priority="147" stopIfTrue="1">
      <formula>IF(#REF!&lt;10,1,IF(#REF!&lt;3,1,0))</formula>
    </cfRule>
  </conditionalFormatting>
  <conditionalFormatting sqref="H28:J28 H113:J113">
    <cfRule type="expression" dxfId="1952" priority="148" stopIfTrue="1">
      <formula>IF(#REF!&lt;3,1,IF(#REF!&lt;4,1,0))</formula>
    </cfRule>
  </conditionalFormatting>
  <conditionalFormatting sqref="K28:M28 K113:M113">
    <cfRule type="expression" dxfId="1951" priority="149" stopIfTrue="1">
      <formula>IF(#REF!&lt;4,1,IF(#REF!&lt;4,1,0))</formula>
    </cfRule>
  </conditionalFormatting>
  <conditionalFormatting sqref="N28:P28 N113:P113">
    <cfRule type="expression" dxfId="1950" priority="150" stopIfTrue="1">
      <formula>IF(#REF!&lt;5,1,IF(#REF!&lt;4,1,0))</formula>
    </cfRule>
  </conditionalFormatting>
  <conditionalFormatting sqref="Q28:S28 Q113:S113">
    <cfRule type="expression" dxfId="1949" priority="151" stopIfTrue="1">
      <formula>IF(#REF!&lt;6,1,IF(#REF!&lt;4,1,0))</formula>
    </cfRule>
  </conditionalFormatting>
  <conditionalFormatting sqref="T28:V28 T113:V113">
    <cfRule type="expression" dxfId="1948" priority="152" stopIfTrue="1">
      <formula>IF(#REF!&lt;7,1,IF(#REF!&lt;4,1,0))</formula>
    </cfRule>
  </conditionalFormatting>
  <conditionalFormatting sqref="W28:Y28 W113:Y113">
    <cfRule type="expression" dxfId="1947" priority="153" stopIfTrue="1">
      <formula>IF(#REF!&lt;8,1,IF(#REF!&lt;4,1,0))</formula>
    </cfRule>
  </conditionalFormatting>
  <conditionalFormatting sqref="Z28:AB28 Z113:AB113">
    <cfRule type="expression" dxfId="1946" priority="154" stopIfTrue="1">
      <formula>IF(#REF!&lt;9,1,IF(#REF!&lt;4,1,0))</formula>
    </cfRule>
  </conditionalFormatting>
  <conditionalFormatting sqref="AC28:AE28 AC113:AE113">
    <cfRule type="expression" dxfId="1945" priority="155" stopIfTrue="1">
      <formula>IF(#REF!&lt;10,1,IF(#REF!&lt;4,1,0))</formula>
    </cfRule>
  </conditionalFormatting>
  <conditionalFormatting sqref="H29:J29 H114:J114">
    <cfRule type="expression" dxfId="1944" priority="156" stopIfTrue="1">
      <formula>IF(#REF!&lt;3,1,IF(#REF!&lt;5,1,0))</formula>
    </cfRule>
  </conditionalFormatting>
  <conditionalFormatting sqref="K29:M29 K114:M114">
    <cfRule type="expression" dxfId="1943" priority="157" stopIfTrue="1">
      <formula>IF(#REF!&lt;4,1,IF(#REF!&lt;5,1,0))</formula>
    </cfRule>
  </conditionalFormatting>
  <conditionalFormatting sqref="N29:P29 N114:P114">
    <cfRule type="expression" dxfId="1942" priority="158" stopIfTrue="1">
      <formula>IF(#REF!&lt;5,1,IF(#REF!&lt;5,1,0))</formula>
    </cfRule>
  </conditionalFormatting>
  <conditionalFormatting sqref="Q29:S29 Q114:S114">
    <cfRule type="expression" dxfId="1941" priority="159" stopIfTrue="1">
      <formula>IF(#REF!&lt;6,1,IF(#REF!&lt;5,1,0))</formula>
    </cfRule>
  </conditionalFormatting>
  <conditionalFormatting sqref="T29:V29 T114:V114">
    <cfRule type="expression" dxfId="1940" priority="160" stopIfTrue="1">
      <formula>IF(#REF!&lt;7,1,IF(#REF!&lt;5,1,0))</formula>
    </cfRule>
  </conditionalFormatting>
  <conditionalFormatting sqref="W29:Y29 W114:Y114">
    <cfRule type="expression" dxfId="1939" priority="161" stopIfTrue="1">
      <formula>IF(#REF!&lt;8,1,IF(#REF!&lt;5,1,0))</formula>
    </cfRule>
  </conditionalFormatting>
  <conditionalFormatting sqref="Z29:AB29 Z114:AB114">
    <cfRule type="expression" dxfId="1938" priority="162" stopIfTrue="1">
      <formula>IF(#REF!&lt;9,1,IF(#REF!&lt;5,1,0))</formula>
    </cfRule>
  </conditionalFormatting>
  <conditionalFormatting sqref="AC29:AE29 AC114:AE114">
    <cfRule type="expression" dxfId="1937" priority="163" stopIfTrue="1">
      <formula>IF(#REF!&lt;10,1,IF(#REF!&lt;5,1,0))</formula>
    </cfRule>
  </conditionalFormatting>
  <conditionalFormatting sqref="R14:AB15 AF14:AF15 L14:P15 R99:AB100 AF99:AF100 L99:P100 AG14 AG99">
    <cfRule type="expression" dxfId="1936" priority="164" stopIfTrue="1">
      <formula>IF(#REF!&gt;3,0,1)</formula>
    </cfRule>
  </conditionalFormatting>
  <conditionalFormatting sqref="R16:AB17 AF16:AF17 L16:P17 R101:AB102 AF101:AF102 L101:P102 AG16 AG101">
    <cfRule type="expression" dxfId="1935" priority="165" stopIfTrue="1">
      <formula>IF(#REF!&gt;4,0,1)</formula>
    </cfRule>
  </conditionalFormatting>
  <conditionalFormatting sqref="R8:AB9 AF8:AF9 L8:P9 R93:AB94 AF93:AF94 L93:P94 AG8 AG93">
    <cfRule type="expression" dxfId="1934" priority="166" stopIfTrue="1">
      <formula>IF($AK9&gt;0,0,1)</formula>
    </cfRule>
  </conditionalFormatting>
  <conditionalFormatting sqref="R10:AB11 AF10:AF11 L10:P11 R95:AB96 AF95:AF96 L95:P96 AG10 AG95">
    <cfRule type="expression" dxfId="1933" priority="167" stopIfTrue="1">
      <formula>IF(#REF!&gt;1,0,1)</formula>
    </cfRule>
  </conditionalFormatting>
  <conditionalFormatting sqref="R12:AB13 AF12:AF13 L12:P13 R97:AB98 AF97:AF98 L97:P98 AG12 AG97">
    <cfRule type="expression" dxfId="1932" priority="168" stopIfTrue="1">
      <formula>IF(#REF!&gt;2,0,1)</formula>
    </cfRule>
  </conditionalFormatting>
  <conditionalFormatting sqref="E24 E109">
    <cfRule type="expression" dxfId="1931" priority="169" stopIfTrue="1">
      <formula>IF(#REF!&gt;1,0,1)</formula>
    </cfRule>
  </conditionalFormatting>
  <conditionalFormatting sqref="H24 H109">
    <cfRule type="expression" dxfId="1930" priority="170" stopIfTrue="1">
      <formula>IF(#REF!&gt;2,0,1)</formula>
    </cfRule>
  </conditionalFormatting>
  <conditionalFormatting sqref="K24 K109">
    <cfRule type="expression" dxfId="1929" priority="171" stopIfTrue="1">
      <formula>IF(#REF!&gt;3,0,1)</formula>
    </cfRule>
  </conditionalFormatting>
  <conditionalFormatting sqref="N24 N109">
    <cfRule type="expression" dxfId="1928" priority="172" stopIfTrue="1">
      <formula>IF(#REF!&gt;4,0,1)</formula>
    </cfRule>
  </conditionalFormatting>
  <conditionalFormatting sqref="Q24 Q109">
    <cfRule type="expression" dxfId="1927" priority="173" stopIfTrue="1">
      <formula>IF(#REF!&gt;5,0,1)</formula>
    </cfRule>
  </conditionalFormatting>
  <conditionalFormatting sqref="T24 T109">
    <cfRule type="expression" dxfId="1926" priority="174" stopIfTrue="1">
      <formula>IF(#REF!&gt;6,0,1)</formula>
    </cfRule>
  </conditionalFormatting>
  <conditionalFormatting sqref="W24 W109">
    <cfRule type="expression" dxfId="1925" priority="175" stopIfTrue="1">
      <formula>IF(#REF!&gt;7,0,1)</formula>
    </cfRule>
  </conditionalFormatting>
  <conditionalFormatting sqref="Z24 Z109">
    <cfRule type="expression" dxfId="1924" priority="176" stopIfTrue="1">
      <formula>IF(#REF!&gt;8,0,1)</formula>
    </cfRule>
  </conditionalFormatting>
  <conditionalFormatting sqref="AC24 AC109">
    <cfRule type="expression" dxfId="1923" priority="177" stopIfTrue="1">
      <formula>IF(#REF!&gt;9,0,1)</formula>
    </cfRule>
  </conditionalFormatting>
  <conditionalFormatting sqref="AQ27 AQ112">
    <cfRule type="expression" dxfId="1922" priority="178" stopIfTrue="1">
      <formula>IF(#REF!&gt;3,0,1)</formula>
    </cfRule>
  </conditionalFormatting>
  <conditionalFormatting sqref="E25:G25 E110:G110">
    <cfRule type="expression" dxfId="1921" priority="179" stopIfTrue="1">
      <formula>IF(#REF!&gt;1,0,1)</formula>
    </cfRule>
  </conditionalFormatting>
  <conditionalFormatting sqref="B21:D21 B106:D106">
    <cfRule type="expression" dxfId="1920" priority="180" stopIfTrue="1">
      <formula>IF(#REF!&gt;0,0,1)</formula>
    </cfRule>
  </conditionalFormatting>
  <conditionalFormatting sqref="E21:G21 E106:G106">
    <cfRule type="expression" dxfId="1919" priority="181" stopIfTrue="1">
      <formula>IF(#REF!&gt;1,0,1)</formula>
    </cfRule>
  </conditionalFormatting>
  <conditionalFormatting sqref="H21:J21 H106:J106">
    <cfRule type="expression" dxfId="1918" priority="182" stopIfTrue="1">
      <formula>IF(#REF!&gt;2,0,1)</formula>
    </cfRule>
  </conditionalFormatting>
  <conditionalFormatting sqref="K21:M21 K106:M106">
    <cfRule type="expression" dxfId="1917" priority="183" stopIfTrue="1">
      <formula>IF(#REF!&gt;3,0,1)</formula>
    </cfRule>
  </conditionalFormatting>
  <conditionalFormatting sqref="N21:P21 N106:P106">
    <cfRule type="expression" dxfId="1916" priority="184" stopIfTrue="1">
      <formula>IF(#REF!&gt;4,0,1)</formula>
    </cfRule>
  </conditionalFormatting>
  <conditionalFormatting sqref="Q21:S21 Q106:S106">
    <cfRule type="expression" dxfId="1915" priority="185" stopIfTrue="1">
      <formula>IF(#REF!&gt;5,0,1)</formula>
    </cfRule>
  </conditionalFormatting>
  <conditionalFormatting sqref="T21:V21 T106:V106">
    <cfRule type="expression" dxfId="1914" priority="186" stopIfTrue="1">
      <formula>IF(#REF!&gt;6,0,1)</formula>
    </cfRule>
  </conditionalFormatting>
  <conditionalFormatting sqref="W21:Y21 W106:Y106">
    <cfRule type="expression" dxfId="1913" priority="187" stopIfTrue="1">
      <formula>IF(#REF!&gt;7,0,1)</formula>
    </cfRule>
  </conditionalFormatting>
  <conditionalFormatting sqref="Z21:AB21 Z106:AB106">
    <cfRule type="expression" dxfId="1912" priority="188" stopIfTrue="1">
      <formula>IF(#REF!&gt;8,0,1)</formula>
    </cfRule>
  </conditionalFormatting>
  <conditionalFormatting sqref="AC21:AE21 AC106:AE106">
    <cfRule type="expression" dxfId="1911" priority="189" stopIfTrue="1">
      <formula>IF(#REF!&gt;9,0,1)</formula>
    </cfRule>
  </conditionalFormatting>
  <conditionalFormatting sqref="X224:X225 W215:W216 X215:Y215 W218:Y223 Z219:AE222 AA223:AA225 I223:I225 C224:C225 B215:B216 C215:D215 B218:D223 E219:J222 F223:F225 AD223:AD225">
    <cfRule type="expression" dxfId="1910" priority="190" stopIfTrue="1">
      <formula>IF(#REF!&gt;0,0,1)</formula>
    </cfRule>
  </conditionalFormatting>
  <conditionalFormatting sqref="AA215:AB215 AB223 AA218:AB218 Z223 Z215:Z218 F215:G215 G223 F218:G218 E223 E215:E218">
    <cfRule type="expression" dxfId="1909" priority="191" stopIfTrue="1">
      <formula>IF(#REF!&gt;1,0,1)</formula>
    </cfRule>
  </conditionalFormatting>
  <conditionalFormatting sqref="AC215:AC218 AD215:AE215 AE223 AD218:AE218 AC223 H223 H215:H218 I215:J215 J223 I218:J218">
    <cfRule type="expression" dxfId="1908" priority="192" stopIfTrue="1">
      <formula>IF(#REF!&gt;2,0,1)</formula>
    </cfRule>
  </conditionalFormatting>
  <conditionalFormatting sqref="W224 Y224 B224 D224">
    <cfRule type="expression" dxfId="1907" priority="193" stopIfTrue="1">
      <formula>IF(#REF!&lt;1,1,IF(#REF!&lt;2,1,0))</formula>
    </cfRule>
  </conditionalFormatting>
  <conditionalFormatting sqref="Z224 AB224 E224 G224">
    <cfRule type="expression" dxfId="1906" priority="194" stopIfTrue="1">
      <formula>IF(#REF!&lt;2,1,IF(#REF!&lt;2,1,0))</formula>
    </cfRule>
  </conditionalFormatting>
  <conditionalFormatting sqref="AC224 AE224 H224 J224">
    <cfRule type="expression" dxfId="1905" priority="195" stopIfTrue="1">
      <formula>IF(#REF!&lt;3,1,IF(#REF!&lt;2,1,0))</formula>
    </cfRule>
  </conditionalFormatting>
  <conditionalFormatting sqref="Y225 B225 D225 W225">
    <cfRule type="expression" dxfId="1904" priority="196" stopIfTrue="1">
      <formula>IF(#REF!&lt;1,1,IF(#REF!&lt;3,1,0))</formula>
    </cfRule>
  </conditionalFormatting>
  <conditionalFormatting sqref="AB225 E225 G225 Z225">
    <cfRule type="expression" dxfId="1903" priority="197" stopIfTrue="1">
      <formula>IF(#REF!&lt;2,1,IF(#REF!&lt;3,1,0))</formula>
    </cfRule>
  </conditionalFormatting>
  <conditionalFormatting sqref="AE225 H225 J225 AC225">
    <cfRule type="expression" dxfId="1902" priority="198" stopIfTrue="1">
      <formula>IF(#REF!&lt;3,1,IF(#REF!&lt;3,1,0))</formula>
    </cfRule>
  </conditionalFormatting>
  <conditionalFormatting sqref="AG24:AP28 AG109:AP113">
    <cfRule type="cellIs" dxfId="1901" priority="199" stopIfTrue="1" operator="notBetween">
      <formula>-9999</formula>
      <formula>9999</formula>
    </cfRule>
  </conditionalFormatting>
  <conditionalFormatting sqref="AC7 AC92">
    <cfRule type="expression" dxfId="1900" priority="200" stopIfTrue="1">
      <formula>IF($AK$11=0,1,0)</formula>
    </cfRule>
  </conditionalFormatting>
  <conditionalFormatting sqref="B18 B103">
    <cfRule type="expression" dxfId="1899" priority="201" stopIfTrue="1">
      <formula>IF($AK$9&gt;0,0,1)</formula>
    </cfRule>
  </conditionalFormatting>
  <conditionalFormatting sqref="B22:D23 B107:D108">
    <cfRule type="cellIs" dxfId="1898" priority="202" stopIfTrue="1" operator="equal">
      <formula>99</formula>
    </cfRule>
  </conditionalFormatting>
  <conditionalFormatting sqref="X226 AA226 C226 F226">
    <cfRule type="expression" dxfId="1897" priority="203" stopIfTrue="1">
      <formula>IF(#REF!&gt;0,0,1)</formula>
    </cfRule>
  </conditionalFormatting>
  <conditionalFormatting sqref="K215">
    <cfRule type="expression" dxfId="1896" priority="3" stopIfTrue="1">
      <formula>IF(#REF!&gt;2,0,1)</formula>
    </cfRule>
  </conditionalFormatting>
  <conditionalFormatting sqref="K215">
    <cfRule type="expression" dxfId="1895" priority="2" stopIfTrue="1">
      <formula>IF(ISNUMBER(K223),0,1)</formula>
    </cfRule>
  </conditionalFormatting>
  <conditionalFormatting sqref="AF215">
    <cfRule type="expression" dxfId="1894" priority="1" stopIfTrue="1">
      <formula>IF(ISNUMBER(AF223),0,1)</formula>
    </cfRule>
  </conditionalFormatting>
  <pageMargins left="0.25" right="0.25" top="0.25" bottom="0.25" header="0" footer="0"/>
  <pageSetup scale="62" orientation="landscape" horizontalDpi="4294967293" verticalDpi="4294967293"/>
  <headerFooter alignWithMargins="0"/>
  <rowBreaks count="2" manualBreakCount="2">
    <brk id="90" max="42" man="1"/>
    <brk id="175" max="4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 enableFormatConditionsCalculation="0">
    <tabColor rgb="FFFFFF00"/>
    <pageSetUpPr fitToPage="1"/>
  </sheetPr>
  <dimension ref="A1:BP658"/>
  <sheetViews>
    <sheetView topLeftCell="P1" zoomScale="70" zoomScaleNormal="70" workbookViewId="0">
      <selection activeCell="AZ21" sqref="AZ21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62" customWidth="1"/>
    <col min="50" max="50" width="10.42578125" style="4" customWidth="1"/>
    <col min="51" max="51" width="11.28515625" style="4" customWidth="1"/>
    <col min="52" max="52" width="25" style="4" customWidth="1"/>
    <col min="53" max="53" width="6" style="4" customWidth="1"/>
    <col min="54" max="16384" width="8.7109375" style="4"/>
  </cols>
  <sheetData>
    <row r="1" spans="1:53" ht="13.5" thickBot="1" x14ac:dyDescent="0.25">
      <c r="A1" s="914" t="s">
        <v>0</v>
      </c>
      <c r="B1" s="914"/>
      <c r="C1" s="914"/>
      <c r="D1" s="914"/>
      <c r="E1" s="914"/>
      <c r="F1" s="914"/>
      <c r="G1" s="914"/>
      <c r="H1" s="914"/>
      <c r="I1" s="914"/>
      <c r="J1" s="914"/>
      <c r="K1" s="914"/>
      <c r="L1" s="914"/>
      <c r="M1" s="914"/>
      <c r="N1" s="914"/>
      <c r="O1" s="914"/>
      <c r="P1" s="914"/>
      <c r="Q1" s="914"/>
      <c r="R1" s="914"/>
      <c r="S1" s="914"/>
      <c r="T1" s="914"/>
      <c r="U1" s="914"/>
      <c r="V1" s="914"/>
      <c r="W1" s="914"/>
      <c r="X1" s="914"/>
      <c r="Y1" s="914"/>
      <c r="Z1" s="914"/>
      <c r="AA1" s="914"/>
      <c r="AB1" s="914"/>
      <c r="AC1" s="914"/>
      <c r="AD1" s="914"/>
      <c r="AE1" s="914"/>
      <c r="AF1" s="914"/>
      <c r="AG1" s="914"/>
      <c r="AH1" s="914"/>
      <c r="AI1" s="914"/>
      <c r="AJ1" s="1"/>
      <c r="AK1" s="1"/>
      <c r="AL1" s="1"/>
      <c r="AM1" s="1"/>
      <c r="AN1" s="1"/>
      <c r="AO1" s="1"/>
      <c r="AP1" s="1"/>
      <c r="AQ1" s="2" t="s">
        <v>349</v>
      </c>
      <c r="AR1" s="3"/>
      <c r="AT1" s="915" t="s">
        <v>1</v>
      </c>
      <c r="AU1" s="916"/>
      <c r="AV1" s="916"/>
      <c r="AW1" s="917"/>
      <c r="AX1" s="918" t="s">
        <v>2</v>
      </c>
      <c r="AY1" s="919"/>
      <c r="AZ1" s="9" t="s">
        <v>3</v>
      </c>
      <c r="BA1" s="10">
        <v>32</v>
      </c>
    </row>
    <row r="2" spans="1:53" ht="18.75" customHeight="1" thickBot="1" x14ac:dyDescent="0.3">
      <c r="A2" s="920" t="s">
        <v>4</v>
      </c>
      <c r="B2" s="921"/>
      <c r="C2" s="921"/>
      <c r="D2" s="921"/>
      <c r="E2" s="921"/>
      <c r="F2" s="921"/>
      <c r="G2" s="921"/>
      <c r="H2" s="921"/>
      <c r="I2" s="922"/>
      <c r="J2" s="923" t="s">
        <v>351</v>
      </c>
      <c r="K2" s="924"/>
      <c r="L2" s="924"/>
      <c r="M2" s="924"/>
      <c r="N2" s="924"/>
      <c r="O2" s="924"/>
      <c r="P2" s="924"/>
      <c r="Q2" s="924"/>
      <c r="R2" s="924"/>
      <c r="S2" s="924"/>
      <c r="T2" s="924"/>
      <c r="U2" s="924"/>
      <c r="V2" s="924"/>
      <c r="W2" s="924"/>
      <c r="X2" s="925"/>
      <c r="Y2" s="926" t="s">
        <v>5</v>
      </c>
      <c r="Z2" s="927"/>
      <c r="AA2" s="927"/>
      <c r="AB2" s="927"/>
      <c r="AC2" s="928"/>
      <c r="AD2" s="929">
        <v>42434</v>
      </c>
      <c r="AE2" s="897"/>
      <c r="AF2" s="897"/>
      <c r="AG2" s="897"/>
      <c r="AH2" s="897"/>
      <c r="AI2" s="898"/>
      <c r="AJ2" s="11"/>
      <c r="AK2" s="11"/>
      <c r="AL2" s="11"/>
      <c r="AM2" s="11"/>
      <c r="AN2" s="11"/>
      <c r="AO2" s="11"/>
      <c r="AP2" s="11"/>
      <c r="AQ2" s="11"/>
      <c r="AR2" s="3"/>
      <c r="AT2" s="12" t="s">
        <v>6</v>
      </c>
      <c r="AU2" s="5" t="s">
        <v>7</v>
      </c>
      <c r="AV2" s="6" t="s">
        <v>8</v>
      </c>
      <c r="AW2" s="8" t="s">
        <v>9</v>
      </c>
      <c r="AX2" s="13" t="s">
        <v>10</v>
      </c>
      <c r="AY2" s="8" t="s">
        <v>11</v>
      </c>
      <c r="AZ2" s="9" t="s">
        <v>12</v>
      </c>
      <c r="BA2" s="10">
        <v>16</v>
      </c>
    </row>
    <row r="3" spans="1:53" ht="18.75" customHeight="1" thickBot="1" x14ac:dyDescent="0.3">
      <c r="A3" s="14" t="s">
        <v>13</v>
      </c>
      <c r="B3" s="899" t="s">
        <v>1173</v>
      </c>
      <c r="C3" s="900"/>
      <c r="D3" s="900"/>
      <c r="E3" s="900"/>
      <c r="F3" s="900"/>
      <c r="G3" s="900"/>
      <c r="H3" s="900"/>
      <c r="I3" s="900"/>
      <c r="J3" s="900"/>
      <c r="K3" s="900"/>
      <c r="L3" s="900"/>
      <c r="M3" s="900"/>
      <c r="N3" s="900"/>
      <c r="O3" s="901"/>
      <c r="P3" s="902" t="s">
        <v>14</v>
      </c>
      <c r="Q3" s="903"/>
      <c r="R3" s="903"/>
      <c r="S3" s="904" t="s">
        <v>1174</v>
      </c>
      <c r="T3" s="905"/>
      <c r="U3" s="905"/>
      <c r="V3" s="905"/>
      <c r="W3" s="905"/>
      <c r="X3" s="906"/>
      <c r="Y3" s="907" t="s">
        <v>15</v>
      </c>
      <c r="Z3" s="908"/>
      <c r="AA3" s="908"/>
      <c r="AB3" s="908"/>
      <c r="AC3" s="908"/>
      <c r="AD3" s="909"/>
      <c r="AE3" s="910" t="s">
        <v>16</v>
      </c>
      <c r="AF3" s="911"/>
      <c r="AG3" s="912" t="s">
        <v>17</v>
      </c>
      <c r="AH3" s="912"/>
      <c r="AI3" s="913"/>
      <c r="AJ3" s="11"/>
      <c r="AK3" s="11"/>
      <c r="AL3" s="11"/>
      <c r="AM3" s="11"/>
      <c r="AN3" s="11"/>
      <c r="AO3" s="11"/>
      <c r="AP3" s="11"/>
      <c r="AQ3" s="11"/>
      <c r="AR3" s="3"/>
      <c r="AT3" s="15">
        <v>1</v>
      </c>
      <c r="AU3" s="167" t="s">
        <v>367</v>
      </c>
      <c r="AV3" s="167" t="s">
        <v>215</v>
      </c>
      <c r="AW3" s="16">
        <f>VLOOKUP(AV3,Initial!G:K,5,FALSE)</f>
        <v>1963.0509671228099</v>
      </c>
      <c r="AX3" s="17">
        <f t="shared" ref="AX3:AX17" si="0">VLOOKUP(AU3,AT$79:AU$259,2,FALSE)</f>
        <v>2003.7132660210884</v>
      </c>
      <c r="AY3" s="18">
        <f t="shared" ref="AY3:AY17" si="1">IF(ISNA(VLOOKUP(AU3,AT$273:AU$373,2,FALSE)),AX3,VLOOKUP(AU3,AT$273:AU$373,2,FALSE))</f>
        <v>2006.3678428890369</v>
      </c>
    </row>
    <row r="4" spans="1:53" ht="24" customHeight="1" thickBot="1" x14ac:dyDescent="0.25">
      <c r="A4" s="890" t="s">
        <v>18</v>
      </c>
      <c r="B4" s="891"/>
      <c r="C4" s="891"/>
      <c r="D4" s="892"/>
      <c r="E4" s="893" t="s">
        <v>352</v>
      </c>
      <c r="F4" s="894"/>
      <c r="G4" s="894"/>
      <c r="H4" s="894"/>
      <c r="I4" s="894"/>
      <c r="J4" s="894"/>
      <c r="K4" s="894"/>
      <c r="L4" s="894"/>
      <c r="M4" s="895"/>
      <c r="N4" s="890" t="s">
        <v>19</v>
      </c>
      <c r="O4" s="891"/>
      <c r="P4" s="891"/>
      <c r="Q4" s="892"/>
      <c r="R4" s="896"/>
      <c r="S4" s="897"/>
      <c r="T4" s="897"/>
      <c r="U4" s="897"/>
      <c r="V4" s="897"/>
      <c r="W4" s="897"/>
      <c r="X4" s="897"/>
      <c r="Y4" s="897"/>
      <c r="Z4" s="897"/>
      <c r="AA4" s="898"/>
      <c r="AB4" s="890" t="s">
        <v>20</v>
      </c>
      <c r="AC4" s="891"/>
      <c r="AD4" s="891"/>
      <c r="AE4" s="892"/>
      <c r="AF4" s="896"/>
      <c r="AG4" s="897"/>
      <c r="AH4" s="897"/>
      <c r="AI4" s="898"/>
      <c r="AJ4" s="11"/>
      <c r="AK4" s="11"/>
      <c r="AL4" s="11"/>
      <c r="AM4" s="11"/>
      <c r="AN4" s="11"/>
      <c r="AO4" s="11"/>
      <c r="AP4" s="11"/>
      <c r="AQ4" s="11"/>
      <c r="AR4" s="3"/>
      <c r="AT4" s="19">
        <v>2</v>
      </c>
      <c r="AU4" s="167" t="s">
        <v>520</v>
      </c>
      <c r="AV4" s="167" t="s">
        <v>521</v>
      </c>
      <c r="AW4" s="16">
        <f>VLOOKUP(AV4,Initial!G:K,5,FALSE)</f>
        <v>1917.7652604016778</v>
      </c>
      <c r="AX4" s="20">
        <f t="shared" si="0"/>
        <v>1947.0860402822027</v>
      </c>
      <c r="AY4" s="21">
        <f t="shared" si="1"/>
        <v>1936.0903343342557</v>
      </c>
    </row>
    <row r="5" spans="1:53" ht="15.75" thickBot="1" x14ac:dyDescent="0.25">
      <c r="A5" s="1" t="s">
        <v>21</v>
      </c>
      <c r="B5" s="887" t="s">
        <v>21</v>
      </c>
      <c r="C5" s="888"/>
      <c r="D5" s="888"/>
      <c r="E5" s="888"/>
      <c r="F5" s="888"/>
      <c r="G5" s="888"/>
      <c r="H5" s="888"/>
      <c r="I5" s="888"/>
      <c r="J5" s="888"/>
      <c r="K5" s="889" t="s">
        <v>21</v>
      </c>
      <c r="L5" s="889"/>
      <c r="M5" s="889"/>
      <c r="N5" s="889"/>
      <c r="O5" s="889"/>
      <c r="P5" s="889"/>
      <c r="Q5" s="889"/>
      <c r="R5" s="889"/>
      <c r="S5" s="889"/>
      <c r="T5" s="889"/>
      <c r="U5" s="889"/>
      <c r="V5" s="889"/>
      <c r="W5" s="889"/>
      <c r="X5" s="889"/>
      <c r="Y5" s="889"/>
      <c r="Z5" s="889"/>
      <c r="AA5" s="889"/>
      <c r="AB5" s="889"/>
      <c r="AC5" s="889"/>
      <c r="AD5" s="889"/>
      <c r="AE5" s="889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9">
        <v>3</v>
      </c>
      <c r="AU5" s="167" t="s">
        <v>185</v>
      </c>
      <c r="AV5" s="167" t="s">
        <v>234</v>
      </c>
      <c r="AW5" s="16">
        <f>VLOOKUP(AV5,Initial!G:K,5,FALSE)</f>
        <v>1914.8405147891358</v>
      </c>
      <c r="AX5" s="20">
        <f t="shared" si="0"/>
        <v>1934.1205810170186</v>
      </c>
      <c r="AY5" s="21">
        <f t="shared" si="1"/>
        <v>1925.295911556369</v>
      </c>
    </row>
    <row r="6" spans="1:53" ht="24" customHeight="1" thickBot="1" x14ac:dyDescent="0.25">
      <c r="A6" s="22" t="s">
        <v>22</v>
      </c>
      <c r="B6" s="23" t="s">
        <v>23</v>
      </c>
      <c r="C6" s="862" t="s">
        <v>24</v>
      </c>
      <c r="D6" s="863"/>
      <c r="E6" s="863"/>
      <c r="F6" s="863"/>
      <c r="G6" s="863"/>
      <c r="H6" s="864"/>
      <c r="I6" s="865">
        <v>1</v>
      </c>
      <c r="J6" s="866"/>
      <c r="K6" s="867" t="str">
        <f>"Pool "&amp;B6&amp;" - Round 1 - Court "&amp;I6</f>
        <v>Pool A - Round 1 - Court 1</v>
      </c>
      <c r="L6" s="868"/>
      <c r="M6" s="868"/>
      <c r="N6" s="868"/>
      <c r="O6" s="868"/>
      <c r="P6" s="868"/>
      <c r="Q6" s="868"/>
      <c r="R6" s="868"/>
      <c r="S6" s="868"/>
      <c r="T6" s="868"/>
      <c r="U6" s="868"/>
      <c r="V6" s="868"/>
      <c r="W6" s="868"/>
      <c r="X6" s="868"/>
      <c r="Y6" s="868"/>
      <c r="Z6" s="868"/>
      <c r="AA6" s="868"/>
      <c r="AB6" s="868"/>
      <c r="AC6" s="868"/>
      <c r="AD6" s="868"/>
      <c r="AE6" s="868"/>
      <c r="AF6" s="868"/>
      <c r="AG6" s="868"/>
      <c r="AH6" s="868"/>
      <c r="AI6" s="869"/>
      <c r="AJ6" s="11"/>
      <c r="AK6" s="11"/>
      <c r="AL6" s="11"/>
      <c r="AM6" s="11"/>
      <c r="AN6" s="11"/>
      <c r="AO6" s="11"/>
      <c r="AP6" s="11"/>
      <c r="AQ6" s="11"/>
      <c r="AT6" s="19">
        <v>4</v>
      </c>
      <c r="AU6" s="167" t="s">
        <v>316</v>
      </c>
      <c r="AV6" s="167" t="s">
        <v>258</v>
      </c>
      <c r="AW6" s="16">
        <f>VLOOKUP(AV6,Initial!G:K,5,FALSE)</f>
        <v>1895.4903689374637</v>
      </c>
      <c r="AX6" s="20">
        <f t="shared" si="0"/>
        <v>1934.272282716566</v>
      </c>
      <c r="AY6" s="21">
        <f t="shared" si="1"/>
        <v>1931.1341198367875</v>
      </c>
    </row>
    <row r="7" spans="1:53" ht="27" customHeight="1" thickBot="1" x14ac:dyDescent="0.25">
      <c r="A7" s="24" t="s">
        <v>25</v>
      </c>
      <c r="B7" s="870" t="s">
        <v>7</v>
      </c>
      <c r="C7" s="871"/>
      <c r="D7" s="871"/>
      <c r="E7" s="871"/>
      <c r="F7" s="871"/>
      <c r="G7" s="871"/>
      <c r="H7" s="871"/>
      <c r="I7" s="871"/>
      <c r="J7" s="871"/>
      <c r="K7" s="871"/>
      <c r="L7" s="870" t="str">
        <f>IF($AK10=0,"Games Won","Matches Won")</f>
        <v>Games Won</v>
      </c>
      <c r="M7" s="871"/>
      <c r="N7" s="871"/>
      <c r="O7" s="871"/>
      <c r="P7" s="871"/>
      <c r="Q7" s="872"/>
      <c r="R7" s="870" t="str">
        <f>IF($AK10=0,"Games Lost","Matches Lost")</f>
        <v>Games Lost</v>
      </c>
      <c r="S7" s="873"/>
      <c r="T7" s="873"/>
      <c r="U7" s="873"/>
      <c r="V7" s="874"/>
      <c r="W7" s="875" t="s">
        <v>26</v>
      </c>
      <c r="X7" s="876"/>
      <c r="Y7" s="877"/>
      <c r="Z7" s="875" t="s">
        <v>27</v>
      </c>
      <c r="AA7" s="876"/>
      <c r="AB7" s="877"/>
      <c r="AC7" s="878" t="s">
        <v>28</v>
      </c>
      <c r="AD7" s="879"/>
      <c r="AE7" s="880"/>
      <c r="AF7" s="25" t="s">
        <v>29</v>
      </c>
      <c r="AG7" s="26" t="s">
        <v>6</v>
      </c>
      <c r="AH7" s="860" t="s">
        <v>30</v>
      </c>
      <c r="AI7" s="861"/>
      <c r="AJ7" s="27"/>
      <c r="AK7" s="28">
        <v>2</v>
      </c>
      <c r="AL7" s="29" t="s">
        <v>31</v>
      </c>
      <c r="AM7" s="29"/>
      <c r="AN7" s="29"/>
      <c r="AO7" s="29"/>
      <c r="AP7" s="29"/>
      <c r="AQ7" s="29"/>
      <c r="AR7" s="30"/>
      <c r="AT7" s="19">
        <v>5</v>
      </c>
      <c r="AU7" s="352" t="s">
        <v>319</v>
      </c>
      <c r="AV7" s="167" t="s">
        <v>320</v>
      </c>
      <c r="AW7" s="16">
        <f>VLOOKUP(AV7,Initial!G:K,5,FALSE)</f>
        <v>2148.0572046490697</v>
      </c>
      <c r="AX7" s="20">
        <f t="shared" si="0"/>
        <v>2125.5973103070378</v>
      </c>
      <c r="AY7" s="21">
        <f t="shared" si="1"/>
        <v>2135.8392479664076</v>
      </c>
    </row>
    <row r="8" spans="1:53" ht="18.75" customHeight="1" thickBot="1" x14ac:dyDescent="0.25">
      <c r="A8" s="829" t="str">
        <f>IF($AK9&gt;0,"1","")</f>
        <v>1</v>
      </c>
      <c r="B8" s="857" t="s">
        <v>7</v>
      </c>
      <c r="C8" s="858"/>
      <c r="D8" s="859"/>
      <c r="E8" s="833" t="str">
        <f>AU3</f>
        <v>Foothills 14 Holland</v>
      </c>
      <c r="F8" s="834"/>
      <c r="G8" s="834"/>
      <c r="H8" s="834"/>
      <c r="I8" s="834"/>
      <c r="J8" s="834"/>
      <c r="K8" s="835"/>
      <c r="L8" s="836">
        <f>IF($AK10=0,AF64,AF46)</f>
        <v>6</v>
      </c>
      <c r="M8" s="837"/>
      <c r="N8" s="837"/>
      <c r="O8" s="837"/>
      <c r="P8" s="837"/>
      <c r="Q8" s="872"/>
      <c r="R8" s="836">
        <f>IF($AK10=0,AG64,AG46)</f>
        <v>2</v>
      </c>
      <c r="S8" s="837"/>
      <c r="T8" s="837"/>
      <c r="U8" s="837"/>
      <c r="V8" s="837"/>
      <c r="W8" s="836">
        <f>AQ24</f>
        <v>12</v>
      </c>
      <c r="X8" s="837"/>
      <c r="Y8" s="837"/>
      <c r="Z8" s="809">
        <f>IF(AF58&gt;0,(AQ24/AF58),0)</f>
        <v>5.9701492537313432E-2</v>
      </c>
      <c r="AA8" s="810"/>
      <c r="AB8" s="810"/>
      <c r="AC8" s="813">
        <f>IF(AF72=0,0,(AF64/AF72))</f>
        <v>0.75</v>
      </c>
      <c r="AD8" s="814"/>
      <c r="AE8" s="815"/>
      <c r="AF8" s="819">
        <v>2</v>
      </c>
      <c r="AG8" s="819">
        <v>1</v>
      </c>
      <c r="AH8" s="821">
        <v>2</v>
      </c>
      <c r="AI8" s="822"/>
      <c r="AJ8" s="27"/>
      <c r="AK8" s="28">
        <v>10</v>
      </c>
      <c r="AL8" s="29" t="s">
        <v>32</v>
      </c>
      <c r="AM8" s="29"/>
      <c r="AN8" s="29"/>
      <c r="AO8" s="29"/>
      <c r="AP8" s="29"/>
      <c r="AQ8" s="29"/>
      <c r="AR8" s="30"/>
      <c r="AT8" s="19">
        <v>6</v>
      </c>
      <c r="AU8" s="167" t="s">
        <v>315</v>
      </c>
      <c r="AV8" s="167" t="s">
        <v>233</v>
      </c>
      <c r="AW8" s="16">
        <f>VLOOKUP(AV8,Initial!G:K,5,FALSE)</f>
        <v>1891.4603047981896</v>
      </c>
      <c r="AX8" s="20">
        <f t="shared" si="0"/>
        <v>1880.1553601396777</v>
      </c>
      <c r="AY8" s="21">
        <f t="shared" si="1"/>
        <v>1900.4753549957709</v>
      </c>
    </row>
    <row r="9" spans="1:53" ht="18.75" customHeight="1" thickBot="1" x14ac:dyDescent="0.25">
      <c r="A9" s="830"/>
      <c r="B9" s="854" t="s">
        <v>8</v>
      </c>
      <c r="C9" s="855"/>
      <c r="D9" s="856"/>
      <c r="E9" s="850" t="str">
        <f>AV3</f>
        <v>fj4footh1pm</v>
      </c>
      <c r="F9" s="851"/>
      <c r="G9" s="851"/>
      <c r="H9" s="851"/>
      <c r="I9" s="851"/>
      <c r="J9" s="851"/>
      <c r="K9" s="851"/>
      <c r="L9" s="852"/>
      <c r="M9" s="853"/>
      <c r="N9" s="853"/>
      <c r="O9" s="853"/>
      <c r="P9" s="853"/>
      <c r="Q9" s="872"/>
      <c r="R9" s="852"/>
      <c r="S9" s="853"/>
      <c r="T9" s="853"/>
      <c r="U9" s="853"/>
      <c r="V9" s="853"/>
      <c r="W9" s="852"/>
      <c r="X9" s="853"/>
      <c r="Y9" s="853"/>
      <c r="Z9" s="840"/>
      <c r="AA9" s="841"/>
      <c r="AB9" s="841"/>
      <c r="AC9" s="842"/>
      <c r="AD9" s="843"/>
      <c r="AE9" s="844"/>
      <c r="AF9" s="845"/>
      <c r="AG9" s="845"/>
      <c r="AH9" s="846"/>
      <c r="AI9" s="847"/>
      <c r="AJ9" s="27"/>
      <c r="AK9" s="28">
        <v>5</v>
      </c>
      <c r="AL9" s="29" t="s">
        <v>33</v>
      </c>
      <c r="AM9" s="27"/>
      <c r="AN9" s="27"/>
      <c r="AO9" s="27"/>
      <c r="AP9" s="27"/>
      <c r="AQ9" s="27"/>
      <c r="AR9" s="3"/>
      <c r="AT9" s="19">
        <v>7</v>
      </c>
      <c r="AU9" s="167" t="s">
        <v>389</v>
      </c>
      <c r="AV9" s="167" t="s">
        <v>390</v>
      </c>
      <c r="AW9" s="16">
        <f>VLOOKUP(AV9,Initial!G:K,5,FALSE)</f>
        <v>1830.5436089119114</v>
      </c>
      <c r="AX9" s="20">
        <f t="shared" si="0"/>
        <v>1810.3339217466503</v>
      </c>
      <c r="AY9" s="21">
        <f t="shared" si="1"/>
        <v>1808.3399317636411</v>
      </c>
    </row>
    <row r="10" spans="1:53" ht="18.75" customHeight="1" thickBot="1" x14ac:dyDescent="0.25">
      <c r="A10" s="829" t="str">
        <f>IF($AK9&gt;1,"2","")</f>
        <v>2</v>
      </c>
      <c r="B10" s="857" t="s">
        <v>7</v>
      </c>
      <c r="C10" s="858"/>
      <c r="D10" s="859"/>
      <c r="E10" s="833" t="str">
        <f>AU8</f>
        <v>C1VB 14 Reg Black Grvl</v>
      </c>
      <c r="F10" s="834"/>
      <c r="G10" s="834"/>
      <c r="H10" s="834"/>
      <c r="I10" s="834"/>
      <c r="J10" s="834"/>
      <c r="K10" s="835"/>
      <c r="L10" s="836">
        <f>IF($AK10=0,AF65,AF47)</f>
        <v>3</v>
      </c>
      <c r="M10" s="837"/>
      <c r="N10" s="837"/>
      <c r="O10" s="837"/>
      <c r="P10" s="837"/>
      <c r="Q10" s="872"/>
      <c r="R10" s="836">
        <f>IF($AK10=0,AG65,AG47)</f>
        <v>5</v>
      </c>
      <c r="S10" s="837"/>
      <c r="T10" s="837"/>
      <c r="U10" s="837"/>
      <c r="V10" s="837"/>
      <c r="W10" s="836">
        <f>AQ25</f>
        <v>-4</v>
      </c>
      <c r="X10" s="837"/>
      <c r="Y10" s="837"/>
      <c r="Z10" s="809">
        <f>IF(AF59&gt;0,(AQ25/AF59),0)</f>
        <v>-1.9900497512437811E-2</v>
      </c>
      <c r="AA10" s="810"/>
      <c r="AB10" s="810"/>
      <c r="AC10" s="813">
        <f>IF(AF73=0,0,(AF65/AF73))</f>
        <v>0.375</v>
      </c>
      <c r="AD10" s="814"/>
      <c r="AE10" s="815"/>
      <c r="AF10" s="819">
        <v>3</v>
      </c>
      <c r="AG10" s="819">
        <v>1</v>
      </c>
      <c r="AH10" s="821">
        <v>8</v>
      </c>
      <c r="AI10" s="822"/>
      <c r="AJ10" s="27"/>
      <c r="AK10" s="28">
        <v>0</v>
      </c>
      <c r="AL10" s="29" t="s">
        <v>34</v>
      </c>
      <c r="AM10" s="29"/>
      <c r="AN10" s="29"/>
      <c r="AO10" s="29"/>
      <c r="AP10" s="29"/>
      <c r="AQ10" s="29"/>
      <c r="AR10" s="30"/>
      <c r="AT10" s="19">
        <v>8</v>
      </c>
      <c r="AU10" s="167" t="s">
        <v>190</v>
      </c>
      <c r="AV10" s="167" t="s">
        <v>487</v>
      </c>
      <c r="AW10" s="16">
        <f>VLOOKUP(AV10,Initial!G:K,5,FALSE)</f>
        <v>1890.1692768639286</v>
      </c>
      <c r="AX10" s="20">
        <f t="shared" si="0"/>
        <v>1811.3963190537154</v>
      </c>
      <c r="AY10" s="21">
        <f t="shared" si="1"/>
        <v>1811.3963190537154</v>
      </c>
    </row>
    <row r="11" spans="1:53" ht="18.75" customHeight="1" thickBot="1" x14ac:dyDescent="0.25">
      <c r="A11" s="830"/>
      <c r="B11" s="848" t="s">
        <v>8</v>
      </c>
      <c r="C11" s="849"/>
      <c r="D11" s="849"/>
      <c r="E11" s="850" t="str">
        <f>AV8</f>
        <v>fj4crone4pm</v>
      </c>
      <c r="F11" s="851"/>
      <c r="G11" s="851"/>
      <c r="H11" s="851"/>
      <c r="I11" s="851"/>
      <c r="J11" s="851"/>
      <c r="K11" s="851"/>
      <c r="L11" s="852"/>
      <c r="M11" s="853"/>
      <c r="N11" s="853"/>
      <c r="O11" s="853"/>
      <c r="P11" s="853"/>
      <c r="Q11" s="872"/>
      <c r="R11" s="852"/>
      <c r="S11" s="853"/>
      <c r="T11" s="853"/>
      <c r="U11" s="853"/>
      <c r="V11" s="853"/>
      <c r="W11" s="852"/>
      <c r="X11" s="853"/>
      <c r="Y11" s="853"/>
      <c r="Z11" s="840"/>
      <c r="AA11" s="841"/>
      <c r="AB11" s="841"/>
      <c r="AC11" s="842"/>
      <c r="AD11" s="843"/>
      <c r="AE11" s="844"/>
      <c r="AF11" s="845"/>
      <c r="AG11" s="845"/>
      <c r="AH11" s="846"/>
      <c r="AI11" s="847"/>
      <c r="AJ11" s="27"/>
      <c r="AK11" s="28">
        <v>1</v>
      </c>
      <c r="AL11" s="29" t="s">
        <v>35</v>
      </c>
      <c r="AM11" s="27"/>
      <c r="AN11" s="27"/>
      <c r="AO11" s="27"/>
      <c r="AP11" s="27"/>
      <c r="AQ11" s="27"/>
      <c r="AR11" s="3"/>
      <c r="AT11" s="19">
        <v>9</v>
      </c>
      <c r="AU11" s="167" t="s">
        <v>378</v>
      </c>
      <c r="AV11" s="167" t="s">
        <v>379</v>
      </c>
      <c r="AW11" s="16">
        <f>VLOOKUP(AV11,Initial!G:K,5,FALSE)</f>
        <v>1933.3202027700872</v>
      </c>
      <c r="AX11" s="20">
        <f t="shared" si="0"/>
        <v>1851.0023848190285</v>
      </c>
      <c r="AY11" s="21">
        <f t="shared" si="1"/>
        <v>1843.6720858938916</v>
      </c>
    </row>
    <row r="12" spans="1:53" ht="18.75" customHeight="1" thickBot="1" x14ac:dyDescent="0.25">
      <c r="A12" s="829" t="str">
        <f>IF($AK9&gt;2,"3","")</f>
        <v>3</v>
      </c>
      <c r="B12" s="831" t="s">
        <v>7</v>
      </c>
      <c r="C12" s="832"/>
      <c r="D12" s="832"/>
      <c r="E12" s="833" t="str">
        <f>AU9</f>
        <v>Chas Jrs 14 White</v>
      </c>
      <c r="F12" s="834"/>
      <c r="G12" s="834"/>
      <c r="H12" s="834"/>
      <c r="I12" s="834"/>
      <c r="J12" s="834"/>
      <c r="K12" s="835"/>
      <c r="L12" s="836">
        <f>IF($AK10=0,AF66,AF48)</f>
        <v>2</v>
      </c>
      <c r="M12" s="837"/>
      <c r="N12" s="837"/>
      <c r="O12" s="837"/>
      <c r="P12" s="837"/>
      <c r="Q12" s="872"/>
      <c r="R12" s="836">
        <f>IF($AK10=0,AG66,AG48)</f>
        <v>6</v>
      </c>
      <c r="S12" s="837"/>
      <c r="T12" s="837"/>
      <c r="U12" s="837"/>
      <c r="V12" s="837"/>
      <c r="W12" s="836">
        <f>AQ26</f>
        <v>-19</v>
      </c>
      <c r="X12" s="837"/>
      <c r="Y12" s="837"/>
      <c r="Z12" s="809">
        <f>IF(AF60&gt;0,(AQ26/AF60),0)</f>
        <v>-9.4527363184079602E-2</v>
      </c>
      <c r="AA12" s="810"/>
      <c r="AB12" s="810"/>
      <c r="AC12" s="813">
        <f>IF(AF74=0,0,(AF66/AF74))</f>
        <v>0.25</v>
      </c>
      <c r="AD12" s="814"/>
      <c r="AE12" s="815"/>
      <c r="AF12" s="819">
        <v>4</v>
      </c>
      <c r="AG12" s="819">
        <v>3</v>
      </c>
      <c r="AH12" s="821">
        <v>9</v>
      </c>
      <c r="AI12" s="822"/>
      <c r="AJ12" s="36"/>
      <c r="AK12" s="28">
        <v>8</v>
      </c>
      <c r="AL12" s="37" t="s">
        <v>36</v>
      </c>
      <c r="AM12" s="29"/>
      <c r="AN12" s="29"/>
      <c r="AO12" s="29"/>
      <c r="AP12" s="29"/>
      <c r="AQ12" s="29"/>
      <c r="AR12" s="30"/>
      <c r="AT12" s="19">
        <v>10</v>
      </c>
      <c r="AU12" s="167" t="s">
        <v>464</v>
      </c>
      <c r="AV12" s="167" t="s">
        <v>465</v>
      </c>
      <c r="AW12" s="16">
        <f>VLOOKUP(AV12,Initial!G:K,5,FALSE)</f>
        <v>1865.2574148016322</v>
      </c>
      <c r="AX12" s="20">
        <f t="shared" si="0"/>
        <v>1898.1779669391633</v>
      </c>
      <c r="AY12" s="21">
        <f t="shared" si="1"/>
        <v>1900.0253559371931</v>
      </c>
    </row>
    <row r="13" spans="1:53" ht="18.75" customHeight="1" thickBot="1" x14ac:dyDescent="0.25">
      <c r="A13" s="830"/>
      <c r="B13" s="848" t="s">
        <v>8</v>
      </c>
      <c r="C13" s="849"/>
      <c r="D13" s="849"/>
      <c r="E13" s="850" t="str">
        <f>AV9</f>
        <v>fj4charl3pm</v>
      </c>
      <c r="F13" s="851"/>
      <c r="G13" s="851"/>
      <c r="H13" s="851"/>
      <c r="I13" s="851"/>
      <c r="J13" s="851"/>
      <c r="K13" s="851"/>
      <c r="L13" s="852"/>
      <c r="M13" s="853"/>
      <c r="N13" s="853"/>
      <c r="O13" s="853"/>
      <c r="P13" s="853"/>
      <c r="Q13" s="872"/>
      <c r="R13" s="852"/>
      <c r="S13" s="853"/>
      <c r="T13" s="853"/>
      <c r="U13" s="853"/>
      <c r="V13" s="853"/>
      <c r="W13" s="852"/>
      <c r="X13" s="853"/>
      <c r="Y13" s="853"/>
      <c r="Z13" s="840"/>
      <c r="AA13" s="841"/>
      <c r="AB13" s="841"/>
      <c r="AC13" s="842"/>
      <c r="AD13" s="843"/>
      <c r="AE13" s="844"/>
      <c r="AF13" s="845"/>
      <c r="AG13" s="845"/>
      <c r="AH13" s="846"/>
      <c r="AI13" s="847"/>
      <c r="AJ13" s="36"/>
      <c r="AK13" s="38"/>
      <c r="AL13" s="39"/>
      <c r="AM13" s="39"/>
      <c r="AN13" s="39"/>
      <c r="AO13" s="39"/>
      <c r="AP13" s="39"/>
      <c r="AQ13" s="27"/>
      <c r="AR13" s="3"/>
      <c r="AT13" s="19">
        <v>11</v>
      </c>
      <c r="AU13" s="167" t="s">
        <v>1177</v>
      </c>
      <c r="AV13" s="167" t="s">
        <v>323</v>
      </c>
      <c r="AW13" s="1035">
        <v>2191.3036846579344</v>
      </c>
      <c r="AX13" s="20">
        <f t="shared" si="0"/>
        <v>2179.3232925082521</v>
      </c>
      <c r="AY13" s="21">
        <f t="shared" si="1"/>
        <v>2191.3037844041428</v>
      </c>
      <c r="AZ13" s="68">
        <f>AY13-AW13</f>
        <v>9.9746208434225991E-5</v>
      </c>
    </row>
    <row r="14" spans="1:53" ht="18.75" customHeight="1" thickBot="1" x14ac:dyDescent="0.25">
      <c r="A14" s="829" t="str">
        <f>IF($AK9&gt;3,"4","")</f>
        <v>4</v>
      </c>
      <c r="B14" s="831" t="s">
        <v>7</v>
      </c>
      <c r="C14" s="832"/>
      <c r="D14" s="832"/>
      <c r="E14" s="833" t="str">
        <f>AU14</f>
        <v>C1VB 14 Regional Pickens</v>
      </c>
      <c r="F14" s="834"/>
      <c r="G14" s="834"/>
      <c r="H14" s="834"/>
      <c r="I14" s="834"/>
      <c r="J14" s="834"/>
      <c r="K14" s="835"/>
      <c r="L14" s="836">
        <f>IF($AK10=0,AF67,AF49)</f>
        <v>2</v>
      </c>
      <c r="M14" s="837"/>
      <c r="N14" s="837"/>
      <c r="O14" s="837"/>
      <c r="P14" s="837"/>
      <c r="Q14" s="872"/>
      <c r="R14" s="836">
        <f>IF($AK10=0,AG67,AG49)</f>
        <v>6</v>
      </c>
      <c r="S14" s="837"/>
      <c r="T14" s="837"/>
      <c r="U14" s="837"/>
      <c r="V14" s="837"/>
      <c r="W14" s="836">
        <f>AQ27</f>
        <v>-31</v>
      </c>
      <c r="X14" s="837"/>
      <c r="Y14" s="837"/>
      <c r="Z14" s="809">
        <f>IF(AF61&gt;0,(AQ27/AF61),0)</f>
        <v>-0.155</v>
      </c>
      <c r="AA14" s="810"/>
      <c r="AB14" s="810"/>
      <c r="AC14" s="813">
        <f>IF(AF75=0,0,(AF67/AF75))</f>
        <v>0.25</v>
      </c>
      <c r="AD14" s="814"/>
      <c r="AE14" s="815"/>
      <c r="AF14" s="819">
        <v>5</v>
      </c>
      <c r="AG14" s="819">
        <v>3</v>
      </c>
      <c r="AH14" s="821">
        <v>13</v>
      </c>
      <c r="AI14" s="822"/>
      <c r="AJ14" s="11"/>
      <c r="AK14" s="39"/>
      <c r="AL14" s="39"/>
      <c r="AM14" s="39"/>
      <c r="AN14" s="39"/>
      <c r="AO14" s="39"/>
      <c r="AP14" s="39"/>
      <c r="AQ14" s="29"/>
      <c r="AR14" s="30"/>
      <c r="AT14" s="19">
        <v>12</v>
      </c>
      <c r="AU14" s="167" t="s">
        <v>189</v>
      </c>
      <c r="AV14" s="167" t="s">
        <v>317</v>
      </c>
      <c r="AW14" s="16">
        <f>VLOOKUP(AV14,Initial!G:K,5,FALSE)</f>
        <v>1828.7521321234813</v>
      </c>
      <c r="AX14" s="20">
        <f t="shared" si="0"/>
        <v>1808.1070716129773</v>
      </c>
      <c r="AY14" s="21">
        <f t="shared" si="1"/>
        <v>1808.1070716129773</v>
      </c>
    </row>
    <row r="15" spans="1:53" ht="18.75" customHeight="1" thickBot="1" x14ac:dyDescent="0.25">
      <c r="A15" s="830"/>
      <c r="B15" s="848" t="s">
        <v>8</v>
      </c>
      <c r="C15" s="849"/>
      <c r="D15" s="849"/>
      <c r="E15" s="850" t="str">
        <f>AV14</f>
        <v>fj4crone6pm</v>
      </c>
      <c r="F15" s="851"/>
      <c r="G15" s="851"/>
      <c r="H15" s="851"/>
      <c r="I15" s="851"/>
      <c r="J15" s="851"/>
      <c r="K15" s="851"/>
      <c r="L15" s="852"/>
      <c r="M15" s="853"/>
      <c r="N15" s="853"/>
      <c r="O15" s="853"/>
      <c r="P15" s="853"/>
      <c r="Q15" s="872"/>
      <c r="R15" s="852"/>
      <c r="S15" s="853"/>
      <c r="T15" s="853"/>
      <c r="U15" s="853"/>
      <c r="V15" s="853"/>
      <c r="W15" s="852"/>
      <c r="X15" s="853"/>
      <c r="Y15" s="853"/>
      <c r="Z15" s="840"/>
      <c r="AA15" s="841"/>
      <c r="AB15" s="841"/>
      <c r="AC15" s="842"/>
      <c r="AD15" s="843"/>
      <c r="AE15" s="844"/>
      <c r="AF15" s="845"/>
      <c r="AG15" s="845"/>
      <c r="AH15" s="846"/>
      <c r="AI15" s="847"/>
      <c r="AJ15" s="11"/>
      <c r="AK15" s="39"/>
      <c r="AL15" s="39"/>
      <c r="AM15" s="39"/>
      <c r="AN15" s="39"/>
      <c r="AO15" s="39"/>
      <c r="AP15" s="39"/>
      <c r="AQ15" s="11"/>
      <c r="AR15" s="3"/>
      <c r="AT15" s="19">
        <v>13</v>
      </c>
      <c r="AU15" s="167" t="s">
        <v>400</v>
      </c>
      <c r="AV15" s="167" t="s">
        <v>401</v>
      </c>
      <c r="AW15" s="1035">
        <v>2155.0438534730665</v>
      </c>
      <c r="AX15" s="20">
        <f t="shared" si="0"/>
        <v>2166.5412469090652</v>
      </c>
      <c r="AY15" s="21">
        <f t="shared" si="1"/>
        <v>2155.0443410250045</v>
      </c>
      <c r="AZ15" s="68">
        <f>AY15-AW15</f>
        <v>4.8755193802207941E-4</v>
      </c>
    </row>
    <row r="16" spans="1:53" ht="18.75" customHeight="1" thickBot="1" x14ac:dyDescent="0.25">
      <c r="A16" s="829" t="str">
        <f>IF($AK9&gt;4,"5","")</f>
        <v>5</v>
      </c>
      <c r="B16" s="831" t="s">
        <v>7</v>
      </c>
      <c r="C16" s="832"/>
      <c r="D16" s="832"/>
      <c r="E16" s="833" t="str">
        <f>AU15</f>
        <v>SMVC Royals 14</v>
      </c>
      <c r="F16" s="834"/>
      <c r="G16" s="834"/>
      <c r="H16" s="834"/>
      <c r="I16" s="834"/>
      <c r="J16" s="834"/>
      <c r="K16" s="835"/>
      <c r="L16" s="836">
        <f>IF($AK10=0,AF68,AF50)</f>
        <v>7</v>
      </c>
      <c r="M16" s="837"/>
      <c r="N16" s="837"/>
      <c r="O16" s="837"/>
      <c r="P16" s="837"/>
      <c r="Q16" s="872"/>
      <c r="R16" s="836">
        <f>IF($AK10=0,AG68,AG50)</f>
        <v>1</v>
      </c>
      <c r="S16" s="837"/>
      <c r="T16" s="837"/>
      <c r="U16" s="837"/>
      <c r="V16" s="837"/>
      <c r="W16" s="836">
        <f>AQ28</f>
        <v>42</v>
      </c>
      <c r="X16" s="837"/>
      <c r="Y16" s="837"/>
      <c r="Z16" s="809">
        <f>IF(AF62&gt;0,(AQ28/AF62),0)</f>
        <v>0.20895522388059701</v>
      </c>
      <c r="AA16" s="810"/>
      <c r="AB16" s="810"/>
      <c r="AC16" s="813">
        <f>IF(AF76=0,0,(AF68/AF76))</f>
        <v>0.875</v>
      </c>
      <c r="AD16" s="814"/>
      <c r="AE16" s="815"/>
      <c r="AF16" s="819">
        <v>1</v>
      </c>
      <c r="AG16" s="819">
        <v>1</v>
      </c>
      <c r="AH16" s="821">
        <v>3</v>
      </c>
      <c r="AI16" s="822"/>
      <c r="AJ16" s="11"/>
      <c r="AK16" s="39"/>
      <c r="AL16" s="39"/>
      <c r="AM16" s="39"/>
      <c r="AN16" s="39"/>
      <c r="AO16" s="39"/>
      <c r="AP16" s="39"/>
      <c r="AQ16" s="11"/>
      <c r="AR16" s="3"/>
      <c r="AT16" s="19">
        <v>14</v>
      </c>
      <c r="AU16" s="167" t="s">
        <v>187</v>
      </c>
      <c r="AV16" s="167" t="s">
        <v>210</v>
      </c>
      <c r="AW16" s="16">
        <f>VLOOKUP(AV16,Initial!G:K,5,FALSE)</f>
        <v>1805.2356241346474</v>
      </c>
      <c r="AX16" s="20">
        <f t="shared" si="0"/>
        <v>1889.12808855605</v>
      </c>
      <c r="AY16" s="21">
        <f t="shared" si="1"/>
        <v>1885.8634313593002</v>
      </c>
    </row>
    <row r="17" spans="1:52" ht="18.75" customHeight="1" thickBot="1" x14ac:dyDescent="0.25">
      <c r="A17" s="830"/>
      <c r="B17" s="825" t="s">
        <v>8</v>
      </c>
      <c r="C17" s="826"/>
      <c r="D17" s="826"/>
      <c r="E17" s="827" t="str">
        <f>AV15</f>
        <v>fj4smvbc1cr</v>
      </c>
      <c r="F17" s="828"/>
      <c r="G17" s="828"/>
      <c r="H17" s="828"/>
      <c r="I17" s="828"/>
      <c r="J17" s="828"/>
      <c r="K17" s="828"/>
      <c r="L17" s="838"/>
      <c r="M17" s="839"/>
      <c r="N17" s="839"/>
      <c r="O17" s="839"/>
      <c r="P17" s="839"/>
      <c r="Q17" s="872"/>
      <c r="R17" s="838"/>
      <c r="S17" s="839"/>
      <c r="T17" s="839"/>
      <c r="U17" s="839"/>
      <c r="V17" s="839"/>
      <c r="W17" s="838"/>
      <c r="X17" s="839"/>
      <c r="Y17" s="839"/>
      <c r="Z17" s="811"/>
      <c r="AA17" s="812"/>
      <c r="AB17" s="812"/>
      <c r="AC17" s="816"/>
      <c r="AD17" s="817"/>
      <c r="AE17" s="818"/>
      <c r="AF17" s="820"/>
      <c r="AG17" s="820"/>
      <c r="AH17" s="823"/>
      <c r="AI17" s="824"/>
      <c r="AJ17" s="11"/>
      <c r="AK17" s="39"/>
      <c r="AL17" s="39"/>
      <c r="AM17" s="39"/>
      <c r="AN17" s="39"/>
      <c r="AO17" s="39"/>
      <c r="AP17" s="39"/>
      <c r="AQ17" s="11"/>
      <c r="AR17" s="3"/>
      <c r="AT17" s="31">
        <v>15</v>
      </c>
      <c r="AU17" s="167" t="s">
        <v>192</v>
      </c>
      <c r="AV17" s="167" t="s">
        <v>244</v>
      </c>
      <c r="AW17" s="16">
        <f>VLOOKUP(AV17,Initial!G:K,5,FALSE)</f>
        <v>1769.7324273066286</v>
      </c>
      <c r="AX17" s="32">
        <f t="shared" si="0"/>
        <v>1761.0677131131711</v>
      </c>
      <c r="AY17" s="33">
        <f t="shared" si="1"/>
        <v>1761.0677131131711</v>
      </c>
    </row>
    <row r="18" spans="1:52" ht="21" customHeight="1" thickTop="1" thickBot="1" x14ac:dyDescent="0.25">
      <c r="A18" s="40"/>
      <c r="B18" s="806" t="s">
        <v>168</v>
      </c>
      <c r="C18" s="807"/>
      <c r="D18" s="807"/>
      <c r="E18" s="807"/>
      <c r="F18" s="807"/>
      <c r="G18" s="807"/>
      <c r="H18" s="807"/>
      <c r="I18" s="807"/>
      <c r="J18" s="807"/>
      <c r="K18" s="807"/>
      <c r="L18" s="807"/>
      <c r="M18" s="807"/>
      <c r="N18" s="807"/>
      <c r="O18" s="807"/>
      <c r="P18" s="807"/>
      <c r="Q18" s="807"/>
      <c r="R18" s="807"/>
      <c r="S18" s="807"/>
      <c r="T18" s="807"/>
      <c r="U18" s="807"/>
      <c r="V18" s="807"/>
      <c r="W18" s="807"/>
      <c r="X18" s="807"/>
      <c r="Y18" s="807"/>
      <c r="Z18" s="807"/>
      <c r="AA18" s="807"/>
      <c r="AB18" s="807"/>
      <c r="AC18" s="807"/>
      <c r="AD18" s="807"/>
      <c r="AE18" s="807"/>
      <c r="AF18" s="807"/>
      <c r="AG18" s="807"/>
      <c r="AH18" s="807"/>
      <c r="AI18" s="808"/>
      <c r="AJ18" s="11"/>
      <c r="AK18" s="39"/>
      <c r="AL18" s="39"/>
      <c r="AM18" s="39"/>
      <c r="AN18" s="39"/>
      <c r="AO18" s="39"/>
      <c r="AP18" s="39"/>
      <c r="AQ18" s="11"/>
      <c r="AR18" s="3"/>
      <c r="AT18" s="881" t="s">
        <v>37</v>
      </c>
      <c r="AU18" s="882"/>
      <c r="AV18" s="882"/>
      <c r="AW18" s="882"/>
      <c r="AX18" s="882"/>
      <c r="AY18" s="883"/>
    </row>
    <row r="19" spans="1:52" ht="14.25" thickTop="1" thickBot="1" x14ac:dyDescent="0.25">
      <c r="A19" s="4" t="s">
        <v>39</v>
      </c>
      <c r="B19" s="795">
        <v>0.35416666666666669</v>
      </c>
      <c r="C19" s="796"/>
      <c r="D19" s="797"/>
      <c r="E19" s="795">
        <v>0.38194444444444442</v>
      </c>
      <c r="F19" s="796"/>
      <c r="G19" s="797"/>
      <c r="H19" s="795">
        <v>0.40972222222222227</v>
      </c>
      <c r="I19" s="796"/>
      <c r="J19" s="797"/>
      <c r="K19" s="795">
        <v>0.4375</v>
      </c>
      <c r="L19" s="796"/>
      <c r="M19" s="797"/>
      <c r="N19" s="795">
        <v>0.46527777777777773</v>
      </c>
      <c r="O19" s="796"/>
      <c r="P19" s="797"/>
      <c r="Q19" s="795">
        <v>0.49305555555555558</v>
      </c>
      <c r="R19" s="796"/>
      <c r="S19" s="797"/>
      <c r="T19" s="795">
        <v>0.52083333333333337</v>
      </c>
      <c r="U19" s="796"/>
      <c r="V19" s="797"/>
      <c r="W19" s="795">
        <v>4.8611111111111112E-2</v>
      </c>
      <c r="X19" s="796"/>
      <c r="Y19" s="797"/>
      <c r="Z19" s="795">
        <v>7.6388888888888895E-2</v>
      </c>
      <c r="AA19" s="796"/>
      <c r="AB19" s="797"/>
      <c r="AC19" s="795">
        <v>0.10416666666666667</v>
      </c>
      <c r="AD19" s="796"/>
      <c r="AE19" s="797"/>
      <c r="AF19" s="798" t="s">
        <v>40</v>
      </c>
      <c r="AG19" s="799"/>
      <c r="AH19" s="799"/>
      <c r="AI19" s="799"/>
      <c r="AJ19" s="800"/>
      <c r="AK19" s="800"/>
      <c r="AL19" s="800"/>
      <c r="AM19" s="800"/>
      <c r="AN19" s="800"/>
      <c r="AO19" s="800"/>
      <c r="AP19" s="800"/>
      <c r="AQ19" s="801"/>
      <c r="AT19" s="884"/>
      <c r="AU19" s="885"/>
      <c r="AV19" s="885"/>
      <c r="AW19" s="885"/>
      <c r="AX19" s="885"/>
      <c r="AY19" s="886"/>
    </row>
    <row r="20" spans="1:52" x14ac:dyDescent="0.2">
      <c r="A20" s="41" t="s">
        <v>41</v>
      </c>
      <c r="B20" s="792"/>
      <c r="C20" s="793"/>
      <c r="D20" s="794"/>
      <c r="E20" s="792"/>
      <c r="F20" s="793"/>
      <c r="G20" s="794"/>
      <c r="H20" s="792"/>
      <c r="I20" s="793"/>
      <c r="J20" s="794"/>
      <c r="K20" s="792"/>
      <c r="L20" s="793"/>
      <c r="M20" s="794"/>
      <c r="N20" s="792"/>
      <c r="O20" s="793"/>
      <c r="P20" s="794"/>
      <c r="Q20" s="792"/>
      <c r="R20" s="793"/>
      <c r="S20" s="794"/>
      <c r="T20" s="792"/>
      <c r="U20" s="793"/>
      <c r="V20" s="794"/>
      <c r="W20" s="792"/>
      <c r="X20" s="793"/>
      <c r="Y20" s="794"/>
      <c r="Z20" s="792"/>
      <c r="AA20" s="793"/>
      <c r="AB20" s="794"/>
      <c r="AC20" s="792"/>
      <c r="AD20" s="793"/>
      <c r="AE20" s="794"/>
      <c r="AF20" s="798"/>
      <c r="AG20" s="799"/>
      <c r="AH20" s="799"/>
      <c r="AI20" s="799"/>
      <c r="AJ20" s="799"/>
      <c r="AK20" s="799"/>
      <c r="AL20" s="799"/>
      <c r="AM20" s="799"/>
      <c r="AN20" s="799"/>
      <c r="AO20" s="799"/>
      <c r="AP20" s="799"/>
      <c r="AQ20" s="802"/>
      <c r="AW20" s="4"/>
    </row>
    <row r="21" spans="1:52" x14ac:dyDescent="0.2">
      <c r="A21" s="41" t="s">
        <v>42</v>
      </c>
      <c r="B21" s="792"/>
      <c r="C21" s="793"/>
      <c r="D21" s="794"/>
      <c r="E21" s="792"/>
      <c r="F21" s="793"/>
      <c r="G21" s="794"/>
      <c r="H21" s="792"/>
      <c r="I21" s="793"/>
      <c r="J21" s="794"/>
      <c r="K21" s="792"/>
      <c r="L21" s="793"/>
      <c r="M21" s="794"/>
      <c r="N21" s="792"/>
      <c r="O21" s="793"/>
      <c r="P21" s="794"/>
      <c r="Q21" s="792"/>
      <c r="R21" s="793"/>
      <c r="S21" s="794"/>
      <c r="T21" s="792"/>
      <c r="U21" s="793"/>
      <c r="V21" s="794"/>
      <c r="W21" s="792"/>
      <c r="X21" s="793"/>
      <c r="Y21" s="794"/>
      <c r="Z21" s="792"/>
      <c r="AA21" s="793"/>
      <c r="AB21" s="794"/>
      <c r="AC21" s="792"/>
      <c r="AD21" s="793"/>
      <c r="AE21" s="794"/>
      <c r="AF21" s="798"/>
      <c r="AG21" s="799"/>
      <c r="AH21" s="799"/>
      <c r="AI21" s="799"/>
      <c r="AJ21" s="799"/>
      <c r="AK21" s="799"/>
      <c r="AL21" s="799"/>
      <c r="AM21" s="799"/>
      <c r="AN21" s="799"/>
      <c r="AO21" s="799"/>
      <c r="AP21" s="799"/>
      <c r="AQ21" s="802"/>
      <c r="AT21" s="10"/>
      <c r="AU21" s="10"/>
      <c r="AV21" s="10"/>
      <c r="AW21" s="4"/>
      <c r="AZ21" s="4">
        <f>SUMSQ(AZ13:AZ15)</f>
        <v>2.4765619836608961E-7</v>
      </c>
    </row>
    <row r="22" spans="1:52" ht="13.5" thickBot="1" x14ac:dyDescent="0.25">
      <c r="A22" s="11"/>
      <c r="B22" s="684" t="s">
        <v>43</v>
      </c>
      <c r="C22" s="685"/>
      <c r="D22" s="691"/>
      <c r="E22" s="684" t="str">
        <f>IF($AK8&gt;1,"Match 2","")</f>
        <v>Match 2</v>
      </c>
      <c r="F22" s="685"/>
      <c r="G22" s="691"/>
      <c r="H22" s="684" t="str">
        <f>IF($AK8&gt;2,"Match 3","")</f>
        <v>Match 3</v>
      </c>
      <c r="I22" s="685"/>
      <c r="J22" s="691"/>
      <c r="K22" s="684" t="str">
        <f>IF($AK8&gt;3,"Match 4","")</f>
        <v>Match 4</v>
      </c>
      <c r="L22" s="685"/>
      <c r="M22" s="691"/>
      <c r="N22" s="684" t="str">
        <f>IF($AK8&gt;4,"Match 5","")</f>
        <v>Match 5</v>
      </c>
      <c r="O22" s="685"/>
      <c r="P22" s="691"/>
      <c r="Q22" s="684" t="str">
        <f>IF($AK8&gt;5,"Match 6","")</f>
        <v>Match 6</v>
      </c>
      <c r="R22" s="685"/>
      <c r="S22" s="691"/>
      <c r="T22" s="684" t="str">
        <f>IF($AK8&gt;6,"Match 7","")</f>
        <v>Match 7</v>
      </c>
      <c r="U22" s="685"/>
      <c r="V22" s="691"/>
      <c r="W22" s="684" t="str">
        <f>IF($AK8&gt;7,"Match 8","")</f>
        <v>Match 8</v>
      </c>
      <c r="X22" s="685"/>
      <c r="Y22" s="691"/>
      <c r="Z22" s="684" t="str">
        <f>IF($AK8&gt;8,"Match 9","")</f>
        <v>Match 9</v>
      </c>
      <c r="AA22" s="685"/>
      <c r="AB22" s="691"/>
      <c r="AC22" s="684" t="str">
        <f>IF($AK8&gt;9,"Match 10","")</f>
        <v>Match 10</v>
      </c>
      <c r="AD22" s="685"/>
      <c r="AE22" s="691"/>
      <c r="AF22" s="803"/>
      <c r="AG22" s="804"/>
      <c r="AH22" s="804"/>
      <c r="AI22" s="804"/>
      <c r="AJ22" s="804"/>
      <c r="AK22" s="804"/>
      <c r="AL22" s="804"/>
      <c r="AM22" s="804"/>
      <c r="AN22" s="804"/>
      <c r="AO22" s="804"/>
      <c r="AP22" s="804"/>
      <c r="AQ22" s="805"/>
      <c r="AT22" s="34"/>
      <c r="AU22" s="35"/>
      <c r="AV22" s="35"/>
      <c r="AW22" s="4"/>
    </row>
    <row r="23" spans="1:52" ht="16.5" thickBot="1" x14ac:dyDescent="0.3">
      <c r="A23" s="11"/>
      <c r="B23" s="786" t="s">
        <v>44</v>
      </c>
      <c r="C23" s="787"/>
      <c r="D23" s="788"/>
      <c r="E23" s="786" t="s">
        <v>45</v>
      </c>
      <c r="F23" s="787"/>
      <c r="G23" s="788"/>
      <c r="H23" s="786" t="s">
        <v>46</v>
      </c>
      <c r="I23" s="787"/>
      <c r="J23" s="788"/>
      <c r="K23" s="786" t="s">
        <v>47</v>
      </c>
      <c r="L23" s="787"/>
      <c r="M23" s="788"/>
      <c r="N23" s="786" t="s">
        <v>48</v>
      </c>
      <c r="O23" s="787"/>
      <c r="P23" s="788"/>
      <c r="Q23" s="786" t="s">
        <v>46</v>
      </c>
      <c r="R23" s="787"/>
      <c r="S23" s="788"/>
      <c r="T23" s="786" t="s">
        <v>44</v>
      </c>
      <c r="U23" s="787"/>
      <c r="V23" s="788"/>
      <c r="W23" s="786" t="s">
        <v>48</v>
      </c>
      <c r="X23" s="787"/>
      <c r="Y23" s="788"/>
      <c r="Z23" s="786" t="s">
        <v>47</v>
      </c>
      <c r="AA23" s="787"/>
      <c r="AB23" s="788"/>
      <c r="AC23" s="786" t="s">
        <v>45</v>
      </c>
      <c r="AD23" s="787"/>
      <c r="AE23" s="788"/>
      <c r="AF23" s="42" t="s">
        <v>49</v>
      </c>
      <c r="AG23" s="43">
        <v>1</v>
      </c>
      <c r="AH23" s="43">
        <v>2</v>
      </c>
      <c r="AI23" s="43">
        <v>3</v>
      </c>
      <c r="AJ23" s="43">
        <v>4</v>
      </c>
      <c r="AK23" s="43">
        <v>5</v>
      </c>
      <c r="AL23" s="43">
        <v>6</v>
      </c>
      <c r="AM23" s="43">
        <v>7</v>
      </c>
      <c r="AN23" s="43">
        <v>8</v>
      </c>
      <c r="AO23" s="43">
        <v>9</v>
      </c>
      <c r="AP23" s="43">
        <v>10</v>
      </c>
      <c r="AQ23" s="44" t="s">
        <v>50</v>
      </c>
      <c r="AT23" s="34"/>
      <c r="AU23" s="167"/>
      <c r="AV23" s="167"/>
      <c r="AW23" s="35"/>
      <c r="AX23" s="35"/>
      <c r="AY23" s="35"/>
    </row>
    <row r="24" spans="1:52" ht="15.75" x14ac:dyDescent="0.25">
      <c r="A24" s="11"/>
      <c r="B24" s="45">
        <v>2</v>
      </c>
      <c r="C24" s="46" t="s">
        <v>51</v>
      </c>
      <c r="D24" s="47">
        <v>5</v>
      </c>
      <c r="E24" s="45">
        <v>1</v>
      </c>
      <c r="F24" s="46" t="str">
        <f>IF($AK8&gt;1,"v","")</f>
        <v>v</v>
      </c>
      <c r="G24" s="47">
        <v>4</v>
      </c>
      <c r="H24" s="45">
        <v>3</v>
      </c>
      <c r="I24" s="46" t="str">
        <f>IF($AK8&gt;2,"v","")</f>
        <v>v</v>
      </c>
      <c r="J24" s="47">
        <v>5</v>
      </c>
      <c r="K24" s="45">
        <v>2</v>
      </c>
      <c r="L24" s="46" t="str">
        <f>IF($AK8&gt;3,"v","")</f>
        <v>v</v>
      </c>
      <c r="M24" s="47">
        <v>4</v>
      </c>
      <c r="N24" s="45">
        <v>1</v>
      </c>
      <c r="O24" s="46" t="str">
        <f>IF($AK8&gt;4,"v","")</f>
        <v>v</v>
      </c>
      <c r="P24" s="47">
        <v>3</v>
      </c>
      <c r="Q24" s="45">
        <v>4</v>
      </c>
      <c r="R24" s="46" t="str">
        <f>IF($AK8&gt;5,"v","")</f>
        <v>v</v>
      </c>
      <c r="S24" s="47">
        <v>5</v>
      </c>
      <c r="T24" s="45">
        <v>2</v>
      </c>
      <c r="U24" s="46" t="str">
        <f>IF($AK8&gt;6,"v","")</f>
        <v>v</v>
      </c>
      <c r="V24" s="47">
        <v>3</v>
      </c>
      <c r="W24" s="45">
        <v>1</v>
      </c>
      <c r="X24" s="46" t="str">
        <f>IF($AK8&gt;7,"v","")</f>
        <v>v</v>
      </c>
      <c r="Y24" s="47">
        <v>5</v>
      </c>
      <c r="Z24" s="45">
        <v>3</v>
      </c>
      <c r="AA24" s="46" t="str">
        <f>IF($AK8&gt;8,"v","")</f>
        <v>v</v>
      </c>
      <c r="AB24" s="47">
        <v>4</v>
      </c>
      <c r="AC24" s="45">
        <v>1</v>
      </c>
      <c r="AD24" s="46" t="str">
        <f>IF($AK8&gt;9,"v","")</f>
        <v>v</v>
      </c>
      <c r="AE24" s="47">
        <v>2</v>
      </c>
      <c r="AF24" s="42" t="str">
        <f>IF($AK9&gt;0,"Team 1","")</f>
        <v>Team 1</v>
      </c>
      <c r="AG24" s="48" t="str">
        <f>IF($AK9&lt;1,"",IF($AK8&lt;1,"",IF(B24=1,B30-D30,IF(D24=1,D30-B30,""))))</f>
        <v/>
      </c>
      <c r="AH24" s="48">
        <f>IF($AK9&lt;1,"",IF($AK8&lt;2,"",IF(E24=1,E30-G30,IF(G24=1,G30-E30,""))))</f>
        <v>13</v>
      </c>
      <c r="AI24" s="48" t="str">
        <f>IF($AK9&lt;1,"",IF($AK8&lt;3,"",IF(H24=1,H30-J30,IF(J24=1,J30-H30,""))))</f>
        <v/>
      </c>
      <c r="AJ24" s="48" t="str">
        <f>IF($AK9&lt;1,"",IF($AK8&lt;4,"",IF(K24=1,K30-M30,IF(M24=1,M30-K30,""))))</f>
        <v/>
      </c>
      <c r="AK24" s="48">
        <f>IF($AK9&lt;1,"",IF($AK8&lt;5,"",IF(N24=1,N30-P30,IF(P24=1,P30-N30,""))))</f>
        <v>8</v>
      </c>
      <c r="AL24" s="48" t="str">
        <f>IF($AK9&lt;1,"",IF($AK8&lt;6,"",IF(Q24=1,Q30-S30,IF(S24=1,S30-Q30,""))))</f>
        <v/>
      </c>
      <c r="AM24" s="48" t="str">
        <f>IF($AK9&lt;1,"",IF($AK8&lt;7,"",IF(T24=1,T30-V30,IF(V24=1,V30-T30,""))))</f>
        <v/>
      </c>
      <c r="AN24" s="48">
        <f>IF($AK9&lt;1,"",IF($AK8&lt;8,"",IF(W24=1,W30-Y30,IF(Y24=1,Y30-W30,""))))</f>
        <v>-2</v>
      </c>
      <c r="AO24" s="48" t="str">
        <f>IF($AK9&lt;1,"",IF($AK8&lt;9,"",IF(Z24=1,Z30-AB30,IF(AB24=1,AB30-Z30,""))))</f>
        <v/>
      </c>
      <c r="AP24" s="48">
        <f>IF($AK9&lt;1,"",IF($AK8&lt;10,"",IF(AC24=1,AC30-AE30,IF(AE24=1,AE30-AC30,""))))</f>
        <v>-7</v>
      </c>
      <c r="AQ24" s="44">
        <f>SUM(AG24:AP24)</f>
        <v>12</v>
      </c>
      <c r="AT24" s="34"/>
      <c r="AU24" s="354"/>
      <c r="AV24" s="355"/>
      <c r="AW24" s="35"/>
      <c r="AX24" s="35"/>
      <c r="AY24" s="35"/>
    </row>
    <row r="25" spans="1:52" ht="15" x14ac:dyDescent="0.2">
      <c r="A25" s="4" t="s">
        <v>52</v>
      </c>
      <c r="B25" s="49">
        <v>18</v>
      </c>
      <c r="C25" s="50" t="s">
        <v>53</v>
      </c>
      <c r="D25" s="51">
        <v>25</v>
      </c>
      <c r="E25" s="49">
        <v>25</v>
      </c>
      <c r="F25" s="50" t="str">
        <f>IF($AK8&gt;1,"/","")</f>
        <v>/</v>
      </c>
      <c r="G25" s="51">
        <v>19</v>
      </c>
      <c r="H25" s="49">
        <v>18</v>
      </c>
      <c r="I25" s="50" t="str">
        <f>IF($AK8&gt;2,"/","")</f>
        <v>/</v>
      </c>
      <c r="J25" s="51">
        <v>25</v>
      </c>
      <c r="K25" s="49">
        <v>25</v>
      </c>
      <c r="L25" s="50" t="str">
        <f>IF($AK8&gt;3,"/","")</f>
        <v>/</v>
      </c>
      <c r="M25" s="51">
        <v>21</v>
      </c>
      <c r="N25" s="49">
        <v>25</v>
      </c>
      <c r="O25" s="50" t="str">
        <f>IF($AK8&gt;4,"/","")</f>
        <v>/</v>
      </c>
      <c r="P25" s="51">
        <v>20</v>
      </c>
      <c r="Q25" s="49">
        <v>16</v>
      </c>
      <c r="R25" s="50" t="str">
        <f>IF($AK8&gt;5,"/","")</f>
        <v>/</v>
      </c>
      <c r="S25" s="51">
        <v>25</v>
      </c>
      <c r="T25" s="49">
        <v>25</v>
      </c>
      <c r="U25" s="50" t="str">
        <f>IF($AK8&gt;6,"/","")</f>
        <v>/</v>
      </c>
      <c r="V25" s="51">
        <v>20</v>
      </c>
      <c r="W25" s="49">
        <v>26</v>
      </c>
      <c r="X25" s="50" t="str">
        <f>IF($AK8&gt;7,"/","")</f>
        <v>/</v>
      </c>
      <c r="Y25" s="51">
        <v>24</v>
      </c>
      <c r="Z25" s="49">
        <v>21</v>
      </c>
      <c r="AA25" s="50" t="str">
        <f>IF($AK8&gt;8,"/","")</f>
        <v>/</v>
      </c>
      <c r="AB25" s="51">
        <v>25</v>
      </c>
      <c r="AC25" s="49">
        <v>16</v>
      </c>
      <c r="AD25" s="50" t="str">
        <f>IF($AK8&gt;9,"/","")</f>
        <v>/</v>
      </c>
      <c r="AE25" s="51">
        <v>25</v>
      </c>
      <c r="AF25" s="42" t="str">
        <f>IF($AK9&gt;1,"Team 2","")</f>
        <v>Team 2</v>
      </c>
      <c r="AG25" s="48">
        <f>IF($AK9&lt;2,"",IF($AK8&lt;1,"",IF(B24=2,B30-D30,IF(D24=2,D30-B30,""))))</f>
        <v>-14</v>
      </c>
      <c r="AH25" s="48" t="str">
        <f>IF($AK9&lt;2,"",IF($AK8&lt;2,"",IF(E24=2,E30-G30,IF(G24=2,G30-E30,""))))</f>
        <v/>
      </c>
      <c r="AI25" s="48" t="str">
        <f>IF($AK9&lt;2,"",IF($AK8&lt;3,"",IF(H24=2,H30-J30,IF(J24=2,J30-H30,""))))</f>
        <v/>
      </c>
      <c r="AJ25" s="48">
        <f>IF($AK9&lt;2,"",IF($AK8&lt;4,"",IF(K24=2,K30-M30,IF(M24=2,M30-K30,""))))</f>
        <v>0</v>
      </c>
      <c r="AK25" s="48" t="str">
        <f>IF($AK9&lt;2,"",IF($AK8&lt;5,"",IF(N24=2,N30-P30,IF(P24=2,P30-N30,""))))</f>
        <v/>
      </c>
      <c r="AL25" s="48" t="str">
        <f>IF($AK9&lt;2,"",IF($AK8&lt;6,"",IF(Q24=2,Q30-S30,IF(S24=2,S30-Q30,""))))</f>
        <v/>
      </c>
      <c r="AM25" s="48">
        <f>IF($AK9&lt;2,"",IF($AK8&lt;7,"",IF(T24=2,T30-V30,IF(V24=2,V30-T30,""))))</f>
        <v>3</v>
      </c>
      <c r="AN25" s="48" t="str">
        <f>IF($AK9&lt;2,"",IF($AK8&lt;8,"",IF(W24=2,W30-Y30,IF(Y24=2,Y30-W30,""))))</f>
        <v/>
      </c>
      <c r="AO25" s="48" t="str">
        <f>IF($AK9&lt;2,"",IF($AK8&lt;9,"",IF(Z24=2,Z30-AB30,IF(AB24=2,AB30-Z30,""))))</f>
        <v/>
      </c>
      <c r="AP25" s="48">
        <f>IF($AK9&lt;2,"",IF($AK8&lt;10,"",IF(AC24=2,AC30-AE30,IF(AE24=2,AE30-AC30,""))))</f>
        <v>7</v>
      </c>
      <c r="AQ25" s="44">
        <f>SUM(AG25:AP25)</f>
        <v>-4</v>
      </c>
      <c r="AT25" s="10"/>
      <c r="AU25" s="10"/>
      <c r="AV25" s="10"/>
      <c r="AW25" s="4"/>
    </row>
    <row r="26" spans="1:52" ht="15" x14ac:dyDescent="0.2">
      <c r="A26" s="3" t="str">
        <f>IF($AK7&gt;1,"Game 2","")</f>
        <v>Game 2</v>
      </c>
      <c r="B26" s="49">
        <v>18</v>
      </c>
      <c r="C26" s="50" t="s">
        <v>53</v>
      </c>
      <c r="D26" s="51">
        <v>25</v>
      </c>
      <c r="E26" s="49">
        <v>25</v>
      </c>
      <c r="F26" s="50" t="str">
        <f>IF($AK8&gt;1,IF($AK7&gt;1,"/",""),"")</f>
        <v>/</v>
      </c>
      <c r="G26" s="51">
        <v>18</v>
      </c>
      <c r="H26" s="49">
        <v>22</v>
      </c>
      <c r="I26" s="50" t="str">
        <f>IF($AK8&gt;2,IF($AK7&gt;1,"/",""),"")</f>
        <v>/</v>
      </c>
      <c r="J26" s="51">
        <v>25</v>
      </c>
      <c r="K26" s="49">
        <v>21</v>
      </c>
      <c r="L26" s="50" t="str">
        <f>IF($AK8&gt;3,IF($AK7&gt;1,"/",""),"")</f>
        <v>/</v>
      </c>
      <c r="M26" s="51">
        <v>25</v>
      </c>
      <c r="N26" s="49">
        <v>25</v>
      </c>
      <c r="O26" s="50" t="str">
        <f>IF($AK8&gt;4,IF($AK7&gt;1,"/",""),"")</f>
        <v>/</v>
      </c>
      <c r="P26" s="51">
        <v>22</v>
      </c>
      <c r="Q26" s="49">
        <v>18</v>
      </c>
      <c r="R26" s="50" t="str">
        <f>IF($AK8&gt;5,IF($AK7&gt;1,"/",""),"")</f>
        <v>/</v>
      </c>
      <c r="S26" s="51">
        <v>25</v>
      </c>
      <c r="T26" s="49">
        <v>24</v>
      </c>
      <c r="U26" s="50" t="str">
        <f>IF($AK8&gt;6,IF($AK7&gt;1,"/",""),"")</f>
        <v>/</v>
      </c>
      <c r="V26" s="51">
        <v>26</v>
      </c>
      <c r="W26" s="49">
        <v>21</v>
      </c>
      <c r="X26" s="50" t="str">
        <f>IF($AK8&gt;7,IF($AK7&gt;1,"/",""),"")</f>
        <v>/</v>
      </c>
      <c r="Y26" s="51">
        <v>25</v>
      </c>
      <c r="Z26" s="49">
        <v>25</v>
      </c>
      <c r="AA26" s="50" t="str">
        <f>IF($AK8&gt;8,IF($AK7&gt;1,"/",""),"")</f>
        <v>/</v>
      </c>
      <c r="AB26" s="51">
        <v>19</v>
      </c>
      <c r="AC26" s="49">
        <v>25</v>
      </c>
      <c r="AD26" s="50" t="str">
        <f>IF($AK8&gt;9,IF($AK7&gt;1,"/",""),"")</f>
        <v>/</v>
      </c>
      <c r="AE26" s="51">
        <v>23</v>
      </c>
      <c r="AF26" s="42" t="str">
        <f>IF($AK9&gt;2,"Team 3","")</f>
        <v>Team 3</v>
      </c>
      <c r="AG26" s="48" t="str">
        <f>IF($AK9&lt;3,"",IF($AK8&lt;1,"",IF(B24=3,B30-D30,IF(D24=3,D30-B30,""))))</f>
        <v/>
      </c>
      <c r="AH26" s="48" t="str">
        <f>IF($AK9&lt;3,"",IF($AK8&lt;2,"",IF(E24=3,E30-G30,IF(G24=3,G30-E30,""))))</f>
        <v/>
      </c>
      <c r="AI26" s="48">
        <f>IF($AK9&lt;3,"",IF($AK8&lt;3,"",IF(H24=3,H30-J30,IF(J24=3,J30-H30,""))))</f>
        <v>-10</v>
      </c>
      <c r="AJ26" s="48" t="str">
        <f>IF($AK9&lt;3,"",IF($AK8&lt;4,"",IF(K24=3,K30-M30,IF(M24=3,M30-K30,""))))</f>
        <v/>
      </c>
      <c r="AK26" s="48">
        <f>IF($AK9&lt;3,"",IF($AK8&lt;5,"",IF(N24=3,N30-P30,IF(P24=3,P30-N30,""))))</f>
        <v>-8</v>
      </c>
      <c r="AL26" s="48" t="str">
        <f>IF($AK9&lt;3,"",IF($AK8&lt;6,"",IF(Q24=3,Q30-S30,IF(S24=3,S30-Q30,""))))</f>
        <v/>
      </c>
      <c r="AM26" s="48">
        <f>IF($AK9&lt;3,"",IF($AK8&lt;7,"",IF(T24=3,T30-V30,IF(V24=3,V30-T30,""))))</f>
        <v>-3</v>
      </c>
      <c r="AN26" s="48" t="str">
        <f>IF($AK9&lt;3,"",IF($AK8&lt;8,"",IF(W24=3,W30-Y30,IF(Y24=3,Y30-W30,""))))</f>
        <v/>
      </c>
      <c r="AO26" s="48">
        <f>IF($AK9&lt;3,"",IF($AK8&lt;9,"",IF(Z24=3,Z30-AB30,IF(AB24=3,AB30-Z30,""))))</f>
        <v>2</v>
      </c>
      <c r="AP26" s="48" t="str">
        <f>IF($AK9&lt;3,"",IF($AK8&lt;9,"",IF(AC24=3,AC30-AE30,IF(AE24=3,AE30-AC30,""))))</f>
        <v/>
      </c>
      <c r="AQ26" s="44">
        <f>SUM(AG26:AP26)</f>
        <v>-19</v>
      </c>
      <c r="AT26" s="10"/>
      <c r="AU26" s="10"/>
      <c r="AV26" s="10"/>
      <c r="AW26" s="4"/>
    </row>
    <row r="27" spans="1:52" ht="15" x14ac:dyDescent="0.2">
      <c r="A27" s="3" t="str">
        <f>IF($AK7&gt;2,"Game 3","")</f>
        <v/>
      </c>
      <c r="B27" s="49"/>
      <c r="C27" s="50" t="s">
        <v>53</v>
      </c>
      <c r="D27" s="51"/>
      <c r="E27" s="49"/>
      <c r="F27" s="50" t="str">
        <f>IF($AK8&gt;1,IF($AK7&gt;2,"/",""),"")</f>
        <v/>
      </c>
      <c r="G27" s="51"/>
      <c r="H27" s="49"/>
      <c r="I27" s="50" t="str">
        <f>IF($AK8&gt;2,IF($AK7&gt;2,"/",""),"")</f>
        <v/>
      </c>
      <c r="J27" s="51"/>
      <c r="K27" s="49"/>
      <c r="L27" s="50" t="str">
        <f>IF($AK8&gt;3,IF($AK7&gt;2,"/",""),"")</f>
        <v/>
      </c>
      <c r="M27" s="51"/>
      <c r="N27" s="49"/>
      <c r="O27" s="50" t="str">
        <f>IF($AK8&gt;4,IF($AK7&gt;2,"/",""),"")</f>
        <v/>
      </c>
      <c r="P27" s="51"/>
      <c r="Q27" s="49"/>
      <c r="R27" s="50" t="str">
        <f>IF($AK8&gt;5,IF($AK7&gt;2,"/",""),"")</f>
        <v/>
      </c>
      <c r="S27" s="51"/>
      <c r="T27" s="49"/>
      <c r="U27" s="50" t="str">
        <f>IF($AK8&gt;6,IF($AK7&gt;2,"/",""),"")</f>
        <v/>
      </c>
      <c r="V27" s="51"/>
      <c r="W27" s="49"/>
      <c r="X27" s="50" t="str">
        <f>IF($AK8&gt;7,IF($AK7&gt;2,"/",""),"")</f>
        <v/>
      </c>
      <c r="Y27" s="51"/>
      <c r="Z27" s="49"/>
      <c r="AA27" s="50" t="str">
        <f>IF($AK8&gt;8,IF($AK7&gt;2,"/",""),"")</f>
        <v/>
      </c>
      <c r="AB27" s="51"/>
      <c r="AC27" s="49"/>
      <c r="AD27" s="50" t="str">
        <f>IF($AK8&gt;9,IF($AK7&gt;2,"/",""),"")</f>
        <v/>
      </c>
      <c r="AE27" s="51"/>
      <c r="AF27" s="42" t="str">
        <f>IF($AK9&gt;3,"Team 4","")</f>
        <v>Team 4</v>
      </c>
      <c r="AG27" s="48" t="str">
        <f>IF($AK9&lt;4,"",IF($AK8&lt;1,"",IF(B24=4,B30-D30,IF(D24=4,D30-B30,""))))</f>
        <v/>
      </c>
      <c r="AH27" s="48">
        <f>IF($AK9&lt;4,"",IF($AK8&lt;2,"",IF(E24=4,E30-G30,IF(G24=4,G30-E30,""))))</f>
        <v>-13</v>
      </c>
      <c r="AI27" s="48" t="str">
        <f>IF($AK9&lt;4,"",IF($AK8&lt;3,"",IF(H24=4,H30-J30,IF(J24=4,J30-H30,""))))</f>
        <v/>
      </c>
      <c r="AJ27" s="48">
        <f>IF($AK9&lt;4,"",IF($AK8&lt;4,"",IF(K24=4,K30-M30,IF(M24=4,M30-K30,""))))</f>
        <v>0</v>
      </c>
      <c r="AK27" s="48" t="str">
        <f>IF($AK9&lt;4,"",IF($AK8&lt;5,"",IF(N24=4,N30-P30,IF(P24=4,P30-N30,""))))</f>
        <v/>
      </c>
      <c r="AL27" s="48">
        <f>IF($AK9&lt;4,"",IF($AK8&lt;6,"",IF(Q24=4,Q30-S30,IF(S24=4,S30-Q30,""))))</f>
        <v>-16</v>
      </c>
      <c r="AM27" s="48" t="str">
        <f>IF($AK9&lt;4,"",IF($AK8&lt;7,"",IF(T24=4,T30-V30,IF(V24=4,V30-T30,""))))</f>
        <v/>
      </c>
      <c r="AN27" s="48" t="str">
        <f>IF($AK9&lt;4,"",IF($AK8&lt;8,"",IF(W24=4,W30-Y30,IF(Y24=4,Y30-W30,""))))</f>
        <v/>
      </c>
      <c r="AO27" s="48">
        <f>IF($AK9&lt;4,"",IF($AK8&lt;9,"",IF(Z24=4,Z30-AB30,IF(AB24=4,AB30-Z30,""))))</f>
        <v>-2</v>
      </c>
      <c r="AP27" s="48" t="str">
        <f>IF($AK9&lt;4,"",IF($AK8&lt;10,"",IF(AC24=4,AC30-AE30,IF(AE24=4,AE30-AC30,""))))</f>
        <v/>
      </c>
      <c r="AQ27" s="44">
        <f>SUM(AG27:AP27)</f>
        <v>-31</v>
      </c>
      <c r="AT27" s="10"/>
      <c r="AU27" s="10"/>
      <c r="AV27" s="10"/>
      <c r="AW27" s="4"/>
    </row>
    <row r="28" spans="1:52" ht="15" x14ac:dyDescent="0.2">
      <c r="A28" s="3" t="str">
        <f>IF($AK7&gt;3,"Game 4","")</f>
        <v/>
      </c>
      <c r="B28" s="49"/>
      <c r="C28" s="50" t="s">
        <v>53</v>
      </c>
      <c r="D28" s="51"/>
      <c r="E28" s="49"/>
      <c r="F28" s="50" t="str">
        <f>IF($AK8&gt;1,IF($AK7&gt;3,"/",""),"")</f>
        <v/>
      </c>
      <c r="G28" s="51"/>
      <c r="H28" s="49"/>
      <c r="I28" s="50" t="str">
        <f>IF($AK8&gt;2,IF($AK7&gt;3,"/",""),"")</f>
        <v/>
      </c>
      <c r="J28" s="51"/>
      <c r="K28" s="49"/>
      <c r="L28" s="50" t="str">
        <f>IF($AK8&gt;3,IF($AK7&gt;3,"/",""),"")</f>
        <v/>
      </c>
      <c r="M28" s="51"/>
      <c r="N28" s="49"/>
      <c r="O28" s="50" t="str">
        <f>IF($AK8&gt;4,IF($AK7&gt;3,"/",""),"")</f>
        <v/>
      </c>
      <c r="P28" s="51"/>
      <c r="Q28" s="49"/>
      <c r="R28" s="50" t="str">
        <f>IF($AK8&gt;5,IF($AK7&gt;3,"/",""),"")</f>
        <v/>
      </c>
      <c r="S28" s="51"/>
      <c r="T28" s="49"/>
      <c r="U28" s="50" t="str">
        <f>IF($AK8&gt;6,IF($AK7&gt;3,"/",""),"")</f>
        <v/>
      </c>
      <c r="V28" s="51"/>
      <c r="W28" s="49"/>
      <c r="X28" s="50" t="str">
        <f>IF($AK8&gt;7,IF($AK7&gt;3,"/",""),"")</f>
        <v/>
      </c>
      <c r="Y28" s="51"/>
      <c r="Z28" s="49"/>
      <c r="AA28" s="50" t="str">
        <f>IF($AK8&gt;8,IF($AK7&gt;3,"/",""),"")</f>
        <v/>
      </c>
      <c r="AB28" s="51"/>
      <c r="AC28" s="49"/>
      <c r="AD28" s="50" t="str">
        <f>IF($AK8&gt;9,IF($AK7&gt;3,"/",""),"")</f>
        <v/>
      </c>
      <c r="AE28" s="51"/>
      <c r="AF28" s="42" t="str">
        <f>IF($AK9&gt;4,"Team 5","")</f>
        <v>Team 5</v>
      </c>
      <c r="AG28" s="52">
        <f>IF($AK9&lt;5,"",IF($AK8&lt;1,"",IF(B24=5,B30-D30,IF(D24=5,D30-B30,""))))</f>
        <v>14</v>
      </c>
      <c r="AH28" s="48" t="str">
        <f>IF($AK9&lt;5,"",IF($AK8&lt;2,"",IF(E24=5,E30-G30,IF(G24=5,G30-E30,""))))</f>
        <v/>
      </c>
      <c r="AI28" s="48">
        <f>IF($AK9&lt;5,"",IF($AK8&lt;3,"",IF(H24=5,H30-J30,IF(J24=5,J30-H30,""))))</f>
        <v>10</v>
      </c>
      <c r="AJ28" s="48" t="str">
        <f>IF($AK9&lt;5,"",IF($AK8&lt;4,"",IF(K24=5,K30-M30,IF(M24=5,M30-K30,""))))</f>
        <v/>
      </c>
      <c r="AK28" s="48" t="str">
        <f>IF($AK9&lt;5,"",IF($AK8&lt;5,"",IF(N24=5,N30-P30,IF(P24=5,P30-N30,""))))</f>
        <v/>
      </c>
      <c r="AL28" s="48">
        <f>IF($AK9&lt;5,"",IF($AK8&lt;6,"",IF(Q24=5,Q30-S30,IF(S24=5,S30-Q30,""))))</f>
        <v>16</v>
      </c>
      <c r="AM28" s="48" t="str">
        <f>IF($AK9&lt;5,"",IF($AK8&lt;7,"",IF(T24=5,T30-V30,IF(V24=5,V30-T30,""))))</f>
        <v/>
      </c>
      <c r="AN28" s="48">
        <f>IF($AK9&lt;5,"",IF($AK8&lt;8,"",IF(W24=5,W30-Y30,IF(Y24=5,Y30-W30,""))))</f>
        <v>2</v>
      </c>
      <c r="AO28" s="48" t="str">
        <f>IF($AK9&lt;5,"",IF($AK8&lt;9,"",IF(Z24=5,Z30-AB30,IF(AB24=5,AB30-Z30,""))))</f>
        <v/>
      </c>
      <c r="AP28" s="48" t="str">
        <f>IF($AK9&lt;5,"",IF($AK8&lt;10,"",IF(AC24=5,AC30-AE30,IF(AE24=5,AE30-AC30,""))))</f>
        <v/>
      </c>
      <c r="AQ28" s="44">
        <f>SUM(AG28:AP28)</f>
        <v>42</v>
      </c>
      <c r="AW28" s="10"/>
      <c r="AX28" s="10"/>
      <c r="AY28" s="10"/>
    </row>
    <row r="29" spans="1:52" ht="15" x14ac:dyDescent="0.2">
      <c r="A29" s="3" t="str">
        <f>IF($AK7&gt;4,"Game 5","")</f>
        <v/>
      </c>
      <c r="B29" s="49"/>
      <c r="C29" s="50" t="s">
        <v>53</v>
      </c>
      <c r="D29" s="51"/>
      <c r="E29" s="49"/>
      <c r="F29" s="50" t="str">
        <f>IF($AK8&gt;1,IF($AK7&gt;4,"/",""),"")</f>
        <v/>
      </c>
      <c r="G29" s="51"/>
      <c r="H29" s="49"/>
      <c r="I29" s="50" t="str">
        <f>IF($AK8&gt;2,IF($AK7&gt;4,"/",""),"")</f>
        <v/>
      </c>
      <c r="J29" s="51"/>
      <c r="K29" s="49"/>
      <c r="L29" s="50" t="str">
        <f>IF($AK8&gt;3,IF($AK7&gt;4,"/",""),"")</f>
        <v/>
      </c>
      <c r="M29" s="51"/>
      <c r="N29" s="49"/>
      <c r="O29" s="50" t="str">
        <f>IF($AK8&gt;4,IF($AK7&gt;4,"/",""),"")</f>
        <v/>
      </c>
      <c r="P29" s="51"/>
      <c r="Q29" s="49"/>
      <c r="R29" s="50" t="str">
        <f>IF($AK8&gt;5,IF($AK7&gt;4,"/",""),"")</f>
        <v/>
      </c>
      <c r="S29" s="51"/>
      <c r="T29" s="49"/>
      <c r="U29" s="50" t="str">
        <f>IF($AK8&gt;6,IF($AK7&gt;4,"/",""),"")</f>
        <v/>
      </c>
      <c r="V29" s="51"/>
      <c r="W29" s="49"/>
      <c r="X29" s="50" t="str">
        <f>IF($AK8&gt;7,IF($AK7&gt;4,"/",""),"")</f>
        <v/>
      </c>
      <c r="Y29" s="51"/>
      <c r="Z29" s="49"/>
      <c r="AA29" s="50" t="str">
        <f>IF($AK8&gt;8,IF($AK7&gt;4,"/",""),"")</f>
        <v/>
      </c>
      <c r="AB29" s="51"/>
      <c r="AC29" s="49"/>
      <c r="AD29" s="50" t="str">
        <f>IF($AK8&gt;9,IF($AK7&gt;4,"/",""),"")</f>
        <v/>
      </c>
      <c r="AE29" s="5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W29" s="10"/>
      <c r="AX29" s="10"/>
      <c r="AY29" s="10"/>
    </row>
    <row r="30" spans="1:52" hidden="1" x14ac:dyDescent="0.2">
      <c r="A30" s="53"/>
      <c r="B30" s="53">
        <f>IF($AK7=5,SUM(B25:B29),IF($AK7=4,SUM(B25:B28),IF($AK7=3,SUM(B25:B27),IF($AK7=2,SUM(B25:B26),B25))))</f>
        <v>36</v>
      </c>
      <c r="C30" s="53"/>
      <c r="D30" s="53">
        <f>IF($AK7=5,SUM(D25:D29),IF($AK7=4,SUM(D25:D28),IF($AK7=3,SUM(D25:D27),IF($AK7=2,SUM(D25:D26),D25))))</f>
        <v>50</v>
      </c>
      <c r="E30" s="53">
        <f>IF($AK7=5,SUM(E25:E29),IF($AK7=4,SUM(E25:E28),IF($AK7=3,SUM(E25:E27),IF($AK7=2,SUM(E25:E26),E25))))</f>
        <v>50</v>
      </c>
      <c r="F30" s="53"/>
      <c r="G30" s="53">
        <f>IF($AK7=5,SUM(G25:G29),IF($AK7=4,SUM(G25:G28),IF($AK7=3,SUM(G25:G27),IF($AK7=2,SUM(G25:G26),G25))))</f>
        <v>37</v>
      </c>
      <c r="H30" s="53">
        <f>IF($AK7=5,SUM(H25:H29),IF($AK7=4,SUM(H25:H28),IF($AK7=3,SUM(H25:H27),IF($AK7=2,SUM(H25:H26),H25))))</f>
        <v>40</v>
      </c>
      <c r="I30" s="53"/>
      <c r="J30" s="53">
        <f>IF($AK7=5,SUM(J25:J29),IF($AK7=4,SUM(J25:J28),IF($AK7=3,SUM(J25:J27),IF($AK7=2,SUM(J25:J26),J25))))</f>
        <v>50</v>
      </c>
      <c r="K30" s="53">
        <f>IF($AK7=5,SUM(K25:K29),IF($AK7=4,SUM(K25:K28),IF($AK7=3,SUM(K25:K27),IF($AK7=2,SUM(K25:K26),K25))))</f>
        <v>46</v>
      </c>
      <c r="L30" s="53"/>
      <c r="M30" s="53">
        <f>IF($AK7=5,SUM(M25:M29),IF($AK7=4,SUM(M25:M28),IF($AK7=3,SUM(M25:M27),IF($AK7=2,SUM(M25:M26),M25))))</f>
        <v>46</v>
      </c>
      <c r="N30" s="53">
        <f>IF($AK7=5,SUM(N25:N29),IF($AK7=4,SUM(N25:N28),IF($AK7=3,SUM(N25:N27),IF($AK7=2,SUM(N25:N26),N25))))</f>
        <v>50</v>
      </c>
      <c r="O30" s="53"/>
      <c r="P30" s="53">
        <f>IF($AK7=5,SUM(P25:P29),IF($AK7=4,SUM(P25:P28),IF($AK7=3,SUM(P25:P27),IF($AK7=2,SUM(P25:P26),P25))))</f>
        <v>42</v>
      </c>
      <c r="Q30" s="53">
        <f>IF($AK7=5,SUM(Q25:Q29),IF($AK7=4,SUM(Q25:Q28),IF($AK7=3,SUM(Q25:Q27),IF($AK7=2,SUM(Q25:Q26),Q25))))</f>
        <v>34</v>
      </c>
      <c r="R30" s="53"/>
      <c r="S30" s="53">
        <f>IF($AK7=5,SUM(S25:S29),IF($AK7=4,SUM(S25:S28),IF($AK7=3,SUM(S25:S27),IF($AK7=2,SUM(S25:S26),S25))))</f>
        <v>50</v>
      </c>
      <c r="T30" s="53">
        <f>IF($AK7=5,SUM(T25:T29),IF($AK7=4,SUM(T25:T28),IF($AK7=3,SUM(T25:T27),IF($AK7=2,SUM(T25:T26),T25))))</f>
        <v>49</v>
      </c>
      <c r="U30" s="53"/>
      <c r="V30" s="53">
        <f>IF($AK7=5,SUM(V25:V29),IF($AK7=4,SUM(V25:V28),IF($AK7=3,SUM(V25:V27),IF($AK7=2,SUM(V25:V26),V25))))</f>
        <v>46</v>
      </c>
      <c r="W30" s="53">
        <f>IF($AK7=5,SUM(W25:W29),IF($AK7=4,SUM(W25:W28),IF($AK7=3,SUM(W25:W27),IF($AK7=2,SUM(W25:W26),W25))))</f>
        <v>47</v>
      </c>
      <c r="X30" s="53"/>
      <c r="Y30" s="53">
        <f>IF($AK7=5,SUM(Y25:Y29),IF($AK7=4,SUM(Y25:Y28),IF($AK7=3,SUM(Y25:Y27),IF($AK7=2,SUM(Y25:Y26),Y25))))</f>
        <v>49</v>
      </c>
      <c r="Z30" s="53">
        <f>IF($AK7=5,SUM(Z25:Z29),IF($AK7=4,SUM(Z25:Z28),IF($AK7=3,SUM(Z25:Z27),IF($AK7=2,SUM(Z25:Z26),Z25))))</f>
        <v>46</v>
      </c>
      <c r="AA30" s="53"/>
      <c r="AB30" s="53">
        <f>IF($AK7=5,SUM(AB25:AB29),IF($AK7=4,SUM(AB25:AB28),IF($AK7=3,SUM(AB25:AB27),IF($AK7=2,SUM(AB25:AB26),AB25))))</f>
        <v>44</v>
      </c>
      <c r="AC30" s="53">
        <f>IF($AK7=5,SUM(AC25:AC29),IF($AK7=4,SUM(AC25:AC28),IF($AK7=3,SUM(AC25:AC27),IF($AK7=2,SUM(AC25:AC26),AC25))))</f>
        <v>41</v>
      </c>
      <c r="AD30" s="53"/>
      <c r="AE30" s="53">
        <f>IF($AK7=5,SUM(AE25:AE29),IF($AK7=4,SUM(AE25:AE28),IF($AK7=3,SUM(AE25:AE27),IF($AK7=2,SUM(AE25:AE26),AE25))))</f>
        <v>48</v>
      </c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</row>
    <row r="31" spans="1:52" s="54" customFormat="1" ht="12.75" hidden="1" customHeight="1" x14ac:dyDescent="0.2">
      <c r="A31" s="54" t="s">
        <v>54</v>
      </c>
      <c r="B31" s="55">
        <f>IF(AND(B25&gt;D25,$AK8&gt;0,ISNUMBER(B25),ISNUMBER(D25)),1,0)</f>
        <v>0</v>
      </c>
      <c r="C31" s="55"/>
      <c r="D31" s="56">
        <f>IF(AND(D25&gt;B25,$AK8&gt;0,ISNUMBER(B25),ISNUMBER(D25)),1,0)</f>
        <v>1</v>
      </c>
      <c r="E31" s="55">
        <f>IF(AND(E25&gt;G25,$AK8&gt;1,ISNUMBER(E25),ISNUMBER(G25)),1,0)</f>
        <v>1</v>
      </c>
      <c r="F31" s="55"/>
      <c r="G31" s="56">
        <f>IF(AND(G25&gt;E25,$AK8&gt;1,ISNUMBER(E25),ISNUMBER(G25)),1,0)</f>
        <v>0</v>
      </c>
      <c r="H31" s="55">
        <f>IF(AND(H25&gt;J25,$AK8&gt;2,ISNUMBER(H25),ISNUMBER(J25)),1,0)</f>
        <v>0</v>
      </c>
      <c r="I31" s="55"/>
      <c r="J31" s="56">
        <f>IF(AND(J25&gt;H25,$AK8&gt;2,ISNUMBER(H25),ISNUMBER(J25)),1,0)</f>
        <v>1</v>
      </c>
      <c r="K31" s="55">
        <f>IF(AND(K25&gt;M25,$AK8&gt;3,ISNUMBER(K25),ISNUMBER(M25)),1,0)</f>
        <v>1</v>
      </c>
      <c r="L31" s="55"/>
      <c r="M31" s="56">
        <f>IF(AND(M25&gt;K25,$AK8&gt;3,ISNUMBER(K25),ISNUMBER(M25)),1,0)</f>
        <v>0</v>
      </c>
      <c r="N31" s="55">
        <f>IF(AND(N25&gt;P25,$AK8&gt;4,ISNUMBER(N25),ISNUMBER(P25)),1,0)</f>
        <v>1</v>
      </c>
      <c r="O31" s="55"/>
      <c r="P31" s="56">
        <f>IF(AND(P25&gt;N25,$AK8&gt;4,ISNUMBER(N25),ISNUMBER(P25)),1,0)</f>
        <v>0</v>
      </c>
      <c r="Q31" s="55">
        <f>IF(AND(Q25&gt;S25,$AK8&gt;5,ISNUMBER(Q25),ISNUMBER(S25)),1,0)</f>
        <v>0</v>
      </c>
      <c r="R31" s="55"/>
      <c r="S31" s="56">
        <f>IF(AND(S25&gt;Q25,$AK8&gt;5,ISNUMBER(Q25),ISNUMBER(S25)),1,0)</f>
        <v>1</v>
      </c>
      <c r="T31" s="55">
        <f>IF(AND(T25&gt;V25,$AK8&gt;6,ISNUMBER(T25),ISNUMBER(V25)),1,0)</f>
        <v>1</v>
      </c>
      <c r="U31" s="55"/>
      <c r="V31" s="56">
        <f>IF(AND(V25&gt;T25,$AK8&gt;6,ISNUMBER(T25),ISNUMBER(V25)),1,0)</f>
        <v>0</v>
      </c>
      <c r="W31" s="55">
        <f>IF(AND(W25&gt;Y25,$AK8&gt;7,ISNUMBER(W25),ISNUMBER(Y25)),1,0)</f>
        <v>1</v>
      </c>
      <c r="X31" s="55"/>
      <c r="Y31" s="56">
        <f>IF(AND(Y25&gt;W25,$AK8&gt;7,ISNUMBER(W25),ISNUMBER(Y25)),1,0)</f>
        <v>0</v>
      </c>
      <c r="Z31" s="55">
        <f>IF(AND(Z25&gt;AB25,$AK8&gt;8,ISNUMBER(Z25),ISNUMBER(AB25)),1,0)</f>
        <v>0</v>
      </c>
      <c r="AA31" s="55"/>
      <c r="AB31" s="56">
        <f>IF(AND(AB25&gt;Z25,$AK8&gt;8,ISNUMBER(Z25),ISNUMBER(AB25)),1,0)</f>
        <v>1</v>
      </c>
      <c r="AC31" s="55">
        <f>IF(AND(AC25&gt;AE25,$AK8&gt;9,ISNUMBER(AC25),ISNUMBER(AE25)),1,0)</f>
        <v>0</v>
      </c>
      <c r="AD31" s="55"/>
      <c r="AE31" s="56">
        <f>IF(AND(AE25&gt;AC25,$AK8&gt;9,ISNUMBER(AC25),ISNUMBER(AE25)),1,0)</f>
        <v>1</v>
      </c>
      <c r="AW31" s="146"/>
    </row>
    <row r="32" spans="1:52" s="54" customFormat="1" ht="12.75" hidden="1" customHeight="1" x14ac:dyDescent="0.2">
      <c r="A32" s="54" t="s">
        <v>55</v>
      </c>
      <c r="B32" s="55">
        <f>IF(AND(B26&gt;D26,$AK8&gt;0,$AK7&gt;1,ISNUMBER(B26),ISNUMBER(D26)),1,0)</f>
        <v>0</v>
      </c>
      <c r="C32" s="55"/>
      <c r="D32" s="56">
        <f>IF(AND(D26&gt;B26,$AK8&gt;0,$AK7&gt;1,ISNUMBER(B26),ISNUMBER(D26)),1,0)</f>
        <v>1</v>
      </c>
      <c r="E32" s="55">
        <f>IF(AND(E26&gt;G26,$AK8&gt;1,$AK7&gt;1,ISNUMBER(E26),ISNUMBER(G26)),1,0)</f>
        <v>1</v>
      </c>
      <c r="F32" s="55"/>
      <c r="G32" s="56">
        <f>IF(AND(G26&gt;E26,$AK8&gt;1,$AK7&gt;1,ISNUMBER(E26),ISNUMBER(G26)),1,0)</f>
        <v>0</v>
      </c>
      <c r="H32" s="55">
        <f>IF(AND(H26&gt;J26,$AK8&gt;2,$AK7&gt;1,ISNUMBER(H26),ISNUMBER(J26)),1,0)</f>
        <v>0</v>
      </c>
      <c r="I32" s="55"/>
      <c r="J32" s="56">
        <f>IF(AND(J26&gt;H26,$AK8&gt;2,$AK7&gt;1,ISNUMBER(H26),ISNUMBER(J26)),1,0)</f>
        <v>1</v>
      </c>
      <c r="K32" s="55">
        <f>IF(AND(K26&gt;M26,$AK8&gt;3,$AK7&gt;1,ISNUMBER(K26),ISNUMBER(M26)),1,0)</f>
        <v>0</v>
      </c>
      <c r="L32" s="55"/>
      <c r="M32" s="56">
        <f>IF(AND(M26&gt;K26,$AK8&gt;3,$AK7&gt;1,ISNUMBER(K26),ISNUMBER(M26)),1,0)</f>
        <v>1</v>
      </c>
      <c r="N32" s="55">
        <f>IF(AND(N26&gt;P26,$AK8&gt;4,$AK7&gt;1,ISNUMBER(N26),ISNUMBER(P26)),1,0)</f>
        <v>1</v>
      </c>
      <c r="O32" s="55"/>
      <c r="P32" s="56">
        <f>IF(AND(P26&gt;N26,$AK8&gt;4,$AK7&gt;1,ISNUMBER(N26),ISNUMBER(P26)),1,0)</f>
        <v>0</v>
      </c>
      <c r="Q32" s="55">
        <f>IF(AND(Q26&gt;S26,$AK8&gt;5,$AK7&gt;1,ISNUMBER(Q26),ISNUMBER(S26)),1,0)</f>
        <v>0</v>
      </c>
      <c r="R32" s="55"/>
      <c r="S32" s="56">
        <f>IF(AND(S26&gt;Q26,$AK8&gt;5,$AK7&gt;1,ISNUMBER(Q26),ISNUMBER(S26)),1,0)</f>
        <v>1</v>
      </c>
      <c r="T32" s="55">
        <f>IF(AND(T26&gt;V26,$AK8&gt;6,$AK7&gt;1,ISNUMBER(T26),ISNUMBER(V26)),1,0)</f>
        <v>0</v>
      </c>
      <c r="U32" s="55"/>
      <c r="V32" s="56">
        <f>IF(AND(V26&gt;T26,$AK8&gt;6,$AK7&gt;1,ISNUMBER(T26),ISNUMBER(V26)),1,0)</f>
        <v>1</v>
      </c>
      <c r="W32" s="55">
        <f>IF(AND(W26&gt;Y26,$AK8&gt;7,$AK7&gt;1,ISNUMBER(W26),ISNUMBER(Y26)),1,0)</f>
        <v>0</v>
      </c>
      <c r="X32" s="55"/>
      <c r="Y32" s="56">
        <f>IF(AND(Y26&gt;W26,$AK8&gt;7,$AK7&gt;1,ISNUMBER(W26),ISNUMBER(Y26)),1,0)</f>
        <v>1</v>
      </c>
      <c r="Z32" s="55">
        <f>IF(AND(Z26&gt;AB26,$AK8&gt;8,$AK7&gt;1,ISNUMBER(Z26),ISNUMBER(AB26)),1,0)</f>
        <v>1</v>
      </c>
      <c r="AA32" s="55"/>
      <c r="AB32" s="56">
        <f>IF(AND(AB26&gt;Z26,$AK8&gt;8,$AK7&gt;1,ISNUMBER(Z26),ISNUMBER(AB26)),1,0)</f>
        <v>0</v>
      </c>
      <c r="AC32" s="55">
        <f>IF(AND(AC26&gt;AE26,$AK8&gt;9,$AK7&gt;1,ISNUMBER(AC26),ISNUMBER(AE26)),1,0)</f>
        <v>1</v>
      </c>
      <c r="AD32" s="55"/>
      <c r="AE32" s="56">
        <f>IF(AND(AE26&gt;AC26,$AK8&gt;9,$AK7&gt;1,ISNUMBER(AC26),ISNUMBER(AE26)),1,0)</f>
        <v>0</v>
      </c>
      <c r="AW32" s="146"/>
    </row>
    <row r="33" spans="1:49" s="54" customFormat="1" ht="12.75" hidden="1" customHeight="1" x14ac:dyDescent="0.2">
      <c r="A33" s="54" t="s">
        <v>56</v>
      </c>
      <c r="B33" s="55">
        <f>IF(AND(B27&gt;D27,$AK8&gt;0,$AK7&gt;2,ISNUMBER(B27),ISNUMBER(D27)),1,0)</f>
        <v>0</v>
      </c>
      <c r="C33" s="55"/>
      <c r="D33" s="56">
        <f>IF(AND(D27&gt;B27,$AK8&gt;0,$AK7&gt;2,ISNUMBER(B27),ISNUMBER(D27)),1,0)</f>
        <v>0</v>
      </c>
      <c r="E33" s="55">
        <f>IF(AND(E27&gt;G27,$AK8&gt;1,$AK7&gt;2,ISNUMBER(E27),ISNUMBER(G27)),1,0)</f>
        <v>0</v>
      </c>
      <c r="F33" s="55"/>
      <c r="G33" s="56">
        <f>IF(AND(G27&gt;E27,$AK8&gt;1,$AK7&gt;2,ISNUMBER(E27),ISNUMBER(G27)),1,0)</f>
        <v>0</v>
      </c>
      <c r="H33" s="55">
        <f>IF(AND(H27&gt;J27,$AK8&gt;2,$AK7&gt;2,ISNUMBER(H27),ISNUMBER(J27)),1,0)</f>
        <v>0</v>
      </c>
      <c r="I33" s="55"/>
      <c r="J33" s="56">
        <f>IF(AND(J27&gt;H27,$AK8&gt;2,$AK7&gt;2,ISNUMBER(H27),ISNUMBER(J27)),1,0)</f>
        <v>0</v>
      </c>
      <c r="K33" s="55">
        <f>IF(AND(K27&gt;M27,$AK8&gt;3,$AK7&gt;2,ISNUMBER(K27),ISNUMBER(M27)),1,0)</f>
        <v>0</v>
      </c>
      <c r="L33" s="55"/>
      <c r="M33" s="56">
        <f>IF(AND(M27&gt;K27,$AK8&gt;3,$AK7&gt;2,ISNUMBER(K27),ISNUMBER(M27)),1,0)</f>
        <v>0</v>
      </c>
      <c r="N33" s="55">
        <f>IF(AND(N27&gt;P27,$AK8&gt;4,$AK7&gt;2,ISNUMBER(N27),ISNUMBER(P27)),1,0)</f>
        <v>0</v>
      </c>
      <c r="O33" s="55"/>
      <c r="P33" s="56">
        <f>IF(AND(P27&gt;N27,$AK8&gt;4,$AK7&gt;2,ISNUMBER(N27),ISNUMBER(P27)),1,0)</f>
        <v>0</v>
      </c>
      <c r="Q33" s="55">
        <f>IF(AND(Q27&gt;S27,$AK8&gt;5,$AK7&gt;2,ISNUMBER(Q27),ISNUMBER(S27)),1,0)</f>
        <v>0</v>
      </c>
      <c r="R33" s="55"/>
      <c r="S33" s="56">
        <f>IF(AND(S27&gt;Q27,$AK8&gt;5,$AK7&gt;2,ISNUMBER(Q27),ISNUMBER(S27)),1,0)</f>
        <v>0</v>
      </c>
      <c r="T33" s="55">
        <f>IF(AND(T27&gt;V27,$AK8&gt;6,$AK7&gt;2,ISNUMBER(T27),ISNUMBER(V27)),1,0)</f>
        <v>0</v>
      </c>
      <c r="U33" s="55"/>
      <c r="V33" s="56">
        <f>IF(AND(V27&gt;T27,$AK8&gt;6,$AK7&gt;2,ISNUMBER(T27),ISNUMBER(V27)),1,0)</f>
        <v>0</v>
      </c>
      <c r="W33" s="55">
        <f>IF(AND(W27&gt;Y27,$AK8&gt;7,$AK7&gt;2,ISNUMBER(W27),ISNUMBER(Y27)),1,0)</f>
        <v>0</v>
      </c>
      <c r="X33" s="55"/>
      <c r="Y33" s="56">
        <f>IF(AND(Y27&gt;W27,$AK8&gt;7,$AK7&gt;2,ISNUMBER(W27),ISNUMBER(Y27)),1,0)</f>
        <v>0</v>
      </c>
      <c r="Z33" s="55">
        <f>IF(AND(Z27&gt;AB27,$AK8&gt;8,$AK7&gt;2,ISNUMBER(Z27),ISNUMBER(AB27)),1,0)</f>
        <v>0</v>
      </c>
      <c r="AA33" s="55"/>
      <c r="AB33" s="56">
        <f>IF(AND(AB27&gt;Z27,$AK8&gt;8,$AK7&gt;2,ISNUMBER(Z27),ISNUMBER(AB27)),1,0)</f>
        <v>0</v>
      </c>
      <c r="AC33" s="55">
        <f>IF(AND(AC27&gt;AE27,$AK8&gt;9,$AK7&gt;2,ISNUMBER(AC27),ISNUMBER(AE27)),1,0)</f>
        <v>0</v>
      </c>
      <c r="AD33" s="55"/>
      <c r="AE33" s="56">
        <f>IF(AND(AE27&gt;AC27,$AK8&gt;9,$AK7&gt;2,ISNUMBER(AC27),ISNUMBER(AE27)),1,0)</f>
        <v>0</v>
      </c>
      <c r="AW33" s="146"/>
    </row>
    <row r="34" spans="1:49" s="54" customFormat="1" ht="12.75" hidden="1" customHeight="1" x14ac:dyDescent="0.2">
      <c r="A34" s="54" t="s">
        <v>57</v>
      </c>
      <c r="B34" s="55">
        <f>IF(AND(B28&gt;D28,$AK8&gt;0,$AK7&gt;3,ISNUMBER(B28),ISNUMBER(D28)),1,0)</f>
        <v>0</v>
      </c>
      <c r="C34" s="55"/>
      <c r="D34" s="56">
        <f>IF(AND(D28&gt;B28,$AK8&gt;0,$AK7&gt;3,ISNUMBER(B28),ISNUMBER(D28)),1,0)</f>
        <v>0</v>
      </c>
      <c r="E34" s="55">
        <f>IF(AND(E28&gt;G28,$AK8&gt;1,$AK7&gt;3,ISNUMBER(E28),ISNUMBER(G28)),1,0)</f>
        <v>0</v>
      </c>
      <c r="F34" s="55"/>
      <c r="G34" s="56">
        <f>IF(AND(G28&gt;E28,$AK8&gt;1,$AK7&gt;3,ISNUMBER(E28),ISNUMBER(G28)),1,0)</f>
        <v>0</v>
      </c>
      <c r="H34" s="55">
        <f>IF(AND(H28&gt;J28,$AK8&gt;2,$AK7&gt;3,ISNUMBER(H28),ISNUMBER(J28)),1,0)</f>
        <v>0</v>
      </c>
      <c r="I34" s="55"/>
      <c r="J34" s="56">
        <f>IF(AND(J28&gt;H28,$AK8&gt;2,$AK7&gt;3,ISNUMBER(H28),ISNUMBER(J28)),1,0)</f>
        <v>0</v>
      </c>
      <c r="K34" s="55">
        <f>IF(AND(K28&gt;M28,$AK8&gt;3,$AK7&gt;3,ISNUMBER(K28),ISNUMBER(M28)),1,0)</f>
        <v>0</v>
      </c>
      <c r="L34" s="55"/>
      <c r="M34" s="56">
        <f>IF(AND(M28&gt;K28,$AK8&gt;3,$AK7&gt;3,ISNUMBER(K28),ISNUMBER(M28)),1,0)</f>
        <v>0</v>
      </c>
      <c r="N34" s="55">
        <f>IF(AND(N28&gt;P28,$AK8&gt;4,$AK7&gt;3,ISNUMBER(N28),ISNUMBER(P28)),1,0)</f>
        <v>0</v>
      </c>
      <c r="O34" s="55"/>
      <c r="P34" s="56">
        <f>IF(AND(P28&gt;N28,$AK8&gt;4,$AK7&gt;3,ISNUMBER(N28),ISNUMBER(P28)),1,0)</f>
        <v>0</v>
      </c>
      <c r="Q34" s="55">
        <f>IF(AND(Q28&gt;S28,$AK8&gt;5,$AK7&gt;3,ISNUMBER(Q28),ISNUMBER(S28)),1,0)</f>
        <v>0</v>
      </c>
      <c r="R34" s="55"/>
      <c r="S34" s="56">
        <f>IF(AND(S28&gt;Q28,$AK8&gt;5,$AK7&gt;3,ISNUMBER(Q28),ISNUMBER(S28)),1,0)</f>
        <v>0</v>
      </c>
      <c r="T34" s="55">
        <f>IF(AND(T28&gt;V28,$AK8&gt;6,$AK7&gt;3,ISNUMBER(T28),ISNUMBER(V28)),1,0)</f>
        <v>0</v>
      </c>
      <c r="U34" s="55"/>
      <c r="V34" s="56">
        <f>IF(AND(V28&gt;T28,$AK8&gt;6,$AK7&gt;3,ISNUMBER(T28),ISNUMBER(V28)),1,0)</f>
        <v>0</v>
      </c>
      <c r="W34" s="55">
        <f>IF(AND(W28&gt;Y28,$AK8&gt;7,$AK7&gt;3,ISNUMBER(W28),ISNUMBER(Y28)),1,0)</f>
        <v>0</v>
      </c>
      <c r="X34" s="55"/>
      <c r="Y34" s="56">
        <f>IF(AND(Y28&gt;W28,$AK8&gt;7,$AK7&gt;3,ISNUMBER(W28),ISNUMBER(Y28)),1,0)</f>
        <v>0</v>
      </c>
      <c r="Z34" s="55">
        <f>IF(AND(Z28&gt;AB28,$AK8&gt;8,$AK7&gt;3,ISNUMBER(Z28),ISNUMBER(AB28)),1,0)</f>
        <v>0</v>
      </c>
      <c r="AA34" s="55"/>
      <c r="AB34" s="56">
        <f>IF(AND(AB28&gt;Z28,$AK8&gt;8,$AK7&gt;3,ISNUMBER(Z28),ISNUMBER(AB28)),1,0)</f>
        <v>0</v>
      </c>
      <c r="AC34" s="55">
        <f>IF(AND(AC28&gt;AE28,$AK8&gt;9,$AK7&gt;3,ISNUMBER(AC28),ISNUMBER(AE28)),1,0)</f>
        <v>0</v>
      </c>
      <c r="AD34" s="55"/>
      <c r="AE34" s="56">
        <f>IF(AND(AE28&gt;AC28,$AK8&gt;9,$AK7&gt;3,ISNUMBER(AC28),ISNUMBER(AE28)),1,0)</f>
        <v>0</v>
      </c>
      <c r="AW34" s="146"/>
    </row>
    <row r="35" spans="1:49" s="54" customFormat="1" ht="12.75" hidden="1" customHeight="1" x14ac:dyDescent="0.2">
      <c r="A35" s="54" t="s">
        <v>58</v>
      </c>
      <c r="B35" s="55">
        <f>IF(AND(B29&gt;D29,$AK8&gt;0,$AK7&gt;4,ISNUMBER(B29),ISNUMBER(D29)),1,0)</f>
        <v>0</v>
      </c>
      <c r="C35" s="55"/>
      <c r="D35" s="56">
        <f>IF(AND(D29&gt;B29,$AK8&gt;0,$AK7&gt;4,ISNUMBER(B29),ISNUMBER(D29)),1,0)</f>
        <v>0</v>
      </c>
      <c r="E35" s="55">
        <f>IF(AND(E29&gt;G29,$AK8&gt;1,$AK7&gt;4,ISNUMBER(E29),ISNUMBER(G29)),1,0)</f>
        <v>0</v>
      </c>
      <c r="F35" s="55"/>
      <c r="G35" s="56">
        <f>IF(AND(G29&gt;E29,$AK8&gt;1,$AK7&gt;4,ISNUMBER(E29),ISNUMBER(G29)),1,0)</f>
        <v>0</v>
      </c>
      <c r="H35" s="55">
        <f>IF(AND(H29&gt;J29,$AK8&gt;2,$AK7&gt;4,ISNUMBER(H29),ISNUMBER(J29)),1,0)</f>
        <v>0</v>
      </c>
      <c r="I35" s="55"/>
      <c r="J35" s="56">
        <f>IF(AND(J29&gt;H29,$AK8&gt;2,$AK7&gt;4,ISNUMBER(H29),ISNUMBER(J29)),1,0)</f>
        <v>0</v>
      </c>
      <c r="K35" s="55">
        <f>IF(AND(K29&gt;M29,$AK8&gt;3,$AK7&gt;4,ISNUMBER(K29),ISNUMBER(M29)),1,0)</f>
        <v>0</v>
      </c>
      <c r="L35" s="55"/>
      <c r="M35" s="56">
        <f>IF(AND(M29&gt;K29,$AK8&gt;3,$AK7&gt;4,ISNUMBER(K29),ISNUMBER(M29)),1,0)</f>
        <v>0</v>
      </c>
      <c r="N35" s="55">
        <f>IF(AND(N29&gt;P29,$AK8&gt;4,$AK7&gt;4,ISNUMBER(N29),ISNUMBER(P29)),1,0)</f>
        <v>0</v>
      </c>
      <c r="O35" s="55"/>
      <c r="P35" s="56">
        <f>IF(AND(P29&gt;N29,$AK8&gt;4,$AK7&gt;4,ISNUMBER(N29),ISNUMBER(P29)),1,0)</f>
        <v>0</v>
      </c>
      <c r="Q35" s="55">
        <f>IF(AND(Q29&gt;S29,$AK8&gt;5,$AK7&gt;4,ISNUMBER(Q29),ISNUMBER(S29)),1,0)</f>
        <v>0</v>
      </c>
      <c r="R35" s="55"/>
      <c r="S35" s="56">
        <f>IF(AND(S29&gt;Q29,$AK8&gt;5,$AK7&gt;4,ISNUMBER(Q29),ISNUMBER(S29)),1,0)</f>
        <v>0</v>
      </c>
      <c r="T35" s="55">
        <f>IF(AND(T29&gt;V29,$AK8&gt;6,$AK7&gt;4,ISNUMBER(T29),ISNUMBER(V29)),1,0)</f>
        <v>0</v>
      </c>
      <c r="U35" s="55"/>
      <c r="V35" s="56">
        <f>IF(AND(V29&gt;T29,$AK8&gt;6,$AK7&gt;4,ISNUMBER(T29),ISNUMBER(V29)),1,0)</f>
        <v>0</v>
      </c>
      <c r="W35" s="55">
        <f>IF(AND(W29&gt;Y29,$AK8&gt;7,$AK7&gt;4,ISNUMBER(W29),ISNUMBER(Y29)),1,0)</f>
        <v>0</v>
      </c>
      <c r="X35" s="55"/>
      <c r="Y35" s="56">
        <f>IF(AND(Y29&gt;W29,$AK8&gt;7,$AK7&gt;4,ISNUMBER(W29),ISNUMBER(Y29)),1,0)</f>
        <v>0</v>
      </c>
      <c r="Z35" s="55">
        <f>IF(AND(Z29&gt;AB29,$AK8&gt;8,$AK7&gt;4,ISNUMBER(Z29),ISNUMBER(AB29)),1,0)</f>
        <v>0</v>
      </c>
      <c r="AA35" s="55"/>
      <c r="AB35" s="56">
        <f>IF(AND(AB29&gt;Z29,$AK8&gt;8,$AK7&gt;4,ISNUMBER(Z29),ISNUMBER(AB29)),1,0)</f>
        <v>0</v>
      </c>
      <c r="AC35" s="55">
        <f>IF(AND(AC29&gt;AE29,$AK8&gt;9,$AK7&gt;4,ISNUMBER(AC29),ISNUMBER(AE29)),1,0)</f>
        <v>0</v>
      </c>
      <c r="AD35" s="55"/>
      <c r="AE35" s="56">
        <f>IF(AND(AE29&gt;AC29,$AK8&gt;9,$AK7&gt;4,ISNUMBER(AC29),ISNUMBER(AE29)),1,0)</f>
        <v>0</v>
      </c>
      <c r="AW35" s="146"/>
    </row>
    <row r="36" spans="1:49" s="54" customFormat="1" ht="38.25" hidden="1" customHeight="1" x14ac:dyDescent="0.2">
      <c r="A36" s="57" t="s">
        <v>59</v>
      </c>
      <c r="B36" s="54">
        <f>SUM(B31:B35)</f>
        <v>0</v>
      </c>
      <c r="D36" s="58">
        <f>SUM(D31:D35)</f>
        <v>2</v>
      </c>
      <c r="E36" s="54">
        <f>SUM(E31:E35)</f>
        <v>2</v>
      </c>
      <c r="G36" s="58">
        <f>SUM(G31:G35)</f>
        <v>0</v>
      </c>
      <c r="H36" s="54">
        <f>SUM(H31:H35)</f>
        <v>0</v>
      </c>
      <c r="J36" s="58">
        <f>SUM(J31:J35)</f>
        <v>2</v>
      </c>
      <c r="K36" s="54">
        <f>SUM(K31:K35)</f>
        <v>1</v>
      </c>
      <c r="M36" s="58">
        <f>SUM(M31:M35)</f>
        <v>1</v>
      </c>
      <c r="N36" s="54">
        <f>SUM(N31:N35)</f>
        <v>2</v>
      </c>
      <c r="P36" s="58">
        <f>SUM(P31:P35)</f>
        <v>0</v>
      </c>
      <c r="Q36" s="54">
        <f>SUM(Q31:Q35)</f>
        <v>0</v>
      </c>
      <c r="S36" s="58">
        <f>SUM(S31:S35)</f>
        <v>2</v>
      </c>
      <c r="T36" s="54">
        <f>SUM(T31:T35)</f>
        <v>1</v>
      </c>
      <c r="V36" s="58">
        <f>SUM(V31:V35)</f>
        <v>1</v>
      </c>
      <c r="W36" s="54">
        <f>SUM(W31:W35)</f>
        <v>1</v>
      </c>
      <c r="Y36" s="58">
        <f>SUM(Y31:Y35)</f>
        <v>1</v>
      </c>
      <c r="Z36" s="54">
        <f>SUM(Z31:Z35)</f>
        <v>1</v>
      </c>
      <c r="AB36" s="58">
        <f>SUM(AB31:AB35)</f>
        <v>1</v>
      </c>
      <c r="AC36" s="54">
        <f>SUM(AC31:AC35)</f>
        <v>1</v>
      </c>
      <c r="AE36" s="58">
        <f>SUM(AE31:AE35)</f>
        <v>1</v>
      </c>
      <c r="AW36" s="146"/>
    </row>
    <row r="37" spans="1:49" s="54" customFormat="1" ht="25.5" hidden="1" customHeight="1" x14ac:dyDescent="0.2">
      <c r="A37" s="57" t="s">
        <v>60</v>
      </c>
      <c r="B37" s="54">
        <f>IF(B36&gt;D36,IF(C71=AK7,1,IF(C71=AK7-1,1,0)),0)</f>
        <v>0</v>
      </c>
      <c r="C37" s="54">
        <f>B37+D37</f>
        <v>1</v>
      </c>
      <c r="D37" s="58">
        <f>IF(D36&gt;B36,IF(C71=AK7,1,IF(C71=AK7-1,1,0)),0)</f>
        <v>1</v>
      </c>
      <c r="E37" s="54">
        <f>IF(E36&gt;G36,IF(F71=AK7,1,IF(F71=AK7-1,1,0)),0)</f>
        <v>1</v>
      </c>
      <c r="F37" s="54">
        <f>E37+G37</f>
        <v>1</v>
      </c>
      <c r="G37" s="58">
        <f>IF(G36&gt;E36,IF(F71=AK7,1,IF(F71=AK7-1,1,0)),0)</f>
        <v>0</v>
      </c>
      <c r="H37" s="54">
        <f>IF(H36&gt;J36,IF(I71=AK7,1,IF(I71=AK7-1,1,0)),0)</f>
        <v>0</v>
      </c>
      <c r="I37" s="54">
        <f>H37+J37</f>
        <v>1</v>
      </c>
      <c r="J37" s="58">
        <f>IF(J36&gt;H36,IF(I71=AK7,1,IF(I71=AK7-1,1,0)),0)</f>
        <v>1</v>
      </c>
      <c r="K37" s="54">
        <f>IF(K36&gt;M36,IF(L71=AK7,1,IF(L71=AK7-1,1,0)),0)</f>
        <v>0</v>
      </c>
      <c r="L37" s="54">
        <f>K37+M37</f>
        <v>0</v>
      </c>
      <c r="M37" s="58">
        <f>IF(M36&gt;K36,IF(L71=AK7,1,IF(L71=AK7-1,1,0)),0)</f>
        <v>0</v>
      </c>
      <c r="N37" s="54">
        <f>IF(N36&gt;P36,IF(O71=AK7,1,IF(O71=AK7-1,1,0)),0)</f>
        <v>1</v>
      </c>
      <c r="O37" s="54">
        <f>N37+P37</f>
        <v>1</v>
      </c>
      <c r="P37" s="58">
        <f>IF(P36&gt;N36,IF(O71=AK7,1,IF(O71=AK7-1,1,0)),0)</f>
        <v>0</v>
      </c>
      <c r="Q37" s="54">
        <f>IF(Q36&gt;S36,IF(R71=AK7,1,IF(R71=AK7-1,1,0)),0)</f>
        <v>0</v>
      </c>
      <c r="R37" s="54">
        <f>Q37+S37</f>
        <v>1</v>
      </c>
      <c r="S37" s="58">
        <f>IF(S36&gt;Q36,IF(R71=AK7,1,IF(R71=AK7-1,1,0)),0)</f>
        <v>1</v>
      </c>
      <c r="T37" s="54">
        <f>IF(T36&gt;V36,IF(U71=AK7,1,IF(U71=AK7-1,1,0)),0)</f>
        <v>0</v>
      </c>
      <c r="U37" s="54">
        <f>T37+V37</f>
        <v>0</v>
      </c>
      <c r="V37" s="58">
        <f>IF(V36&gt;T36,IF(U71=AK7,1,IF(U71=AK7-1,1,0)),0)</f>
        <v>0</v>
      </c>
      <c r="W37" s="54">
        <f>IF(W36&gt;Y36,IF(X71=AK7,1,IF(X71=AK7-1,1,0)),0)</f>
        <v>0</v>
      </c>
      <c r="X37" s="54">
        <f>W37+Y37</f>
        <v>0</v>
      </c>
      <c r="Y37" s="58">
        <f>IF(Y36&gt;W36,IF(X71=AK7,1,IF(X71=AK7-1,1,0)),0)</f>
        <v>0</v>
      </c>
      <c r="Z37" s="54">
        <f>IF(Z36&gt;AB36,IF(AA71=AK7,1,IF(AA71=AK7-1,1,0)),0)</f>
        <v>0</v>
      </c>
      <c r="AA37" s="54">
        <f>Z37+AB37</f>
        <v>0</v>
      </c>
      <c r="AB37" s="58">
        <f>IF(AB36&gt;Z36,IF(AA71=AK7,1,IF(AA71=AK7-1,1,0)),0)</f>
        <v>0</v>
      </c>
      <c r="AC37" s="54">
        <f>IF(AC36&gt;AE36,IF(AD71=AK7,1,IF(AD71=AK7-1,1,0)),0)</f>
        <v>0</v>
      </c>
      <c r="AD37" s="54">
        <f>AC37+AE37</f>
        <v>0</v>
      </c>
      <c r="AE37" s="58">
        <f>IF(AE36&gt;AC36,IF(AD71=AK7,1,IF(AD71=AK7-1,1,0)),0)</f>
        <v>0</v>
      </c>
      <c r="AW37" s="146"/>
    </row>
    <row r="38" spans="1:49" s="54" customFormat="1" ht="25.5" hidden="1" customHeight="1" x14ac:dyDescent="0.2">
      <c r="A38" s="57"/>
      <c r="D38" s="58"/>
      <c r="G38" s="58"/>
      <c r="J38" s="58"/>
      <c r="M38" s="58"/>
      <c r="P38" s="58"/>
      <c r="S38" s="58"/>
      <c r="V38" s="58"/>
      <c r="Y38" s="58"/>
      <c r="AB38" s="58"/>
      <c r="AE38" s="58"/>
      <c r="AW38" s="146"/>
    </row>
    <row r="39" spans="1:49" s="54" customFormat="1" ht="12.75" hidden="1" customHeight="1" x14ac:dyDescent="0.2">
      <c r="A39" s="54" t="s">
        <v>61</v>
      </c>
      <c r="B39" s="54">
        <f>IF(B31=1,B25,0)</f>
        <v>0</v>
      </c>
      <c r="D39" s="58">
        <f t="shared" ref="D39:E43" si="2">IF(D31=1,D25,0)</f>
        <v>25</v>
      </c>
      <c r="E39" s="54">
        <f t="shared" si="2"/>
        <v>25</v>
      </c>
      <c r="G39" s="58">
        <f t="shared" ref="G39:H43" si="3">IF(G31=1,G25,0)</f>
        <v>0</v>
      </c>
      <c r="H39" s="54">
        <f t="shared" si="3"/>
        <v>0</v>
      </c>
      <c r="J39" s="58">
        <f t="shared" ref="J39:K43" si="4">IF(J31=1,J25,0)</f>
        <v>25</v>
      </c>
      <c r="K39" s="54">
        <f t="shared" si="4"/>
        <v>25</v>
      </c>
      <c r="M39" s="58">
        <f t="shared" ref="M39:N43" si="5">IF(M31=1,M25,0)</f>
        <v>0</v>
      </c>
      <c r="N39" s="54">
        <f t="shared" si="5"/>
        <v>25</v>
      </c>
      <c r="P39" s="58">
        <f t="shared" ref="P39:Q43" si="6">IF(P31=1,P25,0)</f>
        <v>0</v>
      </c>
      <c r="Q39" s="54">
        <f t="shared" si="6"/>
        <v>0</v>
      </c>
      <c r="S39" s="58">
        <f t="shared" ref="S39:T43" si="7">IF(S31=1,S25,0)</f>
        <v>25</v>
      </c>
      <c r="T39" s="54">
        <f t="shared" si="7"/>
        <v>25</v>
      </c>
      <c r="V39" s="58">
        <f t="shared" ref="V39:W43" si="8">IF(V31=1,V25,0)</f>
        <v>0</v>
      </c>
      <c r="W39" s="54">
        <f t="shared" si="8"/>
        <v>26</v>
      </c>
      <c r="Y39" s="58">
        <f t="shared" ref="Y39:Z43" si="9">IF(Y31=1,Y25,0)</f>
        <v>0</v>
      </c>
      <c r="Z39" s="54">
        <f t="shared" si="9"/>
        <v>0</v>
      </c>
      <c r="AB39" s="58">
        <f t="shared" ref="AB39:AC43" si="10">IF(AB31=1,AB25,0)</f>
        <v>25</v>
      </c>
      <c r="AC39" s="54">
        <f t="shared" si="10"/>
        <v>0</v>
      </c>
      <c r="AE39" s="58">
        <f>IF(AE31=1,AE25,0)</f>
        <v>25</v>
      </c>
      <c r="AW39" s="146"/>
    </row>
    <row r="40" spans="1:49" s="54" customFormat="1" ht="12.75" hidden="1" customHeight="1" x14ac:dyDescent="0.2">
      <c r="A40" s="54" t="s">
        <v>62</v>
      </c>
      <c r="B40" s="54">
        <f>IF(B32=1,B26,0)</f>
        <v>0</v>
      </c>
      <c r="D40" s="58">
        <f t="shared" si="2"/>
        <v>25</v>
      </c>
      <c r="E40" s="54">
        <f t="shared" si="2"/>
        <v>25</v>
      </c>
      <c r="G40" s="58">
        <f t="shared" si="3"/>
        <v>0</v>
      </c>
      <c r="H40" s="54">
        <f t="shared" si="3"/>
        <v>0</v>
      </c>
      <c r="J40" s="58">
        <f t="shared" si="4"/>
        <v>25</v>
      </c>
      <c r="K40" s="54">
        <f t="shared" si="4"/>
        <v>0</v>
      </c>
      <c r="M40" s="58">
        <f t="shared" si="5"/>
        <v>25</v>
      </c>
      <c r="N40" s="54">
        <f t="shared" si="5"/>
        <v>25</v>
      </c>
      <c r="P40" s="58">
        <f t="shared" si="6"/>
        <v>0</v>
      </c>
      <c r="Q40" s="54">
        <f t="shared" si="6"/>
        <v>0</v>
      </c>
      <c r="S40" s="58">
        <f t="shared" si="7"/>
        <v>25</v>
      </c>
      <c r="T40" s="54">
        <f t="shared" si="7"/>
        <v>0</v>
      </c>
      <c r="V40" s="58">
        <f t="shared" si="8"/>
        <v>26</v>
      </c>
      <c r="W40" s="54">
        <f t="shared" si="8"/>
        <v>0</v>
      </c>
      <c r="Y40" s="58">
        <f t="shared" si="9"/>
        <v>25</v>
      </c>
      <c r="Z40" s="54">
        <f t="shared" si="9"/>
        <v>25</v>
      </c>
      <c r="AB40" s="58">
        <f t="shared" si="10"/>
        <v>0</v>
      </c>
      <c r="AC40" s="54">
        <f t="shared" si="10"/>
        <v>25</v>
      </c>
      <c r="AE40" s="58">
        <f>IF(AE32=1,AE26,0)</f>
        <v>0</v>
      </c>
      <c r="AW40" s="146"/>
    </row>
    <row r="41" spans="1:49" s="54" customFormat="1" ht="12.75" hidden="1" customHeight="1" x14ac:dyDescent="0.2">
      <c r="A41" s="54" t="s">
        <v>63</v>
      </c>
      <c r="B41" s="54">
        <f>IF(B33=1,B27,0)</f>
        <v>0</v>
      </c>
      <c r="D41" s="58">
        <f t="shared" si="2"/>
        <v>0</v>
      </c>
      <c r="E41" s="54">
        <f t="shared" si="2"/>
        <v>0</v>
      </c>
      <c r="G41" s="58">
        <f t="shared" si="3"/>
        <v>0</v>
      </c>
      <c r="H41" s="54">
        <f t="shared" si="3"/>
        <v>0</v>
      </c>
      <c r="J41" s="58">
        <f t="shared" si="4"/>
        <v>0</v>
      </c>
      <c r="K41" s="54">
        <f t="shared" si="4"/>
        <v>0</v>
      </c>
      <c r="M41" s="58">
        <f t="shared" si="5"/>
        <v>0</v>
      </c>
      <c r="N41" s="54">
        <f t="shared" si="5"/>
        <v>0</v>
      </c>
      <c r="P41" s="58">
        <f t="shared" si="6"/>
        <v>0</v>
      </c>
      <c r="Q41" s="54">
        <f t="shared" si="6"/>
        <v>0</v>
      </c>
      <c r="S41" s="58">
        <f t="shared" si="7"/>
        <v>0</v>
      </c>
      <c r="T41" s="54">
        <f t="shared" si="7"/>
        <v>0</v>
      </c>
      <c r="V41" s="58">
        <f t="shared" si="8"/>
        <v>0</v>
      </c>
      <c r="W41" s="54">
        <f t="shared" si="8"/>
        <v>0</v>
      </c>
      <c r="Y41" s="58">
        <f t="shared" si="9"/>
        <v>0</v>
      </c>
      <c r="Z41" s="54">
        <f t="shared" si="9"/>
        <v>0</v>
      </c>
      <c r="AB41" s="58">
        <f t="shared" si="10"/>
        <v>0</v>
      </c>
      <c r="AC41" s="54">
        <f t="shared" si="10"/>
        <v>0</v>
      </c>
      <c r="AE41" s="58">
        <f>IF(AE33=1,AE27,0)</f>
        <v>0</v>
      </c>
      <c r="AW41" s="146"/>
    </row>
    <row r="42" spans="1:49" s="54" customFormat="1" ht="12.75" hidden="1" customHeight="1" x14ac:dyDescent="0.2">
      <c r="A42" s="54" t="s">
        <v>64</v>
      </c>
      <c r="B42" s="54">
        <f>IF(B34=1,B28,0)</f>
        <v>0</v>
      </c>
      <c r="D42" s="58">
        <f t="shared" si="2"/>
        <v>0</v>
      </c>
      <c r="E42" s="54">
        <f t="shared" si="2"/>
        <v>0</v>
      </c>
      <c r="G42" s="58">
        <f t="shared" si="3"/>
        <v>0</v>
      </c>
      <c r="H42" s="54">
        <f t="shared" si="3"/>
        <v>0</v>
      </c>
      <c r="J42" s="58">
        <f t="shared" si="4"/>
        <v>0</v>
      </c>
      <c r="K42" s="54">
        <f t="shared" si="4"/>
        <v>0</v>
      </c>
      <c r="M42" s="58">
        <f t="shared" si="5"/>
        <v>0</v>
      </c>
      <c r="N42" s="54">
        <f t="shared" si="5"/>
        <v>0</v>
      </c>
      <c r="P42" s="58">
        <f t="shared" si="6"/>
        <v>0</v>
      </c>
      <c r="Q42" s="54">
        <f t="shared" si="6"/>
        <v>0</v>
      </c>
      <c r="S42" s="58">
        <f t="shared" si="7"/>
        <v>0</v>
      </c>
      <c r="T42" s="54">
        <f t="shared" si="7"/>
        <v>0</v>
      </c>
      <c r="V42" s="58">
        <f t="shared" si="8"/>
        <v>0</v>
      </c>
      <c r="W42" s="54">
        <f t="shared" si="8"/>
        <v>0</v>
      </c>
      <c r="Y42" s="58">
        <f t="shared" si="9"/>
        <v>0</v>
      </c>
      <c r="Z42" s="54">
        <f t="shared" si="9"/>
        <v>0</v>
      </c>
      <c r="AB42" s="58">
        <f t="shared" si="10"/>
        <v>0</v>
      </c>
      <c r="AC42" s="54">
        <f t="shared" si="10"/>
        <v>0</v>
      </c>
      <c r="AE42" s="58">
        <f>IF(AE34=1,AE28,0)</f>
        <v>0</v>
      </c>
      <c r="AW42" s="146"/>
    </row>
    <row r="43" spans="1:49" s="54" customFormat="1" ht="12.75" hidden="1" customHeight="1" x14ac:dyDescent="0.2">
      <c r="A43" s="54" t="s">
        <v>65</v>
      </c>
      <c r="B43" s="54">
        <f>IF(B35=1,B29,0)</f>
        <v>0</v>
      </c>
      <c r="D43" s="58">
        <f t="shared" si="2"/>
        <v>0</v>
      </c>
      <c r="E43" s="54">
        <f t="shared" si="2"/>
        <v>0</v>
      </c>
      <c r="G43" s="58">
        <f t="shared" si="3"/>
        <v>0</v>
      </c>
      <c r="H43" s="54">
        <f t="shared" si="3"/>
        <v>0</v>
      </c>
      <c r="J43" s="58">
        <f t="shared" si="4"/>
        <v>0</v>
      </c>
      <c r="K43" s="54">
        <f t="shared" si="4"/>
        <v>0</v>
      </c>
      <c r="M43" s="58">
        <f t="shared" si="5"/>
        <v>0</v>
      </c>
      <c r="N43" s="54">
        <f t="shared" si="5"/>
        <v>0</v>
      </c>
      <c r="P43" s="58">
        <f t="shared" si="6"/>
        <v>0</v>
      </c>
      <c r="Q43" s="54">
        <f t="shared" si="6"/>
        <v>0</v>
      </c>
      <c r="S43" s="58">
        <f t="shared" si="7"/>
        <v>0</v>
      </c>
      <c r="T43" s="54">
        <f t="shared" si="7"/>
        <v>0</v>
      </c>
      <c r="V43" s="58">
        <f t="shared" si="8"/>
        <v>0</v>
      </c>
      <c r="W43" s="54">
        <f t="shared" si="8"/>
        <v>0</v>
      </c>
      <c r="Y43" s="58">
        <f t="shared" si="9"/>
        <v>0</v>
      </c>
      <c r="Z43" s="54">
        <f t="shared" si="9"/>
        <v>0</v>
      </c>
      <c r="AB43" s="58">
        <f t="shared" si="10"/>
        <v>0</v>
      </c>
      <c r="AC43" s="54">
        <f t="shared" si="10"/>
        <v>0</v>
      </c>
      <c r="AE43" s="58">
        <f>IF(AE35=1,AE29,0)</f>
        <v>0</v>
      </c>
      <c r="AW43" s="146"/>
    </row>
    <row r="44" spans="1:49" s="54" customFormat="1" ht="38.25" hidden="1" customHeight="1" x14ac:dyDescent="0.2">
      <c r="A44" s="57" t="s">
        <v>66</v>
      </c>
      <c r="B44" s="54">
        <f>SUM(B39:D43)</f>
        <v>50</v>
      </c>
      <c r="D44" s="58"/>
      <c r="E44" s="54">
        <f>SUM(E39:G43)</f>
        <v>50</v>
      </c>
      <c r="G44" s="58"/>
      <c r="H44" s="54">
        <f>SUM(H39:J43)</f>
        <v>50</v>
      </c>
      <c r="J44" s="58"/>
      <c r="K44" s="54">
        <f>SUM(K39:M43)</f>
        <v>50</v>
      </c>
      <c r="M44" s="58"/>
      <c r="N44" s="54">
        <f>SUM(N39:P43)</f>
        <v>50</v>
      </c>
      <c r="P44" s="58"/>
      <c r="Q44" s="54">
        <f>SUM(Q39:S43)</f>
        <v>50</v>
      </c>
      <c r="S44" s="58"/>
      <c r="T44" s="54">
        <f>SUM(T39:V43)</f>
        <v>51</v>
      </c>
      <c r="V44" s="58"/>
      <c r="W44" s="54">
        <f>SUM(W39:Y43)</f>
        <v>51</v>
      </c>
      <c r="Y44" s="58"/>
      <c r="Z44" s="54">
        <f>SUM(Z39:AB43)</f>
        <v>50</v>
      </c>
      <c r="AB44" s="58"/>
      <c r="AC44" s="54">
        <f>SUM(AC39:AE43)</f>
        <v>50</v>
      </c>
      <c r="AE44" s="58"/>
      <c r="AW44" s="146"/>
    </row>
    <row r="45" spans="1:49" s="54" customFormat="1" ht="38.25" hidden="1" customHeight="1" x14ac:dyDescent="0.2">
      <c r="A45" s="54" t="s">
        <v>67</v>
      </c>
      <c r="D45" s="58"/>
      <c r="G45" s="58"/>
      <c r="J45" s="58"/>
      <c r="M45" s="58"/>
      <c r="P45" s="58"/>
      <c r="S45" s="58"/>
      <c r="V45" s="58"/>
      <c r="Y45" s="58"/>
      <c r="AB45" s="58"/>
      <c r="AE45" s="58"/>
      <c r="AF45" s="57" t="s">
        <v>68</v>
      </c>
      <c r="AG45" s="54" t="s">
        <v>69</v>
      </c>
      <c r="AW45" s="146"/>
    </row>
    <row r="46" spans="1:49" s="54" customFormat="1" ht="12.75" hidden="1" customHeight="1" x14ac:dyDescent="0.2">
      <c r="A46" s="54" t="s">
        <v>70</v>
      </c>
      <c r="B46" s="54">
        <f>IF(B24=1,IF(B37=1,1,0),0)</f>
        <v>0</v>
      </c>
      <c r="D46" s="58">
        <f>IF(D24=1,IF(D37=1,1,0),0)</f>
        <v>0</v>
      </c>
      <c r="E46" s="54">
        <f>IF(E24=1,IF(E37=1,1,0),0)</f>
        <v>1</v>
      </c>
      <c r="G46" s="58">
        <f>IF(G24=1,IF(G37=1,1,0),0)</f>
        <v>0</v>
      </c>
      <c r="H46" s="54">
        <f>IF(H24=1,IF(H37=1,1,0),0)</f>
        <v>0</v>
      </c>
      <c r="J46" s="58">
        <f>IF(J24=1,IF(J37=1,1,0),0)</f>
        <v>0</v>
      </c>
      <c r="K46" s="54">
        <f>IF(K24=1,IF(K37=1,1,0),0)</f>
        <v>0</v>
      </c>
      <c r="M46" s="58">
        <f>IF(M24=1,IF(M37=1,1,0),0)</f>
        <v>0</v>
      </c>
      <c r="N46" s="54">
        <f>IF(N24=1,IF(N37=1,1,0),0)</f>
        <v>1</v>
      </c>
      <c r="P46" s="58">
        <f>IF(P24=1,IF(P37=1,1,0),0)</f>
        <v>0</v>
      </c>
      <c r="Q46" s="54">
        <f>IF(Q24=1,IF(Q37=1,1,0),0)</f>
        <v>0</v>
      </c>
      <c r="S46" s="58">
        <f>IF(S24=1,IF(S37=1,1,0),0)</f>
        <v>0</v>
      </c>
      <c r="T46" s="54">
        <f>IF(T24=1,IF(T37=1,1,0),0)</f>
        <v>0</v>
      </c>
      <c r="V46" s="58">
        <f>IF(V24=1,IF(V37=1,1,0),0)</f>
        <v>0</v>
      </c>
      <c r="W46" s="54">
        <f>IF(W24=1,IF(W37=1,1,0),0)</f>
        <v>0</v>
      </c>
      <c r="Y46" s="58">
        <f>IF(Y24=1,IF(Y37=1,1,0),0)</f>
        <v>0</v>
      </c>
      <c r="Z46" s="54">
        <f>IF(Z24=1,IF(Z37=1,1,0),0)</f>
        <v>0</v>
      </c>
      <c r="AB46" s="58">
        <f>IF(AB24=1,IF(AB37=1,1,0),0)</f>
        <v>0</v>
      </c>
      <c r="AC46" s="54">
        <f>IF(AC24=1,IF(AC37=1,1,0),0)</f>
        <v>0</v>
      </c>
      <c r="AE46" s="58">
        <f>IF(AE24=1,IF(AE37=1,1,0),0)</f>
        <v>0</v>
      </c>
      <c r="AF46" s="54">
        <f>SUM(B46:AE46)</f>
        <v>2</v>
      </c>
      <c r="AG46" s="54">
        <f>AF52-AF46</f>
        <v>0</v>
      </c>
      <c r="AW46" s="146"/>
    </row>
    <row r="47" spans="1:49" s="54" customFormat="1" ht="12.75" hidden="1" customHeight="1" x14ac:dyDescent="0.2">
      <c r="A47" s="54" t="s">
        <v>71</v>
      </c>
      <c r="B47" s="54">
        <f>IF(B24=2,IF(B37=1,1,0),0)</f>
        <v>0</v>
      </c>
      <c r="D47" s="58">
        <f>IF(D24=2,IF(D37=1,1,0),0)</f>
        <v>0</v>
      </c>
      <c r="E47" s="54">
        <f>IF(E24=2,IF(E37=1,1,0),0)</f>
        <v>0</v>
      </c>
      <c r="G47" s="58">
        <f>IF(G24=2,IF(G37=1,1,0),0)</f>
        <v>0</v>
      </c>
      <c r="H47" s="54">
        <f>IF(H24=2,IF(H37=1,1,0),0)</f>
        <v>0</v>
      </c>
      <c r="J47" s="58">
        <f>IF(J24=2,IF(J37=1,1,0),0)</f>
        <v>0</v>
      </c>
      <c r="K47" s="54">
        <f>IF(K24=2,IF(K37=1,1,0),0)</f>
        <v>0</v>
      </c>
      <c r="M47" s="58">
        <f>IF(M24=2,IF(M37=1,1,0),0)</f>
        <v>0</v>
      </c>
      <c r="N47" s="54">
        <f>IF(N24=2,IF(N37=1,1,0),0)</f>
        <v>0</v>
      </c>
      <c r="P47" s="58">
        <f>IF(P24=2,IF(P37=1,1,0),0)</f>
        <v>0</v>
      </c>
      <c r="Q47" s="54">
        <f>IF(Q24=2,IF(Q37=1,1,0),0)</f>
        <v>0</v>
      </c>
      <c r="S47" s="58">
        <f>IF(S24=2,IF(S37=1,1,0),0)</f>
        <v>0</v>
      </c>
      <c r="T47" s="54">
        <f>IF(T24=2,IF(T37=1,1,0),0)</f>
        <v>0</v>
      </c>
      <c r="V47" s="58">
        <f>IF(V24=2,IF(V37=1,1,0),0)</f>
        <v>0</v>
      </c>
      <c r="W47" s="54">
        <f>IF(W24=2,IF(W37=1,1,0),0)</f>
        <v>0</v>
      </c>
      <c r="Y47" s="58">
        <f>IF(Y24=2,IF(Y37=1,1,0),0)</f>
        <v>0</v>
      </c>
      <c r="Z47" s="54">
        <f>IF(Z24=2,IF(Z37=1,1,0),0)</f>
        <v>0</v>
      </c>
      <c r="AB47" s="58">
        <f>IF(AB24=2,IF(AB37=1,1,0),0)</f>
        <v>0</v>
      </c>
      <c r="AC47" s="54">
        <f>IF(AC24=2,IF(AC37=1,1,0),0)</f>
        <v>0</v>
      </c>
      <c r="AE47" s="58">
        <f>IF(AE24=2,IF(AE37=1,1,0),0)</f>
        <v>0</v>
      </c>
      <c r="AF47" s="54">
        <f>SUM(B47:AE47)</f>
        <v>0</v>
      </c>
      <c r="AG47" s="54">
        <f>AF53-AF47</f>
        <v>1</v>
      </c>
      <c r="AW47" s="146"/>
    </row>
    <row r="48" spans="1:49" s="54" customFormat="1" ht="12.75" hidden="1" customHeight="1" x14ac:dyDescent="0.2">
      <c r="A48" s="54" t="s">
        <v>72</v>
      </c>
      <c r="B48" s="54">
        <f>IF(B24=3,IF(B37=1,1,0),0)</f>
        <v>0</v>
      </c>
      <c r="D48" s="58">
        <f>IF(D24=3,IF(D37=1,1,0),0)</f>
        <v>0</v>
      </c>
      <c r="E48" s="54">
        <f>IF(E24=3,IF(E37=1,1,0),0)</f>
        <v>0</v>
      </c>
      <c r="G48" s="58">
        <f>IF(G24=3,IF(G37=1,1,0),0)</f>
        <v>0</v>
      </c>
      <c r="H48" s="54">
        <f>IF(H24=3,IF(H37=1,1,0),0)</f>
        <v>0</v>
      </c>
      <c r="J48" s="58">
        <f>IF(J24=3,IF(J37=1,1,0),0)</f>
        <v>0</v>
      </c>
      <c r="K48" s="54">
        <f>IF(K24=3,IF(K37=1,1,0),0)</f>
        <v>0</v>
      </c>
      <c r="M48" s="58">
        <f>IF(M24=3,IF(M37=1,1,0),0)</f>
        <v>0</v>
      </c>
      <c r="N48" s="54">
        <f>IF(N24=3,IF(N37=1,1,0),0)</f>
        <v>0</v>
      </c>
      <c r="P48" s="58">
        <f>IF(P24=3,IF(P37=1,1,0),0)</f>
        <v>0</v>
      </c>
      <c r="Q48" s="54">
        <f>IF(Q24=3,IF(Q37=1,1,0),0)</f>
        <v>0</v>
      </c>
      <c r="S48" s="58">
        <f>IF(S24=3,IF(S37=1,1,0),0)</f>
        <v>0</v>
      </c>
      <c r="T48" s="54">
        <f>IF(T24=3,IF(T37=1,1,0),0)</f>
        <v>0</v>
      </c>
      <c r="V48" s="58">
        <f>IF(V24=3,IF(V37=1,1,0),0)</f>
        <v>0</v>
      </c>
      <c r="W48" s="54">
        <f>IF(W24=3,IF(W37=1,1,0),0)</f>
        <v>0</v>
      </c>
      <c r="Y48" s="58">
        <f>IF(Y24=3,IF(Y37=1,1,0),0)</f>
        <v>0</v>
      </c>
      <c r="Z48" s="54">
        <f>IF(Z24=3,IF(Z37=1,1,0),0)</f>
        <v>0</v>
      </c>
      <c r="AB48" s="58">
        <f>IF(AB24=3,IF(AB37=1,1,0),0)</f>
        <v>0</v>
      </c>
      <c r="AC48" s="54">
        <f>IF(AC24=3,IF(AC37=1,1,0),0)</f>
        <v>0</v>
      </c>
      <c r="AE48" s="58">
        <f>IF(AE24=3,IF(AE37=1,1,0),0)</f>
        <v>0</v>
      </c>
      <c r="AF48" s="54">
        <f>SUM(B48:AE48)</f>
        <v>0</v>
      </c>
      <c r="AG48" s="54">
        <f>AF54-AF48</f>
        <v>2</v>
      </c>
      <c r="AW48" s="146"/>
    </row>
    <row r="49" spans="1:49" s="54" customFormat="1" ht="12.75" hidden="1" customHeight="1" x14ac:dyDescent="0.2">
      <c r="A49" s="54" t="s">
        <v>73</v>
      </c>
      <c r="B49" s="54">
        <f>IF(B24=4,IF(B37=1,1,0),0)</f>
        <v>0</v>
      </c>
      <c r="D49" s="58">
        <f>IF(D24=4,IF(D37=1,1,0),0)</f>
        <v>0</v>
      </c>
      <c r="E49" s="54">
        <f>IF(E24=4,IF(E37=1,1,0),0)</f>
        <v>0</v>
      </c>
      <c r="G49" s="58">
        <f>IF(G24=4,IF(G37=1,1,0),0)</f>
        <v>0</v>
      </c>
      <c r="H49" s="54">
        <f>IF(H24=4,IF(H37=1,1,0),0)</f>
        <v>0</v>
      </c>
      <c r="J49" s="58">
        <f>IF(J24=4,IF(J37=1,1,0),0)</f>
        <v>0</v>
      </c>
      <c r="K49" s="54">
        <f>IF(K24=4,IF(K37=1,1,0),0)</f>
        <v>0</v>
      </c>
      <c r="M49" s="58">
        <f>IF(M24=4,IF(M37=1,1,0),0)</f>
        <v>0</v>
      </c>
      <c r="N49" s="54">
        <f>IF(N24=4,IF(N37=1,1,0),0)</f>
        <v>0</v>
      </c>
      <c r="P49" s="58">
        <f>IF(P24=4,IF(P37=1,1,0),0)</f>
        <v>0</v>
      </c>
      <c r="Q49" s="54">
        <f>IF(Q24=4,IF(Q37=1,1,0),0)</f>
        <v>0</v>
      </c>
      <c r="S49" s="58">
        <f>IF(S24=4,IF(S37=1,1,0),0)</f>
        <v>0</v>
      </c>
      <c r="T49" s="54">
        <f>IF(T24=4,IF(T37=1,1,0),0)</f>
        <v>0</v>
      </c>
      <c r="V49" s="58">
        <f>IF(V24=4,IF(V37=1,1,0),0)</f>
        <v>0</v>
      </c>
      <c r="W49" s="54">
        <f>IF(W24=4,IF(W37=1,1,0),0)</f>
        <v>0</v>
      </c>
      <c r="Y49" s="58">
        <f>IF(Y24=4,IF(Y37=1,1,0),0)</f>
        <v>0</v>
      </c>
      <c r="Z49" s="54">
        <f>IF(Z24=4,IF(Z37=1,1,0),0)</f>
        <v>0</v>
      </c>
      <c r="AB49" s="58">
        <f>IF(AB24=4,IF(AB37=1,1,0),0)</f>
        <v>0</v>
      </c>
      <c r="AC49" s="54">
        <f>IF(AC24=4,IF(AC37=1,1,0),0)</f>
        <v>0</v>
      </c>
      <c r="AE49" s="58">
        <f>IF(AE24=4,IF(AE37=1,1,0),0)</f>
        <v>0</v>
      </c>
      <c r="AF49" s="54">
        <f>SUM(B49:AE49)</f>
        <v>0</v>
      </c>
      <c r="AG49" s="54">
        <f>AF55-AF49</f>
        <v>2</v>
      </c>
      <c r="AW49" s="146"/>
    </row>
    <row r="50" spans="1:49" s="54" customFormat="1" ht="12.75" hidden="1" customHeight="1" x14ac:dyDescent="0.2">
      <c r="A50" s="54" t="s">
        <v>74</v>
      </c>
      <c r="B50" s="54">
        <f>IF(B24=5,IF(B37=1,1,0),0)</f>
        <v>0</v>
      </c>
      <c r="D50" s="58">
        <f>IF(D24=5,IF(D37=1,1,0),0)</f>
        <v>1</v>
      </c>
      <c r="E50" s="54">
        <f>IF(E24=5,IF(E37=1,1,0),0)</f>
        <v>0</v>
      </c>
      <c r="G50" s="58">
        <f>IF(G24=5,IF(G37=1,1,0),0)</f>
        <v>0</v>
      </c>
      <c r="H50" s="54">
        <f>IF(H24=5,IF(H37=1,1,0),0)</f>
        <v>0</v>
      </c>
      <c r="J50" s="58">
        <f>IF(J24=5,IF(J37=1,1,0),0)</f>
        <v>1</v>
      </c>
      <c r="K50" s="54">
        <f>IF(K24=5,IF(K37=1,1,0),0)</f>
        <v>0</v>
      </c>
      <c r="M50" s="58">
        <f>IF(M24=5,IF(M37=1,1,0),0)</f>
        <v>0</v>
      </c>
      <c r="N50" s="54">
        <f>IF(N24=5,IF(N37=1,1,0),0)</f>
        <v>0</v>
      </c>
      <c r="P50" s="58">
        <f>IF(P24=5,IF(P37=1,1,0),0)</f>
        <v>0</v>
      </c>
      <c r="Q50" s="54">
        <f>IF(Q24=5,IF(Q37=1,1,0),0)</f>
        <v>0</v>
      </c>
      <c r="S50" s="58">
        <f>IF(S24=5,IF(S37=1,1,0),0)</f>
        <v>1</v>
      </c>
      <c r="T50" s="54">
        <f>IF(T24=5,IF(T37=1,1,0),0)</f>
        <v>0</v>
      </c>
      <c r="V50" s="58">
        <f>IF(V24=5,IF(V37=1,1,0),0)</f>
        <v>0</v>
      </c>
      <c r="W50" s="54">
        <f>IF(W24=5,IF(W37=1,1,0),0)</f>
        <v>0</v>
      </c>
      <c r="Y50" s="58">
        <f>IF(Y24=5,IF(Y37=1,1,0),0)</f>
        <v>0</v>
      </c>
      <c r="Z50" s="54">
        <f>IF(Z24=5,IF(Z37=1,1,0),0)</f>
        <v>0</v>
      </c>
      <c r="AB50" s="58">
        <f>IF(AB24=5,IF(AB37=1,1,0),0)</f>
        <v>0</v>
      </c>
      <c r="AC50" s="54">
        <f>IF(AC24=5,IF(AC37=1,1,0),0)</f>
        <v>0</v>
      </c>
      <c r="AE50" s="58">
        <f>IF(AE24=5,IF(AE37=1,1,0),0)</f>
        <v>0</v>
      </c>
      <c r="AF50" s="54">
        <f>SUM(B50:AE50)</f>
        <v>3</v>
      </c>
      <c r="AG50" s="54">
        <f>AF56-AF50</f>
        <v>0</v>
      </c>
      <c r="AW50" s="146"/>
    </row>
    <row r="51" spans="1:49" s="54" customFormat="1" ht="38.25" hidden="1" customHeight="1" x14ac:dyDescent="0.2">
      <c r="A51" s="57"/>
      <c r="D51" s="58"/>
      <c r="G51" s="58"/>
      <c r="J51" s="58"/>
      <c r="M51" s="58"/>
      <c r="P51" s="58"/>
      <c r="S51" s="58"/>
      <c r="V51" s="58"/>
      <c r="Y51" s="58"/>
      <c r="AB51" s="58"/>
      <c r="AE51" s="58"/>
      <c r="AF51" s="57" t="s">
        <v>75</v>
      </c>
      <c r="AW51" s="146"/>
    </row>
    <row r="52" spans="1:49" s="54" customFormat="1" ht="12.75" hidden="1" customHeight="1" x14ac:dyDescent="0.2">
      <c r="A52" s="54" t="s">
        <v>76</v>
      </c>
      <c r="B52" s="54">
        <f>IF(B24=1,IF(C37=1,1,0),0)</f>
        <v>0</v>
      </c>
      <c r="D52" s="58">
        <f>IF(D24=1,IF(C37=1,1,0),0)</f>
        <v>0</v>
      </c>
      <c r="E52" s="54">
        <f>IF(E24=1,IF(F37=1,1,0),0)</f>
        <v>1</v>
      </c>
      <c r="G52" s="58">
        <f>IF(G24=1,IF(F37=1,1,0),0)</f>
        <v>0</v>
      </c>
      <c r="H52" s="54">
        <f>IF(H24=1,IF(I37=1,1,0),0)</f>
        <v>0</v>
      </c>
      <c r="J52" s="58">
        <f>IF(J24=1,IF(I37=1,1,0),0)</f>
        <v>0</v>
      </c>
      <c r="K52" s="54">
        <f>IF(K24=1,IF(L37=1,1,0),0)</f>
        <v>0</v>
      </c>
      <c r="M52" s="58">
        <f>IF(M24=1,IF(L37=1,1,0),0)</f>
        <v>0</v>
      </c>
      <c r="N52" s="54">
        <f>IF(N24=1,IF(O37=1,1,0),0)</f>
        <v>1</v>
      </c>
      <c r="P52" s="58">
        <f>IF(P24=1,IF(O37=1,1,0),0)</f>
        <v>0</v>
      </c>
      <c r="Q52" s="54">
        <f>IF(Q24=1,IF(R37=1,1,0),0)</f>
        <v>0</v>
      </c>
      <c r="S52" s="58">
        <f>IF(S24=1,IF(R37=1,1,0),0)</f>
        <v>0</v>
      </c>
      <c r="T52" s="54">
        <f>IF(T24=1,IF(U37=1,1,0),0)</f>
        <v>0</v>
      </c>
      <c r="V52" s="58">
        <f>IF(V24=1,IF(U37=1,1,0),0)</f>
        <v>0</v>
      </c>
      <c r="W52" s="54">
        <f>IF(W24=1,IF(X37=1,1,0),0)</f>
        <v>0</v>
      </c>
      <c r="Y52" s="58">
        <f>IF(Y24=1,IF(X37=1,1,0),0)</f>
        <v>0</v>
      </c>
      <c r="Z52" s="54">
        <f>IF(Z24=1,IF(AA37=1,1,0),0)</f>
        <v>0</v>
      </c>
      <c r="AB52" s="58">
        <f>IF(AB24=1,IF(AA37=1,1,0),0)</f>
        <v>0</v>
      </c>
      <c r="AC52" s="54">
        <f>IF(AC24=1,IF(AD37=1,1,0),0)</f>
        <v>0</v>
      </c>
      <c r="AE52" s="58">
        <f>IF(AE24=1,IF(AD37=1,1,0),0)</f>
        <v>0</v>
      </c>
      <c r="AF52" s="54">
        <f>SUM(B52:AE52)</f>
        <v>2</v>
      </c>
      <c r="AW52" s="146"/>
    </row>
    <row r="53" spans="1:49" s="54" customFormat="1" ht="12.75" hidden="1" customHeight="1" x14ac:dyDescent="0.2">
      <c r="A53" s="54" t="s">
        <v>77</v>
      </c>
      <c r="B53" s="54">
        <f>IF(B24=2,IF(C37=1,1,0),0)</f>
        <v>1</v>
      </c>
      <c r="D53" s="58">
        <f>IF(D24=2,IF(C37=1,1,0),0)</f>
        <v>0</v>
      </c>
      <c r="E53" s="54">
        <f>IF(E24=2,IF(F37=1,1,0),0)</f>
        <v>0</v>
      </c>
      <c r="G53" s="58">
        <f>IF(G24=2,IF(F37=1,1,0),0)</f>
        <v>0</v>
      </c>
      <c r="H53" s="54">
        <f>IF(H24=2,IF(I37=1,1,0),0)</f>
        <v>0</v>
      </c>
      <c r="J53" s="58">
        <f>IF(J24=2,IF(I37=1,1,0),0)</f>
        <v>0</v>
      </c>
      <c r="K53" s="54">
        <f>IF(K24=2,IF(L37=1,1,0),0)</f>
        <v>0</v>
      </c>
      <c r="M53" s="58">
        <f>IF(M24=2,IF(L37=1,1,0),0)</f>
        <v>0</v>
      </c>
      <c r="N53" s="54">
        <f>IF(N24=2,IF(O37=1,1,0),0)</f>
        <v>0</v>
      </c>
      <c r="P53" s="58">
        <f>IF(P24=2,IF(O37=1,1,0),0)</f>
        <v>0</v>
      </c>
      <c r="Q53" s="54">
        <f>IF(Q24=2,IF(R37=1,1,0),0)</f>
        <v>0</v>
      </c>
      <c r="S53" s="58">
        <f>IF(S24=2,IF(R37=1,1,0),0)</f>
        <v>0</v>
      </c>
      <c r="T53" s="54">
        <f>IF(T24=2,IF(U37=1,1,0),0)</f>
        <v>0</v>
      </c>
      <c r="V53" s="58">
        <f>IF(V24=2,IF(U37=1,1,0),0)</f>
        <v>0</v>
      </c>
      <c r="W53" s="54">
        <f>IF(W24=2,IF(X37=1,1,0),0)</f>
        <v>0</v>
      </c>
      <c r="Y53" s="58">
        <f>IF(Y24=2,IF(X37=1,1,0),0)</f>
        <v>0</v>
      </c>
      <c r="Z53" s="54">
        <f>IF(Z24=2,IF(AA37=1,1,0),0)</f>
        <v>0</v>
      </c>
      <c r="AB53" s="58">
        <f>IF(AB24=2,IF(AA37=1,1,0),0)</f>
        <v>0</v>
      </c>
      <c r="AC53" s="54">
        <f>IF(AC24=2,IF(AD37=1,1,0),0)</f>
        <v>0</v>
      </c>
      <c r="AE53" s="58">
        <f>IF(AE24=2,IF(AD37=1,1,0),0)</f>
        <v>0</v>
      </c>
      <c r="AF53" s="54">
        <f>SUM(B53:AE53)</f>
        <v>1</v>
      </c>
      <c r="AW53" s="146"/>
    </row>
    <row r="54" spans="1:49" s="54" customFormat="1" ht="12.75" hidden="1" customHeight="1" x14ac:dyDescent="0.2">
      <c r="A54" s="54" t="s">
        <v>78</v>
      </c>
      <c r="B54" s="54">
        <f>IF(B24=3,IF(C37=1,1,0),0)</f>
        <v>0</v>
      </c>
      <c r="D54" s="58">
        <f>IF(D24=3,IF(C37=1,1,0),0)</f>
        <v>0</v>
      </c>
      <c r="E54" s="54">
        <f>IF(E24=3,IF(F37=1,1,0),0)</f>
        <v>0</v>
      </c>
      <c r="G54" s="58">
        <f>IF(G24=3,IF(F37=1,1,0),0)</f>
        <v>0</v>
      </c>
      <c r="H54" s="54">
        <f>IF(H24=3,IF(I37=1,1,0),0)</f>
        <v>1</v>
      </c>
      <c r="J54" s="58">
        <f>IF(J24=3,IF(I37=1,1,0),0)</f>
        <v>0</v>
      </c>
      <c r="K54" s="54">
        <f>IF(K24=3,IF(L37=1,1,0),0)</f>
        <v>0</v>
      </c>
      <c r="M54" s="58">
        <f>IF(M24=3,IF(L37=1,1,0),0)</f>
        <v>0</v>
      </c>
      <c r="N54" s="54">
        <f>IF(N24=3,IF(O37=1,1,0),0)</f>
        <v>0</v>
      </c>
      <c r="P54" s="58">
        <f>IF(P24=3,IF(O37=1,1,0),0)</f>
        <v>1</v>
      </c>
      <c r="Q54" s="54">
        <f>IF(Q24=3,IF(R37=1,1,0),0)</f>
        <v>0</v>
      </c>
      <c r="S54" s="58">
        <f>IF(S24=3,IF(R37=1,1,0),0)</f>
        <v>0</v>
      </c>
      <c r="T54" s="54">
        <f>IF(T24=3,IF(U37=1,1,0),0)</f>
        <v>0</v>
      </c>
      <c r="V54" s="58">
        <f>IF(V24=3,IF(U37=1,1,0),0)</f>
        <v>0</v>
      </c>
      <c r="W54" s="54">
        <f>IF(W24=3,IF(X37=1,1,0),0)</f>
        <v>0</v>
      </c>
      <c r="Y54" s="58">
        <f>IF(Y24=3,IF(X37=1,1,0),0)</f>
        <v>0</v>
      </c>
      <c r="Z54" s="54">
        <f>IF(Z24=3,IF(AA37=1,1,0),0)</f>
        <v>0</v>
      </c>
      <c r="AB54" s="58">
        <f>IF(AB24=3,IF(AA37=1,1,0),0)</f>
        <v>0</v>
      </c>
      <c r="AC54" s="54">
        <f>IF(AC24=3,IF(AD37=1,1,0),0)</f>
        <v>0</v>
      </c>
      <c r="AE54" s="58">
        <f>IF(AE24=3,IF(AD37=1,1,0),0)</f>
        <v>0</v>
      </c>
      <c r="AF54" s="54">
        <f>SUM(B54:AE54)</f>
        <v>2</v>
      </c>
      <c r="AW54" s="146"/>
    </row>
    <row r="55" spans="1:49" s="54" customFormat="1" ht="12.75" hidden="1" customHeight="1" x14ac:dyDescent="0.2">
      <c r="A55" s="54" t="s">
        <v>79</v>
      </c>
      <c r="B55" s="54">
        <f>IF(B24=4,IF(C37=1,1,0),0)</f>
        <v>0</v>
      </c>
      <c r="D55" s="58">
        <f>IF(D24=4,IF(C37=1,1,0),0)</f>
        <v>0</v>
      </c>
      <c r="E55" s="54">
        <f>IF(E24=4,IF(F37=1,1,0),0)</f>
        <v>0</v>
      </c>
      <c r="G55" s="58">
        <f>IF(G24=4,IF(F37=1,1,0),0)</f>
        <v>1</v>
      </c>
      <c r="H55" s="54">
        <f>IF(H24=4,IF(I37=1,1,0),0)</f>
        <v>0</v>
      </c>
      <c r="J55" s="58">
        <f>IF(J24=4,IF(I37=1,1,0),0)</f>
        <v>0</v>
      </c>
      <c r="K55" s="54">
        <f>IF(K24=4,IF(L37=1,1,0),0)</f>
        <v>0</v>
      </c>
      <c r="M55" s="58">
        <f>IF(M24=4,IF(L37=1,1,0),0)</f>
        <v>0</v>
      </c>
      <c r="N55" s="54">
        <f>IF(N24=4,IF(O37=1,1,0),0)</f>
        <v>0</v>
      </c>
      <c r="P55" s="58">
        <f>IF(P24=4,IF(O37=1,1,0),0)</f>
        <v>0</v>
      </c>
      <c r="Q55" s="54">
        <f>IF(Q24=4,IF(R37=1,1,0),0)</f>
        <v>1</v>
      </c>
      <c r="S55" s="58">
        <f>IF(S24=4,IF(R37=1,1,0),0)</f>
        <v>0</v>
      </c>
      <c r="T55" s="54">
        <f>IF(T24=4,IF(U37=1,1,0),0)</f>
        <v>0</v>
      </c>
      <c r="V55" s="58">
        <f>IF(V24=4,IF(U37=1,1,0),0)</f>
        <v>0</v>
      </c>
      <c r="W55" s="54">
        <f>IF(W24=4,IF(X37=1,1,0),0)</f>
        <v>0</v>
      </c>
      <c r="Y55" s="58">
        <f>IF(Y24=4,IF(X37=1,1,0),0)</f>
        <v>0</v>
      </c>
      <c r="Z55" s="54">
        <f>IF(Z24=4,IF(AA37=1,1,0),0)</f>
        <v>0</v>
      </c>
      <c r="AB55" s="58">
        <f>IF(AB24=4,IF(AA37=1,1,0),0)</f>
        <v>0</v>
      </c>
      <c r="AC55" s="54">
        <f>IF(AC24=4,IF(AD37=1,1,0),0)</f>
        <v>0</v>
      </c>
      <c r="AE55" s="58">
        <f>IF(AE24=4,IF(AD37=1,1,0),0)</f>
        <v>0</v>
      </c>
      <c r="AF55" s="54">
        <f>SUM(B55:AE55)</f>
        <v>2</v>
      </c>
      <c r="AW55" s="146"/>
    </row>
    <row r="56" spans="1:49" s="54" customFormat="1" ht="12.75" hidden="1" customHeight="1" x14ac:dyDescent="0.2">
      <c r="A56" s="54" t="s">
        <v>80</v>
      </c>
      <c r="B56" s="54">
        <f>IF(B24=5,IF(C37=1,1,0),0)</f>
        <v>0</v>
      </c>
      <c r="D56" s="58">
        <f>IF(D24=5,IF(C37=1,1,0),0)</f>
        <v>1</v>
      </c>
      <c r="E56" s="54">
        <f>IF(E24=5,IF(F37=1,1,0),0)</f>
        <v>0</v>
      </c>
      <c r="G56" s="58">
        <f>IF(G24=5,IF(F37=1,1,0),0)</f>
        <v>0</v>
      </c>
      <c r="H56" s="54">
        <f>IF(H24=5,IF(I37=1,1,0),0)</f>
        <v>0</v>
      </c>
      <c r="J56" s="58">
        <f>IF(J24=5,IF(I37=1,1,0),0)</f>
        <v>1</v>
      </c>
      <c r="K56" s="54">
        <f>IF(K24=5,IF(L37=1,1,0),0)</f>
        <v>0</v>
      </c>
      <c r="M56" s="58">
        <f>IF(M24=5,IF(L37=1,1,0),0)</f>
        <v>0</v>
      </c>
      <c r="N56" s="54">
        <f>IF(N24=5,IF(O37=1,1,0),0)</f>
        <v>0</v>
      </c>
      <c r="P56" s="58">
        <f>IF(P24=5,IF(O37=1,1,0),0)</f>
        <v>0</v>
      </c>
      <c r="Q56" s="54">
        <f>IF(Q24=5,IF(R37=1,1,0),0)</f>
        <v>0</v>
      </c>
      <c r="S56" s="58">
        <f>IF(S24=5,IF(R37=1,1,0),0)</f>
        <v>1</v>
      </c>
      <c r="T56" s="54">
        <f>IF(T24=5,IF(U37=1,1,0),0)</f>
        <v>0</v>
      </c>
      <c r="V56" s="58">
        <f>IF(V24=5,IF(U37=1,1,0),0)</f>
        <v>0</v>
      </c>
      <c r="W56" s="54">
        <f>IF(W24=5,IF(X37=1,1,0),0)</f>
        <v>0</v>
      </c>
      <c r="Y56" s="58">
        <f>IF(Y24=5,IF(X37=1,1,0),0)</f>
        <v>0</v>
      </c>
      <c r="Z56" s="54">
        <f>IF(Z24=5,IF(AA37=1,1,0),0)</f>
        <v>0</v>
      </c>
      <c r="AB56" s="58">
        <f>IF(AB24=5,IF(AA37=1,1,0),0)</f>
        <v>0</v>
      </c>
      <c r="AC56" s="54">
        <f>IF(AC24=5,IF(AD37=1,1,0),0)</f>
        <v>0</v>
      </c>
      <c r="AE56" s="58">
        <f>IF(AE24=5,IF(AD37=1,1,0),0)</f>
        <v>0</v>
      </c>
      <c r="AF56" s="54">
        <f>SUM(B56:AE56)</f>
        <v>3</v>
      </c>
      <c r="AW56" s="146"/>
    </row>
    <row r="57" spans="1:49" s="54" customFormat="1" ht="38.25" hidden="1" customHeight="1" x14ac:dyDescent="0.2">
      <c r="A57" s="57"/>
      <c r="D57" s="58"/>
      <c r="G57" s="58"/>
      <c r="J57" s="58"/>
      <c r="M57" s="58"/>
      <c r="P57" s="58"/>
      <c r="S57" s="58"/>
      <c r="V57" s="58"/>
      <c r="Y57" s="58"/>
      <c r="AB57" s="58"/>
      <c r="AE57" s="58"/>
      <c r="AF57" s="57" t="s">
        <v>81</v>
      </c>
      <c r="AG57" s="789"/>
      <c r="AH57" s="789"/>
      <c r="AI57" s="789"/>
      <c r="AJ57" s="789"/>
      <c r="AK57" s="789"/>
      <c r="AW57" s="146"/>
    </row>
    <row r="58" spans="1:49" s="54" customFormat="1" ht="12.75" hidden="1" customHeight="1" x14ac:dyDescent="0.2">
      <c r="A58" s="54" t="s">
        <v>76</v>
      </c>
      <c r="B58" s="54">
        <f>IF(B24=1,B44,0)</f>
        <v>0</v>
      </c>
      <c r="D58" s="58">
        <f>IF(D24=1,B44,0)</f>
        <v>0</v>
      </c>
      <c r="E58" s="54">
        <f>IF(E24=1,E44,0)</f>
        <v>50</v>
      </c>
      <c r="G58" s="58">
        <f>IF(G24=1,E44,0)</f>
        <v>0</v>
      </c>
      <c r="H58" s="54">
        <f>IF(H24=1,H44,0)</f>
        <v>0</v>
      </c>
      <c r="J58" s="58">
        <f>IF(J24=1,H44,0)</f>
        <v>0</v>
      </c>
      <c r="K58" s="54">
        <f>IF(K24=1,K44,0)</f>
        <v>0</v>
      </c>
      <c r="M58" s="58">
        <f>IF(M24=1,K44,0)</f>
        <v>0</v>
      </c>
      <c r="N58" s="54">
        <f>IF(N24=1,N44,0)</f>
        <v>50</v>
      </c>
      <c r="P58" s="58">
        <f>IF(P24=1,N44,0)</f>
        <v>0</v>
      </c>
      <c r="Q58" s="54">
        <f>IF(Q24=1,Q44,0)</f>
        <v>0</v>
      </c>
      <c r="S58" s="58">
        <f>IF(S24=1,Q44,0)</f>
        <v>0</v>
      </c>
      <c r="T58" s="54">
        <f>IF(T24=1,T44,0)</f>
        <v>0</v>
      </c>
      <c r="V58" s="58">
        <f>IF(V24=1,T44,0)</f>
        <v>0</v>
      </c>
      <c r="W58" s="54">
        <f>IF(W24=1,W44,0)</f>
        <v>51</v>
      </c>
      <c r="Y58" s="58">
        <f>IF(Y24=1,W44,0)</f>
        <v>0</v>
      </c>
      <c r="Z58" s="54">
        <f>IF(Z24=1,Z44,0)</f>
        <v>0</v>
      </c>
      <c r="AB58" s="58">
        <f>IF(AB24=1,Z44,0)</f>
        <v>0</v>
      </c>
      <c r="AC58" s="54">
        <f>IF(AC24=1,AC44,0)</f>
        <v>50</v>
      </c>
      <c r="AE58" s="58">
        <f>IF(AE24=1,AC44,0)</f>
        <v>0</v>
      </c>
      <c r="AF58" s="54">
        <f>SUM(B58:AE58)</f>
        <v>201</v>
      </c>
      <c r="AW58" s="146"/>
    </row>
    <row r="59" spans="1:49" s="54" customFormat="1" ht="12.75" hidden="1" customHeight="1" x14ac:dyDescent="0.2">
      <c r="A59" s="54" t="s">
        <v>77</v>
      </c>
      <c r="B59" s="54">
        <f>IF(B24=2,B44,0)</f>
        <v>50</v>
      </c>
      <c r="D59" s="58">
        <f>IF(D24=2,B44,0)</f>
        <v>0</v>
      </c>
      <c r="E59" s="54">
        <f>IF(E24=2,E44,0)</f>
        <v>0</v>
      </c>
      <c r="G59" s="58">
        <f>IF(G24=2,E44,0)</f>
        <v>0</v>
      </c>
      <c r="H59" s="54">
        <f>IF(H24=2,H44,0)</f>
        <v>0</v>
      </c>
      <c r="J59" s="58">
        <f>IF(J24=2,H44,0)</f>
        <v>0</v>
      </c>
      <c r="K59" s="54">
        <f>IF(K24=2,K44,0)</f>
        <v>50</v>
      </c>
      <c r="M59" s="58">
        <f>IF(M24=2,K44,0)</f>
        <v>0</v>
      </c>
      <c r="N59" s="54">
        <f>IF(N24=2,N44,0)</f>
        <v>0</v>
      </c>
      <c r="P59" s="58">
        <f>IF(P24=2,N44,0)</f>
        <v>0</v>
      </c>
      <c r="Q59" s="54">
        <f>IF(Q24=2,Q44,0)</f>
        <v>0</v>
      </c>
      <c r="S59" s="58">
        <f>IF(S24=2,Q44,0)</f>
        <v>0</v>
      </c>
      <c r="T59" s="54">
        <f>IF(T24=2,T44,0)</f>
        <v>51</v>
      </c>
      <c r="V59" s="58">
        <f>IF(V24=2,T44,0)</f>
        <v>0</v>
      </c>
      <c r="W59" s="54">
        <f>IF(W24=2,W44,0)</f>
        <v>0</v>
      </c>
      <c r="Y59" s="58">
        <f>IF(Y24=2,W44,0)</f>
        <v>0</v>
      </c>
      <c r="Z59" s="54">
        <f>IF(Z24=2,Z44,0)</f>
        <v>0</v>
      </c>
      <c r="AB59" s="58">
        <f>IF(AB24=2,Z44,0)</f>
        <v>0</v>
      </c>
      <c r="AC59" s="54">
        <f>IF(AC24=2,AC44,0)</f>
        <v>0</v>
      </c>
      <c r="AE59" s="58">
        <f>IF(AE24=2,AC44,0)</f>
        <v>50</v>
      </c>
      <c r="AF59" s="54">
        <f>SUM(B59:AE59)</f>
        <v>201</v>
      </c>
      <c r="AW59" s="146"/>
    </row>
    <row r="60" spans="1:49" s="54" customFormat="1" ht="12.75" hidden="1" customHeight="1" x14ac:dyDescent="0.2">
      <c r="A60" s="54" t="s">
        <v>78</v>
      </c>
      <c r="B60" s="54">
        <f>IF(B24=3,B44,0)</f>
        <v>0</v>
      </c>
      <c r="D60" s="58">
        <f>IF(D24=3,B44,0)</f>
        <v>0</v>
      </c>
      <c r="E60" s="54">
        <f>IF(E24=3,E44,0)</f>
        <v>0</v>
      </c>
      <c r="G60" s="58">
        <f>IF(G24=3,E44,0)</f>
        <v>0</v>
      </c>
      <c r="H60" s="54">
        <f>IF(H24=3,H44,0)</f>
        <v>50</v>
      </c>
      <c r="J60" s="58">
        <f>IF(J24=3,H44,0)</f>
        <v>0</v>
      </c>
      <c r="K60" s="54">
        <f>IF(K24=3,K44,0)</f>
        <v>0</v>
      </c>
      <c r="M60" s="58">
        <f>IF(M24=3,K44,0)</f>
        <v>0</v>
      </c>
      <c r="N60" s="54">
        <f>IF(N24=3,N44,0)</f>
        <v>0</v>
      </c>
      <c r="P60" s="58">
        <f>IF(P24=3,N44,0)</f>
        <v>50</v>
      </c>
      <c r="Q60" s="54">
        <f>IF(Q24=3,Q44,0)</f>
        <v>0</v>
      </c>
      <c r="S60" s="58">
        <f>IF(S24=3,Q44,0)</f>
        <v>0</v>
      </c>
      <c r="T60" s="54">
        <f>IF(T24=3,T44,0)</f>
        <v>0</v>
      </c>
      <c r="V60" s="58">
        <f>IF(V24=3,T44,0)</f>
        <v>51</v>
      </c>
      <c r="W60" s="54">
        <f>IF(W24=3,W44,0)</f>
        <v>0</v>
      </c>
      <c r="Y60" s="58">
        <f>IF(Y24=3,W44,0)</f>
        <v>0</v>
      </c>
      <c r="Z60" s="54">
        <f>IF(Z24=3,Z44,0)</f>
        <v>50</v>
      </c>
      <c r="AB60" s="58">
        <f>IF(AB24=3,Z44,0)</f>
        <v>0</v>
      </c>
      <c r="AC60" s="54">
        <f>IF(AC24=3,AC44,0)</f>
        <v>0</v>
      </c>
      <c r="AE60" s="58">
        <f>IF(AE24=3,AC44,0)</f>
        <v>0</v>
      </c>
      <c r="AF60" s="54">
        <f>SUM(B60:AE60)</f>
        <v>201</v>
      </c>
      <c r="AW60" s="146"/>
    </row>
    <row r="61" spans="1:49" s="54" customFormat="1" ht="12.75" hidden="1" customHeight="1" x14ac:dyDescent="0.2">
      <c r="A61" s="54" t="s">
        <v>79</v>
      </c>
      <c r="B61" s="54">
        <f>IF(B24=4,B44,0)</f>
        <v>0</v>
      </c>
      <c r="D61" s="58">
        <f>IF(D24=4,B44,0)</f>
        <v>0</v>
      </c>
      <c r="E61" s="54">
        <f>IF(E24=4,E44,0)</f>
        <v>0</v>
      </c>
      <c r="G61" s="58">
        <f>IF(G24=4,E44,0)</f>
        <v>50</v>
      </c>
      <c r="H61" s="54">
        <f>IF(H24=4,H44,0)</f>
        <v>0</v>
      </c>
      <c r="J61" s="58">
        <f>IF(J24=4,H44,0)</f>
        <v>0</v>
      </c>
      <c r="K61" s="54">
        <f>IF(K24=4,K44,0)</f>
        <v>0</v>
      </c>
      <c r="M61" s="58">
        <f>IF(M24=4,K44,0)</f>
        <v>50</v>
      </c>
      <c r="N61" s="54">
        <f>IF(N24=4,N44,0)</f>
        <v>0</v>
      </c>
      <c r="P61" s="58">
        <f>IF(P24=4,N44,0)</f>
        <v>0</v>
      </c>
      <c r="Q61" s="54">
        <f>IF(Q24=4,Q44,0)</f>
        <v>50</v>
      </c>
      <c r="S61" s="58">
        <f>IF(S24=4,Q44,0)</f>
        <v>0</v>
      </c>
      <c r="T61" s="54">
        <f>IF(T24=4,T44,0)</f>
        <v>0</v>
      </c>
      <c r="V61" s="58">
        <f>IF(V24=4,T44,0)</f>
        <v>0</v>
      </c>
      <c r="W61" s="54">
        <f>IF(W24=4,W44,0)</f>
        <v>0</v>
      </c>
      <c r="Y61" s="58">
        <f>IF(Y24=4,W44,0)</f>
        <v>0</v>
      </c>
      <c r="Z61" s="54">
        <f>IF(Z24=4,Z44,0)</f>
        <v>0</v>
      </c>
      <c r="AB61" s="58">
        <f>IF(AB24=4,Z44,0)</f>
        <v>50</v>
      </c>
      <c r="AC61" s="54">
        <f>IF(AC24=4,AC44,0)</f>
        <v>0</v>
      </c>
      <c r="AE61" s="58">
        <f>IF(AE24=4,AC44,0)</f>
        <v>0</v>
      </c>
      <c r="AF61" s="54">
        <f>SUM(B61:AE61)</f>
        <v>200</v>
      </c>
      <c r="AW61" s="146"/>
    </row>
    <row r="62" spans="1:49" s="54" customFormat="1" ht="12.75" hidden="1" customHeight="1" x14ac:dyDescent="0.2">
      <c r="A62" s="54" t="s">
        <v>80</v>
      </c>
      <c r="B62" s="54">
        <f>IF(B24=5,B44,0)</f>
        <v>0</v>
      </c>
      <c r="D62" s="58">
        <f>IF(D24=5,B44,0)</f>
        <v>50</v>
      </c>
      <c r="E62" s="54">
        <f>IF(E24=5,E44,0)</f>
        <v>0</v>
      </c>
      <c r="G62" s="58">
        <f>IF(G24=5,E44,0)</f>
        <v>0</v>
      </c>
      <c r="H62" s="54">
        <f>IF(H24=5,H44,0)</f>
        <v>0</v>
      </c>
      <c r="J62" s="58">
        <f>IF(J24=5,H44,0)</f>
        <v>50</v>
      </c>
      <c r="K62" s="54">
        <f>IF(K24=5,K44,0)</f>
        <v>0</v>
      </c>
      <c r="M62" s="58">
        <f>IF(M24=5,K44,0)</f>
        <v>0</v>
      </c>
      <c r="N62" s="54">
        <f>IF(N24=5,N44,0)</f>
        <v>0</v>
      </c>
      <c r="P62" s="58">
        <f>IF(P24=5,N44,0)</f>
        <v>0</v>
      </c>
      <c r="Q62" s="54">
        <f>IF(Q24=5,Q44,0)</f>
        <v>0</v>
      </c>
      <c r="S62" s="58">
        <f>IF(S24=5,Q44,0)</f>
        <v>50</v>
      </c>
      <c r="T62" s="54">
        <f>IF(T24=5,T44,0)</f>
        <v>0</v>
      </c>
      <c r="V62" s="58">
        <f>IF(V24=5,T44,0)</f>
        <v>0</v>
      </c>
      <c r="W62" s="54">
        <f>IF(W24=5,W44,0)</f>
        <v>0</v>
      </c>
      <c r="Y62" s="58">
        <f>IF(Y24=5,W44,0)</f>
        <v>51</v>
      </c>
      <c r="Z62" s="54">
        <f>IF(Z24=5,Z44,0)</f>
        <v>0</v>
      </c>
      <c r="AB62" s="58">
        <f>IF(AB24=5,Z44,0)</f>
        <v>0</v>
      </c>
      <c r="AC62" s="54">
        <f>IF(AC24=5,AC44,0)</f>
        <v>0</v>
      </c>
      <c r="AE62" s="58">
        <f>IF(AE24=5,AC44,0)</f>
        <v>0</v>
      </c>
      <c r="AF62" s="54">
        <f>SUM(B62:AE62)</f>
        <v>201</v>
      </c>
      <c r="AW62" s="146"/>
    </row>
    <row r="63" spans="1:49" s="54" customFormat="1" ht="38.25" hidden="1" customHeight="1" x14ac:dyDescent="0.2">
      <c r="A63" s="54" t="s">
        <v>82</v>
      </c>
      <c r="D63" s="58"/>
      <c r="G63" s="58"/>
      <c r="J63" s="58"/>
      <c r="M63" s="58"/>
      <c r="P63" s="58"/>
      <c r="S63" s="58"/>
      <c r="V63" s="58"/>
      <c r="Y63" s="58"/>
      <c r="AB63" s="58"/>
      <c r="AE63" s="58"/>
      <c r="AF63" s="57" t="s">
        <v>83</v>
      </c>
      <c r="AG63" s="54" t="s">
        <v>84</v>
      </c>
      <c r="AW63" s="146"/>
    </row>
    <row r="64" spans="1:49" s="54" customFormat="1" ht="12.75" hidden="1" customHeight="1" x14ac:dyDescent="0.2">
      <c r="A64" s="54" t="s">
        <v>70</v>
      </c>
      <c r="B64" s="54">
        <f>IF(B24=1,SUMIF(B31:B35,"&gt;0"),0)</f>
        <v>0</v>
      </c>
      <c r="D64" s="58">
        <f>IF(D24=1,SUMIF(D31:D35,"&gt;0"),0)</f>
        <v>0</v>
      </c>
      <c r="E64" s="54">
        <f>IF(E24=1,SUMIF(E31:E35,"&gt;0"),0)</f>
        <v>2</v>
      </c>
      <c r="G64" s="58">
        <f>IF(G24=1,SUMIF(G31:G35,"&gt;0"),0)</f>
        <v>0</v>
      </c>
      <c r="H64" s="54">
        <f>IF(H24=1,SUMIF(H31:H35,"&gt;0"),0)</f>
        <v>0</v>
      </c>
      <c r="J64" s="58">
        <f>IF(J24=1,SUMIF(J31:J35,"&gt;0"),0)</f>
        <v>0</v>
      </c>
      <c r="K64" s="54">
        <f>IF(K24=1,SUMIF(K31:K35,"&gt;0"),0)</f>
        <v>0</v>
      </c>
      <c r="M64" s="58">
        <f>IF(M24=1,SUMIF(M31:M35,"&gt;0"),0)</f>
        <v>0</v>
      </c>
      <c r="N64" s="54">
        <f>IF(N24=1,SUMIF(N31:N35,"&gt;0"),0)</f>
        <v>2</v>
      </c>
      <c r="P64" s="58">
        <f>IF(P24=1,SUMIF(P31:P35,"&gt;0"),0)</f>
        <v>0</v>
      </c>
      <c r="Q64" s="54">
        <f>IF(Q24=1,SUMIF(Q31:Q35,"&gt;0"),0)</f>
        <v>0</v>
      </c>
      <c r="S64" s="58">
        <f>IF(S24=1,SUMIF(S31:S35,"&gt;0"),0)</f>
        <v>0</v>
      </c>
      <c r="T64" s="54">
        <f>IF(T24=1,SUMIF(T31:T35,"&gt;0"),0)</f>
        <v>0</v>
      </c>
      <c r="V64" s="58">
        <f>IF(V24=1,SUMIF(V31:V35,"&gt;0"),0)</f>
        <v>0</v>
      </c>
      <c r="W64" s="54">
        <f>IF(W24=1,SUMIF(W31:W35,"&gt;0"),0)</f>
        <v>1</v>
      </c>
      <c r="Y64" s="58">
        <f>IF(Y24=1,SUMIF(Y31:Y35,"&gt;0"),0)</f>
        <v>0</v>
      </c>
      <c r="Z64" s="54">
        <f>IF(Z24=1,SUMIF(Z31:Z35,"&gt;0"),0)</f>
        <v>0</v>
      </c>
      <c r="AB64" s="58">
        <f>IF(AB24=1,SUMIF(AB31:AB35,"&gt;0"),0)</f>
        <v>0</v>
      </c>
      <c r="AC64" s="54">
        <f>IF(AC24=1,SUMIF(AC31:AC35,"&gt;0"),0)</f>
        <v>1</v>
      </c>
      <c r="AE64" s="58">
        <f>IF(AE24=1,SUMIF(AE31:AE35,"&gt;0"),0)</f>
        <v>0</v>
      </c>
      <c r="AF64" s="54">
        <f>SUM(B64:AE64)</f>
        <v>6</v>
      </c>
      <c r="AG64" s="54">
        <f>AF72-AF64</f>
        <v>2</v>
      </c>
      <c r="AW64" s="146"/>
    </row>
    <row r="65" spans="1:54" s="54" customFormat="1" ht="12.75" hidden="1" customHeight="1" x14ac:dyDescent="0.2">
      <c r="A65" s="54" t="s">
        <v>71</v>
      </c>
      <c r="B65" s="54">
        <f>IF(B24=2,SUMIF(B31:B35,"&gt;0"),0)</f>
        <v>0</v>
      </c>
      <c r="D65" s="58">
        <f>IF(D24=2,SUMIF(D31:D35,"&gt;0"),0)</f>
        <v>0</v>
      </c>
      <c r="E65" s="54">
        <f>IF(E24=2,SUMIF(E31:E35,"&gt;0"),0)</f>
        <v>0</v>
      </c>
      <c r="G65" s="58">
        <f>IF(G24=2,SUMIF(G31:G35,"&gt;0"),0)</f>
        <v>0</v>
      </c>
      <c r="H65" s="54">
        <f>IF(H24=2,SUMIF(H31:H35,"&gt;0"),0)</f>
        <v>0</v>
      </c>
      <c r="J65" s="58">
        <f>IF(J24=2,SUMIF(J31:J35,"&gt;0"),0)</f>
        <v>0</v>
      </c>
      <c r="K65" s="54">
        <f>IF(K24=2,SUMIF(K31:K35,"&gt;0"),0)</f>
        <v>1</v>
      </c>
      <c r="M65" s="58">
        <f>IF(M24=2,SUMIF(M31:M35,"&gt;0"),0)</f>
        <v>0</v>
      </c>
      <c r="N65" s="54">
        <f>IF(N24=2,SUMIF(N31:N35,"&gt;0"),0)</f>
        <v>0</v>
      </c>
      <c r="P65" s="58">
        <f>IF(P24=2,SUMIF(P31:P35,"&gt;0"),0)</f>
        <v>0</v>
      </c>
      <c r="Q65" s="54">
        <f>IF(Q24=2,SUMIF(Q31:Q35,"&gt;0"),0)</f>
        <v>0</v>
      </c>
      <c r="S65" s="58">
        <f>IF(S24=2,SUMIF(S31:S35,"&gt;0"),0)</f>
        <v>0</v>
      </c>
      <c r="T65" s="54">
        <f>IF(T24=2,SUMIF(T31:T35,"&gt;0"),0)</f>
        <v>1</v>
      </c>
      <c r="V65" s="58">
        <f>IF(V24=2,SUMIF(V31:V35,"&gt;0"),0)</f>
        <v>0</v>
      </c>
      <c r="W65" s="54">
        <f>IF(W24=2,SUMIF(W31:W35,"&gt;0"),0)</f>
        <v>0</v>
      </c>
      <c r="Y65" s="58">
        <f>IF(Y24=2,SUMIF(Y31:Y35,"&gt;0"),0)</f>
        <v>0</v>
      </c>
      <c r="Z65" s="54">
        <f>IF(Z24=2,SUMIF(Z31:Z35,"&gt;0"),0)</f>
        <v>0</v>
      </c>
      <c r="AB65" s="58">
        <f>IF(AB24=2,SUMIF(AB31:AB35,"&gt;0"),0)</f>
        <v>0</v>
      </c>
      <c r="AC65" s="54">
        <f>IF(AC24=2,SUMIF(AC31:AC35,"&gt;0"),0)</f>
        <v>0</v>
      </c>
      <c r="AE65" s="58">
        <f>IF(AE24=2,SUMIF(AE31:AE35,"&gt;0"),0)</f>
        <v>1</v>
      </c>
      <c r="AF65" s="54">
        <f>SUM(B65:AE65)</f>
        <v>3</v>
      </c>
      <c r="AG65" s="54">
        <f>AF73-AF65</f>
        <v>5</v>
      </c>
      <c r="AW65" s="146"/>
    </row>
    <row r="66" spans="1:54" s="54" customFormat="1" ht="12.75" hidden="1" customHeight="1" x14ac:dyDescent="0.2">
      <c r="A66" s="54" t="s">
        <v>72</v>
      </c>
      <c r="B66" s="54">
        <f>IF(B24=3,SUMIF(B31:B35,"&gt;0"),0)</f>
        <v>0</v>
      </c>
      <c r="D66" s="58">
        <f>IF(D24=3,SUMIF(D31:D35,"&gt;0"),0)</f>
        <v>0</v>
      </c>
      <c r="E66" s="54">
        <f>IF(E24=3,SUMIF(E31:E35,"&gt;0"),0)</f>
        <v>0</v>
      </c>
      <c r="G66" s="58">
        <f>IF(G24=3,SUMIF(G31:G35,"&gt;0"),0)</f>
        <v>0</v>
      </c>
      <c r="H66" s="54">
        <f>IF(H24=3,SUMIF(H31:H35,"&gt;0"),0)</f>
        <v>0</v>
      </c>
      <c r="J66" s="58">
        <f>IF(J24=3,SUMIF(J31:J35,"&gt;0"),0)</f>
        <v>0</v>
      </c>
      <c r="K66" s="54">
        <f>IF(K24=3,SUMIF(K31:K35,"&gt;0"),0)</f>
        <v>0</v>
      </c>
      <c r="M66" s="58">
        <f>IF(M24=3,SUMIF(M31:M35,"&gt;0"),0)</f>
        <v>0</v>
      </c>
      <c r="N66" s="54">
        <f>IF(N24=3,SUMIF(N31:N35,"&gt;0"),0)</f>
        <v>0</v>
      </c>
      <c r="P66" s="58">
        <f>IF(P24=3,SUMIF(P31:P35,"&gt;0"),0)</f>
        <v>0</v>
      </c>
      <c r="Q66" s="54">
        <f>IF(Q24=3,SUMIF(Q31:Q35,"&gt;0"),0)</f>
        <v>0</v>
      </c>
      <c r="S66" s="58">
        <f>IF(S24=3,SUMIF(S31:S35,"&gt;0"),0)</f>
        <v>0</v>
      </c>
      <c r="T66" s="54">
        <f>IF(T24=3,SUMIF(T31:T35,"&gt;0"),0)</f>
        <v>0</v>
      </c>
      <c r="V66" s="58">
        <f>IF(V24=3,SUMIF(V31:V35,"&gt;0"),0)</f>
        <v>1</v>
      </c>
      <c r="W66" s="54">
        <f>IF(W24=3,SUMIF(W31:W35,"&gt;0"),0)</f>
        <v>0</v>
      </c>
      <c r="Y66" s="58">
        <f>IF(Y24=3,SUMIF(Y31:Y35,"&gt;0"),0)</f>
        <v>0</v>
      </c>
      <c r="Z66" s="54">
        <f>IF(Z24=3,SUMIF(Z31:Z35,"&gt;0"),0)</f>
        <v>1</v>
      </c>
      <c r="AB66" s="58">
        <f>IF(AB24=3,SUMIF(AB31:AB35,"&gt;0"),0)</f>
        <v>0</v>
      </c>
      <c r="AC66" s="54">
        <f>IF(AC24=3,SUMIF(AC31:AC35,"&gt;0"),0)</f>
        <v>0</v>
      </c>
      <c r="AE66" s="58">
        <f>IF(AE24=3,SUMIF(AE31:AE35,"&gt;0"),0)</f>
        <v>0</v>
      </c>
      <c r="AF66" s="54">
        <f>SUM(B66:AE66)</f>
        <v>2</v>
      </c>
      <c r="AG66" s="54">
        <f>AF74-AF66</f>
        <v>6</v>
      </c>
      <c r="AW66" s="146"/>
    </row>
    <row r="67" spans="1:54" s="54" customFormat="1" ht="12.75" hidden="1" customHeight="1" x14ac:dyDescent="0.2">
      <c r="A67" s="54" t="s">
        <v>73</v>
      </c>
      <c r="B67" s="54">
        <f>IF(B24=4,SUMIF(B31:B35,"&gt;0"),0)</f>
        <v>0</v>
      </c>
      <c r="D67" s="58">
        <f>IF(D24=4,SUMIF(D31:D35,"&gt;0"),0)</f>
        <v>0</v>
      </c>
      <c r="E67" s="54">
        <f>IF(E24=4,SUMIF(E31:E35,"&gt;0"),0)</f>
        <v>0</v>
      </c>
      <c r="G67" s="58">
        <f>IF(G24=4,SUMIF(G31:G35,"&gt;0"),0)</f>
        <v>0</v>
      </c>
      <c r="H67" s="54">
        <f>IF(H24=4,SUMIF(H31:H35,"&gt;0"),0)</f>
        <v>0</v>
      </c>
      <c r="J67" s="58">
        <f>IF(J24=4,SUMIF(J31:J35,"&gt;0"),0)</f>
        <v>0</v>
      </c>
      <c r="K67" s="54">
        <f>IF(K24=4,SUMIF(K31:K35,"&gt;0"),0)</f>
        <v>0</v>
      </c>
      <c r="M67" s="58">
        <f>IF(M24=4,SUMIF(M31:M35,"&gt;0"),0)</f>
        <v>1</v>
      </c>
      <c r="N67" s="54">
        <f>IF(N24=4,SUMIF(N31:N35,"&gt;0"),0)</f>
        <v>0</v>
      </c>
      <c r="P67" s="58">
        <f>IF(P24=4,SUMIF(P31:P35,"&gt;0"),0)</f>
        <v>0</v>
      </c>
      <c r="Q67" s="54">
        <f>IF(Q24=4,SUMIF(Q31:Q35,"&gt;0"),0)</f>
        <v>0</v>
      </c>
      <c r="S67" s="58">
        <f>IF(S24=4,SUMIF(S31:S35,"&gt;0"),0)</f>
        <v>0</v>
      </c>
      <c r="T67" s="54">
        <f>IF(T24=4,SUMIF(T31:T35,"&gt;0"),0)</f>
        <v>0</v>
      </c>
      <c r="V67" s="58">
        <f>IF(V24=4,SUMIF(V31:V35,"&gt;0"),0)</f>
        <v>0</v>
      </c>
      <c r="W67" s="54">
        <f>IF(W24=4,SUMIF(W31:W35,"&gt;0"),0)</f>
        <v>0</v>
      </c>
      <c r="Y67" s="58">
        <f>IF(Y24=4,SUMIF(Y31:Y35,"&gt;0"),0)</f>
        <v>0</v>
      </c>
      <c r="Z67" s="54">
        <f>IF(Z24=4,SUMIF(Z31:Z35,"&gt;0"),0)</f>
        <v>0</v>
      </c>
      <c r="AB67" s="58">
        <f>IF(AB24=4,SUMIF(AB31:AB35,"&gt;0"),0)</f>
        <v>1</v>
      </c>
      <c r="AC67" s="54">
        <f>IF(AC24=4,SUMIF(AC31:AC35,"&gt;0"),0)</f>
        <v>0</v>
      </c>
      <c r="AE67" s="58">
        <f>IF(AE24=4,SUMIF(AE31:AE35,"&gt;0"),0)</f>
        <v>0</v>
      </c>
      <c r="AF67" s="54">
        <f>SUM(B67:AE67)</f>
        <v>2</v>
      </c>
      <c r="AG67" s="54">
        <f>AF75-AF67</f>
        <v>6</v>
      </c>
      <c r="AW67" s="146"/>
    </row>
    <row r="68" spans="1:54" s="54" customFormat="1" ht="12.75" hidden="1" customHeight="1" x14ac:dyDescent="0.2">
      <c r="A68" s="54" t="s">
        <v>74</v>
      </c>
      <c r="B68" s="54">
        <f>IF(B24=5,SUMIF(B31:B35,"&gt;0"),0)</f>
        <v>0</v>
      </c>
      <c r="D68" s="58">
        <f>IF(D24=5,SUMIF(D31:D35,"&gt;0"),0)</f>
        <v>2</v>
      </c>
      <c r="E68" s="54">
        <f>IF(E24=5,SUMIF(E31:E35,"&gt;0"),0)</f>
        <v>0</v>
      </c>
      <c r="G68" s="58">
        <f>IF(G24=5,SUMIF(G31:G35,"&gt;0"),0)</f>
        <v>0</v>
      </c>
      <c r="H68" s="54">
        <f>IF(H24=5,SUMIF(H31:H35,"&gt;0"),0)</f>
        <v>0</v>
      </c>
      <c r="J68" s="58">
        <f>IF(J24=5,SUMIF(J31:J35,"&gt;0"),0)</f>
        <v>2</v>
      </c>
      <c r="K68" s="54">
        <f>IF(K24=5,SUMIF(K31:K35,"&gt;0"),0)</f>
        <v>0</v>
      </c>
      <c r="M68" s="58">
        <f>IF(M24=5,SUMIF(M31:M35,"&gt;0"),0)</f>
        <v>0</v>
      </c>
      <c r="N68" s="54">
        <f>IF(N24=5,SUMIF(N31:N35,"&gt;0"),0)</f>
        <v>0</v>
      </c>
      <c r="P68" s="58">
        <f>IF(P24=5,SUMIF(P31:P35,"&gt;0"),0)</f>
        <v>0</v>
      </c>
      <c r="Q68" s="54">
        <f>IF(Q24=5,SUMIF(Q31:Q35,"&gt;0"),0)</f>
        <v>0</v>
      </c>
      <c r="S68" s="58">
        <f>IF(S24=5,SUMIF(S31:S35,"&gt;0"),0)</f>
        <v>2</v>
      </c>
      <c r="T68" s="54">
        <f>IF(T24=5,SUMIF(T31:T35,"&gt;0"),0)</f>
        <v>0</v>
      </c>
      <c r="V68" s="58">
        <f>IF(V24=5,SUMIF(V31:V35,"&gt;0"),0)</f>
        <v>0</v>
      </c>
      <c r="W68" s="54">
        <f>IF(W24=5,SUMIF(W31:W35,"&gt;0"),0)</f>
        <v>0</v>
      </c>
      <c r="Y68" s="58">
        <f>IF(Y24=5,SUMIF(Y31:Y35,"&gt;0"),0)</f>
        <v>1</v>
      </c>
      <c r="Z68" s="54">
        <f>IF(Z24=5,SUMIF(Z31:Z35,"&gt;0"),0)</f>
        <v>0</v>
      </c>
      <c r="AB68" s="58">
        <f>IF(AB24=5,SUMIF(AB31:AB35,"&gt;0"),0)</f>
        <v>0</v>
      </c>
      <c r="AC68" s="54">
        <f>IF(AC24=5,SUMIF(AC31:AC35,"&gt;0"),0)</f>
        <v>0</v>
      </c>
      <c r="AE68" s="58">
        <f>IF(AE24=5,SUMIF(AE31:AE35,"&gt;0"),0)</f>
        <v>0</v>
      </c>
      <c r="AF68" s="54">
        <f>SUM(B68:AE68)</f>
        <v>7</v>
      </c>
      <c r="AG68" s="54">
        <f>AF76-AF68</f>
        <v>1</v>
      </c>
      <c r="AW68" s="146"/>
    </row>
    <row r="69" spans="1:54" s="54" customFormat="1" ht="12.75" hidden="1" customHeight="1" x14ac:dyDescent="0.2">
      <c r="D69" s="58"/>
      <c r="G69" s="58"/>
      <c r="J69" s="58"/>
      <c r="M69" s="58"/>
      <c r="P69" s="58"/>
      <c r="S69" s="58"/>
      <c r="V69" s="58"/>
      <c r="Y69" s="58"/>
      <c r="AB69" s="58"/>
      <c r="AE69" s="58"/>
      <c r="AW69" s="146"/>
    </row>
    <row r="70" spans="1:54" s="54" customFormat="1" ht="12.75" hidden="1" customHeight="1" x14ac:dyDescent="0.2">
      <c r="D70" s="58"/>
      <c r="G70" s="58"/>
      <c r="J70" s="58"/>
      <c r="M70" s="58"/>
      <c r="P70" s="58"/>
      <c r="S70" s="58"/>
      <c r="V70" s="58"/>
      <c r="Y70" s="58"/>
      <c r="AB70" s="58"/>
      <c r="AE70" s="58"/>
      <c r="AW70" s="146"/>
    </row>
    <row r="71" spans="1:54" s="54" customFormat="1" ht="51" hidden="1" customHeight="1" x14ac:dyDescent="0.2">
      <c r="A71" s="57" t="s">
        <v>85</v>
      </c>
      <c r="C71" s="54">
        <f>SUMIF(B64:D68,"&gt;0")</f>
        <v>2</v>
      </c>
      <c r="D71" s="58"/>
      <c r="F71" s="54">
        <f>SUMIF(E64:G68,"&gt;0")</f>
        <v>2</v>
      </c>
      <c r="G71" s="58"/>
      <c r="I71" s="54">
        <f>SUMIF(H64:J68,"&gt;0")</f>
        <v>2</v>
      </c>
      <c r="J71" s="58"/>
      <c r="L71" s="54">
        <f>SUMIF(K64:M68,"&gt;0")</f>
        <v>2</v>
      </c>
      <c r="M71" s="58"/>
      <c r="O71" s="54">
        <f>SUMIF(N64:P68,"&gt;0")</f>
        <v>2</v>
      </c>
      <c r="P71" s="58"/>
      <c r="R71" s="54">
        <f>SUMIF(Q64:S68,"&gt;0")</f>
        <v>2</v>
      </c>
      <c r="S71" s="58"/>
      <c r="U71" s="54">
        <f>SUMIF(T64:V68,"&gt;0")</f>
        <v>2</v>
      </c>
      <c r="V71" s="58"/>
      <c r="X71" s="54">
        <f>SUMIF(W64:Y68,"&gt;0")</f>
        <v>2</v>
      </c>
      <c r="Y71" s="58"/>
      <c r="AA71" s="54">
        <f>SUMIF(Z64:AB68,"&gt;0")</f>
        <v>2</v>
      </c>
      <c r="AB71" s="58"/>
      <c r="AD71" s="54">
        <f>SUMIF(AC64:AE68,"&gt;0")</f>
        <v>2</v>
      </c>
      <c r="AE71" s="58"/>
      <c r="AF71" s="57" t="s">
        <v>86</v>
      </c>
      <c r="AW71" s="146"/>
    </row>
    <row r="72" spans="1:54" s="54" customFormat="1" ht="12.75" hidden="1" customHeight="1" x14ac:dyDescent="0.2">
      <c r="A72" s="54" t="s">
        <v>76</v>
      </c>
      <c r="B72" s="54">
        <f>IF(B24=1,C71,0)</f>
        <v>0</v>
      </c>
      <c r="D72" s="58">
        <f>IF(D24=1,C71,0)</f>
        <v>0</v>
      </c>
      <c r="E72" s="54">
        <f>IF(E24=1,F71,0)</f>
        <v>2</v>
      </c>
      <c r="G72" s="58">
        <f>IF(G24=1,F71,0)</f>
        <v>0</v>
      </c>
      <c r="H72" s="54">
        <f>IF(H24=1,I71,0)</f>
        <v>0</v>
      </c>
      <c r="J72" s="58">
        <f>IF(J24=1,I71,0)</f>
        <v>0</v>
      </c>
      <c r="K72" s="54">
        <f>IF(K24=1,L71,0)</f>
        <v>0</v>
      </c>
      <c r="M72" s="58">
        <f>IF(M24=1,L71,0)</f>
        <v>0</v>
      </c>
      <c r="N72" s="54">
        <f>IF(N24=1,O71,0)</f>
        <v>2</v>
      </c>
      <c r="P72" s="58">
        <f>IF(P24=1,O71,0)</f>
        <v>0</v>
      </c>
      <c r="Q72" s="54">
        <f>IF(Q24=1,R71,0)</f>
        <v>0</v>
      </c>
      <c r="S72" s="58">
        <f>IF(S24=1,R71,0)</f>
        <v>0</v>
      </c>
      <c r="T72" s="54">
        <f>IF(T24=1,U71,0)</f>
        <v>0</v>
      </c>
      <c r="V72" s="58">
        <f>IF(V24=1,U71,0)</f>
        <v>0</v>
      </c>
      <c r="W72" s="54">
        <f>IF(W24=1,X71,0)</f>
        <v>2</v>
      </c>
      <c r="Y72" s="58">
        <f>IF(Y24=1,X71,0)</f>
        <v>0</v>
      </c>
      <c r="Z72" s="54">
        <f>IF(Z24=1,AA71,0)</f>
        <v>0</v>
      </c>
      <c r="AB72" s="58">
        <f>IF(AB24=1,AA71,0)</f>
        <v>0</v>
      </c>
      <c r="AC72" s="54">
        <f>IF(AC24=1,AD71,0)</f>
        <v>2</v>
      </c>
      <c r="AE72" s="58">
        <f>IF(AE24=1,AD71,0)</f>
        <v>0</v>
      </c>
      <c r="AF72" s="54">
        <f>SUM(B72:AE72)</f>
        <v>8</v>
      </c>
      <c r="AW72" s="146"/>
    </row>
    <row r="73" spans="1:54" s="54" customFormat="1" ht="12.75" hidden="1" customHeight="1" x14ac:dyDescent="0.2">
      <c r="A73" s="54" t="s">
        <v>77</v>
      </c>
      <c r="B73" s="54">
        <f>IF(B24=2,C71,0)</f>
        <v>2</v>
      </c>
      <c r="D73" s="58">
        <f>IF(D24=2,C71,0)</f>
        <v>0</v>
      </c>
      <c r="E73" s="54">
        <f>IF(E24=2,F71,0)</f>
        <v>0</v>
      </c>
      <c r="G73" s="58">
        <f>IF(G24=2,F71,0)</f>
        <v>0</v>
      </c>
      <c r="H73" s="54">
        <f>IF(H24=2,I71,0)</f>
        <v>0</v>
      </c>
      <c r="J73" s="58">
        <f>IF(J24=2,I71,0)</f>
        <v>0</v>
      </c>
      <c r="K73" s="54">
        <f>IF(K24=2,L71,0)</f>
        <v>2</v>
      </c>
      <c r="M73" s="58">
        <f>IF(M24=2,L71,0)</f>
        <v>0</v>
      </c>
      <c r="N73" s="54">
        <f>IF(N24=2,O71,0)</f>
        <v>0</v>
      </c>
      <c r="P73" s="58">
        <f>IF(P24=2,O71,0)</f>
        <v>0</v>
      </c>
      <c r="Q73" s="54">
        <f>IF(Q24=2,R71,0)</f>
        <v>0</v>
      </c>
      <c r="S73" s="58">
        <f>IF(S24=2,R71,0)</f>
        <v>0</v>
      </c>
      <c r="T73" s="54">
        <f>IF(T24=2,U71,0)</f>
        <v>2</v>
      </c>
      <c r="V73" s="58">
        <f>IF(V24=2,U71,0)</f>
        <v>0</v>
      </c>
      <c r="W73" s="54">
        <f>IF(W24=2,X71,0)</f>
        <v>0</v>
      </c>
      <c r="Y73" s="58">
        <f>IF(Y24=2,X71,0)</f>
        <v>0</v>
      </c>
      <c r="Z73" s="54">
        <f>IF(Z24=2,AA71,0)</f>
        <v>0</v>
      </c>
      <c r="AB73" s="58">
        <f>IF(AB24=2,AA71,0)</f>
        <v>0</v>
      </c>
      <c r="AC73" s="54">
        <f>IF(AC24=2,AD71,0)</f>
        <v>0</v>
      </c>
      <c r="AE73" s="58">
        <f>IF(AE24=2,AD71,0)</f>
        <v>2</v>
      </c>
      <c r="AF73" s="54">
        <f>SUM(B73:AE73)</f>
        <v>8</v>
      </c>
      <c r="AW73" s="146"/>
    </row>
    <row r="74" spans="1:54" s="54" customFormat="1" ht="12.75" hidden="1" customHeight="1" x14ac:dyDescent="0.2">
      <c r="A74" s="54" t="s">
        <v>78</v>
      </c>
      <c r="B74" s="54">
        <f>IF(B24=3,C71,0)</f>
        <v>0</v>
      </c>
      <c r="D74" s="58">
        <f>IF(D24=3,C71,0)</f>
        <v>0</v>
      </c>
      <c r="E74" s="54">
        <f>IF(E24=3,F71,0)</f>
        <v>0</v>
      </c>
      <c r="G74" s="58">
        <f>IF(G24=3,F71,0)</f>
        <v>0</v>
      </c>
      <c r="H74" s="54">
        <f>IF(H24=3,I71,0)</f>
        <v>2</v>
      </c>
      <c r="J74" s="58">
        <f>IF(J24=3,I71,0)</f>
        <v>0</v>
      </c>
      <c r="K74" s="54">
        <f>IF(K24=3,L71,0)</f>
        <v>0</v>
      </c>
      <c r="M74" s="58">
        <f>IF(M24=3,L71,0)</f>
        <v>0</v>
      </c>
      <c r="N74" s="54">
        <f>IF(N24=3,O71,0)</f>
        <v>0</v>
      </c>
      <c r="P74" s="58">
        <f>IF(P24=3,O71,0)</f>
        <v>2</v>
      </c>
      <c r="Q74" s="54">
        <f>IF(Q24=3,R71,0)</f>
        <v>0</v>
      </c>
      <c r="S74" s="58">
        <f>IF(S24=3,R71,0)</f>
        <v>0</v>
      </c>
      <c r="T74" s="54">
        <f>IF(T24=3,U71,0)</f>
        <v>0</v>
      </c>
      <c r="V74" s="58">
        <f>IF(V24=3,U71,0)</f>
        <v>2</v>
      </c>
      <c r="W74" s="54">
        <f>IF(W24=3,X71,0)</f>
        <v>0</v>
      </c>
      <c r="Y74" s="58">
        <f>IF(Y24=3,X71,0)</f>
        <v>0</v>
      </c>
      <c r="Z74" s="54">
        <f>IF(Z24=3,AA71,0)</f>
        <v>2</v>
      </c>
      <c r="AB74" s="58">
        <f>IF(AB24=3,AA71,0)</f>
        <v>0</v>
      </c>
      <c r="AC74" s="54">
        <f>IF(AC24=3,AD71,0)</f>
        <v>0</v>
      </c>
      <c r="AE74" s="58">
        <f>IF(AE24=3,AD71,0)</f>
        <v>0</v>
      </c>
      <c r="AF74" s="54">
        <f>SUM(B74:AE74)</f>
        <v>8</v>
      </c>
      <c r="AW74" s="146"/>
    </row>
    <row r="75" spans="1:54" s="54" customFormat="1" ht="12.75" hidden="1" customHeight="1" x14ac:dyDescent="0.2">
      <c r="A75" s="54" t="s">
        <v>79</v>
      </c>
      <c r="B75" s="54">
        <f>IF(B24=4,C71,0)</f>
        <v>0</v>
      </c>
      <c r="D75" s="58">
        <f>IF(D24=4,C71,0)</f>
        <v>0</v>
      </c>
      <c r="E75" s="54">
        <f>IF(E24=4,F71,0)</f>
        <v>0</v>
      </c>
      <c r="G75" s="58">
        <f>IF(G24=4,F71,0)</f>
        <v>2</v>
      </c>
      <c r="H75" s="54">
        <f>IF(H24=4,I71,0)</f>
        <v>0</v>
      </c>
      <c r="J75" s="58">
        <f>IF(J24=4,I71,0)</f>
        <v>0</v>
      </c>
      <c r="K75" s="54">
        <f>IF(K24=4,L71,0)</f>
        <v>0</v>
      </c>
      <c r="M75" s="58">
        <f>IF(M24=4,L71,0)</f>
        <v>2</v>
      </c>
      <c r="N75" s="54">
        <f>IF(N24=4,O71,0)</f>
        <v>0</v>
      </c>
      <c r="P75" s="58">
        <f>IF(P24=4,O71,0)</f>
        <v>0</v>
      </c>
      <c r="Q75" s="54">
        <f>IF(Q24=4,R71,0)</f>
        <v>2</v>
      </c>
      <c r="S75" s="58">
        <f>IF(S24=4,R71,0)</f>
        <v>0</v>
      </c>
      <c r="T75" s="54">
        <f>IF(T24=4,U71,0)</f>
        <v>0</v>
      </c>
      <c r="V75" s="58">
        <f>IF(V24=4,U71,0)</f>
        <v>0</v>
      </c>
      <c r="W75" s="54">
        <f>IF(W24=4,X71,0)</f>
        <v>0</v>
      </c>
      <c r="Y75" s="58">
        <f>IF(Y24=4,X71,0)</f>
        <v>0</v>
      </c>
      <c r="Z75" s="54">
        <f>IF(Z24=4,AA71,0)</f>
        <v>0</v>
      </c>
      <c r="AB75" s="58">
        <f>IF(AB24=4,AA71,0)</f>
        <v>2</v>
      </c>
      <c r="AC75" s="54">
        <f>IF(AC24=4,AD71,0)</f>
        <v>0</v>
      </c>
      <c r="AE75" s="58">
        <f>IF(AE24=4,AD71,0)</f>
        <v>0</v>
      </c>
      <c r="AF75" s="54">
        <f>SUM(B75:AE75)</f>
        <v>8</v>
      </c>
      <c r="AW75" s="146"/>
    </row>
    <row r="76" spans="1:54" s="54" customFormat="1" ht="12.75" hidden="1" customHeight="1" x14ac:dyDescent="0.2">
      <c r="A76" s="54" t="s">
        <v>80</v>
      </c>
      <c r="B76" s="54">
        <f>IF(B24=5,C71,0)</f>
        <v>0</v>
      </c>
      <c r="D76" s="58">
        <f>IF(D24=5,C71,0)</f>
        <v>2</v>
      </c>
      <c r="E76" s="54">
        <f>IF(E24=5,F71,0)</f>
        <v>0</v>
      </c>
      <c r="G76" s="58">
        <f>IF(G24=5,F71,0)</f>
        <v>0</v>
      </c>
      <c r="H76" s="54">
        <f>IF(H24=5,I71,0)</f>
        <v>0</v>
      </c>
      <c r="J76" s="58">
        <f>IF(J24=5,I71,0)</f>
        <v>2</v>
      </c>
      <c r="K76" s="54">
        <f>IF(K24=5,L71,0)</f>
        <v>0</v>
      </c>
      <c r="M76" s="58">
        <f>IF(M24=5,L71,0)</f>
        <v>0</v>
      </c>
      <c r="N76" s="54">
        <f>IF(N24=5,O71,0)</f>
        <v>0</v>
      </c>
      <c r="P76" s="58">
        <f>IF(P24=5,O71,0)</f>
        <v>0</v>
      </c>
      <c r="Q76" s="54">
        <f>IF(Q24=5,R71,0)</f>
        <v>0</v>
      </c>
      <c r="S76" s="58">
        <f>IF(S24=5,R71,0)</f>
        <v>2</v>
      </c>
      <c r="T76" s="54">
        <f>IF(T24=5,U71,0)</f>
        <v>0</v>
      </c>
      <c r="V76" s="58">
        <f>IF(V24=5,U71,0)</f>
        <v>0</v>
      </c>
      <c r="W76" s="54">
        <f>IF(W24=5,X71,0)</f>
        <v>0</v>
      </c>
      <c r="Y76" s="58">
        <f>IF(Y24=5,X71,0)</f>
        <v>2</v>
      </c>
      <c r="Z76" s="54">
        <f>IF(Z24=5,AA71,0)</f>
        <v>0</v>
      </c>
      <c r="AB76" s="58">
        <f>IF(AB24=5,AA71,0)</f>
        <v>0</v>
      </c>
      <c r="AC76" s="54">
        <f>IF(AC24=5,AD71,0)</f>
        <v>0</v>
      </c>
      <c r="AE76" s="58">
        <f>IF(AE24=5,AD71,0)</f>
        <v>0</v>
      </c>
      <c r="AF76" s="54">
        <f>SUM(B76:AE76)</f>
        <v>8</v>
      </c>
      <c r="AW76" s="146"/>
    </row>
    <row r="77" spans="1:54" hidden="1" x14ac:dyDescent="0.2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60"/>
      <c r="AO77" s="60"/>
      <c r="AP77" s="60"/>
      <c r="AQ77" s="60"/>
      <c r="AR77" s="61"/>
      <c r="AS77" s="61"/>
      <c r="AT77" s="61"/>
      <c r="AU77" s="61"/>
      <c r="AV77" s="61"/>
      <c r="BB77" s="62"/>
    </row>
    <row r="78" spans="1:54" s="61" customFormat="1" hidden="1" x14ac:dyDescent="0.2">
      <c r="A78" s="63"/>
      <c r="B78" s="63"/>
      <c r="C78" s="63" t="s">
        <v>87</v>
      </c>
      <c r="D78" s="63">
        <v>1</v>
      </c>
      <c r="E78" s="63"/>
      <c r="F78" s="63"/>
      <c r="G78" s="63">
        <v>2</v>
      </c>
      <c r="H78" s="63"/>
      <c r="I78" s="63"/>
      <c r="J78" s="63">
        <v>3</v>
      </c>
      <c r="K78" s="63"/>
      <c r="L78" s="63"/>
      <c r="M78" s="63">
        <v>4</v>
      </c>
      <c r="N78" s="63"/>
      <c r="O78" s="63"/>
      <c r="P78" s="63">
        <v>5</v>
      </c>
      <c r="Q78" s="63"/>
      <c r="R78" s="63"/>
      <c r="S78" s="63">
        <v>6</v>
      </c>
      <c r="T78" s="63"/>
      <c r="U78" s="63"/>
      <c r="V78" s="63">
        <v>7</v>
      </c>
      <c r="W78" s="63"/>
      <c r="X78" s="63"/>
      <c r="Y78" s="63">
        <v>8</v>
      </c>
      <c r="Z78" s="63"/>
      <c r="AA78" s="63"/>
      <c r="AB78" s="63">
        <v>9</v>
      </c>
      <c r="AC78" s="63"/>
      <c r="AD78" s="63"/>
      <c r="AE78" s="63">
        <v>10</v>
      </c>
      <c r="AF78" s="4"/>
      <c r="AG78" s="63"/>
      <c r="AI78" s="64"/>
      <c r="AJ78" s="4"/>
      <c r="AK78" s="4"/>
      <c r="AL78" s="4"/>
      <c r="AM78" s="4"/>
      <c r="AN78" s="4"/>
      <c r="AO78" s="4"/>
      <c r="AT78" s="64" t="s">
        <v>88</v>
      </c>
      <c r="AW78" s="65"/>
      <c r="BB78" s="65"/>
    </row>
    <row r="79" spans="1:54" s="61" customFormat="1" hidden="1" x14ac:dyDescent="0.2">
      <c r="A79" s="66">
        <v>1</v>
      </c>
      <c r="B79" s="66" t="str">
        <f>E8</f>
        <v>Foothills 14 Holland</v>
      </c>
      <c r="C79" s="66">
        <f>VLOOKUP(B79,AU$3:BB$33,3,FALSE)</f>
        <v>1963.0509671228099</v>
      </c>
      <c r="D79" s="66">
        <f>IF(B72,B87,IF(D72,D87,C79))</f>
        <v>1963.0509671228099</v>
      </c>
      <c r="E79" s="66"/>
      <c r="F79" s="66"/>
      <c r="G79" s="66">
        <f>IF(E72,E87,IF(G72,G87,D79))</f>
        <v>1983.2629267582697</v>
      </c>
      <c r="H79" s="66"/>
      <c r="I79" s="66"/>
      <c r="J79" s="66">
        <f>IF(H72,H87,IF(J72,J87,G79))</f>
        <v>1983.2629267582697</v>
      </c>
      <c r="K79" s="66"/>
      <c r="L79" s="66"/>
      <c r="M79" s="66">
        <f>IF(K72,K87,IF(M72,M87,J79))</f>
        <v>1983.2629267582697</v>
      </c>
      <c r="N79" s="66"/>
      <c r="O79" s="66"/>
      <c r="P79" s="66">
        <f>IF(N72,N87,IF(P72,P87,M79))</f>
        <v>2001.4266788897523</v>
      </c>
      <c r="Q79" s="66"/>
      <c r="R79" s="66"/>
      <c r="S79" s="66">
        <f>IF(Q72,Q87,IF(S72,S87,P79))</f>
        <v>2001.4266788897523</v>
      </c>
      <c r="T79" s="66"/>
      <c r="U79" s="66"/>
      <c r="V79" s="66">
        <f>IF(T72,T87,IF(V72,V87,S79))</f>
        <v>2001.4266788897523</v>
      </c>
      <c r="W79" s="66"/>
      <c r="X79" s="66"/>
      <c r="Y79" s="66">
        <f>IF(W72,W87,IF(Y72,Y87,V79))</f>
        <v>2016.6927503965203</v>
      </c>
      <c r="Z79" s="66"/>
      <c r="AA79" s="66"/>
      <c r="AB79" s="66">
        <f>IF(Z72,Z87,IF(AB72,AB87,Y79))</f>
        <v>2016.6927503965203</v>
      </c>
      <c r="AC79" s="66"/>
      <c r="AD79" s="66"/>
      <c r="AE79" s="66">
        <f>IF(AC72,AC87,IF(AE72,AE87,AB79))</f>
        <v>2003.7132660210884</v>
      </c>
      <c r="AF79" s="4"/>
      <c r="AG79" s="4"/>
      <c r="AJ79" s="4"/>
      <c r="AK79" s="4"/>
      <c r="AL79" s="4"/>
      <c r="AM79" s="4"/>
      <c r="AN79" s="4"/>
      <c r="AO79" s="4"/>
      <c r="AT79" s="61" t="str">
        <f>B79</f>
        <v>Foothills 14 Holland</v>
      </c>
      <c r="AU79" s="61">
        <f>AE79</f>
        <v>2003.7132660210884</v>
      </c>
      <c r="AW79" s="65"/>
      <c r="BB79" s="65"/>
    </row>
    <row r="80" spans="1:54" s="61" customFormat="1" hidden="1" x14ac:dyDescent="0.2">
      <c r="A80" s="66">
        <v>2</v>
      </c>
      <c r="B80" s="66" t="str">
        <f>E10</f>
        <v>C1VB 14 Reg Black Grvl</v>
      </c>
      <c r="C80" s="66">
        <f>VLOOKUP(B80,AU$3:BB$33,3,FALSE)</f>
        <v>1891.4603047981896</v>
      </c>
      <c r="D80" s="66">
        <f>IF(B73,B87,IF(D73,D87,C80))</f>
        <v>1879.9493836361974</v>
      </c>
      <c r="E80" s="66"/>
      <c r="F80" s="66"/>
      <c r="G80" s="66">
        <f>IF(E73,E87,IF(G73,G87,D80))</f>
        <v>1879.9493836361974</v>
      </c>
      <c r="H80" s="66"/>
      <c r="I80" s="66"/>
      <c r="J80" s="66">
        <f>IF(H73,H87,IF(J73,J87,G80))</f>
        <v>1879.9493836361974</v>
      </c>
      <c r="K80" s="66"/>
      <c r="L80" s="66"/>
      <c r="M80" s="66">
        <f>IF(K73,K87,IF(M73,M87,J80))</f>
        <v>1873.4634259045627</v>
      </c>
      <c r="N80" s="66"/>
      <c r="O80" s="66"/>
      <c r="P80" s="66">
        <f>IF(N73,N87,IF(P73,P87,M80))</f>
        <v>1873.4634259045627</v>
      </c>
      <c r="Q80" s="66"/>
      <c r="R80" s="66"/>
      <c r="S80" s="66">
        <f>IF(Q73,Q87,IF(S73,S87,P80))</f>
        <v>1873.4634259045627</v>
      </c>
      <c r="T80" s="66"/>
      <c r="U80" s="66"/>
      <c r="V80" s="66">
        <f>IF(T73,T87,IF(V73,V87,S80))</f>
        <v>1867.1758757642458</v>
      </c>
      <c r="W80" s="66"/>
      <c r="X80" s="66"/>
      <c r="Y80" s="66">
        <f>IF(W73,W87,IF(Y73,Y87,V80))</f>
        <v>1867.1758757642458</v>
      </c>
      <c r="Z80" s="66"/>
      <c r="AA80" s="66"/>
      <c r="AB80" s="66">
        <f>IF(Z73,Z87,IF(AB73,AB87,Y80))</f>
        <v>1867.1758757642458</v>
      </c>
      <c r="AC80" s="66"/>
      <c r="AD80" s="66"/>
      <c r="AE80" s="66">
        <f>IF(AC73,AC87,IF(AE73,AE87,AB80))</f>
        <v>1880.1553601396777</v>
      </c>
      <c r="AF80" s="4"/>
      <c r="AG80" s="4"/>
      <c r="AJ80" s="4"/>
      <c r="AL80" s="4"/>
      <c r="AM80" s="4"/>
      <c r="AN80" s="4"/>
      <c r="AO80" s="4"/>
      <c r="AT80" s="61" t="str">
        <f>B80</f>
        <v>C1VB 14 Reg Black Grvl</v>
      </c>
      <c r="AU80" s="61">
        <f>AE80</f>
        <v>1880.1553601396777</v>
      </c>
      <c r="AW80" s="65"/>
      <c r="BB80" s="65"/>
    </row>
    <row r="81" spans="1:54" s="61" customFormat="1" hidden="1" x14ac:dyDescent="0.2">
      <c r="A81" s="66">
        <v>3</v>
      </c>
      <c r="B81" s="66" t="str">
        <f>E12</f>
        <v>Chas Jrs 14 White</v>
      </c>
      <c r="C81" s="66">
        <f>VLOOKUP(B81,AU$3:BB$33,3,FALSE)</f>
        <v>1830.5436089119114</v>
      </c>
      <c r="D81" s="66">
        <f>IF(B74,B87,IF(D74,D87,C81))</f>
        <v>1830.5436089119114</v>
      </c>
      <c r="E81" s="66"/>
      <c r="F81" s="66"/>
      <c r="G81" s="66">
        <f>IF(E74,E87,IF(G74,G87,D81))</f>
        <v>1830.5436089119114</v>
      </c>
      <c r="H81" s="66"/>
      <c r="I81" s="66"/>
      <c r="J81" s="66">
        <f>IF(H74,H87,IF(J74,J87,G81))</f>
        <v>1822.4615297387509</v>
      </c>
      <c r="K81" s="66"/>
      <c r="L81" s="66"/>
      <c r="M81" s="66">
        <f>IF(K74,K87,IF(M74,M87,J81))</f>
        <v>1822.4615297387509</v>
      </c>
      <c r="N81" s="66"/>
      <c r="O81" s="66"/>
      <c r="P81" s="66">
        <f>IF(N74,N87,IF(P74,P87,M81))</f>
        <v>1804.2977776072682</v>
      </c>
      <c r="Q81" s="66"/>
      <c r="R81" s="66"/>
      <c r="S81" s="66">
        <f>IF(Q74,Q87,IF(S74,S87,P81))</f>
        <v>1804.2977776072682</v>
      </c>
      <c r="T81" s="66"/>
      <c r="U81" s="66"/>
      <c r="V81" s="66">
        <f>IF(T74,T87,IF(V74,V87,S81))</f>
        <v>1810.5853277475851</v>
      </c>
      <c r="W81" s="66"/>
      <c r="X81" s="66"/>
      <c r="Y81" s="66">
        <f>IF(W74,W87,IF(Y74,Y87,V81))</f>
        <v>1810.5853277475851</v>
      </c>
      <c r="Z81" s="66"/>
      <c r="AA81" s="66"/>
      <c r="AB81" s="66">
        <f>IF(Z74,Z87,IF(AB74,AB87,Y81))</f>
        <v>1810.3339217466503</v>
      </c>
      <c r="AC81" s="66"/>
      <c r="AD81" s="66"/>
      <c r="AE81" s="66">
        <f>IF(AC74,AC87,IF(AE74,AE87,AB81))</f>
        <v>1810.3339217466503</v>
      </c>
      <c r="AF81" s="4"/>
      <c r="AG81" s="4"/>
      <c r="AJ81" s="4"/>
      <c r="AL81" s="4"/>
      <c r="AM81" s="4"/>
      <c r="AN81" s="4"/>
      <c r="AO81" s="4"/>
      <c r="AT81" s="61" t="str">
        <f>B81</f>
        <v>Chas Jrs 14 White</v>
      </c>
      <c r="AU81" s="61">
        <f>AE81</f>
        <v>1810.3339217466503</v>
      </c>
      <c r="AW81" s="65"/>
      <c r="BB81" s="65"/>
    </row>
    <row r="82" spans="1:54" s="61" customFormat="1" hidden="1" x14ac:dyDescent="0.2">
      <c r="A82" s="66">
        <v>4</v>
      </c>
      <c r="B82" s="66" t="str">
        <f>E14</f>
        <v>C1VB 14 Regional Pickens</v>
      </c>
      <c r="C82" s="66">
        <f>VLOOKUP(B82,AU$3:BB$33,3,FALSE)</f>
        <v>1828.7521321234813</v>
      </c>
      <c r="D82" s="66">
        <f>IF(B75,B87,IF(D75,D87,C82))</f>
        <v>1828.7521321234813</v>
      </c>
      <c r="E82" s="66"/>
      <c r="F82" s="66"/>
      <c r="G82" s="66">
        <f>IF(E75,E87,IF(G75,G87,D82))</f>
        <v>1808.5401724880214</v>
      </c>
      <c r="H82" s="66"/>
      <c r="I82" s="66"/>
      <c r="J82" s="66">
        <f>IF(H75,H87,IF(J75,J87,G82))</f>
        <v>1808.5401724880214</v>
      </c>
      <c r="K82" s="66"/>
      <c r="L82" s="66"/>
      <c r="M82" s="66">
        <f>IF(K75,K87,IF(M75,M87,J82))</f>
        <v>1815.0261302196561</v>
      </c>
      <c r="N82" s="66"/>
      <c r="O82" s="66"/>
      <c r="P82" s="66">
        <f>IF(N75,N87,IF(P75,P87,M82))</f>
        <v>1815.0261302196561</v>
      </c>
      <c r="Q82" s="66"/>
      <c r="R82" s="66"/>
      <c r="S82" s="66">
        <f>IF(Q75,Q87,IF(S75,S87,P82))</f>
        <v>1807.8556656120425</v>
      </c>
      <c r="T82" s="66"/>
      <c r="U82" s="66"/>
      <c r="V82" s="66">
        <f>IF(T75,T87,IF(V75,V87,S82))</f>
        <v>1807.8556656120425</v>
      </c>
      <c r="W82" s="66"/>
      <c r="X82" s="66"/>
      <c r="Y82" s="66">
        <f>IF(W75,W87,IF(Y75,Y87,V82))</f>
        <v>1807.8556656120425</v>
      </c>
      <c r="Z82" s="66"/>
      <c r="AA82" s="66"/>
      <c r="AB82" s="66">
        <f>IF(Z75,Z87,IF(AB75,AB87,Y82))</f>
        <v>1808.1070716129773</v>
      </c>
      <c r="AC82" s="66"/>
      <c r="AD82" s="66"/>
      <c r="AE82" s="66">
        <f>IF(AC75,AC87,IF(AE75,AE87,AB82))</f>
        <v>1808.1070716129773</v>
      </c>
      <c r="AF82" s="4"/>
      <c r="AG82" s="4"/>
      <c r="AJ82" s="4"/>
      <c r="AL82" s="4"/>
      <c r="AM82" s="4"/>
      <c r="AN82" s="4"/>
      <c r="AO82" s="4"/>
      <c r="AT82" s="61" t="str">
        <f>B82</f>
        <v>C1VB 14 Regional Pickens</v>
      </c>
      <c r="AU82" s="61">
        <f>AE82</f>
        <v>1808.1070716129773</v>
      </c>
      <c r="AW82" s="65"/>
      <c r="BB82" s="65"/>
    </row>
    <row r="83" spans="1:54" s="61" customFormat="1" hidden="1" x14ac:dyDescent="0.2">
      <c r="A83" s="66">
        <v>5</v>
      </c>
      <c r="B83" s="66" t="str">
        <f>E16</f>
        <v>SMVC Royals 14</v>
      </c>
      <c r="C83" s="66">
        <f>VLOOKUP(B83,AU$3:BB$33,3,FALSE)</f>
        <v>2155.0438534730665</v>
      </c>
      <c r="D83" s="66">
        <f>IF(B76,B87,IF(D76,D87,C83))</f>
        <v>2166.5547746350589</v>
      </c>
      <c r="E83" s="66"/>
      <c r="F83" s="66"/>
      <c r="G83" s="66">
        <f>IF(E76,E87,IF(G76,G87,D83))</f>
        <v>2166.5547746350589</v>
      </c>
      <c r="H83" s="66"/>
      <c r="I83" s="66"/>
      <c r="J83" s="66">
        <f>IF(H76,H87,IF(J76,J87,G83))</f>
        <v>2174.6368538082197</v>
      </c>
      <c r="K83" s="66"/>
      <c r="L83" s="66"/>
      <c r="M83" s="66">
        <f>IF(K76,K87,IF(M76,M87,J83))</f>
        <v>2174.6368538082197</v>
      </c>
      <c r="N83" s="66"/>
      <c r="O83" s="66"/>
      <c r="P83" s="66">
        <f>IF(N76,N87,IF(P76,P87,M83))</f>
        <v>2174.6368538082197</v>
      </c>
      <c r="Q83" s="66"/>
      <c r="R83" s="66"/>
      <c r="S83" s="66">
        <f>IF(Q76,Q87,IF(S76,S87,P83))</f>
        <v>2181.8073184158334</v>
      </c>
      <c r="T83" s="66"/>
      <c r="U83" s="66"/>
      <c r="V83" s="66">
        <f>IF(T76,T87,IF(V76,V87,S83))</f>
        <v>2181.8073184158334</v>
      </c>
      <c r="W83" s="66"/>
      <c r="X83" s="66"/>
      <c r="Y83" s="66">
        <f>IF(W76,W87,IF(Y76,Y87,V83))</f>
        <v>2166.5412469090652</v>
      </c>
      <c r="Z83" s="66"/>
      <c r="AA83" s="66"/>
      <c r="AB83" s="66">
        <f>IF(Z76,Z87,IF(AB76,AB87,Y83))</f>
        <v>2166.5412469090652</v>
      </c>
      <c r="AC83" s="66"/>
      <c r="AD83" s="66"/>
      <c r="AE83" s="66">
        <f>IF(AC76,AC87,IF(AE76,AE87,AB83))</f>
        <v>2166.5412469090652</v>
      </c>
      <c r="AF83" s="4"/>
      <c r="AG83" s="4"/>
      <c r="AJ83" s="4"/>
      <c r="AL83" s="4"/>
      <c r="AM83" s="4"/>
      <c r="AN83" s="4"/>
      <c r="AO83" s="4"/>
      <c r="AT83" s="61" t="str">
        <f>B83</f>
        <v>SMVC Royals 14</v>
      </c>
      <c r="AU83" s="61">
        <f>AE83</f>
        <v>2166.5412469090652</v>
      </c>
      <c r="AW83" s="65"/>
      <c r="BB83" s="65"/>
    </row>
    <row r="84" spans="1:54" s="61" customFormat="1" hidden="1" x14ac:dyDescent="0.2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4"/>
      <c r="AG84" s="4"/>
      <c r="AJ84" s="4"/>
      <c r="AL84" s="4"/>
      <c r="AM84" s="4"/>
      <c r="AN84" s="4"/>
      <c r="AO84" s="4"/>
      <c r="AW84" s="65"/>
      <c r="BB84" s="65"/>
    </row>
    <row r="85" spans="1:54" s="61" customFormat="1" hidden="1" x14ac:dyDescent="0.2">
      <c r="A85" s="66" t="s">
        <v>89</v>
      </c>
      <c r="B85" s="66">
        <f>VLOOKUP(B24,$A79:$AE83,3,FALSE)</f>
        <v>1891.4603047981896</v>
      </c>
      <c r="C85" s="66">
        <v>1</v>
      </c>
      <c r="D85" s="66">
        <f>VLOOKUP(D24,$A79:$AE83,3,FALSE)</f>
        <v>2155.0438534730665</v>
      </c>
      <c r="E85" s="66">
        <f>VLOOKUP(E24,$A79:$AE83,4,FALSE)</f>
        <v>1963.0509671228099</v>
      </c>
      <c r="F85" s="66">
        <v>2</v>
      </c>
      <c r="G85" s="66">
        <f>VLOOKUP(G24,$A79:$AE83,4,FALSE)</f>
        <v>1828.7521321234813</v>
      </c>
      <c r="H85" s="66">
        <f>VLOOKUP(H24,$A79:$AE83,7,FALSE)</f>
        <v>1830.5436089119114</v>
      </c>
      <c r="I85" s="66">
        <v>3</v>
      </c>
      <c r="J85" s="66">
        <f>VLOOKUP(J24,$A79:$AE83,7,FALSE)</f>
        <v>2166.5547746350589</v>
      </c>
      <c r="K85" s="66">
        <f>VLOOKUP(K24,$A79:$AE83,10,FALSE)</f>
        <v>1879.9493836361974</v>
      </c>
      <c r="L85" s="66">
        <v>4</v>
      </c>
      <c r="M85" s="66">
        <f>VLOOKUP(M24,$A79:$AE83,10,FALSE)</f>
        <v>1808.5401724880214</v>
      </c>
      <c r="N85" s="66">
        <f>VLOOKUP(N24,$A79:$AE83,13,FALSE)</f>
        <v>1983.2629267582697</v>
      </c>
      <c r="O85" s="66">
        <v>5</v>
      </c>
      <c r="P85" s="66">
        <f>VLOOKUP(P24,$A79:$AE83,13,FALSE)</f>
        <v>1822.4615297387509</v>
      </c>
      <c r="Q85" s="66">
        <f>VLOOKUP(Q24,$A79:$AE83,16,FALSE)</f>
        <v>1815.0261302196561</v>
      </c>
      <c r="R85" s="66">
        <v>6</v>
      </c>
      <c r="S85" s="66">
        <f>VLOOKUP(S24,$A79:$AE83,16,FALSE)</f>
        <v>2174.6368538082197</v>
      </c>
      <c r="T85" s="66">
        <f>VLOOKUP(T24,$A79:$AE83,19,FALSE)</f>
        <v>1873.4634259045627</v>
      </c>
      <c r="U85" s="66">
        <v>7</v>
      </c>
      <c r="V85" s="66">
        <f>VLOOKUP(V24,$A79:$AE83,19,FALSE)</f>
        <v>1804.2977776072682</v>
      </c>
      <c r="W85" s="66">
        <f>VLOOKUP(W24,$A79:$AE83,22,FALSE)</f>
        <v>2001.4266788897523</v>
      </c>
      <c r="X85" s="66">
        <v>8</v>
      </c>
      <c r="Y85" s="66">
        <f>VLOOKUP(Y24,$A79:$AE83,22,FALSE)</f>
        <v>2181.8073184158334</v>
      </c>
      <c r="Z85" s="66">
        <f>VLOOKUP(Z24,$A79:$AE83,25,FALSE)</f>
        <v>1810.5853277475851</v>
      </c>
      <c r="AA85" s="66">
        <v>9</v>
      </c>
      <c r="AB85" s="66">
        <f>VLOOKUP(AB24,$A79:$AE83,25,FALSE)</f>
        <v>1807.8556656120425</v>
      </c>
      <c r="AC85" s="66">
        <f>VLOOKUP(AC24,$A79:$AE83,28,FALSE)</f>
        <v>2016.6927503965203</v>
      </c>
      <c r="AD85" s="66">
        <v>10</v>
      </c>
      <c r="AE85" s="66">
        <f>VLOOKUP(AE24,$A79:$AE83,28,FALSE)</f>
        <v>1867.1758757642458</v>
      </c>
      <c r="AF85" s="4"/>
      <c r="AG85" s="59"/>
      <c r="AH85" s="59"/>
      <c r="AI85" s="59"/>
      <c r="AJ85" s="59"/>
      <c r="AK85" s="59"/>
      <c r="AL85" s="59"/>
      <c r="AM85" s="59"/>
      <c r="AN85" s="60"/>
      <c r="AO85" s="60"/>
      <c r="AP85" s="60"/>
      <c r="AQ85" s="60"/>
      <c r="AW85" s="65"/>
      <c r="BB85" s="65"/>
    </row>
    <row r="86" spans="1:54" s="71" customFormat="1" hidden="1" x14ac:dyDescent="0.2">
      <c r="A86" s="67" t="s">
        <v>90</v>
      </c>
      <c r="B86" s="67">
        <f>1/(1+(10^-((B85-D85)/400)))*(B36+D36)</f>
        <v>0.35971628631225705</v>
      </c>
      <c r="C86" s="67"/>
      <c r="D86" s="67">
        <f>1/(1+(10^-((D85-B85)/400)))*(B36+D36)</f>
        <v>1.6402837136877428</v>
      </c>
      <c r="E86" s="67">
        <f>1/(1+(10^-((E85-G85)/400)))*(E36+G36)</f>
        <v>1.3683762613918788</v>
      </c>
      <c r="F86" s="67"/>
      <c r="G86" s="67">
        <f>1/(1+(10^-((G85-E85)/400)))*(E36+G36)</f>
        <v>0.63162373860812127</v>
      </c>
      <c r="H86" s="67">
        <f>1/(1+(10^-((H85-J85)/400)))*(H36+J36)</f>
        <v>0.25256497416126739</v>
      </c>
      <c r="I86" s="67"/>
      <c r="J86" s="67">
        <f>1/(1+(10^-((J85-H85)/400)))*(H36+J36)</f>
        <v>1.7474350258387326</v>
      </c>
      <c r="K86" s="67">
        <f>1/(1+(10^-((K85-M85)/400)))*(K36+M36)</f>
        <v>1.2026861791135826</v>
      </c>
      <c r="L86" s="67"/>
      <c r="M86" s="67">
        <f>1/(1+(10^-((M85-K85)/400)))*(K36+M36)</f>
        <v>0.79731382088641733</v>
      </c>
      <c r="N86" s="67">
        <f>1/(1+(10^-((N85-P85)/400)))*(N36+P36)</f>
        <v>1.4323827458911667</v>
      </c>
      <c r="O86" s="67"/>
      <c r="P86" s="67">
        <f>1/(1+(10^-((P85-N85)/400)))*(N36+P36)</f>
        <v>0.56761725410883357</v>
      </c>
      <c r="Q86" s="67">
        <f>1/(1+(10^-((Q85-S85)/400)))*(Q36+S36)</f>
        <v>0.22407701898792456</v>
      </c>
      <c r="R86" s="67"/>
      <c r="S86" s="67">
        <f>1/(1+(10^-((S85-Q85)/400)))*(Q36+S36)</f>
        <v>1.7759229810120756</v>
      </c>
      <c r="T86" s="67">
        <f>1/(1+(10^-((T85-V85)/400)))*(T36+V36)</f>
        <v>1.1964859418848992</v>
      </c>
      <c r="U86" s="67"/>
      <c r="V86" s="67">
        <f>1/(1+(10^-((V85-T85)/400)))*(T36+V36)</f>
        <v>0.80351405811510079</v>
      </c>
      <c r="W86" s="67">
        <f>1/(1+(10^-((W85-Y85)/400)))*(W36+Y36)</f>
        <v>0.52293526541350022</v>
      </c>
      <c r="X86" s="67"/>
      <c r="Y86" s="67">
        <f>1/(1+(10^-((Y85-W85)/400)))*(W36+Y36)</f>
        <v>1.4770647345864998</v>
      </c>
      <c r="Z86" s="67">
        <f>1/(1+(10^-((Z85-AB85)/400)))*(Z36+AB36)</f>
        <v>1.0078564375292132</v>
      </c>
      <c r="AA86" s="67"/>
      <c r="AB86" s="67">
        <f>1/(1+(10^-((AB85-Z85)/400)))*(Z36+AB36)</f>
        <v>0.99214356247078672</v>
      </c>
      <c r="AC86" s="67">
        <f>1/(1+(10^-((AC85-AE85)/400)))*(AC36+AE36)</f>
        <v>1.4056088867322429</v>
      </c>
      <c r="AD86" s="67"/>
      <c r="AE86" s="67">
        <f>1/(1+(10^-((AE85-AC85)/400)))*(AC36+AE36)</f>
        <v>0.59439111326775707</v>
      </c>
      <c r="AF86" s="68"/>
      <c r="AG86" s="69"/>
      <c r="AH86" s="69"/>
      <c r="AI86" s="69"/>
      <c r="AJ86" s="69"/>
      <c r="AK86" s="69"/>
      <c r="AL86" s="69"/>
      <c r="AM86" s="69"/>
      <c r="AN86" s="70"/>
      <c r="AO86" s="70"/>
      <c r="AP86" s="70"/>
      <c r="AQ86" s="70"/>
      <c r="AW86" s="72"/>
      <c r="BB86" s="72"/>
    </row>
    <row r="87" spans="1:54" s="77" customFormat="1" hidden="1" x14ac:dyDescent="0.2">
      <c r="A87" s="73" t="s">
        <v>91</v>
      </c>
      <c r="B87" s="73">
        <f>B85+(B36-B86)*$BA$1</f>
        <v>1879.9493836361974</v>
      </c>
      <c r="C87" s="73"/>
      <c r="D87" s="73">
        <f>D85+(D36-D86)*$BA$1</f>
        <v>2166.5547746350589</v>
      </c>
      <c r="E87" s="73">
        <f>E85+(E36-E86)*$BA$1</f>
        <v>1983.2629267582697</v>
      </c>
      <c r="F87" s="73"/>
      <c r="G87" s="73">
        <f>G85+(G36-G86)*$BA$1</f>
        <v>1808.5401724880214</v>
      </c>
      <c r="H87" s="73">
        <f>H85+(H36-H86)*$BA$1</f>
        <v>1822.4615297387509</v>
      </c>
      <c r="I87" s="73"/>
      <c r="J87" s="73">
        <f>J85+(J36-J86)*$BA$1</f>
        <v>2174.6368538082197</v>
      </c>
      <c r="K87" s="73">
        <f>K85+(K36-K86)*$BA$1</f>
        <v>1873.4634259045627</v>
      </c>
      <c r="L87" s="73"/>
      <c r="M87" s="73">
        <f>M85+(M36-M86)*$BA$1</f>
        <v>1815.0261302196561</v>
      </c>
      <c r="N87" s="73">
        <f>N85+(N36-N86)*$BA$1</f>
        <v>2001.4266788897523</v>
      </c>
      <c r="O87" s="73"/>
      <c r="P87" s="73">
        <f>P85+(P36-P86)*$BA$1</f>
        <v>1804.2977776072682</v>
      </c>
      <c r="Q87" s="73">
        <f>Q85+(Q36-Q86)*$BA$1</f>
        <v>1807.8556656120425</v>
      </c>
      <c r="R87" s="73"/>
      <c r="S87" s="73">
        <f>S85+(S36-S86)*$BA$1</f>
        <v>2181.8073184158334</v>
      </c>
      <c r="T87" s="73">
        <f>T85+(T36-T86)*$BA$1</f>
        <v>1867.1758757642458</v>
      </c>
      <c r="U87" s="73"/>
      <c r="V87" s="73">
        <f>V85+(V36-V86)*$BA$1</f>
        <v>1810.5853277475851</v>
      </c>
      <c r="W87" s="73">
        <f>W85+(W36-W86)*$BA$1</f>
        <v>2016.6927503965203</v>
      </c>
      <c r="X87" s="73"/>
      <c r="Y87" s="73">
        <f>Y85+(Y36-Y86)*$BA$1</f>
        <v>2166.5412469090652</v>
      </c>
      <c r="Z87" s="73">
        <f>Z85+(Z36-Z86)*$BA$1</f>
        <v>1810.3339217466503</v>
      </c>
      <c r="AA87" s="73"/>
      <c r="AB87" s="73">
        <f>AB85+(AB36-AB86)*$BA$1</f>
        <v>1808.1070716129773</v>
      </c>
      <c r="AC87" s="73">
        <f>AC85+(AC36-AC86)*$BA$1</f>
        <v>2003.7132660210884</v>
      </c>
      <c r="AD87" s="73"/>
      <c r="AE87" s="73">
        <f>AE85+(AE36-AE86)*$BA$1</f>
        <v>1880.1553601396777</v>
      </c>
      <c r="AF87" s="74"/>
      <c r="AG87" s="75"/>
      <c r="AH87" s="75"/>
      <c r="AI87" s="75"/>
      <c r="AJ87" s="75"/>
      <c r="AK87" s="75"/>
      <c r="AL87" s="75"/>
      <c r="AM87" s="75"/>
      <c r="AN87" s="76"/>
      <c r="AO87" s="76"/>
      <c r="AP87" s="76"/>
      <c r="AQ87" s="76"/>
      <c r="AW87" s="78"/>
      <c r="BB87" s="78"/>
    </row>
    <row r="88" spans="1:54" s="77" customFormat="1" hidden="1" x14ac:dyDescent="0.2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4"/>
      <c r="AG88" s="75"/>
      <c r="AH88" s="75"/>
      <c r="AI88" s="75"/>
      <c r="AJ88" s="75"/>
      <c r="AK88" s="75"/>
      <c r="AL88" s="75"/>
      <c r="AM88" s="75"/>
      <c r="AN88" s="76"/>
      <c r="AO88" s="76"/>
      <c r="AP88" s="76"/>
      <c r="AQ88" s="76"/>
      <c r="AW88" s="78"/>
      <c r="BB88" s="78"/>
    </row>
    <row r="89" spans="1:54" s="61" customFormat="1" x14ac:dyDescent="0.2">
      <c r="A89" s="790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790"/>
      <c r="C89" s="790"/>
      <c r="D89" s="790"/>
      <c r="E89" s="790"/>
      <c r="F89" s="790"/>
      <c r="G89" s="790"/>
      <c r="H89" s="790"/>
      <c r="I89" s="790"/>
      <c r="J89" s="790"/>
      <c r="K89" s="790"/>
      <c r="L89" s="790"/>
      <c r="M89" s="790"/>
      <c r="N89" s="790"/>
      <c r="O89" s="790"/>
      <c r="P89" s="790"/>
      <c r="Q89" s="790"/>
      <c r="R89" s="790"/>
      <c r="S89" s="790"/>
      <c r="T89" s="790"/>
      <c r="U89" s="790"/>
      <c r="V89" s="790"/>
      <c r="W89" s="790"/>
      <c r="X89" s="790"/>
      <c r="Y89" s="790"/>
      <c r="Z89" s="790"/>
      <c r="AA89" s="790"/>
      <c r="AB89" s="790"/>
      <c r="AC89" s="790"/>
      <c r="AD89" s="790"/>
      <c r="AE89" s="790"/>
      <c r="AF89" s="790"/>
      <c r="AG89" s="790"/>
      <c r="AH89" s="790"/>
      <c r="AI89" s="790"/>
      <c r="AJ89" s="790"/>
      <c r="AK89" s="790"/>
      <c r="AL89" s="790"/>
      <c r="AM89" s="790"/>
      <c r="AN89" s="768"/>
      <c r="AO89" s="768"/>
      <c r="AP89" s="768"/>
      <c r="AQ89" s="768"/>
      <c r="AW89" s="65"/>
    </row>
    <row r="90" spans="1:54" s="61" customFormat="1" ht="13.5" thickBot="1" x14ac:dyDescent="0.25">
      <c r="A90" s="791"/>
      <c r="B90" s="791"/>
      <c r="C90" s="791"/>
      <c r="D90" s="791"/>
      <c r="E90" s="791"/>
      <c r="F90" s="791"/>
      <c r="G90" s="791"/>
      <c r="H90" s="791"/>
      <c r="I90" s="791"/>
      <c r="J90" s="791"/>
      <c r="K90" s="791"/>
      <c r="L90" s="791"/>
      <c r="M90" s="791"/>
      <c r="N90" s="791"/>
      <c r="O90" s="791"/>
      <c r="P90" s="791"/>
      <c r="Q90" s="791"/>
      <c r="R90" s="791"/>
      <c r="S90" s="791"/>
      <c r="T90" s="791"/>
      <c r="U90" s="791"/>
      <c r="V90" s="791"/>
      <c r="W90" s="791"/>
      <c r="X90" s="791"/>
      <c r="Y90" s="791"/>
      <c r="Z90" s="791"/>
      <c r="AA90" s="791"/>
      <c r="AB90" s="791"/>
      <c r="AC90" s="791"/>
      <c r="AD90" s="791"/>
      <c r="AE90" s="791"/>
      <c r="AF90" s="791"/>
      <c r="AG90" s="791"/>
      <c r="AH90" s="791"/>
      <c r="AI90" s="791"/>
      <c r="AJ90" s="791"/>
      <c r="AK90" s="791"/>
      <c r="AL90" s="791"/>
      <c r="AM90" s="791"/>
      <c r="AN90" s="791"/>
      <c r="AO90" s="791"/>
      <c r="AP90" s="791"/>
      <c r="AQ90" s="791"/>
      <c r="AW90" s="65"/>
    </row>
    <row r="91" spans="1:54" ht="24" customHeight="1" thickBot="1" x14ac:dyDescent="0.25">
      <c r="A91" s="22" t="s">
        <v>22</v>
      </c>
      <c r="B91" s="23" t="s">
        <v>92</v>
      </c>
      <c r="C91" s="862" t="s">
        <v>24</v>
      </c>
      <c r="D91" s="863"/>
      <c r="E91" s="863"/>
      <c r="F91" s="863"/>
      <c r="G91" s="863"/>
      <c r="H91" s="864"/>
      <c r="I91" s="865">
        <v>2</v>
      </c>
      <c r="J91" s="866"/>
      <c r="K91" s="867" t="str">
        <f>"Pool "&amp;B91&amp;" - Round 1 - Court "&amp;I91</f>
        <v>Pool B - Round 1 - Court 2</v>
      </c>
      <c r="L91" s="868"/>
      <c r="M91" s="868"/>
      <c r="N91" s="868"/>
      <c r="O91" s="868"/>
      <c r="P91" s="868"/>
      <c r="Q91" s="868"/>
      <c r="R91" s="868"/>
      <c r="S91" s="868"/>
      <c r="T91" s="868"/>
      <c r="U91" s="868"/>
      <c r="V91" s="868"/>
      <c r="W91" s="868"/>
      <c r="X91" s="868"/>
      <c r="Y91" s="868"/>
      <c r="Z91" s="868"/>
      <c r="AA91" s="868"/>
      <c r="AB91" s="868"/>
      <c r="AC91" s="868"/>
      <c r="AD91" s="868"/>
      <c r="AE91" s="868"/>
      <c r="AF91" s="868"/>
      <c r="AG91" s="868"/>
      <c r="AH91" s="868"/>
      <c r="AI91" s="869"/>
      <c r="AJ91" s="11"/>
      <c r="AK91" s="11"/>
      <c r="AL91" s="11"/>
      <c r="AM91" s="11"/>
      <c r="AN91" s="11"/>
      <c r="AO91" s="11"/>
      <c r="AP91" s="11"/>
      <c r="AQ91" s="11"/>
    </row>
    <row r="92" spans="1:54" ht="27" customHeight="1" thickBot="1" x14ac:dyDescent="0.25">
      <c r="A92" s="24" t="s">
        <v>25</v>
      </c>
      <c r="B92" s="870" t="s">
        <v>7</v>
      </c>
      <c r="C92" s="871"/>
      <c r="D92" s="871"/>
      <c r="E92" s="871"/>
      <c r="F92" s="871"/>
      <c r="G92" s="871"/>
      <c r="H92" s="871"/>
      <c r="I92" s="871"/>
      <c r="J92" s="871"/>
      <c r="K92" s="871"/>
      <c r="L92" s="870" t="str">
        <f>IF($AK95=0,"Games Won","Matches Won")</f>
        <v>Games Won</v>
      </c>
      <c r="M92" s="871"/>
      <c r="N92" s="871"/>
      <c r="O92" s="871"/>
      <c r="P92" s="871"/>
      <c r="Q92" s="872"/>
      <c r="R92" s="870" t="str">
        <f>IF($AK95=0,"Games Lost","Matches Lost")</f>
        <v>Games Lost</v>
      </c>
      <c r="S92" s="873"/>
      <c r="T92" s="873"/>
      <c r="U92" s="873"/>
      <c r="V92" s="874"/>
      <c r="W92" s="875" t="s">
        <v>26</v>
      </c>
      <c r="X92" s="876"/>
      <c r="Y92" s="877"/>
      <c r="Z92" s="875" t="s">
        <v>27</v>
      </c>
      <c r="AA92" s="876"/>
      <c r="AB92" s="877"/>
      <c r="AC92" s="878" t="s">
        <v>28</v>
      </c>
      <c r="AD92" s="879"/>
      <c r="AE92" s="880"/>
      <c r="AF92" s="25" t="s">
        <v>29</v>
      </c>
      <c r="AG92" s="26" t="s">
        <v>6</v>
      </c>
      <c r="AH92" s="860" t="s">
        <v>30</v>
      </c>
      <c r="AI92" s="861"/>
      <c r="AJ92" s="27"/>
      <c r="AK92" s="28">
        <v>2</v>
      </c>
      <c r="AL92" s="29" t="s">
        <v>31</v>
      </c>
      <c r="AM92" s="29"/>
      <c r="AN92" s="29"/>
      <c r="AO92" s="29"/>
      <c r="AP92" s="29"/>
      <c r="AQ92" s="29"/>
      <c r="AR92" s="30"/>
    </row>
    <row r="93" spans="1:54" ht="18.75" customHeight="1" x14ac:dyDescent="0.2">
      <c r="A93" s="829" t="str">
        <f>IF($AK94&gt;0,"1","")</f>
        <v>1</v>
      </c>
      <c r="B93" s="857" t="s">
        <v>7</v>
      </c>
      <c r="C93" s="858"/>
      <c r="D93" s="859"/>
      <c r="E93" s="833" t="str">
        <f>AU4</f>
        <v>Blitz14 Black</v>
      </c>
      <c r="F93" s="834"/>
      <c r="G93" s="834"/>
      <c r="H93" s="834"/>
      <c r="I93" s="834"/>
      <c r="J93" s="834"/>
      <c r="K93" s="835"/>
      <c r="L93" s="836">
        <f>IF($AK95=0,AF149,AF131)</f>
        <v>4</v>
      </c>
      <c r="M93" s="837"/>
      <c r="N93" s="837"/>
      <c r="O93" s="837"/>
      <c r="P93" s="837"/>
      <c r="Q93" s="872"/>
      <c r="R93" s="836">
        <f>IF($AK95=0,AG149,AG131)</f>
        <v>4</v>
      </c>
      <c r="S93" s="837"/>
      <c r="T93" s="837"/>
      <c r="U93" s="837"/>
      <c r="V93" s="837"/>
      <c r="W93" s="836">
        <f>AQ109</f>
        <v>8</v>
      </c>
      <c r="X93" s="837"/>
      <c r="Y93" s="837"/>
      <c r="Z93" s="809">
        <f>IF(AF143&gt;0,(AQ109/AF143),0)</f>
        <v>0.04</v>
      </c>
      <c r="AA93" s="810"/>
      <c r="AB93" s="810"/>
      <c r="AC93" s="813">
        <f>IF(AF157=0,0,(AF149/AF157))</f>
        <v>0.5</v>
      </c>
      <c r="AD93" s="814"/>
      <c r="AE93" s="815"/>
      <c r="AF93" s="819">
        <v>4</v>
      </c>
      <c r="AG93" s="819">
        <v>1</v>
      </c>
      <c r="AH93" s="821">
        <v>11</v>
      </c>
      <c r="AI93" s="822"/>
      <c r="AJ93" s="27"/>
      <c r="AK93" s="28">
        <v>10</v>
      </c>
      <c r="AL93" s="29" t="s">
        <v>32</v>
      </c>
      <c r="AM93" s="29"/>
      <c r="AN93" s="29"/>
      <c r="AO93" s="29"/>
      <c r="AP93" s="29"/>
      <c r="AQ93" s="29"/>
      <c r="AR93" s="30"/>
    </row>
    <row r="94" spans="1:54" ht="18.75" customHeight="1" thickBot="1" x14ac:dyDescent="0.25">
      <c r="A94" s="830"/>
      <c r="B94" s="854" t="s">
        <v>8</v>
      </c>
      <c r="C94" s="855"/>
      <c r="D94" s="856"/>
      <c r="E94" s="850" t="str">
        <f>AV4</f>
        <v>fj4clebl1cr</v>
      </c>
      <c r="F94" s="851"/>
      <c r="G94" s="851"/>
      <c r="H94" s="851"/>
      <c r="I94" s="851"/>
      <c r="J94" s="851"/>
      <c r="K94" s="851"/>
      <c r="L94" s="852"/>
      <c r="M94" s="853"/>
      <c r="N94" s="853"/>
      <c r="O94" s="853"/>
      <c r="P94" s="853"/>
      <c r="Q94" s="872"/>
      <c r="R94" s="852"/>
      <c r="S94" s="853"/>
      <c r="T94" s="853"/>
      <c r="U94" s="853"/>
      <c r="V94" s="853"/>
      <c r="W94" s="852"/>
      <c r="X94" s="853"/>
      <c r="Y94" s="853"/>
      <c r="Z94" s="840"/>
      <c r="AA94" s="841"/>
      <c r="AB94" s="841"/>
      <c r="AC94" s="842"/>
      <c r="AD94" s="843"/>
      <c r="AE94" s="844"/>
      <c r="AF94" s="845"/>
      <c r="AG94" s="845"/>
      <c r="AH94" s="846"/>
      <c r="AI94" s="847"/>
      <c r="AJ94" s="27"/>
      <c r="AK94" s="28">
        <v>5</v>
      </c>
      <c r="AL94" s="29" t="s">
        <v>33</v>
      </c>
      <c r="AM94" s="27"/>
      <c r="AN94" s="27"/>
      <c r="AO94" s="27"/>
      <c r="AP94" s="27"/>
      <c r="AQ94" s="27"/>
      <c r="AR94" s="3"/>
    </row>
    <row r="95" spans="1:54" ht="18.75" customHeight="1" x14ac:dyDescent="0.2">
      <c r="A95" s="829" t="str">
        <f>IF($AK94&gt;1,"2","")</f>
        <v>2</v>
      </c>
      <c r="B95" s="857" t="s">
        <v>7</v>
      </c>
      <c r="C95" s="858"/>
      <c r="D95" s="859"/>
      <c r="E95" s="833" t="str">
        <f>AU7</f>
        <v>Chas Jrs 14 Blue</v>
      </c>
      <c r="F95" s="834"/>
      <c r="G95" s="834"/>
      <c r="H95" s="834"/>
      <c r="I95" s="834"/>
      <c r="J95" s="834"/>
      <c r="K95" s="835"/>
      <c r="L95" s="836">
        <f>IF($AK95=0,AF150,AF132)</f>
        <v>5</v>
      </c>
      <c r="M95" s="837"/>
      <c r="N95" s="837"/>
      <c r="O95" s="837"/>
      <c r="P95" s="837"/>
      <c r="Q95" s="872"/>
      <c r="R95" s="836">
        <f>IF($AK95=0,AG150,AG132)</f>
        <v>3</v>
      </c>
      <c r="S95" s="837"/>
      <c r="T95" s="837"/>
      <c r="U95" s="837"/>
      <c r="V95" s="837"/>
      <c r="W95" s="836">
        <f>AQ110</f>
        <v>18</v>
      </c>
      <c r="X95" s="837"/>
      <c r="Y95" s="837"/>
      <c r="Z95" s="809">
        <f>IF(AF144&gt;0,(AQ110/AF144),0)</f>
        <v>8.8669950738916259E-2</v>
      </c>
      <c r="AA95" s="810"/>
      <c r="AB95" s="810"/>
      <c r="AC95" s="813">
        <f>IF(AF158=0,0,(AF150/AF158))</f>
        <v>0.625</v>
      </c>
      <c r="AD95" s="814"/>
      <c r="AE95" s="815"/>
      <c r="AF95" s="819">
        <v>3</v>
      </c>
      <c r="AG95" s="819">
        <v>2</v>
      </c>
      <c r="AH95" s="821">
        <v>5</v>
      </c>
      <c r="AI95" s="822"/>
      <c r="AJ95" s="27"/>
      <c r="AK95" s="28">
        <v>0</v>
      </c>
      <c r="AL95" s="29" t="s">
        <v>34</v>
      </c>
      <c r="AM95" s="29"/>
      <c r="AN95" s="29"/>
      <c r="AO95" s="29"/>
      <c r="AP95" s="29"/>
      <c r="AQ95" s="29"/>
      <c r="AR95" s="30"/>
    </row>
    <row r="96" spans="1:54" ht="18.75" customHeight="1" thickBot="1" x14ac:dyDescent="0.25">
      <c r="A96" s="830"/>
      <c r="B96" s="848" t="s">
        <v>8</v>
      </c>
      <c r="C96" s="849"/>
      <c r="D96" s="849"/>
      <c r="E96" s="850" t="str">
        <f>AV7</f>
        <v>fj4charl2pm</v>
      </c>
      <c r="F96" s="851"/>
      <c r="G96" s="851"/>
      <c r="H96" s="851"/>
      <c r="I96" s="851"/>
      <c r="J96" s="851"/>
      <c r="K96" s="851"/>
      <c r="L96" s="852"/>
      <c r="M96" s="853"/>
      <c r="N96" s="853"/>
      <c r="O96" s="853"/>
      <c r="P96" s="853"/>
      <c r="Q96" s="872"/>
      <c r="R96" s="852"/>
      <c r="S96" s="853"/>
      <c r="T96" s="853"/>
      <c r="U96" s="853"/>
      <c r="V96" s="853"/>
      <c r="W96" s="852"/>
      <c r="X96" s="853"/>
      <c r="Y96" s="853"/>
      <c r="Z96" s="840"/>
      <c r="AA96" s="841"/>
      <c r="AB96" s="841"/>
      <c r="AC96" s="842"/>
      <c r="AD96" s="843"/>
      <c r="AE96" s="844"/>
      <c r="AF96" s="845"/>
      <c r="AG96" s="845"/>
      <c r="AH96" s="846"/>
      <c r="AI96" s="847"/>
      <c r="AJ96" s="27"/>
      <c r="AK96" s="28">
        <v>1</v>
      </c>
      <c r="AL96" s="29" t="s">
        <v>35</v>
      </c>
      <c r="AM96" s="27"/>
      <c r="AN96" s="27"/>
      <c r="AO96" s="27"/>
      <c r="AP96" s="27"/>
      <c r="AQ96" s="27"/>
      <c r="AR96" s="3"/>
    </row>
    <row r="97" spans="1:44" ht="18.75" customHeight="1" x14ac:dyDescent="0.2">
      <c r="A97" s="829" t="str">
        <f>IF($AK94&gt;2,"3","")</f>
        <v>3</v>
      </c>
      <c r="B97" s="831" t="s">
        <v>7</v>
      </c>
      <c r="C97" s="832"/>
      <c r="D97" s="832"/>
      <c r="E97" s="833" t="str">
        <f>AU10</f>
        <v>C1VB 14 State Grvl</v>
      </c>
      <c r="F97" s="834"/>
      <c r="G97" s="834"/>
      <c r="H97" s="834"/>
      <c r="I97" s="834"/>
      <c r="J97" s="834"/>
      <c r="K97" s="835"/>
      <c r="L97" s="836">
        <f>IF($AK95=0,AF151,AF133)</f>
        <v>0</v>
      </c>
      <c r="M97" s="837"/>
      <c r="N97" s="837"/>
      <c r="O97" s="837"/>
      <c r="P97" s="837"/>
      <c r="Q97" s="872"/>
      <c r="R97" s="836">
        <f>IF($AK95=0,AG151,AG133)</f>
        <v>8</v>
      </c>
      <c r="S97" s="837"/>
      <c r="T97" s="837"/>
      <c r="U97" s="837"/>
      <c r="V97" s="837"/>
      <c r="W97" s="836">
        <f>AQ111</f>
        <v>-72</v>
      </c>
      <c r="X97" s="837"/>
      <c r="Y97" s="837"/>
      <c r="Z97" s="809">
        <f>IF(AF145&gt;0,(AQ111/AF145),0)</f>
        <v>-0.36</v>
      </c>
      <c r="AA97" s="810"/>
      <c r="AB97" s="810"/>
      <c r="AC97" s="813">
        <f>IF(AF159=0,0,(AF151/AF159))</f>
        <v>0</v>
      </c>
      <c r="AD97" s="814"/>
      <c r="AE97" s="815"/>
      <c r="AF97" s="819">
        <v>5</v>
      </c>
      <c r="AG97" s="819">
        <v>1</v>
      </c>
      <c r="AH97" s="821">
        <v>13</v>
      </c>
      <c r="AI97" s="822"/>
      <c r="AJ97" s="36"/>
      <c r="AK97" s="28">
        <v>8</v>
      </c>
      <c r="AL97" s="37" t="s">
        <v>36</v>
      </c>
      <c r="AM97" s="29"/>
      <c r="AN97" s="29"/>
      <c r="AO97" s="29"/>
      <c r="AP97" s="29"/>
      <c r="AQ97" s="29"/>
      <c r="AR97" s="30"/>
    </row>
    <row r="98" spans="1:44" ht="18.75" customHeight="1" thickBot="1" x14ac:dyDescent="0.25">
      <c r="A98" s="830"/>
      <c r="B98" s="848" t="s">
        <v>8</v>
      </c>
      <c r="C98" s="849"/>
      <c r="D98" s="849"/>
      <c r="E98" s="850" t="str">
        <f>AV10</f>
        <v>fj4crone7pm</v>
      </c>
      <c r="F98" s="851"/>
      <c r="G98" s="851"/>
      <c r="H98" s="851"/>
      <c r="I98" s="851"/>
      <c r="J98" s="851"/>
      <c r="K98" s="851"/>
      <c r="L98" s="852"/>
      <c r="M98" s="853"/>
      <c r="N98" s="853"/>
      <c r="O98" s="853"/>
      <c r="P98" s="853"/>
      <c r="Q98" s="872"/>
      <c r="R98" s="852"/>
      <c r="S98" s="853"/>
      <c r="T98" s="853"/>
      <c r="U98" s="853"/>
      <c r="V98" s="853"/>
      <c r="W98" s="852"/>
      <c r="X98" s="853"/>
      <c r="Y98" s="853"/>
      <c r="Z98" s="840"/>
      <c r="AA98" s="841"/>
      <c r="AB98" s="841"/>
      <c r="AC98" s="842"/>
      <c r="AD98" s="843"/>
      <c r="AE98" s="844"/>
      <c r="AF98" s="845"/>
      <c r="AG98" s="845"/>
      <c r="AH98" s="846"/>
      <c r="AI98" s="847"/>
      <c r="AJ98" s="36"/>
      <c r="AK98" s="38"/>
      <c r="AL98" s="39"/>
      <c r="AM98" s="39"/>
      <c r="AN98" s="39"/>
      <c r="AO98" s="39"/>
      <c r="AP98" s="39"/>
      <c r="AQ98" s="27"/>
      <c r="AR98" s="3"/>
    </row>
    <row r="99" spans="1:44" ht="18.75" customHeight="1" x14ac:dyDescent="0.2">
      <c r="A99" s="829" t="str">
        <f>IF($AK94&gt;3,"4","")</f>
        <v>4</v>
      </c>
      <c r="B99" s="831" t="s">
        <v>7</v>
      </c>
      <c r="C99" s="832"/>
      <c r="D99" s="832"/>
      <c r="E99" s="833" t="str">
        <f>AU13</f>
        <v>TC Extreme 14 Amber</v>
      </c>
      <c r="F99" s="834"/>
      <c r="G99" s="834"/>
      <c r="H99" s="834"/>
      <c r="I99" s="834"/>
      <c r="J99" s="834"/>
      <c r="K99" s="835"/>
      <c r="L99" s="836">
        <f>IF($AK95=0,AF152,AF134)</f>
        <v>6</v>
      </c>
      <c r="M99" s="837"/>
      <c r="N99" s="837"/>
      <c r="O99" s="837"/>
      <c r="P99" s="837"/>
      <c r="Q99" s="872"/>
      <c r="R99" s="836">
        <f>IF($AK95=0,AG152,AG134)</f>
        <v>2</v>
      </c>
      <c r="S99" s="837"/>
      <c r="T99" s="837"/>
      <c r="U99" s="837"/>
      <c r="V99" s="837"/>
      <c r="W99" s="836">
        <f>AQ112</f>
        <v>35</v>
      </c>
      <c r="X99" s="837"/>
      <c r="Y99" s="837"/>
      <c r="Z99" s="809">
        <f>IF(AF146&gt;0,(AQ112/AF146),0)</f>
        <v>0.17241379310344829</v>
      </c>
      <c r="AA99" s="810"/>
      <c r="AB99" s="810"/>
      <c r="AC99" s="813">
        <f>IF(AF160=0,0,(AF152/AF160))</f>
        <v>0.75</v>
      </c>
      <c r="AD99" s="814"/>
      <c r="AE99" s="815"/>
      <c r="AF99" s="819">
        <v>1</v>
      </c>
      <c r="AG99" s="819">
        <v>1</v>
      </c>
      <c r="AH99" s="821">
        <v>1</v>
      </c>
      <c r="AI99" s="822"/>
      <c r="AJ99" s="11"/>
      <c r="AK99" s="39"/>
      <c r="AL99" s="39"/>
      <c r="AM99" s="39"/>
      <c r="AN99" s="39"/>
      <c r="AO99" s="39"/>
      <c r="AP99" s="39"/>
      <c r="AQ99" s="29"/>
      <c r="AR99" s="30"/>
    </row>
    <row r="100" spans="1:44" ht="18.75" customHeight="1" thickBot="1" x14ac:dyDescent="0.25">
      <c r="A100" s="830"/>
      <c r="B100" s="848" t="s">
        <v>8</v>
      </c>
      <c r="C100" s="849"/>
      <c r="D100" s="849"/>
      <c r="E100" s="850" t="str">
        <f>AV13</f>
        <v>fj4triex1so</v>
      </c>
      <c r="F100" s="851"/>
      <c r="G100" s="851"/>
      <c r="H100" s="851"/>
      <c r="I100" s="851"/>
      <c r="J100" s="851"/>
      <c r="K100" s="851"/>
      <c r="L100" s="852"/>
      <c r="M100" s="853"/>
      <c r="N100" s="853"/>
      <c r="O100" s="853"/>
      <c r="P100" s="853"/>
      <c r="Q100" s="872"/>
      <c r="R100" s="852"/>
      <c r="S100" s="853"/>
      <c r="T100" s="853"/>
      <c r="U100" s="853"/>
      <c r="V100" s="853"/>
      <c r="W100" s="852"/>
      <c r="X100" s="853"/>
      <c r="Y100" s="853"/>
      <c r="Z100" s="840"/>
      <c r="AA100" s="841"/>
      <c r="AB100" s="841"/>
      <c r="AC100" s="842"/>
      <c r="AD100" s="843"/>
      <c r="AE100" s="844"/>
      <c r="AF100" s="845"/>
      <c r="AG100" s="845"/>
      <c r="AH100" s="846"/>
      <c r="AI100" s="847"/>
      <c r="AJ100" s="11"/>
      <c r="AK100" s="39"/>
      <c r="AL100" s="39"/>
      <c r="AM100" s="39"/>
      <c r="AN100" s="39"/>
      <c r="AO100" s="39"/>
      <c r="AP100" s="39"/>
      <c r="AQ100" s="11"/>
      <c r="AR100" s="3"/>
    </row>
    <row r="101" spans="1:44" ht="18.75" customHeight="1" x14ac:dyDescent="0.2">
      <c r="A101" s="829" t="str">
        <f>IF($AK94&gt;4,"5","")</f>
        <v>5</v>
      </c>
      <c r="B101" s="831" t="s">
        <v>7</v>
      </c>
      <c r="C101" s="832"/>
      <c r="D101" s="832"/>
      <c r="E101" s="833" t="str">
        <f>AU16</f>
        <v>BVA 14 Black</v>
      </c>
      <c r="F101" s="834"/>
      <c r="G101" s="834"/>
      <c r="H101" s="834"/>
      <c r="I101" s="834"/>
      <c r="J101" s="834"/>
      <c r="K101" s="835"/>
      <c r="L101" s="836">
        <f>IF($AK95=0,AF153,AF135)</f>
        <v>5</v>
      </c>
      <c r="M101" s="837"/>
      <c r="N101" s="837"/>
      <c r="O101" s="837"/>
      <c r="P101" s="837"/>
      <c r="Q101" s="872"/>
      <c r="R101" s="836">
        <f>IF($AK95=0,AG153,AG135)</f>
        <v>3</v>
      </c>
      <c r="S101" s="837"/>
      <c r="T101" s="837"/>
      <c r="U101" s="837"/>
      <c r="V101" s="837"/>
      <c r="W101" s="836">
        <f>AQ113</f>
        <v>11</v>
      </c>
      <c r="X101" s="837"/>
      <c r="Y101" s="837"/>
      <c r="Z101" s="809">
        <f>IF(AF147&gt;0,(AQ113/AF147),0)</f>
        <v>5.5E-2</v>
      </c>
      <c r="AA101" s="810"/>
      <c r="AB101" s="810"/>
      <c r="AC101" s="813">
        <f>IF(AF161=0,0,(AF153/AF161))</f>
        <v>0.625</v>
      </c>
      <c r="AD101" s="814"/>
      <c r="AE101" s="815"/>
      <c r="AF101" s="819">
        <v>2</v>
      </c>
      <c r="AG101" s="819">
        <v>2</v>
      </c>
      <c r="AH101" s="821">
        <v>7</v>
      </c>
      <c r="AI101" s="822"/>
      <c r="AJ101" s="11"/>
      <c r="AK101" s="39"/>
      <c r="AL101" s="39"/>
      <c r="AM101" s="39"/>
      <c r="AN101" s="39"/>
      <c r="AO101" s="39"/>
      <c r="AP101" s="39"/>
      <c r="AQ101" s="11"/>
      <c r="AR101" s="3"/>
    </row>
    <row r="102" spans="1:44" ht="18.75" customHeight="1" thickBot="1" x14ac:dyDescent="0.25">
      <c r="A102" s="830"/>
      <c r="B102" s="825" t="s">
        <v>8</v>
      </c>
      <c r="C102" s="826"/>
      <c r="D102" s="826"/>
      <c r="E102" s="827" t="str">
        <f>AV16</f>
        <v>fj4biltm2cr</v>
      </c>
      <c r="F102" s="828"/>
      <c r="G102" s="828"/>
      <c r="H102" s="828"/>
      <c r="I102" s="828"/>
      <c r="J102" s="828"/>
      <c r="K102" s="828"/>
      <c r="L102" s="838"/>
      <c r="M102" s="839"/>
      <c r="N102" s="839"/>
      <c r="O102" s="839"/>
      <c r="P102" s="839"/>
      <c r="Q102" s="872"/>
      <c r="R102" s="838"/>
      <c r="S102" s="839"/>
      <c r="T102" s="839"/>
      <c r="U102" s="839"/>
      <c r="V102" s="839"/>
      <c r="W102" s="838"/>
      <c r="X102" s="839"/>
      <c r="Y102" s="839"/>
      <c r="Z102" s="811"/>
      <c r="AA102" s="812"/>
      <c r="AB102" s="812"/>
      <c r="AC102" s="816"/>
      <c r="AD102" s="817"/>
      <c r="AE102" s="818"/>
      <c r="AF102" s="820"/>
      <c r="AG102" s="820"/>
      <c r="AH102" s="823"/>
      <c r="AI102" s="824"/>
      <c r="AJ102" s="11"/>
      <c r="AK102" s="39"/>
      <c r="AL102" s="39"/>
      <c r="AM102" s="39"/>
      <c r="AN102" s="39"/>
      <c r="AO102" s="39"/>
      <c r="AP102" s="39"/>
      <c r="AQ102" s="11"/>
      <c r="AR102" s="3"/>
    </row>
    <row r="103" spans="1:44" ht="21" customHeight="1" thickTop="1" thickBot="1" x14ac:dyDescent="0.25">
      <c r="A103" s="40"/>
      <c r="B103" s="806" t="s">
        <v>168</v>
      </c>
      <c r="C103" s="807"/>
      <c r="D103" s="807"/>
      <c r="E103" s="807"/>
      <c r="F103" s="807"/>
      <c r="G103" s="807"/>
      <c r="H103" s="807"/>
      <c r="I103" s="807"/>
      <c r="J103" s="807"/>
      <c r="K103" s="807"/>
      <c r="L103" s="807"/>
      <c r="M103" s="807"/>
      <c r="N103" s="807"/>
      <c r="O103" s="807"/>
      <c r="P103" s="807"/>
      <c r="Q103" s="807"/>
      <c r="R103" s="807"/>
      <c r="S103" s="807"/>
      <c r="T103" s="807"/>
      <c r="U103" s="807"/>
      <c r="V103" s="807"/>
      <c r="W103" s="807"/>
      <c r="X103" s="807"/>
      <c r="Y103" s="807"/>
      <c r="Z103" s="807"/>
      <c r="AA103" s="807"/>
      <c r="AB103" s="807"/>
      <c r="AC103" s="807"/>
      <c r="AD103" s="807"/>
      <c r="AE103" s="807"/>
      <c r="AF103" s="807"/>
      <c r="AG103" s="807"/>
      <c r="AH103" s="807"/>
      <c r="AI103" s="808"/>
      <c r="AJ103" s="11"/>
      <c r="AK103" s="39"/>
      <c r="AL103" s="39"/>
      <c r="AM103" s="39"/>
      <c r="AN103" s="39"/>
      <c r="AO103" s="39"/>
      <c r="AP103" s="39"/>
      <c r="AQ103" s="11"/>
      <c r="AR103" s="3"/>
    </row>
    <row r="104" spans="1:44" ht="13.5" thickTop="1" x14ac:dyDescent="0.2">
      <c r="A104" s="4" t="s">
        <v>39</v>
      </c>
      <c r="B104" s="795">
        <v>0.35416666666666669</v>
      </c>
      <c r="C104" s="796"/>
      <c r="D104" s="797"/>
      <c r="E104" s="795">
        <v>0.38194444444444442</v>
      </c>
      <c r="F104" s="796"/>
      <c r="G104" s="797"/>
      <c r="H104" s="795">
        <v>0.40972222222222227</v>
      </c>
      <c r="I104" s="796"/>
      <c r="J104" s="797"/>
      <c r="K104" s="795">
        <v>0.4375</v>
      </c>
      <c r="L104" s="796"/>
      <c r="M104" s="797"/>
      <c r="N104" s="795">
        <v>0.46527777777777773</v>
      </c>
      <c r="O104" s="796"/>
      <c r="P104" s="797"/>
      <c r="Q104" s="795">
        <v>0.49305555555555558</v>
      </c>
      <c r="R104" s="796"/>
      <c r="S104" s="797"/>
      <c r="T104" s="795">
        <v>0.52083333333333337</v>
      </c>
      <c r="U104" s="796"/>
      <c r="V104" s="797"/>
      <c r="W104" s="795">
        <v>4.8611111111111112E-2</v>
      </c>
      <c r="X104" s="796"/>
      <c r="Y104" s="797"/>
      <c r="Z104" s="795">
        <v>7.6388888888888895E-2</v>
      </c>
      <c r="AA104" s="796"/>
      <c r="AB104" s="797"/>
      <c r="AC104" s="795">
        <v>0.10416666666666667</v>
      </c>
      <c r="AD104" s="796"/>
      <c r="AE104" s="797"/>
      <c r="AF104" s="798" t="s">
        <v>40</v>
      </c>
      <c r="AG104" s="799"/>
      <c r="AH104" s="799"/>
      <c r="AI104" s="799"/>
      <c r="AJ104" s="800"/>
      <c r="AK104" s="800"/>
      <c r="AL104" s="800"/>
      <c r="AM104" s="800"/>
      <c r="AN104" s="800"/>
      <c r="AO104" s="800"/>
      <c r="AP104" s="800"/>
      <c r="AQ104" s="801"/>
    </row>
    <row r="105" spans="1:44" x14ac:dyDescent="0.2">
      <c r="A105" s="41" t="s">
        <v>41</v>
      </c>
      <c r="B105" s="792"/>
      <c r="C105" s="793"/>
      <c r="D105" s="794"/>
      <c r="E105" s="792"/>
      <c r="F105" s="793"/>
      <c r="G105" s="794"/>
      <c r="H105" s="792"/>
      <c r="I105" s="793"/>
      <c r="J105" s="794"/>
      <c r="K105" s="792"/>
      <c r="L105" s="793"/>
      <c r="M105" s="794"/>
      <c r="N105" s="792"/>
      <c r="O105" s="793"/>
      <c r="P105" s="794"/>
      <c r="Q105" s="792"/>
      <c r="R105" s="793"/>
      <c r="S105" s="794"/>
      <c r="T105" s="792"/>
      <c r="U105" s="793"/>
      <c r="V105" s="794"/>
      <c r="W105" s="792"/>
      <c r="X105" s="793"/>
      <c r="Y105" s="794"/>
      <c r="Z105" s="792"/>
      <c r="AA105" s="793"/>
      <c r="AB105" s="794"/>
      <c r="AC105" s="792"/>
      <c r="AD105" s="793"/>
      <c r="AE105" s="794"/>
      <c r="AF105" s="798"/>
      <c r="AG105" s="799"/>
      <c r="AH105" s="799"/>
      <c r="AI105" s="799"/>
      <c r="AJ105" s="799"/>
      <c r="AK105" s="799"/>
      <c r="AL105" s="799"/>
      <c r="AM105" s="799"/>
      <c r="AN105" s="799"/>
      <c r="AO105" s="799"/>
      <c r="AP105" s="799"/>
      <c r="AQ105" s="802"/>
    </row>
    <row r="106" spans="1:44" x14ac:dyDescent="0.2">
      <c r="A106" s="41" t="s">
        <v>42</v>
      </c>
      <c r="B106" s="792"/>
      <c r="C106" s="793"/>
      <c r="D106" s="794"/>
      <c r="E106" s="792"/>
      <c r="F106" s="793"/>
      <c r="G106" s="794"/>
      <c r="H106" s="792"/>
      <c r="I106" s="793"/>
      <c r="J106" s="794"/>
      <c r="K106" s="792"/>
      <c r="L106" s="793"/>
      <c r="M106" s="794"/>
      <c r="N106" s="792"/>
      <c r="O106" s="793"/>
      <c r="P106" s="794"/>
      <c r="Q106" s="792"/>
      <c r="R106" s="793"/>
      <c r="S106" s="794"/>
      <c r="T106" s="792"/>
      <c r="U106" s="793"/>
      <c r="V106" s="794"/>
      <c r="W106" s="792"/>
      <c r="X106" s="793"/>
      <c r="Y106" s="794"/>
      <c r="Z106" s="792"/>
      <c r="AA106" s="793"/>
      <c r="AB106" s="794"/>
      <c r="AC106" s="792"/>
      <c r="AD106" s="793"/>
      <c r="AE106" s="794"/>
      <c r="AF106" s="798"/>
      <c r="AG106" s="799"/>
      <c r="AH106" s="799"/>
      <c r="AI106" s="799"/>
      <c r="AJ106" s="799"/>
      <c r="AK106" s="799"/>
      <c r="AL106" s="799"/>
      <c r="AM106" s="799"/>
      <c r="AN106" s="799"/>
      <c r="AO106" s="799"/>
      <c r="AP106" s="799"/>
      <c r="AQ106" s="802"/>
    </row>
    <row r="107" spans="1:44" ht="13.5" thickBot="1" x14ac:dyDescent="0.25">
      <c r="A107" s="11"/>
      <c r="B107" s="684" t="s">
        <v>43</v>
      </c>
      <c r="C107" s="685"/>
      <c r="D107" s="691"/>
      <c r="E107" s="684" t="str">
        <f>IF(AK93&gt;1,"Match 2","")</f>
        <v>Match 2</v>
      </c>
      <c r="F107" s="685"/>
      <c r="G107" s="691"/>
      <c r="H107" s="684" t="str">
        <f>IF(AK93&gt;2,"Match 3","")</f>
        <v>Match 3</v>
      </c>
      <c r="I107" s="685"/>
      <c r="J107" s="691"/>
      <c r="K107" s="684" t="str">
        <f>IF(AK93&gt;3,"Match 4","")</f>
        <v>Match 4</v>
      </c>
      <c r="L107" s="685"/>
      <c r="M107" s="691"/>
      <c r="N107" s="684" t="str">
        <f>IF(AK93&gt;4,"Match 5","")</f>
        <v>Match 5</v>
      </c>
      <c r="O107" s="685"/>
      <c r="P107" s="691"/>
      <c r="Q107" s="684" t="str">
        <f>IF(AK93&gt;5,"Match 6","")</f>
        <v>Match 6</v>
      </c>
      <c r="R107" s="685"/>
      <c r="S107" s="691"/>
      <c r="T107" s="684" t="str">
        <f>IF(AK93&gt;6,"Match 7","")</f>
        <v>Match 7</v>
      </c>
      <c r="U107" s="685"/>
      <c r="V107" s="691"/>
      <c r="W107" s="684" t="str">
        <f>IF(AK93&gt;7,"Match 8","")</f>
        <v>Match 8</v>
      </c>
      <c r="X107" s="685"/>
      <c r="Y107" s="691"/>
      <c r="Z107" s="684" t="str">
        <f>IF(AK93&gt;8,"Match 9","")</f>
        <v>Match 9</v>
      </c>
      <c r="AA107" s="685"/>
      <c r="AB107" s="691"/>
      <c r="AC107" s="684" t="str">
        <f>IF(AK93&gt;9,"Match 10","")</f>
        <v>Match 10</v>
      </c>
      <c r="AD107" s="685"/>
      <c r="AE107" s="691"/>
      <c r="AF107" s="803"/>
      <c r="AG107" s="804"/>
      <c r="AH107" s="804"/>
      <c r="AI107" s="804"/>
      <c r="AJ107" s="804"/>
      <c r="AK107" s="804"/>
      <c r="AL107" s="804"/>
      <c r="AM107" s="804"/>
      <c r="AN107" s="804"/>
      <c r="AO107" s="804"/>
      <c r="AP107" s="804"/>
      <c r="AQ107" s="805"/>
    </row>
    <row r="108" spans="1:44" ht="15.75" x14ac:dyDescent="0.25">
      <c r="A108" s="11"/>
      <c r="B108" s="786" t="s">
        <v>44</v>
      </c>
      <c r="C108" s="787"/>
      <c r="D108" s="788"/>
      <c r="E108" s="786" t="s">
        <v>45</v>
      </c>
      <c r="F108" s="787"/>
      <c r="G108" s="788"/>
      <c r="H108" s="786" t="s">
        <v>46</v>
      </c>
      <c r="I108" s="787"/>
      <c r="J108" s="788"/>
      <c r="K108" s="786" t="s">
        <v>47</v>
      </c>
      <c r="L108" s="787"/>
      <c r="M108" s="788"/>
      <c r="N108" s="786" t="s">
        <v>48</v>
      </c>
      <c r="O108" s="787"/>
      <c r="P108" s="788"/>
      <c r="Q108" s="786" t="s">
        <v>46</v>
      </c>
      <c r="R108" s="787"/>
      <c r="S108" s="788"/>
      <c r="T108" s="786" t="s">
        <v>44</v>
      </c>
      <c r="U108" s="787"/>
      <c r="V108" s="788"/>
      <c r="W108" s="786" t="s">
        <v>48</v>
      </c>
      <c r="X108" s="787"/>
      <c r="Y108" s="788"/>
      <c r="Z108" s="786" t="s">
        <v>47</v>
      </c>
      <c r="AA108" s="787"/>
      <c r="AB108" s="788"/>
      <c r="AC108" s="786" t="s">
        <v>45</v>
      </c>
      <c r="AD108" s="787"/>
      <c r="AE108" s="788"/>
      <c r="AF108" s="42" t="s">
        <v>49</v>
      </c>
      <c r="AG108" s="43">
        <v>1</v>
      </c>
      <c r="AH108" s="43">
        <v>2</v>
      </c>
      <c r="AI108" s="43">
        <v>3</v>
      </c>
      <c r="AJ108" s="43">
        <v>4</v>
      </c>
      <c r="AK108" s="43">
        <v>5</v>
      </c>
      <c r="AL108" s="43">
        <v>6</v>
      </c>
      <c r="AM108" s="43">
        <v>7</v>
      </c>
      <c r="AN108" s="43">
        <v>8</v>
      </c>
      <c r="AO108" s="43">
        <v>9</v>
      </c>
      <c r="AP108" s="43">
        <v>10</v>
      </c>
      <c r="AQ108" s="44" t="s">
        <v>50</v>
      </c>
    </row>
    <row r="109" spans="1:44" ht="15.75" x14ac:dyDescent="0.25">
      <c r="A109" s="11"/>
      <c r="B109" s="45">
        <v>2</v>
      </c>
      <c r="C109" s="46" t="s">
        <v>51</v>
      </c>
      <c r="D109" s="47">
        <v>5</v>
      </c>
      <c r="E109" s="45">
        <v>1</v>
      </c>
      <c r="F109" s="46" t="str">
        <f>IF(AK93&gt;1,"v","")</f>
        <v>v</v>
      </c>
      <c r="G109" s="47">
        <v>4</v>
      </c>
      <c r="H109" s="45">
        <v>3</v>
      </c>
      <c r="I109" s="46" t="str">
        <f>IF(AK93&gt;2,"v","")</f>
        <v>v</v>
      </c>
      <c r="J109" s="47">
        <v>5</v>
      </c>
      <c r="K109" s="45">
        <v>2</v>
      </c>
      <c r="L109" s="46" t="str">
        <f>IF(AK93&gt;3,"v","")</f>
        <v>v</v>
      </c>
      <c r="M109" s="47">
        <v>4</v>
      </c>
      <c r="N109" s="45">
        <v>1</v>
      </c>
      <c r="O109" s="46" t="str">
        <f>IF(AK93&gt;4,"v","")</f>
        <v>v</v>
      </c>
      <c r="P109" s="47">
        <v>3</v>
      </c>
      <c r="Q109" s="45">
        <v>4</v>
      </c>
      <c r="R109" s="46" t="str">
        <f>IF(AK93&gt;5,"v","")</f>
        <v>v</v>
      </c>
      <c r="S109" s="47">
        <v>5</v>
      </c>
      <c r="T109" s="45">
        <v>2</v>
      </c>
      <c r="U109" s="46" t="str">
        <f>IF(AK93&gt;6,"v","")</f>
        <v>v</v>
      </c>
      <c r="V109" s="47">
        <v>3</v>
      </c>
      <c r="W109" s="45">
        <v>1</v>
      </c>
      <c r="X109" s="46" t="str">
        <f>IF(AK93&gt;7,"v","")</f>
        <v>v</v>
      </c>
      <c r="Y109" s="47">
        <v>5</v>
      </c>
      <c r="Z109" s="45">
        <v>3</v>
      </c>
      <c r="AA109" s="46" t="str">
        <f>IF(AK93&gt;8,"v","")</f>
        <v>v</v>
      </c>
      <c r="AB109" s="47">
        <v>4</v>
      </c>
      <c r="AC109" s="45">
        <v>1</v>
      </c>
      <c r="AD109" s="46" t="str">
        <f>IF(AK93&gt;9,"v","")</f>
        <v>v</v>
      </c>
      <c r="AE109" s="47">
        <v>2</v>
      </c>
      <c r="AF109" s="42" t="str">
        <f>IF(AK94&gt;0,"Team 1","")</f>
        <v>Team 1</v>
      </c>
      <c r="AG109" s="48" t="str">
        <f>IF(AK94&lt;1,"",IF(AK93&lt;1,"",IF(B109=1,B115-D115,IF(D109=1,D115-B115,""))))</f>
        <v/>
      </c>
      <c r="AH109" s="48">
        <f>IF(AK94&lt;1,"",IF(AK93&lt;2,"",IF(E109=1,E115-G115,IF(G109=1,G115-E115,""))))</f>
        <v>-8</v>
      </c>
      <c r="AI109" s="48" t="str">
        <f>IF(AK94&lt;1,"",IF(AK93&lt;3,"",IF(H109=1,H115-J115,IF(J109=1,J115-H115,""))))</f>
        <v/>
      </c>
      <c r="AJ109" s="48" t="str">
        <f>IF(AK94&lt;1,"",IF(AK93&lt;4,"",IF(K109=1,K115-M115,IF(M109=1,M115-K115,""))))</f>
        <v/>
      </c>
      <c r="AK109" s="48">
        <f>IF(AK94&lt;1,"",IF(AK93&lt;5,"",IF(N109=1,N115-P115,IF(P109=1,P115-N115,""))))</f>
        <v>18</v>
      </c>
      <c r="AL109" s="48" t="str">
        <f>IF(AK94&lt;1,"",IF(AK93&lt;6,"",IF(Q109=1,Q115-S115,IF(S109=1,S115-Q115,""))))</f>
        <v/>
      </c>
      <c r="AM109" s="48" t="str">
        <f>IF(AK94&lt;1,"",IF(AK93&lt;7,"",IF(T109=1,T115-V115,IF(V109=1,V115-T115,""))))</f>
        <v/>
      </c>
      <c r="AN109" s="48">
        <f>IF(AK94&lt;1,"",IF(AK93&lt;8,"",IF(W109=1,W115-Y115,IF(Y109=1,Y115-W115,""))))</f>
        <v>3</v>
      </c>
      <c r="AO109" s="48" t="str">
        <f>IF(AK94&lt;1,"",IF(AK93&lt;9,"",IF(Z109=1,Z115-AB115,IF(AB109=1,AB115-Z115,""))))</f>
        <v/>
      </c>
      <c r="AP109" s="48">
        <f>IF(AK94&lt;1,"",IF(AK93&lt;10,"",IF(AC109=1,AC115-AE115,IF(AE109=1,AE115-AC115,""))))</f>
        <v>-5</v>
      </c>
      <c r="AQ109" s="44">
        <f>SUM(AG109:AP109)</f>
        <v>8</v>
      </c>
    </row>
    <row r="110" spans="1:44" ht="15" x14ac:dyDescent="0.2">
      <c r="A110" s="4" t="s">
        <v>52</v>
      </c>
      <c r="B110" s="49">
        <v>21</v>
      </c>
      <c r="C110" s="50" t="s">
        <v>53</v>
      </c>
      <c r="D110" s="51">
        <v>25</v>
      </c>
      <c r="E110" s="49">
        <v>20</v>
      </c>
      <c r="F110" s="50" t="str">
        <f>IF(AK93&gt;1,"/","")</f>
        <v>/</v>
      </c>
      <c r="G110" s="51">
        <v>25</v>
      </c>
      <c r="H110" s="49">
        <v>17</v>
      </c>
      <c r="I110" s="50" t="str">
        <f>IF(AK93&gt;2,"/","")</f>
        <v>/</v>
      </c>
      <c r="J110" s="51">
        <v>25</v>
      </c>
      <c r="K110" s="49">
        <v>26</v>
      </c>
      <c r="L110" s="50" t="str">
        <f>IF(AK93&gt;3,"/","")</f>
        <v>/</v>
      </c>
      <c r="M110" s="51">
        <v>24</v>
      </c>
      <c r="N110" s="49">
        <v>25</v>
      </c>
      <c r="O110" s="50" t="str">
        <f>IF(AK93&gt;4,"/","")</f>
        <v>/</v>
      </c>
      <c r="P110" s="51">
        <v>17</v>
      </c>
      <c r="Q110" s="49">
        <v>25</v>
      </c>
      <c r="R110" s="50" t="str">
        <f>IF(AK93&gt;5,"/","")</f>
        <v>/</v>
      </c>
      <c r="S110" s="51">
        <v>23</v>
      </c>
      <c r="T110" s="49">
        <v>25</v>
      </c>
      <c r="U110" s="50" t="str">
        <f>IF(AK93&gt;6,"/","")</f>
        <v>/</v>
      </c>
      <c r="V110" s="51">
        <v>13</v>
      </c>
      <c r="W110" s="49">
        <v>25</v>
      </c>
      <c r="X110" s="50" t="str">
        <f>IF(AK93&gt;7,"/","")</f>
        <v>/</v>
      </c>
      <c r="Y110" s="51">
        <v>14</v>
      </c>
      <c r="Z110" s="49">
        <v>12</v>
      </c>
      <c r="AA110" s="50" t="str">
        <f>IF(AK93&gt;8,"/","")</f>
        <v>/</v>
      </c>
      <c r="AB110" s="51">
        <v>25</v>
      </c>
      <c r="AC110" s="49">
        <v>18</v>
      </c>
      <c r="AD110" s="50" t="str">
        <f>IF(AK93&gt;9,"/","")</f>
        <v>/</v>
      </c>
      <c r="AE110" s="51">
        <v>25</v>
      </c>
      <c r="AF110" s="42" t="str">
        <f>IF(AK94&gt;1,"Team 2","")</f>
        <v>Team 2</v>
      </c>
      <c r="AG110" s="48">
        <f>IF(AK94&lt;2,"",IF(AK93&lt;1,"",IF(B109=2,B115-D115,IF(D109=2,D115-B115,""))))</f>
        <v>-8</v>
      </c>
      <c r="AH110" s="48" t="str">
        <f>IF(AK94&lt;2,"",IF(AK93&lt;2,"",IF(E109=2,E115-G115,IF(G109=2,G115-E115,""))))</f>
        <v/>
      </c>
      <c r="AI110" s="48" t="str">
        <f>IF(AK94&lt;2,"",IF(AK93&lt;3,"",IF(H109=2,H115-J115,IF(J109=2,J115-H115,""))))</f>
        <v/>
      </c>
      <c r="AJ110" s="48">
        <f>IF(AK94&lt;2,"",IF(AK93&lt;4,"",IF(K109=2,K115-M115,IF(M109=2,M115-K115,""))))</f>
        <v>3</v>
      </c>
      <c r="AK110" s="48" t="str">
        <f>IF(AK94&lt;2,"",IF(AK93&lt;5,"",IF(N109=2,N115-P115,IF(P109=2,P115-N115,""))))</f>
        <v/>
      </c>
      <c r="AL110" s="48" t="str">
        <f>IF(AK94&lt;2,"",IF(AK93&lt;6,"",IF(Q109=2,Q115-S115,IF(S109=2,S115-Q115,""))))</f>
        <v/>
      </c>
      <c r="AM110" s="48">
        <f>IF(AK94&lt;2,"",IF(AK93&lt;7,"",IF(T109=2,T115-V115,IF(V109=2,V115-T115,""))))</f>
        <v>18</v>
      </c>
      <c r="AN110" s="48" t="str">
        <f>IF(AK94&lt;2,"",IF(AK93&lt;8,"",IF(W109=2,W115-Y115,IF(Y109=2,Y115-W115,""))))</f>
        <v/>
      </c>
      <c r="AO110" s="48" t="str">
        <f>IF(AK94&lt;2,"",IF(AK93&lt;9,"",IF(Z109=2,Z115-AB115,IF(AB109=2,AB115-Z115,""))))</f>
        <v/>
      </c>
      <c r="AP110" s="48">
        <f>IF(AK94&lt;2,"",IF(AK93&lt;10,"",IF(AC109=2,AC115-AE115,IF(AE109=2,AE115-AC115,""))))</f>
        <v>5</v>
      </c>
      <c r="AQ110" s="44">
        <f>SUM(AG110:AP110)</f>
        <v>18</v>
      </c>
    </row>
    <row r="111" spans="1:44" ht="15" x14ac:dyDescent="0.2">
      <c r="A111" s="3" t="str">
        <f>IF(AK92&gt;1,"Game 2","")</f>
        <v>Game 2</v>
      </c>
      <c r="B111" s="49">
        <v>21</v>
      </c>
      <c r="C111" s="50" t="s">
        <v>53</v>
      </c>
      <c r="D111" s="51">
        <v>25</v>
      </c>
      <c r="E111" s="49">
        <v>22</v>
      </c>
      <c r="F111" s="50" t="str">
        <f>IF(AK93&gt;1,IF(AK92&gt;1,"/",""),"")</f>
        <v>/</v>
      </c>
      <c r="G111" s="51">
        <v>25</v>
      </c>
      <c r="H111" s="49">
        <v>18</v>
      </c>
      <c r="I111" s="50" t="str">
        <f>IF(AK93&gt;2,IF(AK92&gt;1,"/",""),"")</f>
        <v>/</v>
      </c>
      <c r="J111" s="51">
        <v>25</v>
      </c>
      <c r="K111" s="49">
        <v>27</v>
      </c>
      <c r="L111" s="50" t="str">
        <f>IF(AK93&gt;3,IF(AK92&gt;1,"/",""),"")</f>
        <v>/</v>
      </c>
      <c r="M111" s="51">
        <v>26</v>
      </c>
      <c r="N111" s="49">
        <v>25</v>
      </c>
      <c r="O111" s="50" t="str">
        <f>IF(AK93&gt;4,IF(AK92&gt;1,"/",""),"")</f>
        <v>/</v>
      </c>
      <c r="P111" s="51">
        <v>15</v>
      </c>
      <c r="Q111" s="49">
        <v>25</v>
      </c>
      <c r="R111" s="50" t="str">
        <f>IF(AK93&gt;5,IF(AK92&gt;1,"/",""),"")</f>
        <v>/</v>
      </c>
      <c r="S111" s="51">
        <v>18</v>
      </c>
      <c r="T111" s="49">
        <v>25</v>
      </c>
      <c r="U111" s="50" t="str">
        <f>IF(AK93&gt;6,IF(AK92&gt;1,"/",""),"")</f>
        <v>/</v>
      </c>
      <c r="V111" s="51">
        <v>19</v>
      </c>
      <c r="W111" s="49">
        <v>17</v>
      </c>
      <c r="X111" s="50" t="str">
        <f>IF(AK93&gt;7,IF(AK92&gt;1,"/",""),"")</f>
        <v>/</v>
      </c>
      <c r="Y111" s="51">
        <v>25</v>
      </c>
      <c r="Z111" s="49">
        <v>17</v>
      </c>
      <c r="AA111" s="50" t="str">
        <f>IF(AK93&gt;8,IF(AK92&gt;1,"/",""),"")</f>
        <v>/</v>
      </c>
      <c r="AB111" s="51">
        <v>25</v>
      </c>
      <c r="AC111" s="49">
        <v>25</v>
      </c>
      <c r="AD111" s="50" t="str">
        <f>IF(AK93&gt;9,IF(AK92&gt;1,"/",""),"")</f>
        <v>/</v>
      </c>
      <c r="AE111" s="51">
        <v>23</v>
      </c>
      <c r="AF111" s="42" t="str">
        <f>IF(AK94&gt;2,"Team 3","")</f>
        <v>Team 3</v>
      </c>
      <c r="AG111" s="48" t="str">
        <f>IF(AK94&lt;3,"",IF(AK93&lt;1,"",IF(B109=3,B115-D115,IF(D109=3,D115-B115,""))))</f>
        <v/>
      </c>
      <c r="AH111" s="48" t="str">
        <f>IF(AK94&lt;3,"",IF(AK93&lt;2,"",IF(E109=3,E115-G115,IF(G109=3,G115-E115,""))))</f>
        <v/>
      </c>
      <c r="AI111" s="48">
        <f>IF(AK94&lt;3,"",IF(AK93&lt;3,"",IF(H109=3,H115-J115,IF(J109=3,J115-H115,""))))</f>
        <v>-15</v>
      </c>
      <c r="AJ111" s="48" t="str">
        <f>IF(AK94&lt;3,"",IF(AK93&lt;4,"",IF(K109=3,K115-M115,IF(M109=3,M115-K115,""))))</f>
        <v/>
      </c>
      <c r="AK111" s="48">
        <f>IF(AK94&lt;3,"",IF(AK93&lt;5,"",IF(N109=3,N115-P115,IF(P109=3,P115-N115,""))))</f>
        <v>-18</v>
      </c>
      <c r="AL111" s="48" t="str">
        <f>IF(AK94&lt;3,"",IF(AK93&lt;6,"",IF(Q109=3,Q115-S115,IF(S109=3,S115-Q115,""))))</f>
        <v/>
      </c>
      <c r="AM111" s="48">
        <f>IF(AK94&lt;3,"",IF(AK93&lt;7,"",IF(T109=3,T115-V115,IF(V109=3,V115-T115,""))))</f>
        <v>-18</v>
      </c>
      <c r="AN111" s="48" t="str">
        <f>IF(AK94&lt;3,"",IF(AK93&lt;8,"",IF(W109=3,W115-Y115,IF(Y109=3,Y115-W115,""))))</f>
        <v/>
      </c>
      <c r="AO111" s="48">
        <f>IF(AK94&lt;3,"",IF(AK93&lt;9,"",IF(Z109=3,Z115-AB115,IF(AB109=3,AB115-Z115,""))))</f>
        <v>-21</v>
      </c>
      <c r="AP111" s="48" t="str">
        <f>IF(AK94&lt;3,"",IF(AK93&lt;9,"",IF(AC109=3,AC115-AE115,IF(AE109=3,AE115-AC115,""))))</f>
        <v/>
      </c>
      <c r="AQ111" s="44">
        <f>SUM(AG111:AP111)</f>
        <v>-72</v>
      </c>
    </row>
    <row r="112" spans="1:44" ht="15" x14ac:dyDescent="0.2">
      <c r="A112" s="3" t="str">
        <f>IF(AK92&gt;2,"Game 3","")</f>
        <v/>
      </c>
      <c r="B112" s="49"/>
      <c r="C112" s="50" t="s">
        <v>53</v>
      </c>
      <c r="D112" s="51"/>
      <c r="E112" s="49"/>
      <c r="F112" s="50" t="str">
        <f>IF(AK93&gt;1,IF(AK92&gt;2,"/",""),"")</f>
        <v/>
      </c>
      <c r="G112" s="51"/>
      <c r="H112" s="49"/>
      <c r="I112" s="50" t="str">
        <f>IF(AK93&gt;2,IF(AK92&gt;2,"/",""),"")</f>
        <v/>
      </c>
      <c r="J112" s="51"/>
      <c r="K112" s="49"/>
      <c r="L112" s="50" t="str">
        <f>IF(AK93&gt;3,IF(AK92&gt;2,"/",""),"")</f>
        <v/>
      </c>
      <c r="M112" s="51"/>
      <c r="N112" s="49"/>
      <c r="O112" s="50" t="str">
        <f>IF(AK93&gt;4,IF(AK92&gt;2,"/",""),"")</f>
        <v/>
      </c>
      <c r="P112" s="51"/>
      <c r="Q112" s="49"/>
      <c r="R112" s="50" t="str">
        <f>IF(AK93&gt;5,IF(AK92&gt;2,"/",""),"")</f>
        <v/>
      </c>
      <c r="S112" s="51"/>
      <c r="T112" s="49"/>
      <c r="U112" s="50" t="str">
        <f>IF(AK93&gt;6,IF(AK92&gt;2,"/",""),"")</f>
        <v/>
      </c>
      <c r="V112" s="51"/>
      <c r="W112" s="49">
        <v>25</v>
      </c>
      <c r="X112" s="50" t="str">
        <f>IF(AK93&gt;7,IF(AK92&gt;2,"/",""),"")</f>
        <v/>
      </c>
      <c r="Y112" s="51"/>
      <c r="Z112" s="49"/>
      <c r="AA112" s="50" t="str">
        <f>IF(AK93&gt;8,IF(AK92&gt;2,"/",""),"")</f>
        <v/>
      </c>
      <c r="AB112" s="51"/>
      <c r="AC112" s="49"/>
      <c r="AD112" s="50" t="str">
        <f>IF(AK93&gt;9,IF(AK92&gt;2,"/",""),"")</f>
        <v/>
      </c>
      <c r="AE112" s="51"/>
      <c r="AF112" s="42" t="str">
        <f>IF(AK94&gt;3,"Team 4","")</f>
        <v>Team 4</v>
      </c>
      <c r="AG112" s="48" t="str">
        <f>IF(AK94&lt;4,"",IF(AK93&lt;1,"",IF(B109=4,B115-D115,IF(D109=4,D115-B115,""))))</f>
        <v/>
      </c>
      <c r="AH112" s="48">
        <f>IF(AK94&lt;4,"",IF(AK93&lt;2,"",IF(E109=4,E115-G115,IF(G109=4,G115-E115,""))))</f>
        <v>8</v>
      </c>
      <c r="AI112" s="48" t="str">
        <f>IF(AK94&lt;4,"",IF(AK93&lt;3,"",IF(H109=4,H115-J115,IF(J109=4,J115-H115,""))))</f>
        <v/>
      </c>
      <c r="AJ112" s="48">
        <f>IF(AK94&lt;4,"",IF(AK93&lt;4,"",IF(K109=4,K115-M115,IF(M109=4,M115-K115,""))))</f>
        <v>-3</v>
      </c>
      <c r="AK112" s="48" t="str">
        <f>IF(AK94&lt;4,"",IF(AK93&lt;5,"",IF(N109=4,N115-P115,IF(P109=4,P115-N115,""))))</f>
        <v/>
      </c>
      <c r="AL112" s="48">
        <f>IF(AK94&lt;4,"",IF(AK93&lt;6,"",IF(Q109=4,Q115-S115,IF(S109=4,S115-Q115,""))))</f>
        <v>9</v>
      </c>
      <c r="AM112" s="48" t="str">
        <f>IF(AK94&lt;4,"",IF(AK93&lt;7,"",IF(T109=4,T115-V115,IF(V109=4,V115-T115,""))))</f>
        <v/>
      </c>
      <c r="AN112" s="48" t="str">
        <f>IF(AK94&lt;4,"",IF(AK93&lt;8,"",IF(W109=4,W115-Y115,IF(Y109=4,Y115-W115,""))))</f>
        <v/>
      </c>
      <c r="AO112" s="48">
        <f>IF(AK94&lt;4,"",IF(AK93&lt;9,"",IF(Z109=4,Z115-AB115,IF(AB109=4,AB115-Z115,""))))</f>
        <v>21</v>
      </c>
      <c r="AP112" s="48" t="str">
        <f>IF(AK94&lt;4,"",IF(AK93&lt;10,"",IF(AC109=4,AC115-AE115,IF(AE109=4,AE115-AC115,""))))</f>
        <v/>
      </c>
      <c r="AQ112" s="44">
        <f>SUM(AG112:AP112)</f>
        <v>35</v>
      </c>
    </row>
    <row r="113" spans="1:49" ht="15" x14ac:dyDescent="0.2">
      <c r="A113" s="3" t="str">
        <f>IF(AK92&gt;3,"Game 4","")</f>
        <v/>
      </c>
      <c r="B113" s="49"/>
      <c r="C113" s="50" t="s">
        <v>53</v>
      </c>
      <c r="D113" s="51"/>
      <c r="E113" s="49"/>
      <c r="F113" s="50" t="str">
        <f>IF(AK93&gt;1,IF(AK92&gt;3,"/",""),"")</f>
        <v/>
      </c>
      <c r="G113" s="51"/>
      <c r="H113" s="49"/>
      <c r="I113" s="50" t="str">
        <f>IF(AK93&gt;2,IF(AK92&gt;3,"/",""),"")</f>
        <v/>
      </c>
      <c r="J113" s="51"/>
      <c r="K113" s="49"/>
      <c r="L113" s="50" t="str">
        <f>IF(AK93&gt;3,IF(AK92&gt;3,"/",""),"")</f>
        <v/>
      </c>
      <c r="M113" s="51"/>
      <c r="N113" s="49"/>
      <c r="O113" s="50" t="str">
        <f>IF(AK93&gt;4,IF(AK92&gt;3,"/",""),"")</f>
        <v/>
      </c>
      <c r="P113" s="51"/>
      <c r="Q113" s="49"/>
      <c r="R113" s="50" t="str">
        <f>IF(AK93&gt;5,IF(AK92&gt;3,"/",""),"")</f>
        <v/>
      </c>
      <c r="S113" s="51"/>
      <c r="T113" s="49"/>
      <c r="U113" s="50" t="str">
        <f>IF(AK93&gt;6,IF(AK92&gt;3,"/",""),"")</f>
        <v/>
      </c>
      <c r="V113" s="51"/>
      <c r="W113" s="49"/>
      <c r="X113" s="50" t="str">
        <f>IF(AK93&gt;7,IF(AK92&gt;3,"/",""),"")</f>
        <v/>
      </c>
      <c r="Y113" s="51"/>
      <c r="Z113" s="49"/>
      <c r="AA113" s="50" t="str">
        <f>IF(AK93&gt;8,IF(AK92&gt;3,"/",""),"")</f>
        <v/>
      </c>
      <c r="AB113" s="51"/>
      <c r="AC113" s="49"/>
      <c r="AD113" s="50" t="str">
        <f>IF(AK93&gt;9,IF(AK92&gt;3,"/",""),"")</f>
        <v/>
      </c>
      <c r="AE113" s="51"/>
      <c r="AF113" s="42" t="str">
        <f>IF(AK94&gt;4,"Team 5","")</f>
        <v>Team 5</v>
      </c>
      <c r="AG113" s="52">
        <f>IF(AK94&lt;5,"",IF(AK93&lt;1,"",IF(B109=5,B115-D115,IF(D109=5,D115-B115,""))))</f>
        <v>8</v>
      </c>
      <c r="AH113" s="48" t="str">
        <f>IF(AK94&lt;5,"",IF(AK93&lt;2,"",IF(E109=5,E115-G115,IF(G109=5,G115-E115,""))))</f>
        <v/>
      </c>
      <c r="AI113" s="48">
        <f>IF(AK94&lt;5,"",IF(AK93&lt;3,"",IF(H109=5,H115-J115,IF(J109=5,J115-H115,""))))</f>
        <v>15</v>
      </c>
      <c r="AJ113" s="48" t="str">
        <f>IF(AK94&lt;5,"",IF(AK93&lt;4,"",IF(K109=5,K115-M115,IF(M109=5,M115-K115,""))))</f>
        <v/>
      </c>
      <c r="AK113" s="48" t="str">
        <f>IF(AK94&lt;5,"",IF(AK93&lt;5,"",IF(N109=5,N115-P115,IF(P109=5,P115-N115,""))))</f>
        <v/>
      </c>
      <c r="AL113" s="48">
        <f>IF(AK94&lt;5,"",IF(AK93&lt;6,"",IF(Q109=5,Q115-S115,IF(S109=5,S115-Q115,""))))</f>
        <v>-9</v>
      </c>
      <c r="AM113" s="48" t="str">
        <f>IF(AK94&lt;5,"",IF(AK93&lt;7,"",IF(T109=5,T115-V115,IF(V109=5,V115-T115,""))))</f>
        <v/>
      </c>
      <c r="AN113" s="48">
        <f>IF(AK94&lt;5,"",IF(AK93&lt;8,"",IF(W109=5,W115-Y115,IF(Y109=5,Y115-W115,""))))</f>
        <v>-3</v>
      </c>
      <c r="AO113" s="48" t="str">
        <f>IF(AK94&lt;5,"",IF(AK93&lt;9,"",IF(Z109=5,Z115-AB115,IF(AB109=5,AB115-Z115,""))))</f>
        <v/>
      </c>
      <c r="AP113" s="48" t="str">
        <f>IF(AK94&lt;5,"",IF(AK93&lt;10,"",IF(AC109=5,AC115-AE115,IF(AE109=5,AE115-AC115,""))))</f>
        <v/>
      </c>
      <c r="AQ113" s="44">
        <f>SUM(AG113:AP113)</f>
        <v>11</v>
      </c>
    </row>
    <row r="114" spans="1:49" ht="15" x14ac:dyDescent="0.2">
      <c r="A114" s="3" t="str">
        <f>IF(AK92&gt;4,"Game 5","")</f>
        <v/>
      </c>
      <c r="B114" s="49"/>
      <c r="C114" s="50" t="s">
        <v>53</v>
      </c>
      <c r="D114" s="51"/>
      <c r="E114" s="49"/>
      <c r="F114" s="50" t="str">
        <f>IF(AK93&gt;1,IF(AK92&gt;4,"/",""),"")</f>
        <v/>
      </c>
      <c r="G114" s="51"/>
      <c r="H114" s="49"/>
      <c r="I114" s="50" t="str">
        <f>IF(AK93&gt;2,IF(AK92&gt;4,"/",""),"")</f>
        <v/>
      </c>
      <c r="J114" s="51"/>
      <c r="K114" s="49"/>
      <c r="L114" s="50" t="str">
        <f>IF(AK93&gt;3,IF(AK92&gt;4,"/",""),"")</f>
        <v/>
      </c>
      <c r="M114" s="51"/>
      <c r="N114" s="49"/>
      <c r="O114" s="50" t="str">
        <f>IF(AK93&gt;4,IF(AK92&gt;4,"/",""),"")</f>
        <v/>
      </c>
      <c r="P114" s="51"/>
      <c r="Q114" s="49"/>
      <c r="R114" s="50" t="str">
        <f>IF(AK93&gt;5,IF(AK92&gt;4,"/",""),"")</f>
        <v/>
      </c>
      <c r="S114" s="51"/>
      <c r="T114" s="49"/>
      <c r="U114" s="50" t="str">
        <f>IF(AK93&gt;6,IF(AK92&gt;4,"/",""),"")</f>
        <v/>
      </c>
      <c r="V114" s="51"/>
      <c r="W114" s="49"/>
      <c r="X114" s="50" t="str">
        <f>IF(AK93&gt;7,IF(AK92&gt;4,"/",""),"")</f>
        <v/>
      </c>
      <c r="Y114" s="51"/>
      <c r="Z114" s="49"/>
      <c r="AA114" s="50" t="str">
        <f>IF(AK93&gt;8,IF(AK92&gt;4,"/",""),"")</f>
        <v/>
      </c>
      <c r="AB114" s="51"/>
      <c r="AC114" s="49"/>
      <c r="AD114" s="50" t="str">
        <f>IF(AK93&gt;9,IF(AK92&gt;4,"/",""),"")</f>
        <v/>
      </c>
      <c r="AE114" s="5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</row>
    <row r="115" spans="1:49" hidden="1" x14ac:dyDescent="0.2">
      <c r="A115" s="53"/>
      <c r="B115" s="53">
        <f>IF($AK92=5,SUM(B110:B114),IF($AK92=4,SUM(B110:B113),IF($AK92=3,SUM(B110:B112),IF($AK92=2,SUM(B110:B111),B110))))</f>
        <v>42</v>
      </c>
      <c r="C115" s="53"/>
      <c r="D115" s="53">
        <f>IF($AK92=5,SUM(D110:D114),IF($AK92=4,SUM(D110:D113),IF($AK92=3,SUM(D110:D112),IF($AK92=2,SUM(D110:D111),D110))))</f>
        <v>50</v>
      </c>
      <c r="E115" s="53">
        <f>IF($AK92=5,SUM(E110:E114),IF($AK92=4,SUM(E110:E113),IF($AK92=3,SUM(E110:E112),IF($AK92=2,SUM(E110:E111),E110))))</f>
        <v>42</v>
      </c>
      <c r="F115" s="53"/>
      <c r="G115" s="53">
        <f>IF($AK92=5,SUM(G110:G114),IF($AK92=4,SUM(G110:G113),IF($AK92=3,SUM(G110:G112),IF($AK92=2,SUM(G110:G111),G110))))</f>
        <v>50</v>
      </c>
      <c r="H115" s="53">
        <f>IF($AK92=5,SUM(H110:H114),IF($AK92=4,SUM(H110:H113),IF($AK92=3,SUM(H110:H112),IF($AK92=2,SUM(H110:H111),H110))))</f>
        <v>35</v>
      </c>
      <c r="I115" s="53"/>
      <c r="J115" s="53">
        <f>IF($AK92=5,SUM(J110:J114),IF($AK92=4,SUM(J110:J113),IF($AK92=3,SUM(J110:J112),IF($AK92=2,SUM(J110:J111),J110))))</f>
        <v>50</v>
      </c>
      <c r="K115" s="53">
        <f>IF($AK92=5,SUM(K110:K114),IF($AK92=4,SUM(K110:K113),IF($AK92=3,SUM(K110:K112),IF($AK92=2,SUM(K110:K111),K110))))</f>
        <v>53</v>
      </c>
      <c r="L115" s="53"/>
      <c r="M115" s="53">
        <f>IF($AK92=5,SUM(M110:M114),IF($AK92=4,SUM(M110:M113),IF($AK92=3,SUM(M110:M112),IF($AK92=2,SUM(M110:M111),M110))))</f>
        <v>50</v>
      </c>
      <c r="N115" s="53">
        <f>IF($AK92=5,SUM(N110:N114),IF($AK92=4,SUM(N110:N113),IF($AK92=3,SUM(N110:N112),IF($AK92=2,SUM(N110:N111),N110))))</f>
        <v>50</v>
      </c>
      <c r="O115" s="53"/>
      <c r="P115" s="53">
        <f>IF($AK92=5,SUM(P110:P114),IF($AK92=4,SUM(P110:P113),IF($AK92=3,SUM(P110:P112),IF($AK92=2,SUM(P110:P111),P110))))</f>
        <v>32</v>
      </c>
      <c r="Q115" s="53">
        <f>IF($AK92=5,SUM(Q110:Q114),IF($AK92=4,SUM(Q110:Q113),IF($AK92=3,SUM(Q110:Q112),IF($AK92=2,SUM(Q110:Q111),Q110))))</f>
        <v>50</v>
      </c>
      <c r="R115" s="53"/>
      <c r="S115" s="53">
        <f>IF($AK92=5,SUM(S110:S114),IF($AK92=4,SUM(S110:S113),IF($AK92=3,SUM(S110:S112),IF($AK92=2,SUM(S110:S111),S110))))</f>
        <v>41</v>
      </c>
      <c r="T115" s="53">
        <f>IF($AK92=5,SUM(T110:T114),IF($AK92=4,SUM(T110:T113),IF($AK92=3,SUM(T110:T112),IF($AK92=2,SUM(T110:T111),T110))))</f>
        <v>50</v>
      </c>
      <c r="U115" s="53"/>
      <c r="V115" s="53">
        <f>IF($AK92=5,SUM(V110:V114),IF($AK92=4,SUM(V110:V113),IF($AK92=3,SUM(V110:V112),IF($AK92=2,SUM(V110:V111),V110))))</f>
        <v>32</v>
      </c>
      <c r="W115" s="53">
        <f>IF($AK92=5,SUM(W110:W114),IF($AK92=4,SUM(W110:W113),IF($AK92=3,SUM(W110:W112),IF($AK92=2,SUM(W110:W111),W110))))</f>
        <v>42</v>
      </c>
      <c r="X115" s="53"/>
      <c r="Y115" s="53">
        <f>IF($AK92=5,SUM(Y110:Y114),IF($AK92=4,SUM(Y110:Y113),IF($AK92=3,SUM(Y110:Y112),IF($AK92=2,SUM(Y110:Y111),Y110))))</f>
        <v>39</v>
      </c>
      <c r="Z115" s="53">
        <f>IF($AK92=5,SUM(Z110:Z114),IF($AK92=4,SUM(Z110:Z113),IF($AK92=3,SUM(Z110:Z112),IF($AK92=2,SUM(Z110:Z111),Z110))))</f>
        <v>29</v>
      </c>
      <c r="AA115" s="53"/>
      <c r="AB115" s="53">
        <f>IF($AK92=5,SUM(AB110:AB114),IF($AK92=4,SUM(AB110:AB113),IF($AK92=3,SUM(AB110:AB112),IF($AK92=2,SUM(AB110:AB111),AB110))))</f>
        <v>50</v>
      </c>
      <c r="AC115" s="53">
        <f>IF($AK92=5,SUM(AC110:AC114),IF($AK92=4,SUM(AC110:AC113),IF($AK92=3,SUM(AC110:AC112),IF($AK92=2,SUM(AC110:AC111),AC110))))</f>
        <v>43</v>
      </c>
      <c r="AD115" s="53"/>
      <c r="AE115" s="53">
        <f>IF($AK92=5,SUM(AE110:AE114),IF($AK92=4,SUM(AE110:AE113),IF($AK92=3,SUM(AE110:AE112),IF($AK92=2,SUM(AE110:AE111),AE110))))</f>
        <v>48</v>
      </c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</row>
    <row r="116" spans="1:49" s="54" customFormat="1" ht="12.75" hidden="1" customHeight="1" x14ac:dyDescent="0.2">
      <c r="A116" s="54" t="s">
        <v>54</v>
      </c>
      <c r="B116" s="55">
        <f>IF(AND(B110&gt;D110,$AK93&gt;0,ISNUMBER(B110),ISNUMBER(D110)),1,0)</f>
        <v>0</v>
      </c>
      <c r="C116" s="55"/>
      <c r="D116" s="56">
        <f>IF(AND(D110&gt;B110,$AK93&gt;0,ISNUMBER(B110),ISNUMBER(D110)),1,0)</f>
        <v>1</v>
      </c>
      <c r="E116" s="55">
        <f>IF(AND(E110&gt;G110,$AK93&gt;1,ISNUMBER(E110),ISNUMBER(G110)),1,0)</f>
        <v>0</v>
      </c>
      <c r="F116" s="55"/>
      <c r="G116" s="56">
        <f>IF(AND(G110&gt;E110,$AK93&gt;1,ISNUMBER(E110),ISNUMBER(G110)),1,0)</f>
        <v>1</v>
      </c>
      <c r="H116" s="55">
        <f>IF(AND(H110&gt;J110,$AK93&gt;2,ISNUMBER(H110),ISNUMBER(J110)),1,0)</f>
        <v>0</v>
      </c>
      <c r="I116" s="55"/>
      <c r="J116" s="56">
        <f>IF(AND(J110&gt;H110,$AK93&gt;2,ISNUMBER(H110),ISNUMBER(J110)),1,0)</f>
        <v>1</v>
      </c>
      <c r="K116" s="55">
        <f>IF(AND(K110&gt;M110,$AK93&gt;3,ISNUMBER(K110),ISNUMBER(M110)),1,0)</f>
        <v>1</v>
      </c>
      <c r="L116" s="55"/>
      <c r="M116" s="56">
        <f>IF(AND(M110&gt;K110,$AK93&gt;3,ISNUMBER(K110),ISNUMBER(M110)),1,0)</f>
        <v>0</v>
      </c>
      <c r="N116" s="55">
        <f>IF(AND(N110&gt;P110,$AK93&gt;4,ISNUMBER(N110),ISNUMBER(P110)),1,0)</f>
        <v>1</v>
      </c>
      <c r="O116" s="55"/>
      <c r="P116" s="56">
        <f>IF(AND(P110&gt;N110,$AK93&gt;4,ISNUMBER(N110),ISNUMBER(P110)),1,0)</f>
        <v>0</v>
      </c>
      <c r="Q116" s="55">
        <f>IF(AND(Q110&gt;S110,$AK93&gt;5,ISNUMBER(Q110),ISNUMBER(S110)),1,0)</f>
        <v>1</v>
      </c>
      <c r="R116" s="55"/>
      <c r="S116" s="56">
        <f>IF(AND(S110&gt;Q110,$AK93&gt;5,ISNUMBER(Q110),ISNUMBER(S110)),1,0)</f>
        <v>0</v>
      </c>
      <c r="T116" s="55">
        <f>IF(AND(T110&gt;V110,$AK93&gt;6,ISNUMBER(T110),ISNUMBER(V110)),1,0)</f>
        <v>1</v>
      </c>
      <c r="U116" s="55"/>
      <c r="V116" s="56">
        <f>IF(AND(V110&gt;T110,$AK93&gt;6,ISNUMBER(T110),ISNUMBER(V110)),1,0)</f>
        <v>0</v>
      </c>
      <c r="W116" s="55">
        <f>IF(AND(W110&gt;Y110,$AK93&gt;7,ISNUMBER(W110),ISNUMBER(Y110)),1,0)</f>
        <v>1</v>
      </c>
      <c r="X116" s="55"/>
      <c r="Y116" s="56">
        <f>IF(AND(Y110&gt;W110,$AK93&gt;7,ISNUMBER(W110),ISNUMBER(Y110)),1,0)</f>
        <v>0</v>
      </c>
      <c r="Z116" s="55">
        <f>IF(AND(Z110&gt;AB110,$AK93&gt;8,ISNUMBER(Z110),ISNUMBER(AB110)),1,0)</f>
        <v>0</v>
      </c>
      <c r="AA116" s="55"/>
      <c r="AB116" s="56">
        <f>IF(AND(AB110&gt;Z110,$AK93&gt;8,ISNUMBER(Z110),ISNUMBER(AB110)),1,0)</f>
        <v>1</v>
      </c>
      <c r="AC116" s="55">
        <f>IF(AND(AC110&gt;AE110,$AK93&gt;9,ISNUMBER(AC110),ISNUMBER(AE110)),1,0)</f>
        <v>0</v>
      </c>
      <c r="AD116" s="55"/>
      <c r="AE116" s="56">
        <f>IF(AND(AE110&gt;AC110,$AK93&gt;9,ISNUMBER(AC110),ISNUMBER(AE110)),1,0)</f>
        <v>1</v>
      </c>
      <c r="AW116" s="146"/>
    </row>
    <row r="117" spans="1:49" s="54" customFormat="1" ht="12.75" hidden="1" customHeight="1" x14ac:dyDescent="0.2">
      <c r="A117" s="54" t="s">
        <v>55</v>
      </c>
      <c r="B117" s="55">
        <f>IF(AND(B111&gt;D111,$AK93&gt;0,$AK92&gt;1,ISNUMBER(B111),ISNUMBER(D111)),1,0)</f>
        <v>0</v>
      </c>
      <c r="C117" s="55"/>
      <c r="D117" s="56">
        <f>IF(AND(D111&gt;B111,$AK93&gt;0,$AK92&gt;1,ISNUMBER(B111),ISNUMBER(D111)),1,0)</f>
        <v>1</v>
      </c>
      <c r="E117" s="55">
        <f>IF(AND(E111&gt;G111,$AK93&gt;1,$AK92&gt;1,ISNUMBER(E111),ISNUMBER(G111)),1,0)</f>
        <v>0</v>
      </c>
      <c r="F117" s="55"/>
      <c r="G117" s="56">
        <f>IF(AND(G111&gt;E111,$AK93&gt;1,$AK92&gt;1,ISNUMBER(E111),ISNUMBER(G111)),1,0)</f>
        <v>1</v>
      </c>
      <c r="H117" s="55">
        <f>IF(AND(H111&gt;J111,$AK93&gt;2,$AK92&gt;1,ISNUMBER(H111),ISNUMBER(J111)),1,0)</f>
        <v>0</v>
      </c>
      <c r="I117" s="55"/>
      <c r="J117" s="56">
        <f>IF(AND(J111&gt;H111,$AK93&gt;2,$AK92&gt;1,ISNUMBER(H111),ISNUMBER(J111)),1,0)</f>
        <v>1</v>
      </c>
      <c r="K117" s="55">
        <f>IF(AND(K111&gt;M111,$AK93&gt;3,$AK92&gt;1,ISNUMBER(K111),ISNUMBER(M111)),1,0)</f>
        <v>1</v>
      </c>
      <c r="L117" s="55"/>
      <c r="M117" s="56">
        <f>IF(AND(M111&gt;K111,$AK93&gt;3,$AK92&gt;1,ISNUMBER(K111),ISNUMBER(M111)),1,0)</f>
        <v>0</v>
      </c>
      <c r="N117" s="55">
        <f>IF(AND(N111&gt;P111,$AK93&gt;4,$AK92&gt;1,ISNUMBER(N111),ISNUMBER(P111)),1,0)</f>
        <v>1</v>
      </c>
      <c r="O117" s="55"/>
      <c r="P117" s="56">
        <f>IF(AND(P111&gt;N111,$AK93&gt;4,$AK92&gt;1,ISNUMBER(N111),ISNUMBER(P111)),1,0)</f>
        <v>0</v>
      </c>
      <c r="Q117" s="55">
        <f>IF(AND(Q111&gt;S111,$AK93&gt;5,$AK92&gt;1,ISNUMBER(Q111),ISNUMBER(S111)),1,0)</f>
        <v>1</v>
      </c>
      <c r="R117" s="55"/>
      <c r="S117" s="56">
        <f>IF(AND(S111&gt;Q111,$AK93&gt;5,$AK92&gt;1,ISNUMBER(Q111),ISNUMBER(S111)),1,0)</f>
        <v>0</v>
      </c>
      <c r="T117" s="55">
        <f>IF(AND(T111&gt;V111,$AK93&gt;6,$AK92&gt;1,ISNUMBER(T111),ISNUMBER(V111)),1,0)</f>
        <v>1</v>
      </c>
      <c r="U117" s="55"/>
      <c r="V117" s="56">
        <f>IF(AND(V111&gt;T111,$AK93&gt;6,$AK92&gt;1,ISNUMBER(T111),ISNUMBER(V111)),1,0)</f>
        <v>0</v>
      </c>
      <c r="W117" s="55">
        <f>IF(AND(W111&gt;Y111,$AK93&gt;7,$AK92&gt;1,ISNUMBER(W111),ISNUMBER(Y111)),1,0)</f>
        <v>0</v>
      </c>
      <c r="X117" s="55"/>
      <c r="Y117" s="56">
        <f>IF(AND(Y111&gt;W111,$AK93&gt;7,$AK92&gt;1,ISNUMBER(W111),ISNUMBER(Y111)),1,0)</f>
        <v>1</v>
      </c>
      <c r="Z117" s="55">
        <f>IF(AND(Z111&gt;AB111,$AK93&gt;8,$AK92&gt;1,ISNUMBER(Z111),ISNUMBER(AB111)),1,0)</f>
        <v>0</v>
      </c>
      <c r="AA117" s="55"/>
      <c r="AB117" s="56">
        <f>IF(AND(AB111&gt;Z111,$AK93&gt;8,$AK92&gt;1,ISNUMBER(Z111),ISNUMBER(AB111)),1,0)</f>
        <v>1</v>
      </c>
      <c r="AC117" s="55">
        <f>IF(AND(AC111&gt;AE111,$AK93&gt;9,$AK92&gt;1,ISNUMBER(AC111),ISNUMBER(AE111)),1,0)</f>
        <v>1</v>
      </c>
      <c r="AD117" s="55"/>
      <c r="AE117" s="56">
        <f>IF(AND(AE111&gt;AC111,$AK93&gt;9,$AK92&gt;1,ISNUMBER(AC111),ISNUMBER(AE111)),1,0)</f>
        <v>0</v>
      </c>
      <c r="AW117" s="146"/>
    </row>
    <row r="118" spans="1:49" s="54" customFormat="1" ht="12.75" hidden="1" customHeight="1" x14ac:dyDescent="0.2">
      <c r="A118" s="54" t="s">
        <v>56</v>
      </c>
      <c r="B118" s="55">
        <f>IF(AND(B112&gt;D112,$AK93&gt;0,$AK92&gt;2,ISNUMBER(B112),ISNUMBER(D112)),1,0)</f>
        <v>0</v>
      </c>
      <c r="C118" s="55"/>
      <c r="D118" s="56">
        <f>IF(AND(D112&gt;B112,$AK93&gt;0,$AK92&gt;2,ISNUMBER(B112),ISNUMBER(D112)),1,0)</f>
        <v>0</v>
      </c>
      <c r="E118" s="55">
        <f>IF(AND(E112&gt;G112,$AK93&gt;1,$AK92&gt;2,ISNUMBER(E112),ISNUMBER(G112)),1,0)</f>
        <v>0</v>
      </c>
      <c r="F118" s="55"/>
      <c r="G118" s="56">
        <f>IF(AND(G112&gt;E112,$AK93&gt;1,$AK92&gt;2,ISNUMBER(E112),ISNUMBER(G112)),1,0)</f>
        <v>0</v>
      </c>
      <c r="H118" s="55">
        <f>IF(AND(H112&gt;J112,$AK93&gt;2,$AK92&gt;2,ISNUMBER(H112),ISNUMBER(J112)),1,0)</f>
        <v>0</v>
      </c>
      <c r="I118" s="55"/>
      <c r="J118" s="56">
        <f>IF(AND(J112&gt;H112,$AK93&gt;2,$AK92&gt;2,ISNUMBER(H112),ISNUMBER(J112)),1,0)</f>
        <v>0</v>
      </c>
      <c r="K118" s="55">
        <f>IF(AND(K112&gt;M112,$AK93&gt;3,$AK92&gt;2,ISNUMBER(K112),ISNUMBER(M112)),1,0)</f>
        <v>0</v>
      </c>
      <c r="L118" s="55"/>
      <c r="M118" s="56">
        <f>IF(AND(M112&gt;K112,$AK93&gt;3,$AK92&gt;2,ISNUMBER(K112),ISNUMBER(M112)),1,0)</f>
        <v>0</v>
      </c>
      <c r="N118" s="55">
        <f>IF(AND(N112&gt;P112,$AK93&gt;4,$AK92&gt;2,ISNUMBER(N112),ISNUMBER(P112)),1,0)</f>
        <v>0</v>
      </c>
      <c r="O118" s="55"/>
      <c r="P118" s="56">
        <f>IF(AND(P112&gt;N112,$AK93&gt;4,$AK92&gt;2,ISNUMBER(N112),ISNUMBER(P112)),1,0)</f>
        <v>0</v>
      </c>
      <c r="Q118" s="55">
        <f>IF(AND(Q112&gt;S112,$AK93&gt;5,$AK92&gt;2,ISNUMBER(Q112),ISNUMBER(S112)),1,0)</f>
        <v>0</v>
      </c>
      <c r="R118" s="55"/>
      <c r="S118" s="56">
        <f>IF(AND(S112&gt;Q112,$AK93&gt;5,$AK92&gt;2,ISNUMBER(Q112),ISNUMBER(S112)),1,0)</f>
        <v>0</v>
      </c>
      <c r="T118" s="55">
        <f>IF(AND(T112&gt;V112,$AK93&gt;6,$AK92&gt;2,ISNUMBER(T112),ISNUMBER(V112)),1,0)</f>
        <v>0</v>
      </c>
      <c r="U118" s="55"/>
      <c r="V118" s="56">
        <f>IF(AND(V112&gt;T112,$AK93&gt;6,$AK92&gt;2,ISNUMBER(T112),ISNUMBER(V112)),1,0)</f>
        <v>0</v>
      </c>
      <c r="W118" s="55">
        <f>IF(AND(W112&gt;Y112,$AK93&gt;7,$AK92&gt;2,ISNUMBER(W112),ISNUMBER(Y112)),1,0)</f>
        <v>0</v>
      </c>
      <c r="X118" s="55"/>
      <c r="Y118" s="56">
        <f>IF(AND(Y112&gt;W112,$AK93&gt;7,$AK92&gt;2,ISNUMBER(W112),ISNUMBER(Y112)),1,0)</f>
        <v>0</v>
      </c>
      <c r="Z118" s="55">
        <f>IF(AND(Z112&gt;AB112,$AK93&gt;8,$AK92&gt;2,ISNUMBER(Z112),ISNUMBER(AB112)),1,0)</f>
        <v>0</v>
      </c>
      <c r="AA118" s="55"/>
      <c r="AB118" s="56">
        <f>IF(AND(AB112&gt;Z112,$AK93&gt;8,$AK92&gt;2,ISNUMBER(Z112),ISNUMBER(AB112)),1,0)</f>
        <v>0</v>
      </c>
      <c r="AC118" s="55">
        <f>IF(AND(AC112&gt;AE112,$AK93&gt;9,$AK92&gt;2,ISNUMBER(AC112),ISNUMBER(AE112)),1,0)</f>
        <v>0</v>
      </c>
      <c r="AD118" s="55"/>
      <c r="AE118" s="56">
        <f>IF(AND(AE112&gt;AC112,$AK93&gt;9,$AK92&gt;2,ISNUMBER(AC112),ISNUMBER(AE112)),1,0)</f>
        <v>0</v>
      </c>
      <c r="AW118" s="146"/>
    </row>
    <row r="119" spans="1:49" s="54" customFormat="1" ht="12.75" hidden="1" customHeight="1" x14ac:dyDescent="0.2">
      <c r="A119" s="54" t="s">
        <v>57</v>
      </c>
      <c r="B119" s="55">
        <f>IF(AND(B113&gt;D113,$AK93&gt;0,$AK92&gt;3,ISNUMBER(B113),ISNUMBER(D113)),1,0)</f>
        <v>0</v>
      </c>
      <c r="C119" s="55"/>
      <c r="D119" s="56">
        <f>IF(AND(D113&gt;B113,$AK93&gt;0,$AK92&gt;3,ISNUMBER(B113),ISNUMBER(D113)),1,0)</f>
        <v>0</v>
      </c>
      <c r="E119" s="55">
        <f>IF(AND(E113&gt;G113,$AK93&gt;1,$AK92&gt;3,ISNUMBER(E113),ISNUMBER(G113)),1,0)</f>
        <v>0</v>
      </c>
      <c r="F119" s="55"/>
      <c r="G119" s="56">
        <f>IF(AND(G113&gt;E113,$AK93&gt;1,$AK92&gt;3,ISNUMBER(E113),ISNUMBER(G113)),1,0)</f>
        <v>0</v>
      </c>
      <c r="H119" s="55">
        <f>IF(AND(H113&gt;J113,$AK93&gt;2,$AK92&gt;3,ISNUMBER(H113),ISNUMBER(J113)),1,0)</f>
        <v>0</v>
      </c>
      <c r="I119" s="55"/>
      <c r="J119" s="56">
        <f>IF(AND(J113&gt;H113,$AK93&gt;2,$AK92&gt;3,ISNUMBER(H113),ISNUMBER(J113)),1,0)</f>
        <v>0</v>
      </c>
      <c r="K119" s="55">
        <f>IF(AND(K113&gt;M113,$AK93&gt;3,$AK92&gt;3,ISNUMBER(K113),ISNUMBER(M113)),1,0)</f>
        <v>0</v>
      </c>
      <c r="L119" s="55"/>
      <c r="M119" s="56">
        <f>IF(AND(M113&gt;K113,$AK93&gt;3,$AK92&gt;3,ISNUMBER(K113),ISNUMBER(M113)),1,0)</f>
        <v>0</v>
      </c>
      <c r="N119" s="55">
        <f>IF(AND(N113&gt;P113,$AK93&gt;4,$AK92&gt;3,ISNUMBER(N113),ISNUMBER(P113)),1,0)</f>
        <v>0</v>
      </c>
      <c r="O119" s="55"/>
      <c r="P119" s="56">
        <f>IF(AND(P113&gt;N113,$AK93&gt;4,$AK92&gt;3,ISNUMBER(N113),ISNUMBER(P113)),1,0)</f>
        <v>0</v>
      </c>
      <c r="Q119" s="55">
        <f>IF(AND(Q113&gt;S113,$AK93&gt;5,$AK92&gt;3,ISNUMBER(Q113),ISNUMBER(S113)),1,0)</f>
        <v>0</v>
      </c>
      <c r="R119" s="55"/>
      <c r="S119" s="56">
        <f>IF(AND(S113&gt;Q113,$AK93&gt;5,$AK92&gt;3,ISNUMBER(Q113),ISNUMBER(S113)),1,0)</f>
        <v>0</v>
      </c>
      <c r="T119" s="55">
        <f>IF(AND(T113&gt;V113,$AK93&gt;6,$AK92&gt;3,ISNUMBER(T113),ISNUMBER(V113)),1,0)</f>
        <v>0</v>
      </c>
      <c r="U119" s="55"/>
      <c r="V119" s="56">
        <f>IF(AND(V113&gt;T113,$AK93&gt;6,$AK92&gt;3,ISNUMBER(T113),ISNUMBER(V113)),1,0)</f>
        <v>0</v>
      </c>
      <c r="W119" s="55">
        <f>IF(AND(W113&gt;Y113,$AK93&gt;7,$AK92&gt;3,ISNUMBER(W113),ISNUMBER(Y113)),1,0)</f>
        <v>0</v>
      </c>
      <c r="X119" s="55"/>
      <c r="Y119" s="56">
        <f>IF(AND(Y113&gt;W113,$AK93&gt;7,$AK92&gt;3,ISNUMBER(W113),ISNUMBER(Y113)),1,0)</f>
        <v>0</v>
      </c>
      <c r="Z119" s="55">
        <f>IF(AND(Z113&gt;AB113,$AK93&gt;8,$AK92&gt;3,ISNUMBER(Z113),ISNUMBER(AB113)),1,0)</f>
        <v>0</v>
      </c>
      <c r="AA119" s="55"/>
      <c r="AB119" s="56">
        <f>IF(AND(AB113&gt;Z113,$AK93&gt;8,$AK92&gt;3,ISNUMBER(Z113),ISNUMBER(AB113)),1,0)</f>
        <v>0</v>
      </c>
      <c r="AC119" s="55">
        <f>IF(AND(AC113&gt;AE113,$AK93&gt;9,$AK92&gt;3,ISNUMBER(AC113),ISNUMBER(AE113)),1,0)</f>
        <v>0</v>
      </c>
      <c r="AD119" s="55"/>
      <c r="AE119" s="56">
        <f>IF(AND(AE113&gt;AC113,$AK93&gt;9,$AK92&gt;3,ISNUMBER(AC113),ISNUMBER(AE113)),1,0)</f>
        <v>0</v>
      </c>
      <c r="AW119" s="146"/>
    </row>
    <row r="120" spans="1:49" s="54" customFormat="1" ht="12.75" hidden="1" customHeight="1" x14ac:dyDescent="0.2">
      <c r="A120" s="54" t="s">
        <v>58</v>
      </c>
      <c r="B120" s="55">
        <f>IF(AND(B114&gt;D114,$AK93&gt;0,$AK92&gt;4,ISNUMBER(B114),ISNUMBER(D114)),1,0)</f>
        <v>0</v>
      </c>
      <c r="C120" s="55"/>
      <c r="D120" s="56">
        <f>IF(AND(D114&gt;B114,$AK93&gt;0,$AK92&gt;4,ISNUMBER(B114),ISNUMBER(D114)),1,0)</f>
        <v>0</v>
      </c>
      <c r="E120" s="55">
        <f>IF(AND(E114&gt;G114,$AK93&gt;1,$AK92&gt;4,ISNUMBER(E114),ISNUMBER(G114)),1,0)</f>
        <v>0</v>
      </c>
      <c r="F120" s="55"/>
      <c r="G120" s="56">
        <f>IF(AND(G114&gt;E114,$AK93&gt;1,$AK92&gt;4,ISNUMBER(E114),ISNUMBER(G114)),1,0)</f>
        <v>0</v>
      </c>
      <c r="H120" s="55">
        <f>IF(AND(H114&gt;J114,$AK93&gt;2,$AK92&gt;4,ISNUMBER(H114),ISNUMBER(J114)),1,0)</f>
        <v>0</v>
      </c>
      <c r="I120" s="55"/>
      <c r="J120" s="56">
        <f>IF(AND(J114&gt;H114,$AK93&gt;2,$AK92&gt;4,ISNUMBER(H114),ISNUMBER(J114)),1,0)</f>
        <v>0</v>
      </c>
      <c r="K120" s="55">
        <f>IF(AND(K114&gt;M114,$AK93&gt;3,$AK92&gt;4,ISNUMBER(K114),ISNUMBER(M114)),1,0)</f>
        <v>0</v>
      </c>
      <c r="L120" s="55"/>
      <c r="M120" s="56">
        <f>IF(AND(M114&gt;K114,$AK93&gt;3,$AK92&gt;4,ISNUMBER(K114),ISNUMBER(M114)),1,0)</f>
        <v>0</v>
      </c>
      <c r="N120" s="55">
        <f>IF(AND(N114&gt;P114,$AK93&gt;4,$AK92&gt;4,ISNUMBER(N114),ISNUMBER(P114)),1,0)</f>
        <v>0</v>
      </c>
      <c r="O120" s="55"/>
      <c r="P120" s="56">
        <f>IF(AND(P114&gt;N114,$AK93&gt;4,$AK92&gt;4,ISNUMBER(N114),ISNUMBER(P114)),1,0)</f>
        <v>0</v>
      </c>
      <c r="Q120" s="55">
        <f>IF(AND(Q114&gt;S114,$AK93&gt;5,$AK92&gt;4,ISNUMBER(Q114),ISNUMBER(S114)),1,0)</f>
        <v>0</v>
      </c>
      <c r="R120" s="55"/>
      <c r="S120" s="56">
        <f>IF(AND(S114&gt;Q114,$AK93&gt;5,$AK92&gt;4,ISNUMBER(Q114),ISNUMBER(S114)),1,0)</f>
        <v>0</v>
      </c>
      <c r="T120" s="55">
        <f>IF(AND(T114&gt;V114,$AK93&gt;6,$AK92&gt;4,ISNUMBER(T114),ISNUMBER(V114)),1,0)</f>
        <v>0</v>
      </c>
      <c r="U120" s="55"/>
      <c r="V120" s="56">
        <f>IF(AND(V114&gt;T114,$AK93&gt;6,$AK92&gt;4,ISNUMBER(T114),ISNUMBER(V114)),1,0)</f>
        <v>0</v>
      </c>
      <c r="W120" s="55">
        <f>IF(AND(W114&gt;Y114,$AK93&gt;7,$AK92&gt;4,ISNUMBER(W114),ISNUMBER(Y114)),1,0)</f>
        <v>0</v>
      </c>
      <c r="X120" s="55"/>
      <c r="Y120" s="56">
        <f>IF(AND(Y114&gt;W114,$AK93&gt;7,$AK92&gt;4,ISNUMBER(W114),ISNUMBER(Y114)),1,0)</f>
        <v>0</v>
      </c>
      <c r="Z120" s="55">
        <f>IF(AND(Z114&gt;AB114,$AK93&gt;8,$AK92&gt;4,ISNUMBER(Z114),ISNUMBER(AB114)),1,0)</f>
        <v>0</v>
      </c>
      <c r="AA120" s="55"/>
      <c r="AB120" s="56">
        <f>IF(AND(AB114&gt;Z114,$AK93&gt;8,$AK92&gt;4,ISNUMBER(Z114),ISNUMBER(AB114)),1,0)</f>
        <v>0</v>
      </c>
      <c r="AC120" s="55">
        <f>IF(AND(AC114&gt;AE114,$AK93&gt;9,$AK92&gt;4,ISNUMBER(AC114),ISNUMBER(AE114)),1,0)</f>
        <v>0</v>
      </c>
      <c r="AD120" s="55"/>
      <c r="AE120" s="56">
        <f>IF(AND(AE114&gt;AC114,$AK93&gt;9,$AK92&gt;4,ISNUMBER(AC114),ISNUMBER(AE114)),1,0)</f>
        <v>0</v>
      </c>
      <c r="AW120" s="146"/>
    </row>
    <row r="121" spans="1:49" s="54" customFormat="1" ht="38.25" hidden="1" customHeight="1" x14ac:dyDescent="0.2">
      <c r="A121" s="57" t="s">
        <v>59</v>
      </c>
      <c r="B121" s="54">
        <f>SUM(B116:B120)</f>
        <v>0</v>
      </c>
      <c r="D121" s="58">
        <f>SUM(D116:D120)</f>
        <v>2</v>
      </c>
      <c r="E121" s="54">
        <f>SUM(E116:E120)</f>
        <v>0</v>
      </c>
      <c r="G121" s="58">
        <f>SUM(G116:G120)</f>
        <v>2</v>
      </c>
      <c r="H121" s="54">
        <f>SUM(H116:H120)</f>
        <v>0</v>
      </c>
      <c r="J121" s="58">
        <f>SUM(J116:J120)</f>
        <v>2</v>
      </c>
      <c r="K121" s="54">
        <f>SUM(K116:K120)</f>
        <v>2</v>
      </c>
      <c r="M121" s="58">
        <f>SUM(M116:M120)</f>
        <v>0</v>
      </c>
      <c r="N121" s="54">
        <f>SUM(N116:N120)</f>
        <v>2</v>
      </c>
      <c r="P121" s="58">
        <f>SUM(P116:P120)</f>
        <v>0</v>
      </c>
      <c r="Q121" s="54">
        <f>SUM(Q116:Q120)</f>
        <v>2</v>
      </c>
      <c r="S121" s="58">
        <f>SUM(S116:S120)</f>
        <v>0</v>
      </c>
      <c r="T121" s="54">
        <f>SUM(T116:T120)</f>
        <v>2</v>
      </c>
      <c r="V121" s="58">
        <f>SUM(V116:V120)</f>
        <v>0</v>
      </c>
      <c r="W121" s="54">
        <f>SUM(W116:W120)</f>
        <v>1</v>
      </c>
      <c r="Y121" s="58">
        <f>SUM(Y116:Y120)</f>
        <v>1</v>
      </c>
      <c r="Z121" s="54">
        <f>SUM(Z116:Z120)</f>
        <v>0</v>
      </c>
      <c r="AB121" s="58">
        <f>SUM(AB116:AB120)</f>
        <v>2</v>
      </c>
      <c r="AC121" s="54">
        <f>SUM(AC116:AC120)</f>
        <v>1</v>
      </c>
      <c r="AE121" s="58">
        <f>SUM(AE116:AE120)</f>
        <v>1</v>
      </c>
      <c r="AW121" s="146"/>
    </row>
    <row r="122" spans="1:49" s="54" customFormat="1" ht="25.5" hidden="1" customHeight="1" x14ac:dyDescent="0.2">
      <c r="A122" s="57" t="s">
        <v>60</v>
      </c>
      <c r="B122" s="54">
        <f>IF(B121&gt;D121,IF(C156=AK92,1,IF(C156=AK92-1,1,0)),0)</f>
        <v>0</v>
      </c>
      <c r="C122" s="54">
        <f>B122+D122</f>
        <v>1</v>
      </c>
      <c r="D122" s="58">
        <f>IF(D121&gt;B121,IF(C156=AK92,1,IF(C156=AK92-1,1,0)),0)</f>
        <v>1</v>
      </c>
      <c r="E122" s="54">
        <f>IF(E121&gt;G121,IF(F156=AK92,1,IF(F156=AK92-1,1,0)),0)</f>
        <v>0</v>
      </c>
      <c r="F122" s="54">
        <f>E122+G122</f>
        <v>1</v>
      </c>
      <c r="G122" s="58">
        <f>IF(G121&gt;E121,IF(F156=AK92,1,IF(F156=AK92-1,1,0)),0)</f>
        <v>1</v>
      </c>
      <c r="H122" s="54">
        <f>IF(H121&gt;J121,IF(I156=AK92,1,IF(I156=AK92-1,1,0)),0)</f>
        <v>0</v>
      </c>
      <c r="I122" s="54">
        <f>H122+J122</f>
        <v>1</v>
      </c>
      <c r="J122" s="58">
        <f>IF(J121&gt;H121,IF(I156=AK92,1,IF(I156=AK92-1,1,0)),0)</f>
        <v>1</v>
      </c>
      <c r="K122" s="54">
        <f>IF(K121&gt;M121,IF(L156=AK92,1,IF(L156=AK92-1,1,0)),0)</f>
        <v>1</v>
      </c>
      <c r="L122" s="54">
        <f>K122+M122</f>
        <v>1</v>
      </c>
      <c r="M122" s="58">
        <f>IF(M121&gt;K121,IF(L156=AK92,1,IF(L156=AK92-1,1,0)),0)</f>
        <v>0</v>
      </c>
      <c r="N122" s="54">
        <f>IF(N121&gt;P121,IF(O156=AK92,1,IF(O156=AK92-1,1,0)),0)</f>
        <v>1</v>
      </c>
      <c r="O122" s="54">
        <f>N122+P122</f>
        <v>1</v>
      </c>
      <c r="P122" s="58">
        <f>IF(P121&gt;N121,IF(O156=AK92,1,IF(O156=AK92-1,1,0)),0)</f>
        <v>0</v>
      </c>
      <c r="Q122" s="54">
        <f>IF(Q121&gt;S121,IF(R156=AK92,1,IF(R156=AK92-1,1,0)),0)</f>
        <v>1</v>
      </c>
      <c r="R122" s="54">
        <f>Q122+S122</f>
        <v>1</v>
      </c>
      <c r="S122" s="58">
        <f>IF(S121&gt;Q121,IF(R156=AK92,1,IF(R156=AK92-1,1,0)),0)</f>
        <v>0</v>
      </c>
      <c r="T122" s="54">
        <f>IF(T121&gt;V121,IF(U156=AK92,1,IF(U156=AK92-1,1,0)),0)</f>
        <v>1</v>
      </c>
      <c r="U122" s="54">
        <f>T122+V122</f>
        <v>1</v>
      </c>
      <c r="V122" s="58">
        <f>IF(V121&gt;T121,IF(U156=AK92,1,IF(U156=AK92-1,1,0)),0)</f>
        <v>0</v>
      </c>
      <c r="W122" s="54">
        <f>IF(W121&gt;Y121,IF(X156=AK92,1,IF(X156=AK92-1,1,0)),0)</f>
        <v>0</v>
      </c>
      <c r="X122" s="54">
        <f>W122+Y122</f>
        <v>0</v>
      </c>
      <c r="Y122" s="58">
        <f>IF(Y121&gt;W121,IF(X156=AK92,1,IF(X156=AK92-1,1,0)),0)</f>
        <v>0</v>
      </c>
      <c r="Z122" s="54">
        <f>IF(Z121&gt;AB121,IF(AA156=AK92,1,IF(AA156=AK92-1,1,0)),0)</f>
        <v>0</v>
      </c>
      <c r="AA122" s="54">
        <f>Z122+AB122</f>
        <v>1</v>
      </c>
      <c r="AB122" s="58">
        <f>IF(AB121&gt;Z121,IF(AA156=AK92,1,IF(AA156=AK92-1,1,0)),0)</f>
        <v>1</v>
      </c>
      <c r="AC122" s="54">
        <f>IF(AC121&gt;AE121,IF(AD156=AK92,1,IF(AD156=AK92-1,1,0)),0)</f>
        <v>0</v>
      </c>
      <c r="AD122" s="54">
        <f>AC122+AE122</f>
        <v>0</v>
      </c>
      <c r="AE122" s="58">
        <f>IF(AE121&gt;AC121,IF(AD156=AK92,1,IF(AD156=AK92-1,1,0)),0)</f>
        <v>0</v>
      </c>
      <c r="AW122" s="146"/>
    </row>
    <row r="123" spans="1:49" s="54" customFormat="1" ht="25.5" hidden="1" customHeight="1" x14ac:dyDescent="0.2">
      <c r="A123" s="57"/>
      <c r="D123" s="58"/>
      <c r="G123" s="58"/>
      <c r="J123" s="58"/>
      <c r="M123" s="58"/>
      <c r="P123" s="58"/>
      <c r="S123" s="58"/>
      <c r="V123" s="58"/>
      <c r="Y123" s="58"/>
      <c r="AB123" s="58"/>
      <c r="AE123" s="58"/>
      <c r="AW123" s="146"/>
    </row>
    <row r="124" spans="1:49" s="54" customFormat="1" ht="12.75" hidden="1" customHeight="1" x14ac:dyDescent="0.2">
      <c r="A124" s="54" t="s">
        <v>61</v>
      </c>
      <c r="B124" s="54">
        <f>IF(B116=1,B110,0)</f>
        <v>0</v>
      </c>
      <c r="D124" s="58">
        <f t="shared" ref="D124:E128" si="11">IF(D116=1,D110,0)</f>
        <v>25</v>
      </c>
      <c r="E124" s="54">
        <f t="shared" si="11"/>
        <v>0</v>
      </c>
      <c r="G124" s="58">
        <f t="shared" ref="G124:H128" si="12">IF(G116=1,G110,0)</f>
        <v>25</v>
      </c>
      <c r="H124" s="54">
        <f t="shared" si="12"/>
        <v>0</v>
      </c>
      <c r="J124" s="58">
        <f t="shared" ref="J124:K128" si="13">IF(J116=1,J110,0)</f>
        <v>25</v>
      </c>
      <c r="K124" s="54">
        <f t="shared" si="13"/>
        <v>26</v>
      </c>
      <c r="M124" s="58">
        <f t="shared" ref="M124:N128" si="14">IF(M116=1,M110,0)</f>
        <v>0</v>
      </c>
      <c r="N124" s="54">
        <f t="shared" si="14"/>
        <v>25</v>
      </c>
      <c r="P124" s="58">
        <f t="shared" ref="P124:Q128" si="15">IF(P116=1,P110,0)</f>
        <v>0</v>
      </c>
      <c r="Q124" s="54">
        <f t="shared" si="15"/>
        <v>25</v>
      </c>
      <c r="S124" s="58">
        <f t="shared" ref="S124:T128" si="16">IF(S116=1,S110,0)</f>
        <v>0</v>
      </c>
      <c r="T124" s="54">
        <f t="shared" si="16"/>
        <v>25</v>
      </c>
      <c r="V124" s="58">
        <f t="shared" ref="V124:W128" si="17">IF(V116=1,V110,0)</f>
        <v>0</v>
      </c>
      <c r="W124" s="54">
        <f t="shared" si="17"/>
        <v>25</v>
      </c>
      <c r="Y124" s="58">
        <f t="shared" ref="Y124:Z128" si="18">IF(Y116=1,Y110,0)</f>
        <v>0</v>
      </c>
      <c r="Z124" s="54">
        <f t="shared" si="18"/>
        <v>0</v>
      </c>
      <c r="AB124" s="58">
        <f t="shared" ref="AB124:AC128" si="19">IF(AB116=1,AB110,0)</f>
        <v>25</v>
      </c>
      <c r="AC124" s="54">
        <f t="shared" si="19"/>
        <v>0</v>
      </c>
      <c r="AE124" s="58">
        <f>IF(AE116=1,AE110,0)</f>
        <v>25</v>
      </c>
      <c r="AW124" s="146"/>
    </row>
    <row r="125" spans="1:49" s="54" customFormat="1" ht="12.75" hidden="1" customHeight="1" x14ac:dyDescent="0.2">
      <c r="A125" s="54" t="s">
        <v>62</v>
      </c>
      <c r="B125" s="54">
        <f>IF(B117=1,B111,0)</f>
        <v>0</v>
      </c>
      <c r="D125" s="58">
        <f t="shared" si="11"/>
        <v>25</v>
      </c>
      <c r="E125" s="54">
        <f t="shared" si="11"/>
        <v>0</v>
      </c>
      <c r="G125" s="58">
        <f t="shared" si="12"/>
        <v>25</v>
      </c>
      <c r="H125" s="54">
        <f t="shared" si="12"/>
        <v>0</v>
      </c>
      <c r="J125" s="58">
        <f t="shared" si="13"/>
        <v>25</v>
      </c>
      <c r="K125" s="54">
        <f t="shared" si="13"/>
        <v>27</v>
      </c>
      <c r="M125" s="58">
        <f t="shared" si="14"/>
        <v>0</v>
      </c>
      <c r="N125" s="54">
        <f t="shared" si="14"/>
        <v>25</v>
      </c>
      <c r="P125" s="58">
        <f t="shared" si="15"/>
        <v>0</v>
      </c>
      <c r="Q125" s="54">
        <f t="shared" si="15"/>
        <v>25</v>
      </c>
      <c r="S125" s="58">
        <f t="shared" si="16"/>
        <v>0</v>
      </c>
      <c r="T125" s="54">
        <f t="shared" si="16"/>
        <v>25</v>
      </c>
      <c r="V125" s="58">
        <f t="shared" si="17"/>
        <v>0</v>
      </c>
      <c r="W125" s="54">
        <f t="shared" si="17"/>
        <v>0</v>
      </c>
      <c r="Y125" s="58">
        <f t="shared" si="18"/>
        <v>25</v>
      </c>
      <c r="Z125" s="54">
        <f t="shared" si="18"/>
        <v>0</v>
      </c>
      <c r="AB125" s="58">
        <f t="shared" si="19"/>
        <v>25</v>
      </c>
      <c r="AC125" s="54">
        <f t="shared" si="19"/>
        <v>25</v>
      </c>
      <c r="AE125" s="58">
        <f>IF(AE117=1,AE111,0)</f>
        <v>0</v>
      </c>
      <c r="AW125" s="146"/>
    </row>
    <row r="126" spans="1:49" s="54" customFormat="1" ht="12.75" hidden="1" customHeight="1" x14ac:dyDescent="0.2">
      <c r="A126" s="54" t="s">
        <v>63</v>
      </c>
      <c r="B126" s="54">
        <f>IF(B118=1,B112,0)</f>
        <v>0</v>
      </c>
      <c r="D126" s="58">
        <f t="shared" si="11"/>
        <v>0</v>
      </c>
      <c r="E126" s="54">
        <f t="shared" si="11"/>
        <v>0</v>
      </c>
      <c r="G126" s="58">
        <f t="shared" si="12"/>
        <v>0</v>
      </c>
      <c r="H126" s="54">
        <f t="shared" si="12"/>
        <v>0</v>
      </c>
      <c r="J126" s="58">
        <f t="shared" si="13"/>
        <v>0</v>
      </c>
      <c r="K126" s="54">
        <f t="shared" si="13"/>
        <v>0</v>
      </c>
      <c r="M126" s="58">
        <f t="shared" si="14"/>
        <v>0</v>
      </c>
      <c r="N126" s="54">
        <f t="shared" si="14"/>
        <v>0</v>
      </c>
      <c r="P126" s="58">
        <f t="shared" si="15"/>
        <v>0</v>
      </c>
      <c r="Q126" s="54">
        <f t="shared" si="15"/>
        <v>0</v>
      </c>
      <c r="S126" s="58">
        <f t="shared" si="16"/>
        <v>0</v>
      </c>
      <c r="T126" s="54">
        <f t="shared" si="16"/>
        <v>0</v>
      </c>
      <c r="V126" s="58">
        <f t="shared" si="17"/>
        <v>0</v>
      </c>
      <c r="W126" s="54">
        <f t="shared" si="17"/>
        <v>0</v>
      </c>
      <c r="Y126" s="58">
        <f t="shared" si="18"/>
        <v>0</v>
      </c>
      <c r="Z126" s="54">
        <f t="shared" si="18"/>
        <v>0</v>
      </c>
      <c r="AB126" s="58">
        <f t="shared" si="19"/>
        <v>0</v>
      </c>
      <c r="AC126" s="54">
        <f t="shared" si="19"/>
        <v>0</v>
      </c>
      <c r="AE126" s="58">
        <f>IF(AE118=1,AE112,0)</f>
        <v>0</v>
      </c>
      <c r="AW126" s="146"/>
    </row>
    <row r="127" spans="1:49" s="54" customFormat="1" ht="12.75" hidden="1" customHeight="1" x14ac:dyDescent="0.2">
      <c r="A127" s="54" t="s">
        <v>64</v>
      </c>
      <c r="B127" s="54">
        <f>IF(B119=1,B113,0)</f>
        <v>0</v>
      </c>
      <c r="D127" s="58">
        <f t="shared" si="11"/>
        <v>0</v>
      </c>
      <c r="E127" s="54">
        <f t="shared" si="11"/>
        <v>0</v>
      </c>
      <c r="G127" s="58">
        <f t="shared" si="12"/>
        <v>0</v>
      </c>
      <c r="H127" s="54">
        <f t="shared" si="12"/>
        <v>0</v>
      </c>
      <c r="J127" s="58">
        <f t="shared" si="13"/>
        <v>0</v>
      </c>
      <c r="K127" s="54">
        <f t="shared" si="13"/>
        <v>0</v>
      </c>
      <c r="M127" s="58">
        <f t="shared" si="14"/>
        <v>0</v>
      </c>
      <c r="N127" s="54">
        <f t="shared" si="14"/>
        <v>0</v>
      </c>
      <c r="P127" s="58">
        <f t="shared" si="15"/>
        <v>0</v>
      </c>
      <c r="Q127" s="54">
        <f t="shared" si="15"/>
        <v>0</v>
      </c>
      <c r="S127" s="58">
        <f t="shared" si="16"/>
        <v>0</v>
      </c>
      <c r="T127" s="54">
        <f t="shared" si="16"/>
        <v>0</v>
      </c>
      <c r="V127" s="58">
        <f t="shared" si="17"/>
        <v>0</v>
      </c>
      <c r="W127" s="54">
        <f t="shared" si="17"/>
        <v>0</v>
      </c>
      <c r="Y127" s="58">
        <f t="shared" si="18"/>
        <v>0</v>
      </c>
      <c r="Z127" s="54">
        <f t="shared" si="18"/>
        <v>0</v>
      </c>
      <c r="AB127" s="58">
        <f t="shared" si="19"/>
        <v>0</v>
      </c>
      <c r="AC127" s="54">
        <f t="shared" si="19"/>
        <v>0</v>
      </c>
      <c r="AE127" s="58">
        <f>IF(AE119=1,AE113,0)</f>
        <v>0</v>
      </c>
      <c r="AW127" s="146"/>
    </row>
    <row r="128" spans="1:49" s="54" customFormat="1" ht="12.75" hidden="1" customHeight="1" x14ac:dyDescent="0.2">
      <c r="A128" s="54" t="s">
        <v>65</v>
      </c>
      <c r="B128" s="54">
        <f>IF(B120=1,B114,0)</f>
        <v>0</v>
      </c>
      <c r="D128" s="58">
        <f t="shared" si="11"/>
        <v>0</v>
      </c>
      <c r="E128" s="54">
        <f t="shared" si="11"/>
        <v>0</v>
      </c>
      <c r="G128" s="58">
        <f t="shared" si="12"/>
        <v>0</v>
      </c>
      <c r="H128" s="54">
        <f t="shared" si="12"/>
        <v>0</v>
      </c>
      <c r="J128" s="58">
        <f t="shared" si="13"/>
        <v>0</v>
      </c>
      <c r="K128" s="54">
        <f t="shared" si="13"/>
        <v>0</v>
      </c>
      <c r="M128" s="58">
        <f t="shared" si="14"/>
        <v>0</v>
      </c>
      <c r="N128" s="54">
        <f t="shared" si="14"/>
        <v>0</v>
      </c>
      <c r="P128" s="58">
        <f t="shared" si="15"/>
        <v>0</v>
      </c>
      <c r="Q128" s="54">
        <f t="shared" si="15"/>
        <v>0</v>
      </c>
      <c r="S128" s="58">
        <f t="shared" si="16"/>
        <v>0</v>
      </c>
      <c r="T128" s="54">
        <f t="shared" si="16"/>
        <v>0</v>
      </c>
      <c r="V128" s="58">
        <f t="shared" si="17"/>
        <v>0</v>
      </c>
      <c r="W128" s="54">
        <f t="shared" si="17"/>
        <v>0</v>
      </c>
      <c r="Y128" s="58">
        <f t="shared" si="18"/>
        <v>0</v>
      </c>
      <c r="Z128" s="54">
        <f t="shared" si="18"/>
        <v>0</v>
      </c>
      <c r="AB128" s="58">
        <f t="shared" si="19"/>
        <v>0</v>
      </c>
      <c r="AC128" s="54">
        <f t="shared" si="19"/>
        <v>0</v>
      </c>
      <c r="AE128" s="58">
        <f>IF(AE120=1,AE114,0)</f>
        <v>0</v>
      </c>
      <c r="AW128" s="146"/>
    </row>
    <row r="129" spans="1:49" s="54" customFormat="1" ht="38.25" hidden="1" customHeight="1" x14ac:dyDescent="0.2">
      <c r="A129" s="57" t="s">
        <v>66</v>
      </c>
      <c r="B129" s="54">
        <f>SUM(B124:D128)</f>
        <v>50</v>
      </c>
      <c r="D129" s="58"/>
      <c r="E129" s="54">
        <f>SUM(E124:G128)</f>
        <v>50</v>
      </c>
      <c r="G129" s="58"/>
      <c r="H129" s="54">
        <f>SUM(H124:J128)</f>
        <v>50</v>
      </c>
      <c r="J129" s="58"/>
      <c r="K129" s="54">
        <f>SUM(K124:M128)</f>
        <v>53</v>
      </c>
      <c r="M129" s="58"/>
      <c r="N129" s="54">
        <f>SUM(N124:P128)</f>
        <v>50</v>
      </c>
      <c r="P129" s="58"/>
      <c r="Q129" s="54">
        <f>SUM(Q124:S128)</f>
        <v>50</v>
      </c>
      <c r="S129" s="58"/>
      <c r="T129" s="54">
        <f>SUM(T124:V128)</f>
        <v>50</v>
      </c>
      <c r="V129" s="58"/>
      <c r="W129" s="54">
        <f>SUM(W124:Y128)</f>
        <v>50</v>
      </c>
      <c r="Y129" s="58"/>
      <c r="Z129" s="54">
        <f>SUM(Z124:AB128)</f>
        <v>50</v>
      </c>
      <c r="AB129" s="58"/>
      <c r="AC129" s="54">
        <f>SUM(AC124:AE128)</f>
        <v>50</v>
      </c>
      <c r="AE129" s="58"/>
      <c r="AW129" s="146"/>
    </row>
    <row r="130" spans="1:49" s="54" customFormat="1" ht="38.25" hidden="1" customHeight="1" x14ac:dyDescent="0.2">
      <c r="A130" s="54" t="s">
        <v>67</v>
      </c>
      <c r="D130" s="58"/>
      <c r="G130" s="58"/>
      <c r="J130" s="58"/>
      <c r="M130" s="58"/>
      <c r="P130" s="58"/>
      <c r="S130" s="58"/>
      <c r="V130" s="58"/>
      <c r="Y130" s="58"/>
      <c r="AB130" s="58"/>
      <c r="AE130" s="58"/>
      <c r="AF130" s="57" t="s">
        <v>68</v>
      </c>
      <c r="AG130" s="54" t="s">
        <v>69</v>
      </c>
      <c r="AW130" s="146"/>
    </row>
    <row r="131" spans="1:49" s="54" customFormat="1" ht="12.75" hidden="1" customHeight="1" x14ac:dyDescent="0.2">
      <c r="A131" s="54" t="s">
        <v>70</v>
      </c>
      <c r="B131" s="54">
        <f>IF(B109=1,IF(B122=1,1,0),0)</f>
        <v>0</v>
      </c>
      <c r="D131" s="58">
        <f>IF(D109=1,IF(D122=1,1,0),0)</f>
        <v>0</v>
      </c>
      <c r="E131" s="54">
        <f>IF(E109=1,IF(E122=1,1,0),0)</f>
        <v>0</v>
      </c>
      <c r="G131" s="58">
        <f>IF(G109=1,IF(G122=1,1,0),0)</f>
        <v>0</v>
      </c>
      <c r="H131" s="54">
        <f>IF(H109=1,IF(H122=1,1,0),0)</f>
        <v>0</v>
      </c>
      <c r="J131" s="58">
        <f>IF(J109=1,IF(J122=1,1,0),0)</f>
        <v>0</v>
      </c>
      <c r="K131" s="54">
        <f>IF(K109=1,IF(K122=1,1,0),0)</f>
        <v>0</v>
      </c>
      <c r="M131" s="58">
        <f>IF(M109=1,IF(M122=1,1,0),0)</f>
        <v>0</v>
      </c>
      <c r="N131" s="54">
        <f>IF(N109=1,IF(N122=1,1,0),0)</f>
        <v>1</v>
      </c>
      <c r="P131" s="58">
        <f>IF(P109=1,IF(P122=1,1,0),0)</f>
        <v>0</v>
      </c>
      <c r="Q131" s="54">
        <f>IF(Q109=1,IF(Q122=1,1,0),0)</f>
        <v>0</v>
      </c>
      <c r="S131" s="58">
        <f>IF(S109=1,IF(S122=1,1,0),0)</f>
        <v>0</v>
      </c>
      <c r="T131" s="54">
        <f>IF(T109=1,IF(T122=1,1,0),0)</f>
        <v>0</v>
      </c>
      <c r="V131" s="58">
        <f>IF(V109=1,IF(V122=1,1,0),0)</f>
        <v>0</v>
      </c>
      <c r="W131" s="54">
        <f>IF(W109=1,IF(W122=1,1,0),0)</f>
        <v>0</v>
      </c>
      <c r="Y131" s="58">
        <f>IF(Y109=1,IF(Y122=1,1,0),0)</f>
        <v>0</v>
      </c>
      <c r="Z131" s="54">
        <f>IF(Z109=1,IF(Z122=1,1,0),0)</f>
        <v>0</v>
      </c>
      <c r="AB131" s="58">
        <f>IF(AB109=1,IF(AB122=1,1,0),0)</f>
        <v>0</v>
      </c>
      <c r="AC131" s="54">
        <f>IF(AC109=1,IF(AC122=1,1,0),0)</f>
        <v>0</v>
      </c>
      <c r="AE131" s="58">
        <f>IF(AE109=1,IF(AE122=1,1,0),0)</f>
        <v>0</v>
      </c>
      <c r="AF131" s="54">
        <f>SUM(B131:AE131)</f>
        <v>1</v>
      </c>
      <c r="AG131" s="54">
        <f>AF137-AF131</f>
        <v>1</v>
      </c>
      <c r="AW131" s="146"/>
    </row>
    <row r="132" spans="1:49" s="54" customFormat="1" ht="12.75" hidden="1" customHeight="1" x14ac:dyDescent="0.2">
      <c r="A132" s="54" t="s">
        <v>71</v>
      </c>
      <c r="B132" s="54">
        <f>IF(B109=2,IF(B122=1,1,0),0)</f>
        <v>0</v>
      </c>
      <c r="D132" s="58">
        <f>IF(D109=2,IF(D122=1,1,0),0)</f>
        <v>0</v>
      </c>
      <c r="E132" s="54">
        <f>IF(E109=2,IF(E122=1,1,0),0)</f>
        <v>0</v>
      </c>
      <c r="G132" s="58">
        <f>IF(G109=2,IF(G122=1,1,0),0)</f>
        <v>0</v>
      </c>
      <c r="H132" s="54">
        <f>IF(H109=2,IF(H122=1,1,0),0)</f>
        <v>0</v>
      </c>
      <c r="J132" s="58">
        <f>IF(J109=2,IF(J122=1,1,0),0)</f>
        <v>0</v>
      </c>
      <c r="K132" s="54">
        <f>IF(K109=2,IF(K122=1,1,0),0)</f>
        <v>1</v>
      </c>
      <c r="M132" s="58">
        <f>IF(M109=2,IF(M122=1,1,0),0)</f>
        <v>0</v>
      </c>
      <c r="N132" s="54">
        <f>IF(N109=2,IF(N122=1,1,0),0)</f>
        <v>0</v>
      </c>
      <c r="P132" s="58">
        <f>IF(P109=2,IF(P122=1,1,0),0)</f>
        <v>0</v>
      </c>
      <c r="Q132" s="54">
        <f>IF(Q109=2,IF(Q122=1,1,0),0)</f>
        <v>0</v>
      </c>
      <c r="S132" s="58">
        <f>IF(S109=2,IF(S122=1,1,0),0)</f>
        <v>0</v>
      </c>
      <c r="T132" s="54">
        <f>IF(T109=2,IF(T122=1,1,0),0)</f>
        <v>1</v>
      </c>
      <c r="V132" s="58">
        <f>IF(V109=2,IF(V122=1,1,0),0)</f>
        <v>0</v>
      </c>
      <c r="W132" s="54">
        <f>IF(W109=2,IF(W122=1,1,0),0)</f>
        <v>0</v>
      </c>
      <c r="Y132" s="58">
        <f>IF(Y109=2,IF(Y122=1,1,0),0)</f>
        <v>0</v>
      </c>
      <c r="Z132" s="54">
        <f>IF(Z109=2,IF(Z122=1,1,0),0)</f>
        <v>0</v>
      </c>
      <c r="AB132" s="58">
        <f>IF(AB109=2,IF(AB122=1,1,0),0)</f>
        <v>0</v>
      </c>
      <c r="AC132" s="54">
        <f>IF(AC109=2,IF(AC122=1,1,0),0)</f>
        <v>0</v>
      </c>
      <c r="AE132" s="58">
        <f>IF(AE109=2,IF(AE122=1,1,0),0)</f>
        <v>0</v>
      </c>
      <c r="AF132" s="54">
        <f>SUM(B132:AE132)</f>
        <v>2</v>
      </c>
      <c r="AG132" s="54">
        <f>AF138-AF132</f>
        <v>1</v>
      </c>
      <c r="AW132" s="146"/>
    </row>
    <row r="133" spans="1:49" s="54" customFormat="1" ht="12.75" hidden="1" customHeight="1" x14ac:dyDescent="0.2">
      <c r="A133" s="54" t="s">
        <v>72</v>
      </c>
      <c r="B133" s="54">
        <f>IF(B109=3,IF(B122=1,1,0),0)</f>
        <v>0</v>
      </c>
      <c r="D133" s="58">
        <f>IF(D109=3,IF(D122=1,1,0),0)</f>
        <v>0</v>
      </c>
      <c r="E133" s="54">
        <f>IF(E109=3,IF(E122=1,1,0),0)</f>
        <v>0</v>
      </c>
      <c r="G133" s="58">
        <f>IF(G109=3,IF(G122=1,1,0),0)</f>
        <v>0</v>
      </c>
      <c r="H133" s="54">
        <f>IF(H109=3,IF(H122=1,1,0),0)</f>
        <v>0</v>
      </c>
      <c r="J133" s="58">
        <f>IF(J109=3,IF(J122=1,1,0),0)</f>
        <v>0</v>
      </c>
      <c r="K133" s="54">
        <f>IF(K109=3,IF(K122=1,1,0),0)</f>
        <v>0</v>
      </c>
      <c r="M133" s="58">
        <f>IF(M109=3,IF(M122=1,1,0),0)</f>
        <v>0</v>
      </c>
      <c r="N133" s="54">
        <f>IF(N109=3,IF(N122=1,1,0),0)</f>
        <v>0</v>
      </c>
      <c r="P133" s="58">
        <f>IF(P109=3,IF(P122=1,1,0),0)</f>
        <v>0</v>
      </c>
      <c r="Q133" s="54">
        <f>IF(Q109=3,IF(Q122=1,1,0),0)</f>
        <v>0</v>
      </c>
      <c r="S133" s="58">
        <f>IF(S109=3,IF(S122=1,1,0),0)</f>
        <v>0</v>
      </c>
      <c r="T133" s="54">
        <f>IF(T109=3,IF(T122=1,1,0),0)</f>
        <v>0</v>
      </c>
      <c r="V133" s="58">
        <f>IF(V109=3,IF(V122=1,1,0),0)</f>
        <v>0</v>
      </c>
      <c r="W133" s="54">
        <f>IF(W109=3,IF(W122=1,1,0),0)</f>
        <v>0</v>
      </c>
      <c r="Y133" s="58">
        <f>IF(Y109=3,IF(Y122=1,1,0),0)</f>
        <v>0</v>
      </c>
      <c r="Z133" s="54">
        <f>IF(Z109=3,IF(Z122=1,1,0),0)</f>
        <v>0</v>
      </c>
      <c r="AB133" s="58">
        <f>IF(AB109=3,IF(AB122=1,1,0),0)</f>
        <v>0</v>
      </c>
      <c r="AC133" s="54">
        <f>IF(AC109=3,IF(AC122=1,1,0),0)</f>
        <v>0</v>
      </c>
      <c r="AE133" s="58">
        <f>IF(AE109=3,IF(AE122=1,1,0),0)</f>
        <v>0</v>
      </c>
      <c r="AF133" s="54">
        <f>SUM(B133:AE133)</f>
        <v>0</v>
      </c>
      <c r="AG133" s="54">
        <f>AF139-AF133</f>
        <v>4</v>
      </c>
      <c r="AW133" s="146"/>
    </row>
    <row r="134" spans="1:49" s="54" customFormat="1" ht="12.75" hidden="1" customHeight="1" x14ac:dyDescent="0.2">
      <c r="A134" s="54" t="s">
        <v>73</v>
      </c>
      <c r="B134" s="54">
        <f>IF(B109=4,IF(B122=1,1,0),0)</f>
        <v>0</v>
      </c>
      <c r="D134" s="58">
        <f>IF(D109=4,IF(D122=1,1,0),0)</f>
        <v>0</v>
      </c>
      <c r="E134" s="54">
        <f>IF(E109=4,IF(E122=1,1,0),0)</f>
        <v>0</v>
      </c>
      <c r="G134" s="58">
        <f>IF(G109=4,IF(G122=1,1,0),0)</f>
        <v>1</v>
      </c>
      <c r="H134" s="54">
        <f>IF(H109=4,IF(H122=1,1,0),0)</f>
        <v>0</v>
      </c>
      <c r="J134" s="58">
        <f>IF(J109=4,IF(J122=1,1,0),0)</f>
        <v>0</v>
      </c>
      <c r="K134" s="54">
        <f>IF(K109=4,IF(K122=1,1,0),0)</f>
        <v>0</v>
      </c>
      <c r="M134" s="58">
        <f>IF(M109=4,IF(M122=1,1,0),0)</f>
        <v>0</v>
      </c>
      <c r="N134" s="54">
        <f>IF(N109=4,IF(N122=1,1,0),0)</f>
        <v>0</v>
      </c>
      <c r="P134" s="58">
        <f>IF(P109=4,IF(P122=1,1,0),0)</f>
        <v>0</v>
      </c>
      <c r="Q134" s="54">
        <f>IF(Q109=4,IF(Q122=1,1,0),0)</f>
        <v>1</v>
      </c>
      <c r="S134" s="58">
        <f>IF(S109=4,IF(S122=1,1,0),0)</f>
        <v>0</v>
      </c>
      <c r="T134" s="54">
        <f>IF(T109=4,IF(T122=1,1,0),0)</f>
        <v>0</v>
      </c>
      <c r="V134" s="58">
        <f>IF(V109=4,IF(V122=1,1,0),0)</f>
        <v>0</v>
      </c>
      <c r="W134" s="54">
        <f>IF(W109=4,IF(W122=1,1,0),0)</f>
        <v>0</v>
      </c>
      <c r="Y134" s="58">
        <f>IF(Y109=4,IF(Y122=1,1,0),0)</f>
        <v>0</v>
      </c>
      <c r="Z134" s="54">
        <f>IF(Z109=4,IF(Z122=1,1,0),0)</f>
        <v>0</v>
      </c>
      <c r="AB134" s="58">
        <f>IF(AB109=4,IF(AB122=1,1,0),0)</f>
        <v>1</v>
      </c>
      <c r="AC134" s="54">
        <f>IF(AC109=4,IF(AC122=1,1,0),0)</f>
        <v>0</v>
      </c>
      <c r="AE134" s="58">
        <f>IF(AE109=4,IF(AE122=1,1,0),0)</f>
        <v>0</v>
      </c>
      <c r="AF134" s="54">
        <f>SUM(B134:AE134)</f>
        <v>3</v>
      </c>
      <c r="AG134" s="54">
        <f>AF140-AF134</f>
        <v>1</v>
      </c>
      <c r="AW134" s="146"/>
    </row>
    <row r="135" spans="1:49" s="54" customFormat="1" ht="12.75" hidden="1" customHeight="1" x14ac:dyDescent="0.2">
      <c r="A135" s="54" t="s">
        <v>74</v>
      </c>
      <c r="B135" s="54">
        <f>IF(B109=5,IF(B122=1,1,0),0)</f>
        <v>0</v>
      </c>
      <c r="D135" s="58">
        <f>IF(D109=5,IF(D122=1,1,0),0)</f>
        <v>1</v>
      </c>
      <c r="E135" s="54">
        <f>IF(E109=5,IF(E122=1,1,0),0)</f>
        <v>0</v>
      </c>
      <c r="G135" s="58">
        <f>IF(G109=5,IF(G122=1,1,0),0)</f>
        <v>0</v>
      </c>
      <c r="H135" s="54">
        <f>IF(H109=5,IF(H122=1,1,0),0)</f>
        <v>0</v>
      </c>
      <c r="J135" s="58">
        <f>IF(J109=5,IF(J122=1,1,0),0)</f>
        <v>1</v>
      </c>
      <c r="K135" s="54">
        <f>IF(K109=5,IF(K122=1,1,0),0)</f>
        <v>0</v>
      </c>
      <c r="M135" s="58">
        <f>IF(M109=5,IF(M122=1,1,0),0)</f>
        <v>0</v>
      </c>
      <c r="N135" s="54">
        <f>IF(N109=5,IF(N122=1,1,0),0)</f>
        <v>0</v>
      </c>
      <c r="P135" s="58">
        <f>IF(P109=5,IF(P122=1,1,0),0)</f>
        <v>0</v>
      </c>
      <c r="Q135" s="54">
        <f>IF(Q109=5,IF(Q122=1,1,0),0)</f>
        <v>0</v>
      </c>
      <c r="S135" s="58">
        <f>IF(S109=5,IF(S122=1,1,0),0)</f>
        <v>0</v>
      </c>
      <c r="T135" s="54">
        <f>IF(T109=5,IF(T122=1,1,0),0)</f>
        <v>0</v>
      </c>
      <c r="V135" s="58">
        <f>IF(V109=5,IF(V122=1,1,0),0)</f>
        <v>0</v>
      </c>
      <c r="W135" s="54">
        <f>IF(W109=5,IF(W122=1,1,0),0)</f>
        <v>0</v>
      </c>
      <c r="Y135" s="58">
        <f>IF(Y109=5,IF(Y122=1,1,0),0)</f>
        <v>0</v>
      </c>
      <c r="Z135" s="54">
        <f>IF(Z109=5,IF(Z122=1,1,0),0)</f>
        <v>0</v>
      </c>
      <c r="AB135" s="58">
        <f>IF(AB109=5,IF(AB122=1,1,0),0)</f>
        <v>0</v>
      </c>
      <c r="AC135" s="54">
        <f>IF(AC109=5,IF(AC122=1,1,0),0)</f>
        <v>0</v>
      </c>
      <c r="AE135" s="58">
        <f>IF(AE109=5,IF(AE122=1,1,0),0)</f>
        <v>0</v>
      </c>
      <c r="AF135" s="54">
        <f>SUM(B135:AE135)</f>
        <v>2</v>
      </c>
      <c r="AG135" s="54">
        <f>AF141-AF135</f>
        <v>1</v>
      </c>
      <c r="AW135" s="146"/>
    </row>
    <row r="136" spans="1:49" s="54" customFormat="1" ht="38.25" hidden="1" customHeight="1" x14ac:dyDescent="0.2">
      <c r="A136" s="57"/>
      <c r="D136" s="58"/>
      <c r="G136" s="58"/>
      <c r="J136" s="58"/>
      <c r="M136" s="58"/>
      <c r="P136" s="58"/>
      <c r="S136" s="58"/>
      <c r="V136" s="58"/>
      <c r="Y136" s="58"/>
      <c r="AB136" s="58"/>
      <c r="AE136" s="58"/>
      <c r="AF136" s="57" t="s">
        <v>75</v>
      </c>
      <c r="AW136" s="146"/>
    </row>
    <row r="137" spans="1:49" s="54" customFormat="1" ht="12.75" hidden="1" customHeight="1" x14ac:dyDescent="0.2">
      <c r="A137" s="54" t="s">
        <v>76</v>
      </c>
      <c r="B137" s="54">
        <f>IF(B109=1,IF(C122=1,1,0),0)</f>
        <v>0</v>
      </c>
      <c r="D137" s="58">
        <f>IF(D109=1,IF(C122=1,1,0),0)</f>
        <v>0</v>
      </c>
      <c r="E137" s="54">
        <f>IF(E109=1,IF(F122=1,1,0),0)</f>
        <v>1</v>
      </c>
      <c r="G137" s="58">
        <f>IF(G109=1,IF(F122=1,1,0),0)</f>
        <v>0</v>
      </c>
      <c r="H137" s="54">
        <f>IF(H109=1,IF(I122=1,1,0),0)</f>
        <v>0</v>
      </c>
      <c r="J137" s="58">
        <f>IF(J109=1,IF(I122=1,1,0),0)</f>
        <v>0</v>
      </c>
      <c r="K137" s="54">
        <f>IF(K109=1,IF(L122=1,1,0),0)</f>
        <v>0</v>
      </c>
      <c r="M137" s="58">
        <f>IF(M109=1,IF(L122=1,1,0),0)</f>
        <v>0</v>
      </c>
      <c r="N137" s="54">
        <f>IF(N109=1,IF(O122=1,1,0),0)</f>
        <v>1</v>
      </c>
      <c r="P137" s="58">
        <f>IF(P109=1,IF(O122=1,1,0),0)</f>
        <v>0</v>
      </c>
      <c r="Q137" s="54">
        <f>IF(Q109=1,IF(R122=1,1,0),0)</f>
        <v>0</v>
      </c>
      <c r="S137" s="58">
        <f>IF(S109=1,IF(R122=1,1,0),0)</f>
        <v>0</v>
      </c>
      <c r="T137" s="54">
        <f>IF(T109=1,IF(U122=1,1,0),0)</f>
        <v>0</v>
      </c>
      <c r="V137" s="58">
        <f>IF(V109=1,IF(U122=1,1,0),0)</f>
        <v>0</v>
      </c>
      <c r="W137" s="54">
        <f>IF(W109=1,IF(X122=1,1,0),0)</f>
        <v>0</v>
      </c>
      <c r="Y137" s="58">
        <f>IF(Y109=1,IF(X122=1,1,0),0)</f>
        <v>0</v>
      </c>
      <c r="Z137" s="54">
        <f>IF(Z109=1,IF(AA122=1,1,0),0)</f>
        <v>0</v>
      </c>
      <c r="AB137" s="58">
        <f>IF(AB109=1,IF(AA122=1,1,0),0)</f>
        <v>0</v>
      </c>
      <c r="AC137" s="54">
        <f>IF(AC109=1,IF(AD122=1,1,0),0)</f>
        <v>0</v>
      </c>
      <c r="AE137" s="58">
        <f>IF(AE109=1,IF(AD122=1,1,0),0)</f>
        <v>0</v>
      </c>
      <c r="AF137" s="54">
        <f>SUM(B137:AE137)</f>
        <v>2</v>
      </c>
      <c r="AW137" s="146"/>
    </row>
    <row r="138" spans="1:49" s="54" customFormat="1" ht="12.75" hidden="1" customHeight="1" x14ac:dyDescent="0.2">
      <c r="A138" s="54" t="s">
        <v>77</v>
      </c>
      <c r="B138" s="54">
        <f>IF(B109=2,IF(C122=1,1,0),0)</f>
        <v>1</v>
      </c>
      <c r="D138" s="58">
        <f>IF(D109=2,IF(C122=1,1,0),0)</f>
        <v>0</v>
      </c>
      <c r="E138" s="54">
        <f>IF(E109=2,IF(F122=1,1,0),0)</f>
        <v>0</v>
      </c>
      <c r="G138" s="58">
        <f>IF(G109=2,IF(F122=1,1,0),0)</f>
        <v>0</v>
      </c>
      <c r="H138" s="54">
        <f>IF(H109=2,IF(I122=1,1,0),0)</f>
        <v>0</v>
      </c>
      <c r="J138" s="58">
        <f>IF(J109=2,IF(I122=1,1,0),0)</f>
        <v>0</v>
      </c>
      <c r="K138" s="54">
        <f>IF(K109=2,IF(L122=1,1,0),0)</f>
        <v>1</v>
      </c>
      <c r="M138" s="58">
        <f>IF(M109=2,IF(L122=1,1,0),0)</f>
        <v>0</v>
      </c>
      <c r="N138" s="54">
        <f>IF(N109=2,IF(O122=1,1,0),0)</f>
        <v>0</v>
      </c>
      <c r="P138" s="58">
        <f>IF(P109=2,IF(O122=1,1,0),0)</f>
        <v>0</v>
      </c>
      <c r="Q138" s="54">
        <f>IF(Q109=2,IF(R122=1,1,0),0)</f>
        <v>0</v>
      </c>
      <c r="S138" s="58">
        <f>IF(S109=2,IF(R122=1,1,0),0)</f>
        <v>0</v>
      </c>
      <c r="T138" s="54">
        <f>IF(T109=2,IF(U122=1,1,0),0)</f>
        <v>1</v>
      </c>
      <c r="V138" s="58">
        <f>IF(V109=2,IF(U122=1,1,0),0)</f>
        <v>0</v>
      </c>
      <c r="W138" s="54">
        <f>IF(W109=2,IF(X122=1,1,0),0)</f>
        <v>0</v>
      </c>
      <c r="Y138" s="58">
        <f>IF(Y109=2,IF(X122=1,1,0),0)</f>
        <v>0</v>
      </c>
      <c r="Z138" s="54">
        <f>IF(Z109=2,IF(AA122=1,1,0),0)</f>
        <v>0</v>
      </c>
      <c r="AB138" s="58">
        <f>IF(AB109=2,IF(AA122=1,1,0),0)</f>
        <v>0</v>
      </c>
      <c r="AC138" s="54">
        <f>IF(AC109=2,IF(AD122=1,1,0),0)</f>
        <v>0</v>
      </c>
      <c r="AE138" s="58">
        <f>IF(AE109=2,IF(AD122=1,1,0),0)</f>
        <v>0</v>
      </c>
      <c r="AF138" s="54">
        <f>SUM(B138:AE138)</f>
        <v>3</v>
      </c>
      <c r="AW138" s="146"/>
    </row>
    <row r="139" spans="1:49" s="54" customFormat="1" ht="12.75" hidden="1" customHeight="1" x14ac:dyDescent="0.2">
      <c r="A139" s="54" t="s">
        <v>78</v>
      </c>
      <c r="B139" s="54">
        <f>IF(B109=3,IF(C122=1,1,0),0)</f>
        <v>0</v>
      </c>
      <c r="D139" s="58">
        <f>IF(D109=3,IF(C122=1,1,0),0)</f>
        <v>0</v>
      </c>
      <c r="E139" s="54">
        <f>IF(E109=3,IF(F122=1,1,0),0)</f>
        <v>0</v>
      </c>
      <c r="G139" s="58">
        <f>IF(G109=3,IF(F122=1,1,0),0)</f>
        <v>0</v>
      </c>
      <c r="H139" s="54">
        <f>IF(H109=3,IF(I122=1,1,0),0)</f>
        <v>1</v>
      </c>
      <c r="J139" s="58">
        <f>IF(J109=3,IF(I122=1,1,0),0)</f>
        <v>0</v>
      </c>
      <c r="K139" s="54">
        <f>IF(K109=3,IF(L122=1,1,0),0)</f>
        <v>0</v>
      </c>
      <c r="M139" s="58">
        <f>IF(M109=3,IF(L122=1,1,0),0)</f>
        <v>0</v>
      </c>
      <c r="N139" s="54">
        <f>IF(N109=3,IF(O122=1,1,0),0)</f>
        <v>0</v>
      </c>
      <c r="P139" s="58">
        <f>IF(P109=3,IF(O122=1,1,0),0)</f>
        <v>1</v>
      </c>
      <c r="Q139" s="54">
        <f>IF(Q109=3,IF(R122=1,1,0),0)</f>
        <v>0</v>
      </c>
      <c r="S139" s="58">
        <f>IF(S109=3,IF(R122=1,1,0),0)</f>
        <v>0</v>
      </c>
      <c r="T139" s="54">
        <f>IF(T109=3,IF(U122=1,1,0),0)</f>
        <v>0</v>
      </c>
      <c r="V139" s="58">
        <f>IF(V109=3,IF(U122=1,1,0),0)</f>
        <v>1</v>
      </c>
      <c r="W139" s="54">
        <f>IF(W109=3,IF(X122=1,1,0),0)</f>
        <v>0</v>
      </c>
      <c r="Y139" s="58">
        <f>IF(Y109=3,IF(X122=1,1,0),0)</f>
        <v>0</v>
      </c>
      <c r="Z139" s="54">
        <f>IF(Z109=3,IF(AA122=1,1,0),0)</f>
        <v>1</v>
      </c>
      <c r="AB139" s="58">
        <f>IF(AB109=3,IF(AA122=1,1,0),0)</f>
        <v>0</v>
      </c>
      <c r="AC139" s="54">
        <f>IF(AC109=3,IF(AD122=1,1,0),0)</f>
        <v>0</v>
      </c>
      <c r="AE139" s="58">
        <f>IF(AE109=3,IF(AD122=1,1,0),0)</f>
        <v>0</v>
      </c>
      <c r="AF139" s="54">
        <f>SUM(B139:AE139)</f>
        <v>4</v>
      </c>
      <c r="AW139" s="146"/>
    </row>
    <row r="140" spans="1:49" s="54" customFormat="1" ht="12.75" hidden="1" customHeight="1" x14ac:dyDescent="0.2">
      <c r="A140" s="54" t="s">
        <v>79</v>
      </c>
      <c r="B140" s="54">
        <f>IF(B109=4,IF(C122=1,1,0),0)</f>
        <v>0</v>
      </c>
      <c r="D140" s="58">
        <f>IF(D109=4,IF(C122=1,1,0),0)</f>
        <v>0</v>
      </c>
      <c r="E140" s="54">
        <f>IF(E109=4,IF(F122=1,1,0),0)</f>
        <v>0</v>
      </c>
      <c r="G140" s="58">
        <f>IF(G109=4,IF(F122=1,1,0),0)</f>
        <v>1</v>
      </c>
      <c r="H140" s="54">
        <f>IF(H109=4,IF(I122=1,1,0),0)</f>
        <v>0</v>
      </c>
      <c r="J140" s="58">
        <f>IF(J109=4,IF(I122=1,1,0),0)</f>
        <v>0</v>
      </c>
      <c r="K140" s="54">
        <f>IF(K109=4,IF(L122=1,1,0),0)</f>
        <v>0</v>
      </c>
      <c r="M140" s="58">
        <f>IF(M109=4,IF(L122=1,1,0),0)</f>
        <v>1</v>
      </c>
      <c r="N140" s="54">
        <f>IF(N109=4,IF(O122=1,1,0),0)</f>
        <v>0</v>
      </c>
      <c r="P140" s="58">
        <f>IF(P109=4,IF(O122=1,1,0),0)</f>
        <v>0</v>
      </c>
      <c r="Q140" s="54">
        <f>IF(Q109=4,IF(R122=1,1,0),0)</f>
        <v>1</v>
      </c>
      <c r="S140" s="58">
        <f>IF(S109=4,IF(R122=1,1,0),0)</f>
        <v>0</v>
      </c>
      <c r="T140" s="54">
        <f>IF(T109=4,IF(U122=1,1,0),0)</f>
        <v>0</v>
      </c>
      <c r="V140" s="58">
        <f>IF(V109=4,IF(U122=1,1,0),0)</f>
        <v>0</v>
      </c>
      <c r="W140" s="54">
        <f>IF(W109=4,IF(X122=1,1,0),0)</f>
        <v>0</v>
      </c>
      <c r="Y140" s="58">
        <f>IF(Y109=4,IF(X122=1,1,0),0)</f>
        <v>0</v>
      </c>
      <c r="Z140" s="54">
        <f>IF(Z109=4,IF(AA122=1,1,0),0)</f>
        <v>0</v>
      </c>
      <c r="AB140" s="58">
        <f>IF(AB109=4,IF(AA122=1,1,0),0)</f>
        <v>1</v>
      </c>
      <c r="AC140" s="54">
        <f>IF(AC109=4,IF(AD122=1,1,0),0)</f>
        <v>0</v>
      </c>
      <c r="AE140" s="58">
        <f>IF(AE109=4,IF(AD122=1,1,0),0)</f>
        <v>0</v>
      </c>
      <c r="AF140" s="54">
        <f>SUM(B140:AE140)</f>
        <v>4</v>
      </c>
      <c r="AW140" s="146"/>
    </row>
    <row r="141" spans="1:49" s="54" customFormat="1" ht="12.75" hidden="1" customHeight="1" x14ac:dyDescent="0.2">
      <c r="A141" s="54" t="s">
        <v>80</v>
      </c>
      <c r="B141" s="54">
        <f>IF(B109=5,IF(C122=1,1,0),0)</f>
        <v>0</v>
      </c>
      <c r="D141" s="58">
        <f>IF(D109=5,IF(C122=1,1,0),0)</f>
        <v>1</v>
      </c>
      <c r="E141" s="54">
        <f>IF(E109=5,IF(F122=1,1,0),0)</f>
        <v>0</v>
      </c>
      <c r="G141" s="58">
        <f>IF(G109=5,IF(F122=1,1,0),0)</f>
        <v>0</v>
      </c>
      <c r="H141" s="54">
        <f>IF(H109=5,IF(I122=1,1,0),0)</f>
        <v>0</v>
      </c>
      <c r="J141" s="58">
        <f>IF(J109=5,IF(I122=1,1,0),0)</f>
        <v>1</v>
      </c>
      <c r="K141" s="54">
        <f>IF(K109=5,IF(L122=1,1,0),0)</f>
        <v>0</v>
      </c>
      <c r="M141" s="58">
        <f>IF(M109=5,IF(L122=1,1,0),0)</f>
        <v>0</v>
      </c>
      <c r="N141" s="54">
        <f>IF(N109=5,IF(O122=1,1,0),0)</f>
        <v>0</v>
      </c>
      <c r="P141" s="58">
        <f>IF(P109=5,IF(O122=1,1,0),0)</f>
        <v>0</v>
      </c>
      <c r="Q141" s="54">
        <f>IF(Q109=5,IF(R122=1,1,0),0)</f>
        <v>0</v>
      </c>
      <c r="S141" s="58">
        <f>IF(S109=5,IF(R122=1,1,0),0)</f>
        <v>1</v>
      </c>
      <c r="T141" s="54">
        <f>IF(T109=5,IF(U122=1,1,0),0)</f>
        <v>0</v>
      </c>
      <c r="V141" s="58">
        <f>IF(V109=5,IF(U122=1,1,0),0)</f>
        <v>0</v>
      </c>
      <c r="W141" s="54">
        <f>IF(W109=5,IF(X122=1,1,0),0)</f>
        <v>0</v>
      </c>
      <c r="Y141" s="58">
        <f>IF(Y109=5,IF(X122=1,1,0),0)</f>
        <v>0</v>
      </c>
      <c r="Z141" s="54">
        <f>IF(Z109=5,IF(AA122=1,1,0),0)</f>
        <v>0</v>
      </c>
      <c r="AB141" s="58">
        <f>IF(AB109=5,IF(AA122=1,1,0),0)</f>
        <v>0</v>
      </c>
      <c r="AC141" s="54">
        <f>IF(AC109=5,IF(AD122=1,1,0),0)</f>
        <v>0</v>
      </c>
      <c r="AE141" s="58">
        <f>IF(AE109=5,IF(AD122=1,1,0),0)</f>
        <v>0</v>
      </c>
      <c r="AF141" s="54">
        <f>SUM(B141:AE141)</f>
        <v>3</v>
      </c>
      <c r="AW141" s="146"/>
    </row>
    <row r="142" spans="1:49" s="54" customFormat="1" ht="38.25" hidden="1" customHeight="1" x14ac:dyDescent="0.2">
      <c r="A142" s="57"/>
      <c r="D142" s="58"/>
      <c r="G142" s="58"/>
      <c r="J142" s="58"/>
      <c r="M142" s="58"/>
      <c r="P142" s="58"/>
      <c r="S142" s="58"/>
      <c r="V142" s="58"/>
      <c r="Y142" s="58"/>
      <c r="AB142" s="58"/>
      <c r="AE142" s="58"/>
      <c r="AF142" s="57" t="s">
        <v>81</v>
      </c>
      <c r="AG142" s="789"/>
      <c r="AH142" s="789"/>
      <c r="AI142" s="789"/>
      <c r="AJ142" s="789"/>
      <c r="AK142" s="789"/>
      <c r="AW142" s="146"/>
    </row>
    <row r="143" spans="1:49" s="54" customFormat="1" ht="12.75" hidden="1" customHeight="1" x14ac:dyDescent="0.2">
      <c r="A143" s="54" t="s">
        <v>76</v>
      </c>
      <c r="B143" s="54">
        <f>IF(B109=1,B129,0)</f>
        <v>0</v>
      </c>
      <c r="D143" s="58">
        <f>IF(D109=1,B129,0)</f>
        <v>0</v>
      </c>
      <c r="E143" s="54">
        <f>IF(E109=1,E129,0)</f>
        <v>50</v>
      </c>
      <c r="G143" s="58">
        <f>IF(G109=1,E129,0)</f>
        <v>0</v>
      </c>
      <c r="H143" s="54">
        <f>IF(H109=1,H129,0)</f>
        <v>0</v>
      </c>
      <c r="J143" s="58">
        <f>IF(J109=1,H129,0)</f>
        <v>0</v>
      </c>
      <c r="K143" s="54">
        <f>IF(K109=1,K129,0)</f>
        <v>0</v>
      </c>
      <c r="M143" s="58">
        <f>IF(M109=1,K129,0)</f>
        <v>0</v>
      </c>
      <c r="N143" s="54">
        <f>IF(N109=1,N129,0)</f>
        <v>50</v>
      </c>
      <c r="P143" s="58">
        <f>IF(P109=1,N129,0)</f>
        <v>0</v>
      </c>
      <c r="Q143" s="54">
        <f>IF(Q109=1,Q129,0)</f>
        <v>0</v>
      </c>
      <c r="S143" s="58">
        <f>IF(S109=1,Q129,0)</f>
        <v>0</v>
      </c>
      <c r="T143" s="54">
        <f>IF(T109=1,T129,0)</f>
        <v>0</v>
      </c>
      <c r="V143" s="58">
        <f>IF(V109=1,T129,0)</f>
        <v>0</v>
      </c>
      <c r="W143" s="54">
        <f>IF(W109=1,W129,0)</f>
        <v>50</v>
      </c>
      <c r="Y143" s="58">
        <f>IF(Y109=1,W129,0)</f>
        <v>0</v>
      </c>
      <c r="Z143" s="54">
        <f>IF(Z109=1,Z129,0)</f>
        <v>0</v>
      </c>
      <c r="AB143" s="58">
        <f>IF(AB109=1,Z129,0)</f>
        <v>0</v>
      </c>
      <c r="AC143" s="54">
        <f>IF(AC109=1,AC129,0)</f>
        <v>50</v>
      </c>
      <c r="AE143" s="58">
        <f>IF(AE109=1,AC129,0)</f>
        <v>0</v>
      </c>
      <c r="AF143" s="54">
        <f>SUM(B143:AE143)</f>
        <v>200</v>
      </c>
      <c r="AW143" s="146"/>
    </row>
    <row r="144" spans="1:49" s="54" customFormat="1" ht="12.75" hidden="1" customHeight="1" x14ac:dyDescent="0.2">
      <c r="A144" s="54" t="s">
        <v>77</v>
      </c>
      <c r="B144" s="54">
        <f>IF(B109=2,B129,0)</f>
        <v>50</v>
      </c>
      <c r="D144" s="58">
        <f>IF(D109=2,B129,0)</f>
        <v>0</v>
      </c>
      <c r="E144" s="54">
        <f>IF(E109=2,E129,0)</f>
        <v>0</v>
      </c>
      <c r="G144" s="58">
        <f>IF(G109=2,E129,0)</f>
        <v>0</v>
      </c>
      <c r="H144" s="54">
        <f>IF(H109=2,H129,0)</f>
        <v>0</v>
      </c>
      <c r="J144" s="58">
        <f>IF(J109=2,H129,0)</f>
        <v>0</v>
      </c>
      <c r="K144" s="54">
        <f>IF(K109=2,K129,0)</f>
        <v>53</v>
      </c>
      <c r="M144" s="58">
        <f>IF(M109=2,K129,0)</f>
        <v>0</v>
      </c>
      <c r="N144" s="54">
        <f>IF(N109=2,N129,0)</f>
        <v>0</v>
      </c>
      <c r="P144" s="58">
        <f>IF(P109=2,N129,0)</f>
        <v>0</v>
      </c>
      <c r="Q144" s="54">
        <f>IF(Q109=2,Q129,0)</f>
        <v>0</v>
      </c>
      <c r="S144" s="58">
        <f>IF(S109=2,Q129,0)</f>
        <v>0</v>
      </c>
      <c r="T144" s="54">
        <f>IF(T109=2,T129,0)</f>
        <v>50</v>
      </c>
      <c r="V144" s="58">
        <f>IF(V109=2,T129,0)</f>
        <v>0</v>
      </c>
      <c r="W144" s="54">
        <f>IF(W109=2,W129,0)</f>
        <v>0</v>
      </c>
      <c r="Y144" s="58">
        <f>IF(Y109=2,W129,0)</f>
        <v>0</v>
      </c>
      <c r="Z144" s="54">
        <f>IF(Z109=2,Z129,0)</f>
        <v>0</v>
      </c>
      <c r="AB144" s="58">
        <f>IF(AB109=2,Z129,0)</f>
        <v>0</v>
      </c>
      <c r="AC144" s="54">
        <f>IF(AC109=2,AC129,0)</f>
        <v>0</v>
      </c>
      <c r="AE144" s="58">
        <f>IF(AE109=2,AC129,0)</f>
        <v>50</v>
      </c>
      <c r="AF144" s="54">
        <f>SUM(B144:AE144)</f>
        <v>203</v>
      </c>
      <c r="AW144" s="146"/>
    </row>
    <row r="145" spans="1:49" s="54" customFormat="1" ht="12.75" hidden="1" customHeight="1" x14ac:dyDescent="0.2">
      <c r="A145" s="54" t="s">
        <v>78</v>
      </c>
      <c r="B145" s="54">
        <f>IF(B109=3,B129,0)</f>
        <v>0</v>
      </c>
      <c r="D145" s="58">
        <f>IF(D109=3,B129,0)</f>
        <v>0</v>
      </c>
      <c r="E145" s="54">
        <f>IF(E109=3,E129,0)</f>
        <v>0</v>
      </c>
      <c r="G145" s="58">
        <f>IF(G109=3,E129,0)</f>
        <v>0</v>
      </c>
      <c r="H145" s="54">
        <f>IF(H109=3,H129,0)</f>
        <v>50</v>
      </c>
      <c r="J145" s="58">
        <f>IF(J109=3,H129,0)</f>
        <v>0</v>
      </c>
      <c r="K145" s="54">
        <f>IF(K109=3,K129,0)</f>
        <v>0</v>
      </c>
      <c r="M145" s="58">
        <f>IF(M109=3,K129,0)</f>
        <v>0</v>
      </c>
      <c r="N145" s="54">
        <f>IF(N109=3,N129,0)</f>
        <v>0</v>
      </c>
      <c r="P145" s="58">
        <f>IF(P109=3,N129,0)</f>
        <v>50</v>
      </c>
      <c r="Q145" s="54">
        <f>IF(Q109=3,Q129,0)</f>
        <v>0</v>
      </c>
      <c r="S145" s="58">
        <f>IF(S109=3,Q129,0)</f>
        <v>0</v>
      </c>
      <c r="T145" s="54">
        <f>IF(T109=3,T129,0)</f>
        <v>0</v>
      </c>
      <c r="V145" s="58">
        <f>IF(V109=3,T129,0)</f>
        <v>50</v>
      </c>
      <c r="W145" s="54">
        <f>IF(W109=3,W129,0)</f>
        <v>0</v>
      </c>
      <c r="Y145" s="58">
        <f>IF(Y109=3,W129,0)</f>
        <v>0</v>
      </c>
      <c r="Z145" s="54">
        <f>IF(Z109=3,Z129,0)</f>
        <v>50</v>
      </c>
      <c r="AB145" s="58">
        <f>IF(AB109=3,Z129,0)</f>
        <v>0</v>
      </c>
      <c r="AC145" s="54">
        <f>IF(AC109=3,AC129,0)</f>
        <v>0</v>
      </c>
      <c r="AE145" s="58">
        <f>IF(AE109=3,AC129,0)</f>
        <v>0</v>
      </c>
      <c r="AF145" s="54">
        <f>SUM(B145:AE145)</f>
        <v>200</v>
      </c>
      <c r="AW145" s="146"/>
    </row>
    <row r="146" spans="1:49" s="54" customFormat="1" ht="12.75" hidden="1" customHeight="1" x14ac:dyDescent="0.2">
      <c r="A146" s="54" t="s">
        <v>79</v>
      </c>
      <c r="B146" s="54">
        <f>IF(B109=4,B129,0)</f>
        <v>0</v>
      </c>
      <c r="D146" s="58">
        <f>IF(D109=4,B129,0)</f>
        <v>0</v>
      </c>
      <c r="E146" s="54">
        <f>IF(E109=4,E129,0)</f>
        <v>0</v>
      </c>
      <c r="G146" s="58">
        <f>IF(G109=4,E129,0)</f>
        <v>50</v>
      </c>
      <c r="H146" s="54">
        <f>IF(H109=4,H129,0)</f>
        <v>0</v>
      </c>
      <c r="J146" s="58">
        <f>IF(J109=4,H129,0)</f>
        <v>0</v>
      </c>
      <c r="K146" s="54">
        <f>IF(K109=4,K129,0)</f>
        <v>0</v>
      </c>
      <c r="M146" s="58">
        <f>IF(M109=4,K129,0)</f>
        <v>53</v>
      </c>
      <c r="N146" s="54">
        <f>IF(N109=4,N129,0)</f>
        <v>0</v>
      </c>
      <c r="P146" s="58">
        <f>IF(P109=4,N129,0)</f>
        <v>0</v>
      </c>
      <c r="Q146" s="54">
        <f>IF(Q109=4,Q129,0)</f>
        <v>50</v>
      </c>
      <c r="S146" s="58">
        <f>IF(S109=4,Q129,0)</f>
        <v>0</v>
      </c>
      <c r="T146" s="54">
        <f>IF(T109=4,T129,0)</f>
        <v>0</v>
      </c>
      <c r="V146" s="58">
        <f>IF(V109=4,T129,0)</f>
        <v>0</v>
      </c>
      <c r="W146" s="54">
        <f>IF(W109=4,W129,0)</f>
        <v>0</v>
      </c>
      <c r="Y146" s="58">
        <f>IF(Y109=4,W129,0)</f>
        <v>0</v>
      </c>
      <c r="Z146" s="54">
        <f>IF(Z109=4,Z129,0)</f>
        <v>0</v>
      </c>
      <c r="AB146" s="58">
        <f>IF(AB109=4,Z129,0)</f>
        <v>50</v>
      </c>
      <c r="AC146" s="54">
        <f>IF(AC109=4,AC129,0)</f>
        <v>0</v>
      </c>
      <c r="AE146" s="58">
        <f>IF(AE109=4,AC129,0)</f>
        <v>0</v>
      </c>
      <c r="AF146" s="54">
        <f>SUM(B146:AE146)</f>
        <v>203</v>
      </c>
      <c r="AW146" s="146"/>
    </row>
    <row r="147" spans="1:49" s="54" customFormat="1" ht="12.75" hidden="1" customHeight="1" x14ac:dyDescent="0.2">
      <c r="A147" s="54" t="s">
        <v>80</v>
      </c>
      <c r="B147" s="54">
        <f>IF(B109=5,B129,0)</f>
        <v>0</v>
      </c>
      <c r="D147" s="58">
        <f>IF(D109=5,B129,0)</f>
        <v>50</v>
      </c>
      <c r="E147" s="54">
        <f>IF(E109=5,E129,0)</f>
        <v>0</v>
      </c>
      <c r="G147" s="58">
        <f>IF(G109=5,E129,0)</f>
        <v>0</v>
      </c>
      <c r="H147" s="54">
        <f>IF(H109=5,H129,0)</f>
        <v>0</v>
      </c>
      <c r="J147" s="58">
        <f>IF(J109=5,H129,0)</f>
        <v>50</v>
      </c>
      <c r="K147" s="54">
        <f>IF(K109=5,K129,0)</f>
        <v>0</v>
      </c>
      <c r="M147" s="58">
        <f>IF(M109=5,K129,0)</f>
        <v>0</v>
      </c>
      <c r="N147" s="54">
        <f>IF(N109=5,N129,0)</f>
        <v>0</v>
      </c>
      <c r="P147" s="58">
        <f>IF(P109=5,N129,0)</f>
        <v>0</v>
      </c>
      <c r="Q147" s="54">
        <f>IF(Q109=5,Q129,0)</f>
        <v>0</v>
      </c>
      <c r="S147" s="58">
        <f>IF(S109=5,Q129,0)</f>
        <v>50</v>
      </c>
      <c r="T147" s="54">
        <f>IF(T109=5,T129,0)</f>
        <v>0</v>
      </c>
      <c r="V147" s="58">
        <f>IF(V109=5,T129,0)</f>
        <v>0</v>
      </c>
      <c r="W147" s="54">
        <f>IF(W109=5,W129,0)</f>
        <v>0</v>
      </c>
      <c r="Y147" s="58">
        <f>IF(Y109=5,W129,0)</f>
        <v>50</v>
      </c>
      <c r="Z147" s="54">
        <f>IF(Z109=5,Z129,0)</f>
        <v>0</v>
      </c>
      <c r="AB147" s="58">
        <f>IF(AB109=5,Z129,0)</f>
        <v>0</v>
      </c>
      <c r="AC147" s="54">
        <f>IF(AC109=5,AC129,0)</f>
        <v>0</v>
      </c>
      <c r="AE147" s="58">
        <f>IF(AE109=5,AC129,0)</f>
        <v>0</v>
      </c>
      <c r="AF147" s="54">
        <f>SUM(B147:AE147)</f>
        <v>200</v>
      </c>
      <c r="AW147" s="146"/>
    </row>
    <row r="148" spans="1:49" s="54" customFormat="1" ht="38.25" hidden="1" customHeight="1" x14ac:dyDescent="0.2">
      <c r="A148" s="54" t="s">
        <v>82</v>
      </c>
      <c r="D148" s="58"/>
      <c r="G148" s="58"/>
      <c r="J148" s="58"/>
      <c r="M148" s="58"/>
      <c r="P148" s="58"/>
      <c r="S148" s="58"/>
      <c r="V148" s="58"/>
      <c r="Y148" s="58"/>
      <c r="AB148" s="58"/>
      <c r="AE148" s="58"/>
      <c r="AF148" s="57" t="s">
        <v>83</v>
      </c>
      <c r="AG148" s="54" t="s">
        <v>84</v>
      </c>
      <c r="AW148" s="146"/>
    </row>
    <row r="149" spans="1:49" s="54" customFormat="1" ht="12.75" hidden="1" customHeight="1" x14ac:dyDescent="0.2">
      <c r="A149" s="54" t="s">
        <v>70</v>
      </c>
      <c r="B149" s="54">
        <f>IF(B109=1,SUMIF(B116:B120,"&gt;0"),0)</f>
        <v>0</v>
      </c>
      <c r="D149" s="58">
        <f>IF(D109=1,SUMIF(D116:D120,"&gt;0"),0)</f>
        <v>0</v>
      </c>
      <c r="E149" s="54">
        <f>IF(E109=1,SUMIF(E116:E120,"&gt;0"),0)</f>
        <v>0</v>
      </c>
      <c r="G149" s="58">
        <f>IF(G109=1,SUMIF(G116:G120,"&gt;0"),0)</f>
        <v>0</v>
      </c>
      <c r="H149" s="54">
        <f>IF(H109=1,SUMIF(H116:H120,"&gt;0"),0)</f>
        <v>0</v>
      </c>
      <c r="J149" s="58">
        <f>IF(J109=1,SUMIF(J116:J120,"&gt;0"),0)</f>
        <v>0</v>
      </c>
      <c r="K149" s="54">
        <f>IF(K109=1,SUMIF(K116:K120,"&gt;0"),0)</f>
        <v>0</v>
      </c>
      <c r="M149" s="58">
        <f>IF(M109=1,SUMIF(M116:M120,"&gt;0"),0)</f>
        <v>0</v>
      </c>
      <c r="N149" s="54">
        <f>IF(N109=1,SUMIF(N116:N120,"&gt;0"),0)</f>
        <v>2</v>
      </c>
      <c r="P149" s="58">
        <f>IF(P109=1,SUMIF(P116:P120,"&gt;0"),0)</f>
        <v>0</v>
      </c>
      <c r="Q149" s="54">
        <f>IF(Q109=1,SUMIF(Q116:Q120,"&gt;0"),0)</f>
        <v>0</v>
      </c>
      <c r="S149" s="58">
        <f>IF(S109=1,SUMIF(S116:S120,"&gt;0"),0)</f>
        <v>0</v>
      </c>
      <c r="T149" s="54">
        <f>IF(T109=1,SUMIF(T116:T120,"&gt;0"),0)</f>
        <v>0</v>
      </c>
      <c r="V149" s="58">
        <f>IF(V109=1,SUMIF(V116:V120,"&gt;0"),0)</f>
        <v>0</v>
      </c>
      <c r="W149" s="54">
        <f>IF(W109=1,SUMIF(W116:W120,"&gt;0"),0)</f>
        <v>1</v>
      </c>
      <c r="Y149" s="58">
        <f>IF(Y109=1,SUMIF(Y116:Y120,"&gt;0"),0)</f>
        <v>0</v>
      </c>
      <c r="Z149" s="54">
        <f>IF(Z109=1,SUMIF(Z116:Z120,"&gt;0"),0)</f>
        <v>0</v>
      </c>
      <c r="AB149" s="58">
        <f>IF(AB109=1,SUMIF(AB116:AB120,"&gt;0"),0)</f>
        <v>0</v>
      </c>
      <c r="AC149" s="54">
        <f>IF(AC109=1,SUMIF(AC116:AC120,"&gt;0"),0)</f>
        <v>1</v>
      </c>
      <c r="AE149" s="58">
        <f>IF(AE109=1,SUMIF(AE116:AE120,"&gt;0"),0)</f>
        <v>0</v>
      </c>
      <c r="AF149" s="54">
        <f>SUM(B149:AE149)</f>
        <v>4</v>
      </c>
      <c r="AG149" s="54">
        <f>AF157-AF149</f>
        <v>4</v>
      </c>
      <c r="AW149" s="146"/>
    </row>
    <row r="150" spans="1:49" s="54" customFormat="1" ht="12.75" hidden="1" customHeight="1" x14ac:dyDescent="0.2">
      <c r="A150" s="54" t="s">
        <v>71</v>
      </c>
      <c r="B150" s="54">
        <f>IF(B109=2,SUMIF(B116:B120,"&gt;0"),0)</f>
        <v>0</v>
      </c>
      <c r="D150" s="58">
        <f>IF(D109=2,SUMIF(D116:D120,"&gt;0"),0)</f>
        <v>0</v>
      </c>
      <c r="E150" s="54">
        <f>IF(E109=2,SUMIF(E116:E120,"&gt;0"),0)</f>
        <v>0</v>
      </c>
      <c r="G150" s="58">
        <f>IF(G109=2,SUMIF(G116:G120,"&gt;0"),0)</f>
        <v>0</v>
      </c>
      <c r="H150" s="54">
        <f>IF(H109=2,SUMIF(H116:H120,"&gt;0"),0)</f>
        <v>0</v>
      </c>
      <c r="J150" s="58">
        <f>IF(J109=2,SUMIF(J116:J120,"&gt;0"),0)</f>
        <v>0</v>
      </c>
      <c r="K150" s="54">
        <f>IF(K109=2,SUMIF(K116:K120,"&gt;0"),0)</f>
        <v>2</v>
      </c>
      <c r="M150" s="58">
        <f>IF(M109=2,SUMIF(M116:M120,"&gt;0"),0)</f>
        <v>0</v>
      </c>
      <c r="N150" s="54">
        <f>IF(N109=2,SUMIF(N116:N120,"&gt;0"),0)</f>
        <v>0</v>
      </c>
      <c r="P150" s="58">
        <f>IF(P109=2,SUMIF(P116:P120,"&gt;0"),0)</f>
        <v>0</v>
      </c>
      <c r="Q150" s="54">
        <f>IF(Q109=2,SUMIF(Q116:Q120,"&gt;0"),0)</f>
        <v>0</v>
      </c>
      <c r="S150" s="58">
        <f>IF(S109=2,SUMIF(S116:S120,"&gt;0"),0)</f>
        <v>0</v>
      </c>
      <c r="T150" s="54">
        <f>IF(T109=2,SUMIF(T116:T120,"&gt;0"),0)</f>
        <v>2</v>
      </c>
      <c r="V150" s="58">
        <f>IF(V109=2,SUMIF(V116:V120,"&gt;0"),0)</f>
        <v>0</v>
      </c>
      <c r="W150" s="54">
        <f>IF(W109=2,SUMIF(W116:W120,"&gt;0"),0)</f>
        <v>0</v>
      </c>
      <c r="Y150" s="58">
        <f>IF(Y109=2,SUMIF(Y116:Y120,"&gt;0"),0)</f>
        <v>0</v>
      </c>
      <c r="Z150" s="54">
        <f>IF(Z109=2,SUMIF(Z116:Z120,"&gt;0"),0)</f>
        <v>0</v>
      </c>
      <c r="AB150" s="58">
        <f>IF(AB109=2,SUMIF(AB116:AB120,"&gt;0"),0)</f>
        <v>0</v>
      </c>
      <c r="AC150" s="54">
        <f>IF(AC109=2,SUMIF(AC116:AC120,"&gt;0"),0)</f>
        <v>0</v>
      </c>
      <c r="AE150" s="58">
        <f>IF(AE109=2,SUMIF(AE116:AE120,"&gt;0"),0)</f>
        <v>1</v>
      </c>
      <c r="AF150" s="54">
        <f>SUM(B150:AE150)</f>
        <v>5</v>
      </c>
      <c r="AG150" s="54">
        <f>AF158-AF150</f>
        <v>3</v>
      </c>
      <c r="AW150" s="146"/>
    </row>
    <row r="151" spans="1:49" s="54" customFormat="1" ht="12.75" hidden="1" customHeight="1" x14ac:dyDescent="0.2">
      <c r="A151" s="54" t="s">
        <v>72</v>
      </c>
      <c r="B151" s="54">
        <f>IF(B109=3,SUMIF(B116:B120,"&gt;0"),0)</f>
        <v>0</v>
      </c>
      <c r="D151" s="58">
        <f>IF(D109=3,SUMIF(D116:D120,"&gt;0"),0)</f>
        <v>0</v>
      </c>
      <c r="E151" s="54">
        <f>IF(E109=3,SUMIF(E116:E120,"&gt;0"),0)</f>
        <v>0</v>
      </c>
      <c r="G151" s="58">
        <f>IF(G109=3,SUMIF(G116:G120,"&gt;0"),0)</f>
        <v>0</v>
      </c>
      <c r="H151" s="54">
        <f>IF(H109=3,SUMIF(H116:H120,"&gt;0"),0)</f>
        <v>0</v>
      </c>
      <c r="J151" s="58">
        <f>IF(J109=3,SUMIF(J116:J120,"&gt;0"),0)</f>
        <v>0</v>
      </c>
      <c r="K151" s="54">
        <f>IF(K109=3,SUMIF(K116:K120,"&gt;0"),0)</f>
        <v>0</v>
      </c>
      <c r="M151" s="58">
        <f>IF(M109=3,SUMIF(M116:M120,"&gt;0"),0)</f>
        <v>0</v>
      </c>
      <c r="N151" s="54">
        <f>IF(N109=3,SUMIF(N116:N120,"&gt;0"),0)</f>
        <v>0</v>
      </c>
      <c r="P151" s="58">
        <f>IF(P109=3,SUMIF(P116:P120,"&gt;0"),0)</f>
        <v>0</v>
      </c>
      <c r="Q151" s="54">
        <f>IF(Q109=3,SUMIF(Q116:Q120,"&gt;0"),0)</f>
        <v>0</v>
      </c>
      <c r="S151" s="58">
        <f>IF(S109=3,SUMIF(S116:S120,"&gt;0"),0)</f>
        <v>0</v>
      </c>
      <c r="T151" s="54">
        <f>IF(T109=3,SUMIF(T116:T120,"&gt;0"),0)</f>
        <v>0</v>
      </c>
      <c r="V151" s="58">
        <f>IF(V109=3,SUMIF(V116:V120,"&gt;0"),0)</f>
        <v>0</v>
      </c>
      <c r="W151" s="54">
        <f>IF(W109=3,SUMIF(W116:W120,"&gt;0"),0)</f>
        <v>0</v>
      </c>
      <c r="Y151" s="58">
        <f>IF(Y109=3,SUMIF(Y116:Y120,"&gt;0"),0)</f>
        <v>0</v>
      </c>
      <c r="Z151" s="54">
        <f>IF(Z109=3,SUMIF(Z116:Z120,"&gt;0"),0)</f>
        <v>0</v>
      </c>
      <c r="AB151" s="58">
        <f>IF(AB109=3,SUMIF(AB116:AB120,"&gt;0"),0)</f>
        <v>0</v>
      </c>
      <c r="AC151" s="54">
        <f>IF(AC109=3,SUMIF(AC116:AC120,"&gt;0"),0)</f>
        <v>0</v>
      </c>
      <c r="AE151" s="58">
        <f>IF(AE109=3,SUMIF(AE116:AE120,"&gt;0"),0)</f>
        <v>0</v>
      </c>
      <c r="AF151" s="54">
        <f>SUM(B151:AE151)</f>
        <v>0</v>
      </c>
      <c r="AG151" s="54">
        <f>AF159-AF151</f>
        <v>8</v>
      </c>
      <c r="AW151" s="146"/>
    </row>
    <row r="152" spans="1:49" s="54" customFormat="1" ht="12.75" hidden="1" customHeight="1" x14ac:dyDescent="0.2">
      <c r="A152" s="54" t="s">
        <v>73</v>
      </c>
      <c r="B152" s="54">
        <f>IF(B109=4,SUMIF(B116:B120,"&gt;0"),0)</f>
        <v>0</v>
      </c>
      <c r="D152" s="58">
        <f>IF(D109=4,SUMIF(D116:D120,"&gt;0"),0)</f>
        <v>0</v>
      </c>
      <c r="E152" s="54">
        <f>IF(E109=4,SUMIF(E116:E120,"&gt;0"),0)</f>
        <v>0</v>
      </c>
      <c r="G152" s="58">
        <f>IF(G109=4,SUMIF(G116:G120,"&gt;0"),0)</f>
        <v>2</v>
      </c>
      <c r="H152" s="54">
        <f>IF(H109=4,SUMIF(H116:H120,"&gt;0"),0)</f>
        <v>0</v>
      </c>
      <c r="J152" s="58">
        <f>IF(J109=4,SUMIF(J116:J120,"&gt;0"),0)</f>
        <v>0</v>
      </c>
      <c r="K152" s="54">
        <f>IF(K109=4,SUMIF(K116:K120,"&gt;0"),0)</f>
        <v>0</v>
      </c>
      <c r="M152" s="58">
        <f>IF(M109=4,SUMIF(M116:M120,"&gt;0"),0)</f>
        <v>0</v>
      </c>
      <c r="N152" s="54">
        <f>IF(N109=4,SUMIF(N116:N120,"&gt;0"),0)</f>
        <v>0</v>
      </c>
      <c r="P152" s="58">
        <f>IF(P109=4,SUMIF(P116:P120,"&gt;0"),0)</f>
        <v>0</v>
      </c>
      <c r="Q152" s="54">
        <f>IF(Q109=4,SUMIF(Q116:Q120,"&gt;0"),0)</f>
        <v>2</v>
      </c>
      <c r="S152" s="58">
        <f>IF(S109=4,SUMIF(S116:S120,"&gt;0"),0)</f>
        <v>0</v>
      </c>
      <c r="T152" s="54">
        <f>IF(T109=4,SUMIF(T116:T120,"&gt;0"),0)</f>
        <v>0</v>
      </c>
      <c r="V152" s="58">
        <f>IF(V109=4,SUMIF(V116:V120,"&gt;0"),0)</f>
        <v>0</v>
      </c>
      <c r="W152" s="54">
        <f>IF(W109=4,SUMIF(W116:W120,"&gt;0"),0)</f>
        <v>0</v>
      </c>
      <c r="Y152" s="58">
        <f>IF(Y109=4,SUMIF(Y116:Y120,"&gt;0"),0)</f>
        <v>0</v>
      </c>
      <c r="Z152" s="54">
        <f>IF(Z109=4,SUMIF(Z116:Z120,"&gt;0"),0)</f>
        <v>0</v>
      </c>
      <c r="AB152" s="58">
        <f>IF(AB109=4,SUMIF(AB116:AB120,"&gt;0"),0)</f>
        <v>2</v>
      </c>
      <c r="AC152" s="54">
        <f>IF(AC109=4,SUMIF(AC116:AC120,"&gt;0"),0)</f>
        <v>0</v>
      </c>
      <c r="AE152" s="58">
        <f>IF(AE109=4,SUMIF(AE116:AE120,"&gt;0"),0)</f>
        <v>0</v>
      </c>
      <c r="AF152" s="54">
        <f>SUM(B152:AE152)</f>
        <v>6</v>
      </c>
      <c r="AG152" s="54">
        <f>AF160-AF152</f>
        <v>2</v>
      </c>
      <c r="AW152" s="146"/>
    </row>
    <row r="153" spans="1:49" s="54" customFormat="1" ht="12.75" hidden="1" customHeight="1" x14ac:dyDescent="0.2">
      <c r="A153" s="54" t="s">
        <v>74</v>
      </c>
      <c r="B153" s="54">
        <f>IF(B109=5,SUMIF(B116:B120,"&gt;0"),0)</f>
        <v>0</v>
      </c>
      <c r="D153" s="58">
        <f>IF(D109=5,SUMIF(D116:D120,"&gt;0"),0)</f>
        <v>2</v>
      </c>
      <c r="E153" s="54">
        <f>IF(E109=5,SUMIF(E116:E120,"&gt;0"),0)</f>
        <v>0</v>
      </c>
      <c r="G153" s="58">
        <f>IF(G109=5,SUMIF(G116:G120,"&gt;0"),0)</f>
        <v>0</v>
      </c>
      <c r="H153" s="54">
        <f>IF(H109=5,SUMIF(H116:H120,"&gt;0"),0)</f>
        <v>0</v>
      </c>
      <c r="J153" s="58">
        <f>IF(J109=5,SUMIF(J116:J120,"&gt;0"),0)</f>
        <v>2</v>
      </c>
      <c r="K153" s="54">
        <f>IF(K109=5,SUMIF(K116:K120,"&gt;0"),0)</f>
        <v>0</v>
      </c>
      <c r="M153" s="58">
        <f>IF(M109=5,SUMIF(M116:M120,"&gt;0"),0)</f>
        <v>0</v>
      </c>
      <c r="N153" s="54">
        <f>IF(N109=5,SUMIF(N116:N120,"&gt;0"),0)</f>
        <v>0</v>
      </c>
      <c r="P153" s="58">
        <f>IF(P109=5,SUMIF(P116:P120,"&gt;0"),0)</f>
        <v>0</v>
      </c>
      <c r="Q153" s="54">
        <f>IF(Q109=5,SUMIF(Q116:Q120,"&gt;0"),0)</f>
        <v>0</v>
      </c>
      <c r="S153" s="58">
        <f>IF(S109=5,SUMIF(S116:S120,"&gt;0"),0)</f>
        <v>0</v>
      </c>
      <c r="T153" s="54">
        <f>IF(T109=5,SUMIF(T116:T120,"&gt;0"),0)</f>
        <v>0</v>
      </c>
      <c r="V153" s="58">
        <f>IF(V109=5,SUMIF(V116:V120,"&gt;0"),0)</f>
        <v>0</v>
      </c>
      <c r="W153" s="54">
        <f>IF(W109=5,SUMIF(W116:W120,"&gt;0"),0)</f>
        <v>0</v>
      </c>
      <c r="Y153" s="58">
        <f>IF(Y109=5,SUMIF(Y116:Y120,"&gt;0"),0)</f>
        <v>1</v>
      </c>
      <c r="Z153" s="54">
        <f>IF(Z109=5,SUMIF(Z116:Z120,"&gt;0"),0)</f>
        <v>0</v>
      </c>
      <c r="AB153" s="58">
        <f>IF(AB109=5,SUMIF(AB116:AB120,"&gt;0"),0)</f>
        <v>0</v>
      </c>
      <c r="AC153" s="54">
        <f>IF(AC109=5,SUMIF(AC116:AC120,"&gt;0"),0)</f>
        <v>0</v>
      </c>
      <c r="AE153" s="58">
        <f>IF(AE109=5,SUMIF(AE116:AE120,"&gt;0"),0)</f>
        <v>0</v>
      </c>
      <c r="AF153" s="54">
        <f>SUM(B153:AE153)</f>
        <v>5</v>
      </c>
      <c r="AG153" s="54">
        <f>AF161-AF153</f>
        <v>3</v>
      </c>
      <c r="AW153" s="146"/>
    </row>
    <row r="154" spans="1:49" s="54" customFormat="1" ht="12.75" hidden="1" customHeight="1" x14ac:dyDescent="0.2">
      <c r="D154" s="58"/>
      <c r="G154" s="58"/>
      <c r="J154" s="58"/>
      <c r="M154" s="58"/>
      <c r="P154" s="58"/>
      <c r="S154" s="58"/>
      <c r="V154" s="58"/>
      <c r="Y154" s="58"/>
      <c r="AB154" s="58"/>
      <c r="AE154" s="58"/>
      <c r="AW154" s="146"/>
    </row>
    <row r="155" spans="1:49" s="54" customFormat="1" ht="12.75" hidden="1" customHeight="1" x14ac:dyDescent="0.2">
      <c r="D155" s="58"/>
      <c r="G155" s="58"/>
      <c r="J155" s="58"/>
      <c r="M155" s="58"/>
      <c r="P155" s="58"/>
      <c r="S155" s="58"/>
      <c r="V155" s="58"/>
      <c r="Y155" s="58"/>
      <c r="AB155" s="58"/>
      <c r="AE155" s="58"/>
      <c r="AW155" s="146"/>
    </row>
    <row r="156" spans="1:49" s="54" customFormat="1" ht="51" hidden="1" customHeight="1" x14ac:dyDescent="0.2">
      <c r="A156" s="57" t="s">
        <v>85</v>
      </c>
      <c r="C156" s="54">
        <f>SUMIF(B149:D153,"&gt;0")</f>
        <v>2</v>
      </c>
      <c r="D156" s="58"/>
      <c r="F156" s="54">
        <f>SUMIF(E149:G153,"&gt;0")</f>
        <v>2</v>
      </c>
      <c r="G156" s="58"/>
      <c r="I156" s="54">
        <f>SUMIF(H149:J153,"&gt;0")</f>
        <v>2</v>
      </c>
      <c r="J156" s="58"/>
      <c r="L156" s="54">
        <f>SUMIF(K149:M153,"&gt;0")</f>
        <v>2</v>
      </c>
      <c r="M156" s="58"/>
      <c r="O156" s="54">
        <f>SUMIF(N149:P153,"&gt;0")</f>
        <v>2</v>
      </c>
      <c r="P156" s="58"/>
      <c r="R156" s="54">
        <f>SUMIF(Q149:S153,"&gt;0")</f>
        <v>2</v>
      </c>
      <c r="S156" s="58"/>
      <c r="U156" s="54">
        <f>SUMIF(T149:V153,"&gt;0")</f>
        <v>2</v>
      </c>
      <c r="V156" s="58"/>
      <c r="X156" s="54">
        <f>SUMIF(W149:Y153,"&gt;0")</f>
        <v>2</v>
      </c>
      <c r="Y156" s="58"/>
      <c r="AA156" s="54">
        <f>SUMIF(Z149:AB153,"&gt;0")</f>
        <v>2</v>
      </c>
      <c r="AB156" s="58"/>
      <c r="AD156" s="54">
        <f>SUMIF(AC149:AE153,"&gt;0")</f>
        <v>2</v>
      </c>
      <c r="AE156" s="58"/>
      <c r="AF156" s="57" t="s">
        <v>86</v>
      </c>
      <c r="AW156" s="146"/>
    </row>
    <row r="157" spans="1:49" s="54" customFormat="1" ht="12.75" hidden="1" customHeight="1" x14ac:dyDescent="0.2">
      <c r="A157" s="54" t="s">
        <v>76</v>
      </c>
      <c r="B157" s="54">
        <f>IF(B109=1,C156,0)</f>
        <v>0</v>
      </c>
      <c r="D157" s="58">
        <f>IF(D109=1,C156,0)</f>
        <v>0</v>
      </c>
      <c r="E157" s="54">
        <f>IF(E109=1,F156,0)</f>
        <v>2</v>
      </c>
      <c r="G157" s="58">
        <f>IF(G109=1,F156,0)</f>
        <v>0</v>
      </c>
      <c r="H157" s="54">
        <f>IF(H109=1,I156,0)</f>
        <v>0</v>
      </c>
      <c r="J157" s="58">
        <f>IF(J109=1,I156,0)</f>
        <v>0</v>
      </c>
      <c r="K157" s="54">
        <f>IF(K109=1,L156,0)</f>
        <v>0</v>
      </c>
      <c r="M157" s="58">
        <f>IF(M109=1,L156,0)</f>
        <v>0</v>
      </c>
      <c r="N157" s="54">
        <f>IF(N109=1,O156,0)</f>
        <v>2</v>
      </c>
      <c r="P157" s="58">
        <f>IF(P109=1,O156,0)</f>
        <v>0</v>
      </c>
      <c r="Q157" s="54">
        <f>IF(Q109=1,R156,0)</f>
        <v>0</v>
      </c>
      <c r="S157" s="58">
        <f>IF(S109=1,R156,0)</f>
        <v>0</v>
      </c>
      <c r="T157" s="54">
        <f>IF(T109=1,U156,0)</f>
        <v>0</v>
      </c>
      <c r="V157" s="58">
        <f>IF(V109=1,U156,0)</f>
        <v>0</v>
      </c>
      <c r="W157" s="54">
        <f>IF(W109=1,X156,0)</f>
        <v>2</v>
      </c>
      <c r="Y157" s="58">
        <f>IF(Y109=1,X156,0)</f>
        <v>0</v>
      </c>
      <c r="Z157" s="54">
        <f>IF(Z109=1,AA156,0)</f>
        <v>0</v>
      </c>
      <c r="AB157" s="58">
        <f>IF(AB109=1,AA156,0)</f>
        <v>0</v>
      </c>
      <c r="AC157" s="54">
        <f>IF(AC109=1,AD156,0)</f>
        <v>2</v>
      </c>
      <c r="AE157" s="58">
        <f>IF(AE109=1,AD156,0)</f>
        <v>0</v>
      </c>
      <c r="AF157" s="54">
        <f>SUM(B157:AE157)</f>
        <v>8</v>
      </c>
      <c r="AW157" s="146"/>
    </row>
    <row r="158" spans="1:49" s="54" customFormat="1" ht="12.75" hidden="1" customHeight="1" x14ac:dyDescent="0.2">
      <c r="A158" s="54" t="s">
        <v>77</v>
      </c>
      <c r="B158" s="54">
        <f>IF(B109=2,C156,0)</f>
        <v>2</v>
      </c>
      <c r="D158" s="58">
        <f>IF(D109=2,C156,0)</f>
        <v>0</v>
      </c>
      <c r="E158" s="54">
        <f>IF(E109=2,F156,0)</f>
        <v>0</v>
      </c>
      <c r="G158" s="58">
        <f>IF(G109=2,F156,0)</f>
        <v>0</v>
      </c>
      <c r="H158" s="54">
        <f>IF(H109=2,I156,0)</f>
        <v>0</v>
      </c>
      <c r="J158" s="58">
        <f>IF(J109=2,I156,0)</f>
        <v>0</v>
      </c>
      <c r="K158" s="54">
        <f>IF(K109=2,L156,0)</f>
        <v>2</v>
      </c>
      <c r="M158" s="58">
        <f>IF(M109=2,L156,0)</f>
        <v>0</v>
      </c>
      <c r="N158" s="54">
        <f>IF(N109=2,O156,0)</f>
        <v>0</v>
      </c>
      <c r="P158" s="58">
        <f>IF(P109=2,O156,0)</f>
        <v>0</v>
      </c>
      <c r="Q158" s="54">
        <f>IF(Q109=2,R156,0)</f>
        <v>0</v>
      </c>
      <c r="S158" s="58">
        <f>IF(S109=2,R156,0)</f>
        <v>0</v>
      </c>
      <c r="T158" s="54">
        <f>IF(T109=2,U156,0)</f>
        <v>2</v>
      </c>
      <c r="V158" s="58">
        <f>IF(V109=2,U156,0)</f>
        <v>0</v>
      </c>
      <c r="W158" s="54">
        <f>IF(W109=2,X156,0)</f>
        <v>0</v>
      </c>
      <c r="Y158" s="58">
        <f>IF(Y109=2,X156,0)</f>
        <v>0</v>
      </c>
      <c r="Z158" s="54">
        <f>IF(Z109=2,AA156,0)</f>
        <v>0</v>
      </c>
      <c r="AB158" s="58">
        <f>IF(AB109=2,AA156,0)</f>
        <v>0</v>
      </c>
      <c r="AC158" s="54">
        <f>IF(AC109=2,AD156,0)</f>
        <v>0</v>
      </c>
      <c r="AE158" s="58">
        <f>IF(AE109=2,AD156,0)</f>
        <v>2</v>
      </c>
      <c r="AF158" s="54">
        <f>SUM(B158:AE158)</f>
        <v>8</v>
      </c>
      <c r="AW158" s="146"/>
    </row>
    <row r="159" spans="1:49" s="54" customFormat="1" ht="12.75" hidden="1" customHeight="1" x14ac:dyDescent="0.2">
      <c r="A159" s="54" t="s">
        <v>78</v>
      </c>
      <c r="B159" s="54">
        <f>IF(B109=3,C156,0)</f>
        <v>0</v>
      </c>
      <c r="D159" s="58">
        <f>IF(D109=3,C156,0)</f>
        <v>0</v>
      </c>
      <c r="E159" s="54">
        <f>IF(E109=3,F156,0)</f>
        <v>0</v>
      </c>
      <c r="G159" s="58">
        <f>IF(G109=3,F156,0)</f>
        <v>0</v>
      </c>
      <c r="H159" s="54">
        <f>IF(H109=3,I156,0)</f>
        <v>2</v>
      </c>
      <c r="J159" s="58">
        <f>IF(J109=3,I156,0)</f>
        <v>0</v>
      </c>
      <c r="K159" s="54">
        <f>IF(K109=3,L156,0)</f>
        <v>0</v>
      </c>
      <c r="M159" s="58">
        <f>IF(M109=3,L156,0)</f>
        <v>0</v>
      </c>
      <c r="N159" s="54">
        <f>IF(N109=3,O156,0)</f>
        <v>0</v>
      </c>
      <c r="P159" s="58">
        <f>IF(P109=3,O156,0)</f>
        <v>2</v>
      </c>
      <c r="Q159" s="54">
        <f>IF(Q109=3,R156,0)</f>
        <v>0</v>
      </c>
      <c r="S159" s="58">
        <f>IF(S109=3,R156,0)</f>
        <v>0</v>
      </c>
      <c r="T159" s="54">
        <f>IF(T109=3,U156,0)</f>
        <v>0</v>
      </c>
      <c r="V159" s="58">
        <f>IF(V109=3,U156,0)</f>
        <v>2</v>
      </c>
      <c r="W159" s="54">
        <f>IF(W109=3,X156,0)</f>
        <v>0</v>
      </c>
      <c r="Y159" s="58">
        <f>IF(Y109=3,X156,0)</f>
        <v>0</v>
      </c>
      <c r="Z159" s="54">
        <f>IF(Z109=3,AA156,0)</f>
        <v>2</v>
      </c>
      <c r="AB159" s="58">
        <f>IF(AB109=3,AA156,0)</f>
        <v>0</v>
      </c>
      <c r="AC159" s="54">
        <f>IF(AC109=3,AD156,0)</f>
        <v>0</v>
      </c>
      <c r="AE159" s="58">
        <f>IF(AE109=3,AD156,0)</f>
        <v>0</v>
      </c>
      <c r="AF159" s="54">
        <f>SUM(B159:AE159)</f>
        <v>8</v>
      </c>
      <c r="AW159" s="146"/>
    </row>
    <row r="160" spans="1:49" s="54" customFormat="1" ht="12.75" hidden="1" customHeight="1" x14ac:dyDescent="0.2">
      <c r="A160" s="54" t="s">
        <v>79</v>
      </c>
      <c r="B160" s="54">
        <f>IF(B109=4,C156,0)</f>
        <v>0</v>
      </c>
      <c r="D160" s="58">
        <f>IF(D109=4,C156,0)</f>
        <v>0</v>
      </c>
      <c r="E160" s="54">
        <f>IF(E109=4,F156,0)</f>
        <v>0</v>
      </c>
      <c r="G160" s="58">
        <f>IF(G109=4,F156,0)</f>
        <v>2</v>
      </c>
      <c r="H160" s="54">
        <f>IF(H109=4,I156,0)</f>
        <v>0</v>
      </c>
      <c r="J160" s="58">
        <f>IF(J109=4,I156,0)</f>
        <v>0</v>
      </c>
      <c r="K160" s="54">
        <f>IF(K109=4,L156,0)</f>
        <v>0</v>
      </c>
      <c r="M160" s="58">
        <f>IF(M109=4,L156,0)</f>
        <v>2</v>
      </c>
      <c r="N160" s="54">
        <f>IF(N109=4,O156,0)</f>
        <v>0</v>
      </c>
      <c r="P160" s="58">
        <f>IF(P109=4,O156,0)</f>
        <v>0</v>
      </c>
      <c r="Q160" s="54">
        <f>IF(Q109=4,R156,0)</f>
        <v>2</v>
      </c>
      <c r="S160" s="58">
        <f>IF(S109=4,R156,0)</f>
        <v>0</v>
      </c>
      <c r="T160" s="54">
        <f>IF(T109=4,U156,0)</f>
        <v>0</v>
      </c>
      <c r="V160" s="58">
        <f>IF(V109=4,U156,0)</f>
        <v>0</v>
      </c>
      <c r="W160" s="54">
        <f>IF(W109=4,X156,0)</f>
        <v>0</v>
      </c>
      <c r="Y160" s="58">
        <f>IF(Y109=4,X156,0)</f>
        <v>0</v>
      </c>
      <c r="Z160" s="54">
        <f>IF(Z109=4,AA156,0)</f>
        <v>0</v>
      </c>
      <c r="AB160" s="58">
        <f>IF(AB109=4,AA156,0)</f>
        <v>2</v>
      </c>
      <c r="AC160" s="54">
        <f>IF(AC109=4,AD156,0)</f>
        <v>0</v>
      </c>
      <c r="AE160" s="58">
        <f>IF(AE109=4,AD156,0)</f>
        <v>0</v>
      </c>
      <c r="AF160" s="54">
        <f>SUM(B160:AE160)</f>
        <v>8</v>
      </c>
      <c r="AW160" s="146"/>
    </row>
    <row r="161" spans="1:54" s="54" customFormat="1" ht="12.75" hidden="1" customHeight="1" x14ac:dyDescent="0.2">
      <c r="A161" s="54" t="s">
        <v>80</v>
      </c>
      <c r="B161" s="54">
        <f>IF(B109=5,C156,0)</f>
        <v>0</v>
      </c>
      <c r="D161" s="58">
        <f>IF(D109=5,C156,0)</f>
        <v>2</v>
      </c>
      <c r="E161" s="54">
        <f>IF(E109=5,F156,0)</f>
        <v>0</v>
      </c>
      <c r="G161" s="58">
        <f>IF(G109=5,F156,0)</f>
        <v>0</v>
      </c>
      <c r="H161" s="54">
        <f>IF(H109=5,I156,0)</f>
        <v>0</v>
      </c>
      <c r="J161" s="58">
        <f>IF(J109=5,I156,0)</f>
        <v>2</v>
      </c>
      <c r="K161" s="54">
        <f>IF(K109=5,L156,0)</f>
        <v>0</v>
      </c>
      <c r="M161" s="58">
        <f>IF(M109=5,L156,0)</f>
        <v>0</v>
      </c>
      <c r="N161" s="54">
        <f>IF(N109=5,O156,0)</f>
        <v>0</v>
      </c>
      <c r="P161" s="58">
        <f>IF(P109=5,O156,0)</f>
        <v>0</v>
      </c>
      <c r="Q161" s="54">
        <f>IF(Q109=5,R156,0)</f>
        <v>0</v>
      </c>
      <c r="S161" s="58">
        <f>IF(S109=5,R156,0)</f>
        <v>2</v>
      </c>
      <c r="T161" s="54">
        <f>IF(T109=5,U156,0)</f>
        <v>0</v>
      </c>
      <c r="V161" s="58">
        <f>IF(V109=5,U156,0)</f>
        <v>0</v>
      </c>
      <c r="W161" s="54">
        <f>IF(W109=5,X156,0)</f>
        <v>0</v>
      </c>
      <c r="Y161" s="58">
        <f>IF(Y109=5,X156,0)</f>
        <v>2</v>
      </c>
      <c r="Z161" s="54">
        <f>IF(Z109=5,AA156,0)</f>
        <v>0</v>
      </c>
      <c r="AB161" s="58">
        <f>IF(AB109=5,AA156,0)</f>
        <v>0</v>
      </c>
      <c r="AC161" s="54">
        <f>IF(AC109=5,AD156,0)</f>
        <v>0</v>
      </c>
      <c r="AE161" s="58">
        <f>IF(AE109=5,AD156,0)</f>
        <v>0</v>
      </c>
      <c r="AF161" s="54">
        <f>SUM(B161:AE161)</f>
        <v>8</v>
      </c>
      <c r="AW161" s="146"/>
    </row>
    <row r="162" spans="1:54" hidden="1" x14ac:dyDescent="0.2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60"/>
      <c r="AO162" s="60"/>
      <c r="AP162" s="60"/>
      <c r="AQ162" s="60"/>
      <c r="AR162" s="61"/>
      <c r="AS162" s="61"/>
      <c r="AT162" s="61"/>
      <c r="AU162" s="61"/>
      <c r="AV162" s="61"/>
      <c r="BB162" s="62"/>
    </row>
    <row r="163" spans="1:54" s="61" customFormat="1" hidden="1" x14ac:dyDescent="0.2">
      <c r="A163" s="63"/>
      <c r="B163" s="63"/>
      <c r="C163" s="63" t="s">
        <v>87</v>
      </c>
      <c r="D163" s="63">
        <v>1</v>
      </c>
      <c r="E163" s="63"/>
      <c r="F163" s="63"/>
      <c r="G163" s="63">
        <v>2</v>
      </c>
      <c r="H163" s="63"/>
      <c r="I163" s="63"/>
      <c r="J163" s="63">
        <v>3</v>
      </c>
      <c r="K163" s="63"/>
      <c r="L163" s="63"/>
      <c r="M163" s="63">
        <v>4</v>
      </c>
      <c r="N163" s="63"/>
      <c r="O163" s="63"/>
      <c r="P163" s="63">
        <v>5</v>
      </c>
      <c r="Q163" s="63"/>
      <c r="R163" s="63"/>
      <c r="S163" s="63">
        <v>6</v>
      </c>
      <c r="T163" s="63"/>
      <c r="U163" s="63"/>
      <c r="V163" s="63">
        <v>7</v>
      </c>
      <c r="W163" s="63"/>
      <c r="X163" s="63"/>
      <c r="Y163" s="63">
        <v>8</v>
      </c>
      <c r="Z163" s="63"/>
      <c r="AA163" s="63"/>
      <c r="AB163" s="63">
        <v>9</v>
      </c>
      <c r="AC163" s="63"/>
      <c r="AD163" s="63"/>
      <c r="AE163" s="63">
        <v>10</v>
      </c>
      <c r="AF163" s="4"/>
      <c r="AG163" s="63"/>
      <c r="AI163" s="64"/>
      <c r="AJ163" s="4"/>
      <c r="AK163" s="4"/>
      <c r="AL163" s="4"/>
      <c r="AM163" s="4"/>
      <c r="AN163" s="4"/>
      <c r="AO163" s="4"/>
      <c r="AT163" s="64" t="s">
        <v>88</v>
      </c>
      <c r="AW163" s="65"/>
      <c r="BB163" s="65"/>
    </row>
    <row r="164" spans="1:54" s="61" customFormat="1" hidden="1" x14ac:dyDescent="0.2">
      <c r="A164" s="66">
        <v>1</v>
      </c>
      <c r="B164" s="66" t="str">
        <f>E93</f>
        <v>Blitz14 Black</v>
      </c>
      <c r="C164" s="66">
        <f>VLOOKUP(B164,AU$3:BB$33,3,FALSE)</f>
        <v>1917.7652604016778</v>
      </c>
      <c r="D164" s="66">
        <f>IF(B157,B172,IF(D157,D172,C164))</f>
        <v>1917.7652604016778</v>
      </c>
      <c r="E164" s="66"/>
      <c r="F164" s="66"/>
      <c r="G164" s="66">
        <f>IF(E157,E172,IF(G157,G172,D164))</f>
        <v>1906.7854421466584</v>
      </c>
      <c r="H164" s="66"/>
      <c r="I164" s="66"/>
      <c r="J164" s="66">
        <f>IF(H157,H172,IF(J157,J172,G164))</f>
        <v>1906.7854421466584</v>
      </c>
      <c r="K164" s="66"/>
      <c r="L164" s="66"/>
      <c r="M164" s="66">
        <f>IF(K157,K172,IF(M157,M172,J164))</f>
        <v>1906.7854421466584</v>
      </c>
      <c r="N164" s="66"/>
      <c r="O164" s="66"/>
      <c r="P164" s="66">
        <f>IF(N157,N172,IF(P157,P172,M164))</f>
        <v>1934.0984109869503</v>
      </c>
      <c r="Q164" s="66"/>
      <c r="R164" s="66"/>
      <c r="S164" s="66">
        <f>IF(Q157,Q172,IF(S157,S172,P164))</f>
        <v>1934.0984109869503</v>
      </c>
      <c r="T164" s="66"/>
      <c r="U164" s="66"/>
      <c r="V164" s="66">
        <f>IF(T157,T172,IF(V157,V172,S164))</f>
        <v>1934.0984109869503</v>
      </c>
      <c r="W164" s="66"/>
      <c r="X164" s="66"/>
      <c r="Y164" s="66">
        <f>IF(W157,W172,IF(Y157,Y172,V164))</f>
        <v>1929.570006600286</v>
      </c>
      <c r="Z164" s="66"/>
      <c r="AA164" s="66"/>
      <c r="AB164" s="66">
        <f>IF(Z157,Z172,IF(AB157,AB172,Y164))</f>
        <v>1929.570006600286</v>
      </c>
      <c r="AC164" s="66"/>
      <c r="AD164" s="66"/>
      <c r="AE164" s="66">
        <f>IF(AC157,AC172,IF(AE157,AE172,AB164))</f>
        <v>1947.0860402822027</v>
      </c>
      <c r="AF164" s="4"/>
      <c r="AG164" s="4"/>
      <c r="AJ164" s="4"/>
      <c r="AK164" s="4"/>
      <c r="AL164" s="4"/>
      <c r="AM164" s="4"/>
      <c r="AN164" s="4"/>
      <c r="AO164" s="4"/>
      <c r="AT164" s="61" t="str">
        <f>B164</f>
        <v>Blitz14 Black</v>
      </c>
      <c r="AU164" s="61">
        <f>AE164</f>
        <v>1947.0860402822027</v>
      </c>
      <c r="AW164" s="65"/>
      <c r="BB164" s="65"/>
    </row>
    <row r="165" spans="1:54" s="61" customFormat="1" hidden="1" x14ac:dyDescent="0.2">
      <c r="A165" s="66">
        <v>2</v>
      </c>
      <c r="B165" s="66" t="str">
        <f>E95</f>
        <v>Chas Jrs 14 Blue</v>
      </c>
      <c r="C165" s="66">
        <f>VLOOKUP(B165,AU$3:BB$33,3,FALSE)</f>
        <v>2148.0572046490697</v>
      </c>
      <c r="D165" s="66">
        <f>IF(B158,B172,IF(D158,D172,C165))</f>
        <v>2091.8664791398633</v>
      </c>
      <c r="E165" s="66"/>
      <c r="F165" s="66"/>
      <c r="G165" s="66">
        <f>IF(E158,E172,IF(G158,G172,D165))</f>
        <v>2091.8664791398633</v>
      </c>
      <c r="H165" s="66"/>
      <c r="I165" s="66"/>
      <c r="J165" s="66">
        <f>IF(H158,H172,IF(J158,J172,G165))</f>
        <v>2091.8664791398633</v>
      </c>
      <c r="K165" s="66"/>
      <c r="L165" s="66"/>
      <c r="M165" s="66">
        <f>IF(K158,K172,IF(M158,M172,J165))</f>
        <v>2133.7071676270762</v>
      </c>
      <c r="N165" s="66"/>
      <c r="O165" s="66"/>
      <c r="P165" s="66">
        <f>IF(N158,N172,IF(P158,P172,M165))</f>
        <v>2133.7071676270762</v>
      </c>
      <c r="Q165" s="66"/>
      <c r="R165" s="66"/>
      <c r="S165" s="66">
        <f>IF(Q158,Q172,IF(S158,S172,P165))</f>
        <v>2133.7071676270762</v>
      </c>
      <c r="T165" s="66"/>
      <c r="U165" s="66"/>
      <c r="V165" s="66">
        <f>IF(T158,T172,IF(V158,V172,S165))</f>
        <v>2143.1133439889545</v>
      </c>
      <c r="W165" s="66"/>
      <c r="X165" s="66"/>
      <c r="Y165" s="66">
        <f>IF(W158,W172,IF(Y158,Y172,V165))</f>
        <v>2143.1133439889545</v>
      </c>
      <c r="Z165" s="66"/>
      <c r="AA165" s="66"/>
      <c r="AB165" s="66">
        <f>IF(Z158,Z172,IF(AB158,AB172,Y165))</f>
        <v>2143.1133439889545</v>
      </c>
      <c r="AC165" s="66"/>
      <c r="AD165" s="66"/>
      <c r="AE165" s="66">
        <f>IF(AC158,AC172,IF(AE158,AE172,AB165))</f>
        <v>2125.5973103070378</v>
      </c>
      <c r="AF165" s="4"/>
      <c r="AG165" s="4"/>
      <c r="AJ165" s="4"/>
      <c r="AL165" s="4"/>
      <c r="AM165" s="4"/>
      <c r="AN165" s="4"/>
      <c r="AO165" s="4"/>
      <c r="AT165" s="61" t="str">
        <f>B165</f>
        <v>Chas Jrs 14 Blue</v>
      </c>
      <c r="AU165" s="61">
        <f>AE165</f>
        <v>2125.5973103070378</v>
      </c>
      <c r="AW165" s="65"/>
      <c r="BB165" s="65"/>
    </row>
    <row r="166" spans="1:54" s="61" customFormat="1" hidden="1" x14ac:dyDescent="0.2">
      <c r="A166" s="66">
        <v>3</v>
      </c>
      <c r="B166" s="66" t="str">
        <f>E97</f>
        <v>C1VB 14 State Grvl</v>
      </c>
      <c r="C166" s="66">
        <f>VLOOKUP(B166,AU$3:BB$33,3,FALSE)</f>
        <v>1890.1692768639286</v>
      </c>
      <c r="D166" s="66">
        <f>IF(B159,B172,IF(D159,D172,C166))</f>
        <v>1890.1692768639286</v>
      </c>
      <c r="E166" s="66"/>
      <c r="F166" s="66"/>
      <c r="G166" s="66">
        <f>IF(E159,E172,IF(G159,G172,D166))</f>
        <v>1890.1692768639286</v>
      </c>
      <c r="H166" s="66"/>
      <c r="I166" s="66"/>
      <c r="J166" s="66">
        <f>IF(H159,H172,IF(J159,J172,G166))</f>
        <v>1855.5279784157897</v>
      </c>
      <c r="K166" s="66"/>
      <c r="L166" s="66"/>
      <c r="M166" s="66">
        <f>IF(K159,K172,IF(M159,M172,J166))</f>
        <v>1855.5279784157897</v>
      </c>
      <c r="N166" s="66"/>
      <c r="O166" s="66"/>
      <c r="P166" s="66">
        <f>IF(N159,N172,IF(P159,P172,M166))</f>
        <v>1828.2150095754978</v>
      </c>
      <c r="Q166" s="66"/>
      <c r="R166" s="66"/>
      <c r="S166" s="66">
        <f>IF(Q159,Q172,IF(S159,S172,P166))</f>
        <v>1828.2150095754978</v>
      </c>
      <c r="T166" s="66"/>
      <c r="U166" s="66"/>
      <c r="V166" s="66">
        <f>IF(T159,T172,IF(V159,V172,S166))</f>
        <v>1818.8088332136192</v>
      </c>
      <c r="W166" s="66"/>
      <c r="X166" s="66"/>
      <c r="Y166" s="66">
        <f>IF(W159,W172,IF(Y159,Y172,V166))</f>
        <v>1818.8088332136192</v>
      </c>
      <c r="Z166" s="66"/>
      <c r="AA166" s="66"/>
      <c r="AB166" s="66">
        <f>IF(Z159,Z172,IF(AB159,AB172,Y166))</f>
        <v>1811.3963190537154</v>
      </c>
      <c r="AC166" s="66"/>
      <c r="AD166" s="66"/>
      <c r="AE166" s="66">
        <f>IF(AC159,AC172,IF(AE159,AE172,AB166))</f>
        <v>1811.3963190537154</v>
      </c>
      <c r="AF166" s="4"/>
      <c r="AG166" s="4"/>
      <c r="AJ166" s="4"/>
      <c r="AL166" s="4"/>
      <c r="AM166" s="4"/>
      <c r="AN166" s="4"/>
      <c r="AO166" s="4"/>
      <c r="AT166" s="61" t="str">
        <f>B166</f>
        <v>C1VB 14 State Grvl</v>
      </c>
      <c r="AU166" s="61">
        <f>AE166</f>
        <v>1811.3963190537154</v>
      </c>
      <c r="AW166" s="65"/>
      <c r="BB166" s="65"/>
    </row>
    <row r="167" spans="1:54" s="61" customFormat="1" hidden="1" x14ac:dyDescent="0.2">
      <c r="A167" s="66">
        <v>4</v>
      </c>
      <c r="B167" s="66" t="str">
        <f>E99</f>
        <v>TC Extreme 14 Amber</v>
      </c>
      <c r="C167" s="66">
        <f>VLOOKUP(B167,AU$3:BB$33,3,FALSE)</f>
        <v>2191.3036846579344</v>
      </c>
      <c r="D167" s="66">
        <f>IF(B160,B172,IF(D160,D172,C167))</f>
        <v>2191.3036846579344</v>
      </c>
      <c r="E167" s="66"/>
      <c r="F167" s="66"/>
      <c r="G167" s="66">
        <f>IF(E160,E172,IF(G160,G172,D167))</f>
        <v>2202.2835029129537</v>
      </c>
      <c r="H167" s="66"/>
      <c r="I167" s="66"/>
      <c r="J167" s="66">
        <f>IF(H160,H172,IF(J160,J172,G167))</f>
        <v>2202.2835029129537</v>
      </c>
      <c r="K167" s="66"/>
      <c r="L167" s="66"/>
      <c r="M167" s="66">
        <f>IF(K160,K172,IF(M160,M172,J167))</f>
        <v>2160.4428144257408</v>
      </c>
      <c r="N167" s="66"/>
      <c r="O167" s="66"/>
      <c r="P167" s="66">
        <f>IF(N160,N172,IF(P160,P172,M167))</f>
        <v>2160.4428144257408</v>
      </c>
      <c r="Q167" s="66"/>
      <c r="R167" s="66"/>
      <c r="S167" s="66">
        <f>IF(Q160,Q172,IF(S160,S172,P167))</f>
        <v>2171.9107783483482</v>
      </c>
      <c r="T167" s="66"/>
      <c r="U167" s="66"/>
      <c r="V167" s="66">
        <f>IF(T160,T172,IF(V160,V172,S167))</f>
        <v>2171.9107783483482</v>
      </c>
      <c r="W167" s="66"/>
      <c r="X167" s="66"/>
      <c r="Y167" s="66">
        <f>IF(W160,W172,IF(Y160,Y172,V167))</f>
        <v>2171.9107783483482</v>
      </c>
      <c r="Z167" s="66"/>
      <c r="AA167" s="66"/>
      <c r="AB167" s="66">
        <f>IF(Z160,Z172,IF(AB160,AB172,Y167))</f>
        <v>2179.3232925082521</v>
      </c>
      <c r="AC167" s="66"/>
      <c r="AD167" s="66"/>
      <c r="AE167" s="66">
        <f>IF(AC160,AC172,IF(AE160,AE172,AB167))</f>
        <v>2179.3232925082521</v>
      </c>
      <c r="AF167" s="4"/>
      <c r="AG167" s="4"/>
      <c r="AJ167" s="4"/>
      <c r="AL167" s="4"/>
      <c r="AM167" s="4"/>
      <c r="AN167" s="4"/>
      <c r="AO167" s="4"/>
      <c r="AT167" s="61" t="str">
        <f>B167</f>
        <v>TC Extreme 14 Amber</v>
      </c>
      <c r="AU167" s="61">
        <f>AE167</f>
        <v>2179.3232925082521</v>
      </c>
      <c r="AW167" s="65"/>
      <c r="BB167" s="65"/>
    </row>
    <row r="168" spans="1:54" s="61" customFormat="1" hidden="1" x14ac:dyDescent="0.2">
      <c r="A168" s="66">
        <v>5</v>
      </c>
      <c r="B168" s="66" t="str">
        <f>E101</f>
        <v>BVA 14 Black</v>
      </c>
      <c r="C168" s="66">
        <f>VLOOKUP(B168,AU$3:BB$33,3,FALSE)</f>
        <v>1805.2356241346474</v>
      </c>
      <c r="D168" s="66">
        <f>IF(B161,B172,IF(D161,D172,C168))</f>
        <v>1861.4263496438541</v>
      </c>
      <c r="E168" s="66"/>
      <c r="F168" s="66"/>
      <c r="G168" s="66">
        <f>IF(E161,E172,IF(G161,G172,D168))</f>
        <v>1861.4263496438541</v>
      </c>
      <c r="H168" s="66"/>
      <c r="I168" s="66"/>
      <c r="J168" s="66">
        <f>IF(H161,H172,IF(J161,J172,G168))</f>
        <v>1896.0676480919931</v>
      </c>
      <c r="K168" s="66"/>
      <c r="L168" s="66"/>
      <c r="M168" s="66">
        <f>IF(K161,K172,IF(M161,M172,J168))</f>
        <v>1896.0676480919931</v>
      </c>
      <c r="N168" s="66"/>
      <c r="O168" s="66"/>
      <c r="P168" s="66">
        <f>IF(N161,N172,IF(P161,P172,M168))</f>
        <v>1896.0676480919931</v>
      </c>
      <c r="Q168" s="66"/>
      <c r="R168" s="66"/>
      <c r="S168" s="66">
        <f>IF(Q161,Q172,IF(S161,S172,P168))</f>
        <v>1884.5996841693857</v>
      </c>
      <c r="T168" s="66"/>
      <c r="U168" s="66"/>
      <c r="V168" s="66">
        <f>IF(T161,T172,IF(V161,V172,S168))</f>
        <v>1884.5996841693857</v>
      </c>
      <c r="W168" s="66"/>
      <c r="X168" s="66"/>
      <c r="Y168" s="66">
        <f>IF(W161,W172,IF(Y161,Y172,V168))</f>
        <v>1889.12808855605</v>
      </c>
      <c r="Z168" s="66"/>
      <c r="AA168" s="66"/>
      <c r="AB168" s="66">
        <f>IF(Z161,Z172,IF(AB161,AB172,Y168))</f>
        <v>1889.12808855605</v>
      </c>
      <c r="AC168" s="66"/>
      <c r="AD168" s="66"/>
      <c r="AE168" s="66">
        <f>IF(AC161,AC172,IF(AE161,AE172,AB168))</f>
        <v>1889.12808855605</v>
      </c>
      <c r="AF168" s="4"/>
      <c r="AG168" s="4"/>
      <c r="AJ168" s="4"/>
      <c r="AL168" s="4"/>
      <c r="AM168" s="4"/>
      <c r="AN168" s="4"/>
      <c r="AO168" s="4"/>
      <c r="AT168" s="61" t="str">
        <f>B168</f>
        <v>BVA 14 Black</v>
      </c>
      <c r="AU168" s="61">
        <f>AE168</f>
        <v>1889.12808855605</v>
      </c>
      <c r="AW168" s="65"/>
      <c r="BB168" s="65"/>
    </row>
    <row r="169" spans="1:54" s="61" customFormat="1" hidden="1" x14ac:dyDescent="0.2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4"/>
      <c r="AG169" s="4"/>
      <c r="AJ169" s="4"/>
      <c r="AL169" s="4"/>
      <c r="AM169" s="4"/>
      <c r="AN169" s="4"/>
      <c r="AO169" s="4"/>
      <c r="AW169" s="65"/>
      <c r="BB169" s="65"/>
    </row>
    <row r="170" spans="1:54" s="61" customFormat="1" hidden="1" x14ac:dyDescent="0.2">
      <c r="A170" s="66" t="s">
        <v>89</v>
      </c>
      <c r="B170" s="66">
        <f>VLOOKUP(B109,$A164:$AE168,3,FALSE)</f>
        <v>2148.0572046490697</v>
      </c>
      <c r="C170" s="66">
        <v>1</v>
      </c>
      <c r="D170" s="66">
        <f>VLOOKUP(D109,$A164:$AE168,3,FALSE)</f>
        <v>1805.2356241346474</v>
      </c>
      <c r="E170" s="66">
        <f>VLOOKUP(E109,$A164:$AE168,4,FALSE)</f>
        <v>1917.7652604016778</v>
      </c>
      <c r="F170" s="66">
        <v>2</v>
      </c>
      <c r="G170" s="66">
        <f>VLOOKUP(G109,$A164:$AE168,4,FALSE)</f>
        <v>2191.3036846579344</v>
      </c>
      <c r="H170" s="66">
        <f>VLOOKUP(H109,$A164:$AE168,7,FALSE)</f>
        <v>1890.1692768639286</v>
      </c>
      <c r="I170" s="66">
        <v>3</v>
      </c>
      <c r="J170" s="66">
        <f>VLOOKUP(J109,$A164:$AE168,7,FALSE)</f>
        <v>1861.4263496438541</v>
      </c>
      <c r="K170" s="66">
        <f>VLOOKUP(K109,$A164:$AE168,10,FALSE)</f>
        <v>2091.8664791398633</v>
      </c>
      <c r="L170" s="66">
        <v>4</v>
      </c>
      <c r="M170" s="66">
        <f>VLOOKUP(M109,$A164:$AE168,10,FALSE)</f>
        <v>2202.2835029129537</v>
      </c>
      <c r="N170" s="66">
        <f>VLOOKUP(N109,$A164:$AE168,13,FALSE)</f>
        <v>1906.7854421466584</v>
      </c>
      <c r="O170" s="66">
        <v>5</v>
      </c>
      <c r="P170" s="66">
        <f>VLOOKUP(P109,$A164:$AE168,13,FALSE)</f>
        <v>1855.5279784157897</v>
      </c>
      <c r="Q170" s="66">
        <f>VLOOKUP(Q109,$A164:$AE168,16,FALSE)</f>
        <v>2160.4428144257408</v>
      </c>
      <c r="R170" s="66">
        <v>6</v>
      </c>
      <c r="S170" s="66">
        <f>VLOOKUP(S109,$A164:$AE168,16,FALSE)</f>
        <v>1896.0676480919931</v>
      </c>
      <c r="T170" s="66">
        <f>VLOOKUP(T109,$A164:$AE168,19,FALSE)</f>
        <v>2133.7071676270762</v>
      </c>
      <c r="U170" s="66">
        <v>7</v>
      </c>
      <c r="V170" s="66">
        <f>VLOOKUP(V109,$A164:$AE168,19,FALSE)</f>
        <v>1828.2150095754978</v>
      </c>
      <c r="W170" s="66">
        <f>VLOOKUP(W109,$A164:$AE168,22,FALSE)</f>
        <v>1934.0984109869503</v>
      </c>
      <c r="X170" s="66">
        <v>8</v>
      </c>
      <c r="Y170" s="66">
        <f>VLOOKUP(Y109,$A164:$AE168,22,FALSE)</f>
        <v>1884.5996841693857</v>
      </c>
      <c r="Z170" s="66">
        <f>VLOOKUP(Z109,$A164:$AE168,25,FALSE)</f>
        <v>1818.8088332136192</v>
      </c>
      <c r="AA170" s="66">
        <v>9</v>
      </c>
      <c r="AB170" s="66">
        <f>VLOOKUP(AB109,$A164:$AE168,25,FALSE)</f>
        <v>2171.9107783483482</v>
      </c>
      <c r="AC170" s="66">
        <f>VLOOKUP(AC109,$A164:$AE168,28,FALSE)</f>
        <v>1929.570006600286</v>
      </c>
      <c r="AD170" s="66">
        <v>10</v>
      </c>
      <c r="AE170" s="66">
        <f>VLOOKUP(AE109,$A164:$AE168,28,FALSE)</f>
        <v>2143.1133439889545</v>
      </c>
      <c r="AF170" s="4"/>
      <c r="AG170" s="59"/>
      <c r="AH170" s="59"/>
      <c r="AI170" s="59"/>
      <c r="AJ170" s="59"/>
      <c r="AK170" s="59"/>
      <c r="AL170" s="59"/>
      <c r="AM170" s="59"/>
      <c r="AN170" s="60"/>
      <c r="AO170" s="60"/>
      <c r="AP170" s="60"/>
      <c r="AQ170" s="60"/>
      <c r="AW170" s="65"/>
      <c r="BB170" s="65"/>
    </row>
    <row r="171" spans="1:54" s="71" customFormat="1" hidden="1" x14ac:dyDescent="0.2">
      <c r="A171" s="67" t="s">
        <v>90</v>
      </c>
      <c r="B171" s="67">
        <f>1/(1+(10^-((B170-D170)/400)))*(B121+D121)</f>
        <v>1.7559601721627067</v>
      </c>
      <c r="C171" s="67"/>
      <c r="D171" s="67">
        <f>1/(1+(10^-((D170-B170)/400)))*(B121+D121)</f>
        <v>0.24403982783729342</v>
      </c>
      <c r="E171" s="67">
        <f>1/(1+(10^-((E170-G170)/400)))*(E121+G121)</f>
        <v>0.34311932046935328</v>
      </c>
      <c r="F171" s="67"/>
      <c r="G171" s="67">
        <f>1/(1+(10^-((G170-E170)/400)))*(E121+G121)</f>
        <v>1.6568806795306465</v>
      </c>
      <c r="H171" s="67">
        <f>1/(1+(10^-((H170-J170)/400)))*(H121+J121)</f>
        <v>1.0825405765043399</v>
      </c>
      <c r="I171" s="67"/>
      <c r="J171" s="67">
        <f>1/(1+(10^-((J170-H170)/400)))*(H121+J121)</f>
        <v>0.91745942349566012</v>
      </c>
      <c r="K171" s="67">
        <f>1/(1+(10^-((K170-M170)/400)))*(K121+M121)</f>
        <v>0.69247848477459362</v>
      </c>
      <c r="L171" s="67"/>
      <c r="M171" s="67">
        <f>1/(1+(10^-((M170-K170)/400)))*(K121+M121)</f>
        <v>1.3075215152254065</v>
      </c>
      <c r="N171" s="67">
        <f>1/(1+(10^-((N170-P170)/400)))*(N121+P121)</f>
        <v>1.1464697237408803</v>
      </c>
      <c r="O171" s="67"/>
      <c r="P171" s="67">
        <f>1/(1+(10^-((P170-N170)/400)))*(N121+P121)</f>
        <v>0.8535302762591197</v>
      </c>
      <c r="Q171" s="67">
        <f>1/(1+(10^-((Q170-S170)/400)))*(Q121+S121)</f>
        <v>1.6416261274185211</v>
      </c>
      <c r="R171" s="67"/>
      <c r="S171" s="67">
        <f>1/(1+(10^-((S170-Q170)/400)))*(Q121+S121)</f>
        <v>0.35837387258147896</v>
      </c>
      <c r="T171" s="67">
        <f>1/(1+(10^-((T170-V170)/400)))*(T121+V121)</f>
        <v>1.7060569886912975</v>
      </c>
      <c r="U171" s="67"/>
      <c r="V171" s="67">
        <f>1/(1+(10^-((V170-T170)/400)))*(T121+V121)</f>
        <v>0.29394301130870243</v>
      </c>
      <c r="W171" s="67">
        <f>1/(1+(10^-((W170-Y170)/400)))*(W121+Y121)</f>
        <v>1.1415126370832618</v>
      </c>
      <c r="X171" s="67"/>
      <c r="Y171" s="67">
        <f>1/(1+(10^-((Y170-W170)/400)))*(W121+Y121)</f>
        <v>0.85848736291673822</v>
      </c>
      <c r="Z171" s="67">
        <f>1/(1+(10^-((Z170-AB170)/400)))*(Z121+AB121)</f>
        <v>0.23164106749699653</v>
      </c>
      <c r="AA171" s="67"/>
      <c r="AB171" s="67">
        <f>1/(1+(10^-((AB170-Z170)/400)))*(Z121+AB121)</f>
        <v>1.7683589325030034</v>
      </c>
      <c r="AC171" s="67">
        <f>1/(1+(10^-((AC170-AE170)/400)))*(AC121+AE121)</f>
        <v>0.4526239474401017</v>
      </c>
      <c r="AD171" s="67"/>
      <c r="AE171" s="67">
        <f>1/(1+(10^-((AE170-AC170)/400)))*(AC121+AE121)</f>
        <v>1.5473760525598985</v>
      </c>
      <c r="AF171" s="68"/>
      <c r="AG171" s="69"/>
      <c r="AH171" s="69"/>
      <c r="AI171" s="69"/>
      <c r="AJ171" s="69"/>
      <c r="AK171" s="69"/>
      <c r="AL171" s="69"/>
      <c r="AM171" s="69"/>
      <c r="AN171" s="70"/>
      <c r="AO171" s="70"/>
      <c r="AP171" s="70"/>
      <c r="AQ171" s="70"/>
      <c r="AW171" s="72"/>
      <c r="BB171" s="72"/>
    </row>
    <row r="172" spans="1:54" s="77" customFormat="1" hidden="1" x14ac:dyDescent="0.2">
      <c r="A172" s="73" t="s">
        <v>91</v>
      </c>
      <c r="B172" s="73">
        <f>B170+(B121-B171)*$BA$1</f>
        <v>2091.8664791398633</v>
      </c>
      <c r="C172" s="73"/>
      <c r="D172" s="73">
        <f>D170+(D121-D171)*$BA$1</f>
        <v>1861.4263496438541</v>
      </c>
      <c r="E172" s="73">
        <f>E170+(E121-E171)*$BA$1</f>
        <v>1906.7854421466584</v>
      </c>
      <c r="F172" s="73"/>
      <c r="G172" s="73">
        <f>G170+(G121-G171)*$BA$1</f>
        <v>2202.2835029129537</v>
      </c>
      <c r="H172" s="73">
        <f>H170+(H121-H171)*$BA$1</f>
        <v>1855.5279784157897</v>
      </c>
      <c r="I172" s="73"/>
      <c r="J172" s="73">
        <f>J170+(J121-J171)*$BA$1</f>
        <v>1896.0676480919931</v>
      </c>
      <c r="K172" s="73">
        <f>K170+(K121-K171)*$BA$1</f>
        <v>2133.7071676270762</v>
      </c>
      <c r="L172" s="73"/>
      <c r="M172" s="73">
        <f>M170+(M121-M171)*$BA$1</f>
        <v>2160.4428144257408</v>
      </c>
      <c r="N172" s="73">
        <f>N170+(N121-N171)*$BA$1</f>
        <v>1934.0984109869503</v>
      </c>
      <c r="O172" s="73"/>
      <c r="P172" s="73">
        <f>P170+(P121-P171)*$BA$1</f>
        <v>1828.2150095754978</v>
      </c>
      <c r="Q172" s="73">
        <f>Q170+(Q121-Q171)*$BA$1</f>
        <v>2171.9107783483482</v>
      </c>
      <c r="R172" s="73"/>
      <c r="S172" s="73">
        <f>S170+(S121-S171)*$BA$1</f>
        <v>1884.5996841693857</v>
      </c>
      <c r="T172" s="73">
        <f>T170+(T121-T171)*$BA$1</f>
        <v>2143.1133439889545</v>
      </c>
      <c r="U172" s="73"/>
      <c r="V172" s="73">
        <f>V170+(V121-V171)*$BA$1</f>
        <v>1818.8088332136192</v>
      </c>
      <c r="W172" s="73">
        <f>W170+(W121-W171)*$BA$1</f>
        <v>1929.570006600286</v>
      </c>
      <c r="X172" s="73"/>
      <c r="Y172" s="73">
        <f>Y170+(Y121-Y171)*$BA$1</f>
        <v>1889.12808855605</v>
      </c>
      <c r="Z172" s="73">
        <f>Z170+(Z121-Z171)*$BA$1</f>
        <v>1811.3963190537154</v>
      </c>
      <c r="AA172" s="73"/>
      <c r="AB172" s="73">
        <f>AB170+(AB121-AB171)*$BA$1</f>
        <v>2179.3232925082521</v>
      </c>
      <c r="AC172" s="73">
        <f>AC170+(AC121-AC171)*$BA$1</f>
        <v>1947.0860402822027</v>
      </c>
      <c r="AD172" s="73"/>
      <c r="AE172" s="73">
        <f>AE170+(AE121-AE171)*$BA$1</f>
        <v>2125.5973103070378</v>
      </c>
      <c r="AF172" s="74"/>
      <c r="AG172" s="75"/>
      <c r="AH172" s="75"/>
      <c r="AI172" s="75"/>
      <c r="AJ172" s="75"/>
      <c r="AK172" s="75"/>
      <c r="AL172" s="75"/>
      <c r="AM172" s="75"/>
      <c r="AN172" s="76"/>
      <c r="AO172" s="76"/>
      <c r="AP172" s="76"/>
      <c r="AQ172" s="76"/>
      <c r="AW172" s="78"/>
      <c r="BB172" s="78"/>
    </row>
    <row r="173" spans="1:54" s="77" customFormat="1" hidden="1" x14ac:dyDescent="0.2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  <c r="AD173" s="73"/>
      <c r="AE173" s="73"/>
      <c r="AF173" s="74"/>
      <c r="AG173" s="75"/>
      <c r="AH173" s="75"/>
      <c r="AI173" s="75"/>
      <c r="AJ173" s="75"/>
      <c r="AK173" s="75"/>
      <c r="AL173" s="75"/>
      <c r="AM173" s="75"/>
      <c r="AN173" s="76"/>
      <c r="AO173" s="76"/>
      <c r="AP173" s="76"/>
      <c r="AQ173" s="76"/>
      <c r="AW173" s="78"/>
      <c r="BB173" s="78"/>
    </row>
    <row r="174" spans="1:54" s="61" customFormat="1" x14ac:dyDescent="0.2">
      <c r="A174" s="790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790"/>
      <c r="C174" s="790"/>
      <c r="D174" s="790"/>
      <c r="E174" s="790"/>
      <c r="F174" s="790"/>
      <c r="G174" s="790"/>
      <c r="H174" s="790"/>
      <c r="I174" s="790"/>
      <c r="J174" s="790"/>
      <c r="K174" s="790"/>
      <c r="L174" s="790"/>
      <c r="M174" s="790"/>
      <c r="N174" s="790"/>
      <c r="O174" s="790"/>
      <c r="P174" s="790"/>
      <c r="Q174" s="790"/>
      <c r="R174" s="790"/>
      <c r="S174" s="790"/>
      <c r="T174" s="790"/>
      <c r="U174" s="790"/>
      <c r="V174" s="790"/>
      <c r="W174" s="790"/>
      <c r="X174" s="790"/>
      <c r="Y174" s="790"/>
      <c r="Z174" s="790"/>
      <c r="AA174" s="790"/>
      <c r="AB174" s="790"/>
      <c r="AC174" s="790"/>
      <c r="AD174" s="790"/>
      <c r="AE174" s="790"/>
      <c r="AF174" s="790"/>
      <c r="AG174" s="790"/>
      <c r="AH174" s="790"/>
      <c r="AI174" s="790"/>
      <c r="AJ174" s="790"/>
      <c r="AK174" s="790"/>
      <c r="AL174" s="790"/>
      <c r="AM174" s="790"/>
      <c r="AN174" s="768"/>
      <c r="AO174" s="768"/>
      <c r="AP174" s="768"/>
      <c r="AQ174" s="768"/>
      <c r="AW174" s="65"/>
    </row>
    <row r="175" spans="1:54" s="61" customFormat="1" ht="13.5" thickBot="1" x14ac:dyDescent="0.25">
      <c r="A175" s="791"/>
      <c r="B175" s="791"/>
      <c r="C175" s="791"/>
      <c r="D175" s="791"/>
      <c r="E175" s="791"/>
      <c r="F175" s="791"/>
      <c r="G175" s="791"/>
      <c r="H175" s="791"/>
      <c r="I175" s="791"/>
      <c r="J175" s="791"/>
      <c r="K175" s="791"/>
      <c r="L175" s="791"/>
      <c r="M175" s="791"/>
      <c r="N175" s="791"/>
      <c r="O175" s="791"/>
      <c r="P175" s="791"/>
      <c r="Q175" s="791"/>
      <c r="R175" s="791"/>
      <c r="S175" s="791"/>
      <c r="T175" s="791"/>
      <c r="U175" s="791"/>
      <c r="V175" s="791"/>
      <c r="W175" s="791"/>
      <c r="X175" s="791"/>
      <c r="Y175" s="791"/>
      <c r="Z175" s="791"/>
      <c r="AA175" s="791"/>
      <c r="AB175" s="791"/>
      <c r="AC175" s="791"/>
      <c r="AD175" s="791"/>
      <c r="AE175" s="791"/>
      <c r="AF175" s="791"/>
      <c r="AG175" s="791"/>
      <c r="AH175" s="791"/>
      <c r="AI175" s="791"/>
      <c r="AJ175" s="791"/>
      <c r="AK175" s="791"/>
      <c r="AL175" s="791"/>
      <c r="AM175" s="791"/>
      <c r="AN175" s="791"/>
      <c r="AO175" s="791"/>
      <c r="AP175" s="791"/>
      <c r="AQ175" s="791"/>
      <c r="AW175" s="65"/>
    </row>
    <row r="176" spans="1:54" ht="24" customHeight="1" thickBot="1" x14ac:dyDescent="0.25">
      <c r="A176" s="22" t="s">
        <v>22</v>
      </c>
      <c r="B176" s="23" t="s">
        <v>142</v>
      </c>
      <c r="C176" s="862" t="s">
        <v>24</v>
      </c>
      <c r="D176" s="863"/>
      <c r="E176" s="863"/>
      <c r="F176" s="863"/>
      <c r="G176" s="863"/>
      <c r="H176" s="864"/>
      <c r="I176" s="865">
        <v>3</v>
      </c>
      <c r="J176" s="866"/>
      <c r="K176" s="867" t="str">
        <f>"Pool "&amp;B176&amp;" - Round 1 - Court "&amp;I176</f>
        <v>Pool C - Round 1 - Court 3</v>
      </c>
      <c r="L176" s="868"/>
      <c r="M176" s="868"/>
      <c r="N176" s="868"/>
      <c r="O176" s="868"/>
      <c r="P176" s="868"/>
      <c r="Q176" s="868"/>
      <c r="R176" s="868"/>
      <c r="S176" s="868"/>
      <c r="T176" s="868"/>
      <c r="U176" s="868"/>
      <c r="V176" s="868"/>
      <c r="W176" s="868"/>
      <c r="X176" s="868"/>
      <c r="Y176" s="868"/>
      <c r="Z176" s="868"/>
      <c r="AA176" s="868"/>
      <c r="AB176" s="868"/>
      <c r="AC176" s="868"/>
      <c r="AD176" s="868"/>
      <c r="AE176" s="868"/>
      <c r="AF176" s="868"/>
      <c r="AG176" s="868"/>
      <c r="AH176" s="868"/>
      <c r="AI176" s="869"/>
      <c r="AJ176" s="11"/>
      <c r="AK176" s="11"/>
      <c r="AL176" s="11"/>
      <c r="AM176" s="11"/>
      <c r="AN176" s="11"/>
      <c r="AO176" s="11"/>
      <c r="AP176" s="11"/>
      <c r="AQ176" s="11"/>
    </row>
    <row r="177" spans="1:44" ht="27" customHeight="1" thickBot="1" x14ac:dyDescent="0.25">
      <c r="A177" s="24" t="s">
        <v>25</v>
      </c>
      <c r="B177" s="870" t="s">
        <v>7</v>
      </c>
      <c r="C177" s="871"/>
      <c r="D177" s="871"/>
      <c r="E177" s="871"/>
      <c r="F177" s="871"/>
      <c r="G177" s="871"/>
      <c r="H177" s="871"/>
      <c r="I177" s="871"/>
      <c r="J177" s="871"/>
      <c r="K177" s="871"/>
      <c r="L177" s="870" t="str">
        <f>IF($AK180=0,"Games Won","Matches Won")</f>
        <v>Games Won</v>
      </c>
      <c r="M177" s="871"/>
      <c r="N177" s="871"/>
      <c r="O177" s="871"/>
      <c r="P177" s="871"/>
      <c r="Q177" s="872"/>
      <c r="R177" s="870" t="str">
        <f>IF($AK180=0,"Games Lost","Matches Lost")</f>
        <v>Games Lost</v>
      </c>
      <c r="S177" s="873"/>
      <c r="T177" s="873"/>
      <c r="U177" s="873"/>
      <c r="V177" s="874"/>
      <c r="W177" s="875" t="s">
        <v>26</v>
      </c>
      <c r="X177" s="876"/>
      <c r="Y177" s="877"/>
      <c r="Z177" s="875" t="s">
        <v>27</v>
      </c>
      <c r="AA177" s="876"/>
      <c r="AB177" s="877"/>
      <c r="AC177" s="878" t="s">
        <v>28</v>
      </c>
      <c r="AD177" s="879"/>
      <c r="AE177" s="880"/>
      <c r="AF177" s="25" t="s">
        <v>29</v>
      </c>
      <c r="AG177" s="26" t="s">
        <v>6</v>
      </c>
      <c r="AH177" s="860" t="s">
        <v>30</v>
      </c>
      <c r="AI177" s="861"/>
      <c r="AJ177" s="27"/>
      <c r="AK177" s="28">
        <v>2</v>
      </c>
      <c r="AL177" s="29" t="s">
        <v>31</v>
      </c>
      <c r="AM177" s="29"/>
      <c r="AN177" s="29"/>
      <c r="AO177" s="29"/>
      <c r="AP177" s="29"/>
      <c r="AQ177" s="29"/>
      <c r="AR177" s="30"/>
    </row>
    <row r="178" spans="1:44" ht="18.75" customHeight="1" x14ac:dyDescent="0.2">
      <c r="A178" s="829" t="str">
        <f>IF($AK179&gt;0,"1","")</f>
        <v>1</v>
      </c>
      <c r="B178" s="857" t="s">
        <v>7</v>
      </c>
      <c r="C178" s="858"/>
      <c r="D178" s="859"/>
      <c r="E178" s="833" t="str">
        <f>AU5</f>
        <v>CSRA Heat 14 Black</v>
      </c>
      <c r="F178" s="834"/>
      <c r="G178" s="834"/>
      <c r="H178" s="834"/>
      <c r="I178" s="834"/>
      <c r="J178" s="834"/>
      <c r="K178" s="835"/>
      <c r="L178" s="836">
        <f>IF($AK180=0,AF234,AF216)</f>
        <v>5</v>
      </c>
      <c r="M178" s="837"/>
      <c r="N178" s="837"/>
      <c r="O178" s="837"/>
      <c r="P178" s="837"/>
      <c r="Q178" s="872"/>
      <c r="R178" s="836">
        <f>IF($AK180=0,AG234,AG216)</f>
        <v>3</v>
      </c>
      <c r="S178" s="837"/>
      <c r="T178" s="837"/>
      <c r="U178" s="837"/>
      <c r="V178" s="837"/>
      <c r="W178" s="836">
        <f>AQ194</f>
        <v>25</v>
      </c>
      <c r="X178" s="837"/>
      <c r="Y178" s="837"/>
      <c r="Z178" s="809">
        <f>IF(AF228&gt;0,(AQ194/AF228),0)</f>
        <v>0.125</v>
      </c>
      <c r="AA178" s="810"/>
      <c r="AB178" s="810"/>
      <c r="AC178" s="813">
        <f>IF(AF242=0,0,(AF234/AF242))</f>
        <v>0.625</v>
      </c>
      <c r="AD178" s="814"/>
      <c r="AE178" s="815"/>
      <c r="AF178" s="819">
        <v>3</v>
      </c>
      <c r="AG178" s="819">
        <v>3</v>
      </c>
      <c r="AH178" s="821">
        <v>7</v>
      </c>
      <c r="AI178" s="822"/>
      <c r="AJ178" s="27"/>
      <c r="AK178" s="28">
        <v>10</v>
      </c>
      <c r="AL178" s="29" t="s">
        <v>32</v>
      </c>
      <c r="AM178" s="29"/>
      <c r="AN178" s="29"/>
      <c r="AO178" s="29"/>
      <c r="AP178" s="29"/>
      <c r="AQ178" s="29"/>
      <c r="AR178" s="30"/>
    </row>
    <row r="179" spans="1:44" ht="18.75" customHeight="1" thickBot="1" x14ac:dyDescent="0.25">
      <c r="A179" s="830"/>
      <c r="B179" s="854" t="s">
        <v>8</v>
      </c>
      <c r="C179" s="855"/>
      <c r="D179" s="856"/>
      <c r="E179" s="850" t="str">
        <f>AV5</f>
        <v>fj4csrah2pm</v>
      </c>
      <c r="F179" s="851"/>
      <c r="G179" s="851"/>
      <c r="H179" s="851"/>
      <c r="I179" s="851"/>
      <c r="J179" s="851"/>
      <c r="K179" s="851"/>
      <c r="L179" s="852"/>
      <c r="M179" s="853"/>
      <c r="N179" s="853"/>
      <c r="O179" s="853"/>
      <c r="P179" s="853"/>
      <c r="Q179" s="872"/>
      <c r="R179" s="852"/>
      <c r="S179" s="853"/>
      <c r="T179" s="853"/>
      <c r="U179" s="853"/>
      <c r="V179" s="853"/>
      <c r="W179" s="852"/>
      <c r="X179" s="853"/>
      <c r="Y179" s="853"/>
      <c r="Z179" s="840"/>
      <c r="AA179" s="841"/>
      <c r="AB179" s="841"/>
      <c r="AC179" s="842"/>
      <c r="AD179" s="843"/>
      <c r="AE179" s="844"/>
      <c r="AF179" s="845"/>
      <c r="AG179" s="845"/>
      <c r="AH179" s="846"/>
      <c r="AI179" s="847"/>
      <c r="AJ179" s="27"/>
      <c r="AK179" s="28">
        <v>5</v>
      </c>
      <c r="AL179" s="29" t="s">
        <v>33</v>
      </c>
      <c r="AM179" s="27"/>
      <c r="AN179" s="27"/>
      <c r="AO179" s="27"/>
      <c r="AP179" s="27"/>
      <c r="AQ179" s="27"/>
      <c r="AR179" s="3"/>
    </row>
    <row r="180" spans="1:44" ht="18.75" customHeight="1" x14ac:dyDescent="0.2">
      <c r="A180" s="829" t="str">
        <f>IF($AK179&gt;1,"2","")</f>
        <v>2</v>
      </c>
      <c r="B180" s="857" t="s">
        <v>7</v>
      </c>
      <c r="C180" s="858"/>
      <c r="D180" s="859"/>
      <c r="E180" s="833" t="str">
        <f>AU6</f>
        <v>C1VB 14 Reg Royal Grvl</v>
      </c>
      <c r="F180" s="834"/>
      <c r="G180" s="834"/>
      <c r="H180" s="834"/>
      <c r="I180" s="834"/>
      <c r="J180" s="834"/>
      <c r="K180" s="835"/>
      <c r="L180" s="836">
        <f>IF($AK180=0,AF235,AF217)</f>
        <v>6</v>
      </c>
      <c r="M180" s="837"/>
      <c r="N180" s="837"/>
      <c r="O180" s="837"/>
      <c r="P180" s="837"/>
      <c r="Q180" s="872"/>
      <c r="R180" s="836">
        <f>IF($AK180=0,AG235,AG217)</f>
        <v>2</v>
      </c>
      <c r="S180" s="837"/>
      <c r="T180" s="837"/>
      <c r="U180" s="837"/>
      <c r="V180" s="837"/>
      <c r="W180" s="836">
        <f>AQ195</f>
        <v>18</v>
      </c>
      <c r="X180" s="837"/>
      <c r="Y180" s="837"/>
      <c r="Z180" s="809">
        <f>IF(AF229&gt;0,(AQ195/AF229),0)</f>
        <v>8.9552238805970144E-2</v>
      </c>
      <c r="AA180" s="810"/>
      <c r="AB180" s="810"/>
      <c r="AC180" s="813">
        <f>IF(AF243=0,0,(AF235/AF243))</f>
        <v>0.75</v>
      </c>
      <c r="AD180" s="814"/>
      <c r="AE180" s="815"/>
      <c r="AF180" s="819">
        <v>1</v>
      </c>
      <c r="AG180" s="819">
        <v>1</v>
      </c>
      <c r="AH180" s="821">
        <v>3</v>
      </c>
      <c r="AI180" s="822"/>
      <c r="AJ180" s="27"/>
      <c r="AK180" s="28">
        <v>0</v>
      </c>
      <c r="AL180" s="29" t="s">
        <v>34</v>
      </c>
      <c r="AM180" s="29"/>
      <c r="AN180" s="29"/>
      <c r="AO180" s="29"/>
      <c r="AP180" s="29"/>
      <c r="AQ180" s="29"/>
      <c r="AR180" s="30"/>
    </row>
    <row r="181" spans="1:44" ht="18.75" customHeight="1" thickBot="1" x14ac:dyDescent="0.25">
      <c r="A181" s="830"/>
      <c r="B181" s="848" t="s">
        <v>8</v>
      </c>
      <c r="C181" s="849"/>
      <c r="D181" s="849"/>
      <c r="E181" s="850" t="str">
        <f>AV6</f>
        <v>fj4crone5pm</v>
      </c>
      <c r="F181" s="851"/>
      <c r="G181" s="851"/>
      <c r="H181" s="851"/>
      <c r="I181" s="851"/>
      <c r="J181" s="851"/>
      <c r="K181" s="851"/>
      <c r="L181" s="852"/>
      <c r="M181" s="853"/>
      <c r="N181" s="853"/>
      <c r="O181" s="853"/>
      <c r="P181" s="853"/>
      <c r="Q181" s="872"/>
      <c r="R181" s="852"/>
      <c r="S181" s="853"/>
      <c r="T181" s="853"/>
      <c r="U181" s="853"/>
      <c r="V181" s="853"/>
      <c r="W181" s="852"/>
      <c r="X181" s="853"/>
      <c r="Y181" s="853"/>
      <c r="Z181" s="840"/>
      <c r="AA181" s="841"/>
      <c r="AB181" s="841"/>
      <c r="AC181" s="842"/>
      <c r="AD181" s="843"/>
      <c r="AE181" s="844"/>
      <c r="AF181" s="845"/>
      <c r="AG181" s="845"/>
      <c r="AH181" s="846"/>
      <c r="AI181" s="847"/>
      <c r="AJ181" s="27"/>
      <c r="AK181" s="28">
        <v>1</v>
      </c>
      <c r="AL181" s="29" t="s">
        <v>35</v>
      </c>
      <c r="AM181" s="27"/>
      <c r="AN181" s="27"/>
      <c r="AO181" s="27"/>
      <c r="AP181" s="27"/>
      <c r="AQ181" s="27"/>
      <c r="AR181" s="3"/>
    </row>
    <row r="182" spans="1:44" ht="18.75" customHeight="1" x14ac:dyDescent="0.2">
      <c r="A182" s="829" t="str">
        <f>IF($AK179&gt;2,"3","")</f>
        <v>3</v>
      </c>
      <c r="B182" s="831" t="s">
        <v>7</v>
      </c>
      <c r="C182" s="832"/>
      <c r="D182" s="832"/>
      <c r="E182" s="833" t="str">
        <f>AU11</f>
        <v>MOTO 14's</v>
      </c>
      <c r="F182" s="834"/>
      <c r="G182" s="834"/>
      <c r="H182" s="834"/>
      <c r="I182" s="834"/>
      <c r="J182" s="834"/>
      <c r="K182" s="835"/>
      <c r="L182" s="836">
        <f>IF($AK180=0,AF236,AF218)</f>
        <v>2</v>
      </c>
      <c r="M182" s="837"/>
      <c r="N182" s="837"/>
      <c r="O182" s="837"/>
      <c r="P182" s="837"/>
      <c r="Q182" s="872"/>
      <c r="R182" s="836">
        <f>IF($AK180=0,AG236,AG218)</f>
        <v>6</v>
      </c>
      <c r="S182" s="837"/>
      <c r="T182" s="837"/>
      <c r="U182" s="837"/>
      <c r="V182" s="837"/>
      <c r="W182" s="836">
        <f>AQ196</f>
        <v>-28</v>
      </c>
      <c r="X182" s="837"/>
      <c r="Y182" s="837"/>
      <c r="Z182" s="809">
        <f>IF(AF230&gt;0,(AQ196/AF230),0)</f>
        <v>-0.14000000000000001</v>
      </c>
      <c r="AA182" s="810"/>
      <c r="AB182" s="810"/>
      <c r="AC182" s="813">
        <f>IF(AF244=0,0,(AF236/AF244))</f>
        <v>0.25</v>
      </c>
      <c r="AD182" s="814"/>
      <c r="AE182" s="815"/>
      <c r="AF182" s="819">
        <v>4</v>
      </c>
      <c r="AG182" s="819">
        <v>2</v>
      </c>
      <c r="AH182" s="821">
        <v>11</v>
      </c>
      <c r="AI182" s="822"/>
      <c r="AJ182" s="36"/>
      <c r="AK182" s="28">
        <v>8</v>
      </c>
      <c r="AL182" s="37" t="s">
        <v>36</v>
      </c>
      <c r="AM182" s="29"/>
      <c r="AN182" s="29"/>
      <c r="AO182" s="29"/>
      <c r="AP182" s="29"/>
      <c r="AQ182" s="29"/>
      <c r="AR182" s="30"/>
    </row>
    <row r="183" spans="1:44" ht="18.75" customHeight="1" thickBot="1" x14ac:dyDescent="0.25">
      <c r="A183" s="830"/>
      <c r="B183" s="848" t="s">
        <v>8</v>
      </c>
      <c r="C183" s="849"/>
      <c r="D183" s="849"/>
      <c r="E183" s="850" t="str">
        <f>AV11</f>
        <v>fj4motoj1pm</v>
      </c>
      <c r="F183" s="851"/>
      <c r="G183" s="851"/>
      <c r="H183" s="851"/>
      <c r="I183" s="851"/>
      <c r="J183" s="851"/>
      <c r="K183" s="851"/>
      <c r="L183" s="852"/>
      <c r="M183" s="853"/>
      <c r="N183" s="853"/>
      <c r="O183" s="853"/>
      <c r="P183" s="853"/>
      <c r="Q183" s="872"/>
      <c r="R183" s="852"/>
      <c r="S183" s="853"/>
      <c r="T183" s="853"/>
      <c r="U183" s="853"/>
      <c r="V183" s="853"/>
      <c r="W183" s="852"/>
      <c r="X183" s="853"/>
      <c r="Y183" s="853"/>
      <c r="Z183" s="840"/>
      <c r="AA183" s="841"/>
      <c r="AB183" s="841"/>
      <c r="AC183" s="842"/>
      <c r="AD183" s="843"/>
      <c r="AE183" s="844"/>
      <c r="AF183" s="845"/>
      <c r="AG183" s="845"/>
      <c r="AH183" s="846"/>
      <c r="AI183" s="847"/>
      <c r="AJ183" s="36"/>
      <c r="AK183" s="38"/>
      <c r="AL183" s="39"/>
      <c r="AM183" s="39"/>
      <c r="AN183" s="39"/>
      <c r="AO183" s="39"/>
      <c r="AP183" s="39"/>
      <c r="AQ183" s="27"/>
      <c r="AR183" s="3"/>
    </row>
    <row r="184" spans="1:44" ht="18.75" customHeight="1" x14ac:dyDescent="0.2">
      <c r="A184" s="829" t="str">
        <f>IF($AK179&gt;3,"4","")</f>
        <v>4</v>
      </c>
      <c r="B184" s="831" t="s">
        <v>7</v>
      </c>
      <c r="C184" s="832"/>
      <c r="D184" s="832"/>
      <c r="E184" s="833" t="str">
        <f>AU12</f>
        <v>SOAR EAGLES 14U</v>
      </c>
      <c r="F184" s="834"/>
      <c r="G184" s="834"/>
      <c r="H184" s="834"/>
      <c r="I184" s="834"/>
      <c r="J184" s="834"/>
      <c r="K184" s="835"/>
      <c r="L184" s="836">
        <f>IF($AK180=0,AF237,AF219)</f>
        <v>5</v>
      </c>
      <c r="M184" s="837"/>
      <c r="N184" s="837"/>
      <c r="O184" s="837"/>
      <c r="P184" s="837"/>
      <c r="Q184" s="872"/>
      <c r="R184" s="836">
        <f>IF($AK180=0,AG237,AG219)</f>
        <v>3</v>
      </c>
      <c r="S184" s="837"/>
      <c r="T184" s="837"/>
      <c r="U184" s="837"/>
      <c r="V184" s="837"/>
      <c r="W184" s="836">
        <f>AQ197</f>
        <v>9</v>
      </c>
      <c r="X184" s="837"/>
      <c r="Y184" s="837"/>
      <c r="Z184" s="809">
        <f>IF(AF231&gt;0,(AQ197/AF231),0)</f>
        <v>4.4776119402985072E-2</v>
      </c>
      <c r="AA184" s="810"/>
      <c r="AB184" s="810"/>
      <c r="AC184" s="813">
        <f>IF(AF245=0,0,(AF237/AF245))</f>
        <v>0.625</v>
      </c>
      <c r="AD184" s="814"/>
      <c r="AE184" s="815"/>
      <c r="AF184" s="819">
        <v>2</v>
      </c>
      <c r="AG184" s="819">
        <v>3</v>
      </c>
      <c r="AH184" s="821">
        <v>6</v>
      </c>
      <c r="AI184" s="822"/>
      <c r="AJ184" s="11"/>
      <c r="AK184" s="39"/>
      <c r="AL184" s="39"/>
      <c r="AM184" s="39"/>
      <c r="AN184" s="39"/>
      <c r="AO184" s="39"/>
      <c r="AP184" s="39"/>
      <c r="AQ184" s="29"/>
      <c r="AR184" s="30"/>
    </row>
    <row r="185" spans="1:44" ht="18.75" customHeight="1" thickBot="1" x14ac:dyDescent="0.25">
      <c r="A185" s="830"/>
      <c r="B185" s="848" t="s">
        <v>8</v>
      </c>
      <c r="C185" s="849"/>
      <c r="D185" s="849"/>
      <c r="E185" s="850" t="str">
        <f>AV12</f>
        <v>fj4soarj2pm</v>
      </c>
      <c r="F185" s="851"/>
      <c r="G185" s="851"/>
      <c r="H185" s="851"/>
      <c r="I185" s="851"/>
      <c r="J185" s="851"/>
      <c r="K185" s="851"/>
      <c r="L185" s="852"/>
      <c r="M185" s="853"/>
      <c r="N185" s="853"/>
      <c r="O185" s="853"/>
      <c r="P185" s="853"/>
      <c r="Q185" s="872"/>
      <c r="R185" s="852"/>
      <c r="S185" s="853"/>
      <c r="T185" s="853"/>
      <c r="U185" s="853"/>
      <c r="V185" s="853"/>
      <c r="W185" s="852"/>
      <c r="X185" s="853"/>
      <c r="Y185" s="853"/>
      <c r="Z185" s="840"/>
      <c r="AA185" s="841"/>
      <c r="AB185" s="841"/>
      <c r="AC185" s="842"/>
      <c r="AD185" s="843"/>
      <c r="AE185" s="844"/>
      <c r="AF185" s="845"/>
      <c r="AG185" s="845"/>
      <c r="AH185" s="846"/>
      <c r="AI185" s="847"/>
      <c r="AJ185" s="11"/>
      <c r="AK185" s="39"/>
      <c r="AL185" s="39"/>
      <c r="AM185" s="39"/>
      <c r="AN185" s="39"/>
      <c r="AO185" s="39"/>
      <c r="AP185" s="39"/>
      <c r="AQ185" s="11"/>
      <c r="AR185" s="3"/>
    </row>
    <row r="186" spans="1:44" ht="18.75" customHeight="1" x14ac:dyDescent="0.2">
      <c r="A186" s="829" t="str">
        <f>IF($AK179&gt;4,"5","")</f>
        <v>5</v>
      </c>
      <c r="B186" s="831" t="s">
        <v>7</v>
      </c>
      <c r="C186" s="832"/>
      <c r="D186" s="832"/>
      <c r="E186" s="833" t="str">
        <f>AU17</f>
        <v>CSRA Heat 15 Red</v>
      </c>
      <c r="F186" s="834"/>
      <c r="G186" s="834"/>
      <c r="H186" s="834"/>
      <c r="I186" s="834"/>
      <c r="J186" s="834"/>
      <c r="K186" s="835"/>
      <c r="L186" s="836">
        <f>IF($AK180=0,AF238,AF220)</f>
        <v>2</v>
      </c>
      <c r="M186" s="837"/>
      <c r="N186" s="837"/>
      <c r="O186" s="837"/>
      <c r="P186" s="837"/>
      <c r="Q186" s="872"/>
      <c r="R186" s="836">
        <f>IF($AK180=0,AG238,AG220)</f>
        <v>6</v>
      </c>
      <c r="S186" s="837"/>
      <c r="T186" s="837"/>
      <c r="U186" s="837"/>
      <c r="V186" s="837"/>
      <c r="W186" s="836">
        <f>AQ198</f>
        <v>-24</v>
      </c>
      <c r="X186" s="837"/>
      <c r="Y186" s="837"/>
      <c r="Z186" s="809">
        <f>IF(AF232&gt;0,(AQ198/AF232),0)</f>
        <v>-0.12</v>
      </c>
      <c r="AA186" s="810"/>
      <c r="AB186" s="810"/>
      <c r="AC186" s="813">
        <f>IF(AF246=0,0,(AF238/AF246))</f>
        <v>0.25</v>
      </c>
      <c r="AD186" s="814"/>
      <c r="AE186" s="815"/>
      <c r="AF186" s="819">
        <v>5</v>
      </c>
      <c r="AG186" s="819">
        <v>2</v>
      </c>
      <c r="AH186" s="821">
        <v>13</v>
      </c>
      <c r="AI186" s="822"/>
      <c r="AJ186" s="11"/>
      <c r="AK186" s="39"/>
      <c r="AL186" s="39"/>
      <c r="AM186" s="39"/>
      <c r="AN186" s="39"/>
      <c r="AO186" s="39"/>
      <c r="AP186" s="39"/>
      <c r="AQ186" s="11"/>
      <c r="AR186" s="3"/>
    </row>
    <row r="187" spans="1:44" ht="18.75" customHeight="1" thickBot="1" x14ac:dyDescent="0.25">
      <c r="A187" s="830"/>
      <c r="B187" s="825" t="s">
        <v>8</v>
      </c>
      <c r="C187" s="826"/>
      <c r="D187" s="826"/>
      <c r="E187" s="827" t="str">
        <f>AV17</f>
        <v>fj5csrah3pm</v>
      </c>
      <c r="F187" s="828"/>
      <c r="G187" s="828"/>
      <c r="H187" s="828"/>
      <c r="I187" s="828"/>
      <c r="J187" s="828"/>
      <c r="K187" s="828"/>
      <c r="L187" s="838"/>
      <c r="M187" s="839"/>
      <c r="N187" s="839"/>
      <c r="O187" s="839"/>
      <c r="P187" s="839"/>
      <c r="Q187" s="872"/>
      <c r="R187" s="838"/>
      <c r="S187" s="839"/>
      <c r="T187" s="839"/>
      <c r="U187" s="839"/>
      <c r="V187" s="839"/>
      <c r="W187" s="838"/>
      <c r="X187" s="839"/>
      <c r="Y187" s="839"/>
      <c r="Z187" s="811"/>
      <c r="AA187" s="812"/>
      <c r="AB187" s="812"/>
      <c r="AC187" s="816"/>
      <c r="AD187" s="817"/>
      <c r="AE187" s="818"/>
      <c r="AF187" s="820"/>
      <c r="AG187" s="820"/>
      <c r="AH187" s="823"/>
      <c r="AI187" s="824"/>
      <c r="AJ187" s="11"/>
      <c r="AK187" s="39"/>
      <c r="AL187" s="39"/>
      <c r="AM187" s="39"/>
      <c r="AN187" s="39"/>
      <c r="AO187" s="39"/>
      <c r="AP187" s="39"/>
      <c r="AQ187" s="11"/>
      <c r="AR187" s="3"/>
    </row>
    <row r="188" spans="1:44" ht="21" customHeight="1" thickTop="1" thickBot="1" x14ac:dyDescent="0.25">
      <c r="A188" s="40"/>
      <c r="B188" s="806" t="s">
        <v>168</v>
      </c>
      <c r="C188" s="807"/>
      <c r="D188" s="807"/>
      <c r="E188" s="807"/>
      <c r="F188" s="807"/>
      <c r="G188" s="807"/>
      <c r="H188" s="807"/>
      <c r="I188" s="807"/>
      <c r="J188" s="807"/>
      <c r="K188" s="807"/>
      <c r="L188" s="807"/>
      <c r="M188" s="807"/>
      <c r="N188" s="807"/>
      <c r="O188" s="807"/>
      <c r="P188" s="807"/>
      <c r="Q188" s="807"/>
      <c r="R188" s="807"/>
      <c r="S188" s="807"/>
      <c r="T188" s="807"/>
      <c r="U188" s="807"/>
      <c r="V188" s="807"/>
      <c r="W188" s="807"/>
      <c r="X188" s="807"/>
      <c r="Y188" s="807"/>
      <c r="Z188" s="807"/>
      <c r="AA188" s="807"/>
      <c r="AB188" s="807"/>
      <c r="AC188" s="807"/>
      <c r="AD188" s="807"/>
      <c r="AE188" s="807"/>
      <c r="AF188" s="807"/>
      <c r="AG188" s="807"/>
      <c r="AH188" s="807"/>
      <c r="AI188" s="808"/>
      <c r="AJ188" s="11"/>
      <c r="AK188" s="39"/>
      <c r="AL188" s="39"/>
      <c r="AM188" s="39"/>
      <c r="AN188" s="39"/>
      <c r="AO188" s="39"/>
      <c r="AP188" s="39"/>
      <c r="AQ188" s="11"/>
      <c r="AR188" s="3"/>
    </row>
    <row r="189" spans="1:44" ht="13.5" thickTop="1" x14ac:dyDescent="0.2">
      <c r="A189" s="4" t="s">
        <v>39</v>
      </c>
      <c r="B189" s="795">
        <v>0.35416666666666669</v>
      </c>
      <c r="C189" s="796"/>
      <c r="D189" s="797"/>
      <c r="E189" s="795">
        <v>0.38194444444444442</v>
      </c>
      <c r="F189" s="796"/>
      <c r="G189" s="797"/>
      <c r="H189" s="795">
        <v>0.40972222222222227</v>
      </c>
      <c r="I189" s="796"/>
      <c r="J189" s="797"/>
      <c r="K189" s="795">
        <v>0.4375</v>
      </c>
      <c r="L189" s="796"/>
      <c r="M189" s="797"/>
      <c r="N189" s="795">
        <v>0.46527777777777773</v>
      </c>
      <c r="O189" s="796"/>
      <c r="P189" s="797"/>
      <c r="Q189" s="795">
        <v>0.49305555555555558</v>
      </c>
      <c r="R189" s="796"/>
      <c r="S189" s="797"/>
      <c r="T189" s="795">
        <v>0.52083333333333337</v>
      </c>
      <c r="U189" s="796"/>
      <c r="V189" s="797"/>
      <c r="W189" s="795">
        <v>4.8611111111111112E-2</v>
      </c>
      <c r="X189" s="796"/>
      <c r="Y189" s="797"/>
      <c r="Z189" s="795">
        <v>7.6388888888888895E-2</v>
      </c>
      <c r="AA189" s="796"/>
      <c r="AB189" s="797"/>
      <c r="AC189" s="795">
        <v>0.10416666666666667</v>
      </c>
      <c r="AD189" s="796"/>
      <c r="AE189" s="797"/>
      <c r="AF189" s="798" t="s">
        <v>40</v>
      </c>
      <c r="AG189" s="799"/>
      <c r="AH189" s="799"/>
      <c r="AI189" s="799"/>
      <c r="AJ189" s="800"/>
      <c r="AK189" s="800"/>
      <c r="AL189" s="800"/>
      <c r="AM189" s="800"/>
      <c r="AN189" s="800"/>
      <c r="AO189" s="800"/>
      <c r="AP189" s="800"/>
      <c r="AQ189" s="801"/>
    </row>
    <row r="190" spans="1:44" x14ac:dyDescent="0.2">
      <c r="A190" s="41" t="s">
        <v>41</v>
      </c>
      <c r="B190" s="792"/>
      <c r="C190" s="793"/>
      <c r="D190" s="794"/>
      <c r="E190" s="792"/>
      <c r="F190" s="793"/>
      <c r="G190" s="794"/>
      <c r="H190" s="792"/>
      <c r="I190" s="793"/>
      <c r="J190" s="794"/>
      <c r="K190" s="792"/>
      <c r="L190" s="793"/>
      <c r="M190" s="794"/>
      <c r="N190" s="792"/>
      <c r="O190" s="793"/>
      <c r="P190" s="794"/>
      <c r="Q190" s="792"/>
      <c r="R190" s="793"/>
      <c r="S190" s="794"/>
      <c r="T190" s="792"/>
      <c r="U190" s="793"/>
      <c r="V190" s="794"/>
      <c r="W190" s="792"/>
      <c r="X190" s="793"/>
      <c r="Y190" s="794"/>
      <c r="Z190" s="792"/>
      <c r="AA190" s="793"/>
      <c r="AB190" s="794"/>
      <c r="AC190" s="792"/>
      <c r="AD190" s="793"/>
      <c r="AE190" s="794"/>
      <c r="AF190" s="798"/>
      <c r="AG190" s="799"/>
      <c r="AH190" s="799"/>
      <c r="AI190" s="799"/>
      <c r="AJ190" s="799"/>
      <c r="AK190" s="799"/>
      <c r="AL190" s="799"/>
      <c r="AM190" s="799"/>
      <c r="AN190" s="799"/>
      <c r="AO190" s="799"/>
      <c r="AP190" s="799"/>
      <c r="AQ190" s="802"/>
    </row>
    <row r="191" spans="1:44" x14ac:dyDescent="0.2">
      <c r="A191" s="41" t="s">
        <v>42</v>
      </c>
      <c r="B191" s="792"/>
      <c r="C191" s="793"/>
      <c r="D191" s="794"/>
      <c r="E191" s="792"/>
      <c r="F191" s="793"/>
      <c r="G191" s="794"/>
      <c r="H191" s="792"/>
      <c r="I191" s="793"/>
      <c r="J191" s="794"/>
      <c r="K191" s="792"/>
      <c r="L191" s="793"/>
      <c r="M191" s="794"/>
      <c r="N191" s="792"/>
      <c r="O191" s="793"/>
      <c r="P191" s="794"/>
      <c r="Q191" s="792"/>
      <c r="R191" s="793"/>
      <c r="S191" s="794"/>
      <c r="T191" s="792"/>
      <c r="U191" s="793"/>
      <c r="V191" s="794"/>
      <c r="W191" s="792"/>
      <c r="X191" s="793"/>
      <c r="Y191" s="794"/>
      <c r="Z191" s="792"/>
      <c r="AA191" s="793"/>
      <c r="AB191" s="794"/>
      <c r="AC191" s="792"/>
      <c r="AD191" s="793"/>
      <c r="AE191" s="794"/>
      <c r="AF191" s="798"/>
      <c r="AG191" s="799"/>
      <c r="AH191" s="799"/>
      <c r="AI191" s="799"/>
      <c r="AJ191" s="799"/>
      <c r="AK191" s="799"/>
      <c r="AL191" s="799"/>
      <c r="AM191" s="799"/>
      <c r="AN191" s="799"/>
      <c r="AO191" s="799"/>
      <c r="AP191" s="799"/>
      <c r="AQ191" s="802"/>
    </row>
    <row r="192" spans="1:44" ht="13.5" thickBot="1" x14ac:dyDescent="0.25">
      <c r="A192" s="11"/>
      <c r="B192" s="684" t="s">
        <v>43</v>
      </c>
      <c r="C192" s="685"/>
      <c r="D192" s="691"/>
      <c r="E192" s="684" t="str">
        <f>IF(AK178&gt;1,"Match 2","")</f>
        <v>Match 2</v>
      </c>
      <c r="F192" s="685"/>
      <c r="G192" s="691"/>
      <c r="H192" s="684" t="str">
        <f>IF(AK178&gt;2,"Match 3","")</f>
        <v>Match 3</v>
      </c>
      <c r="I192" s="685"/>
      <c r="J192" s="691"/>
      <c r="K192" s="684" t="str">
        <f>IF(AK178&gt;3,"Match 4","")</f>
        <v>Match 4</v>
      </c>
      <c r="L192" s="685"/>
      <c r="M192" s="691"/>
      <c r="N192" s="684" t="str">
        <f>IF(AK178&gt;4,"Match 5","")</f>
        <v>Match 5</v>
      </c>
      <c r="O192" s="685"/>
      <c r="P192" s="691"/>
      <c r="Q192" s="684" t="str">
        <f>IF(AK178&gt;5,"Match 6","")</f>
        <v>Match 6</v>
      </c>
      <c r="R192" s="685"/>
      <c r="S192" s="691"/>
      <c r="T192" s="684" t="str">
        <f>IF(AK178&gt;6,"Match 7","")</f>
        <v>Match 7</v>
      </c>
      <c r="U192" s="685"/>
      <c r="V192" s="691"/>
      <c r="W192" s="684" t="str">
        <f>IF(AK178&gt;7,"Match 8","")</f>
        <v>Match 8</v>
      </c>
      <c r="X192" s="685"/>
      <c r="Y192" s="691"/>
      <c r="Z192" s="684" t="str">
        <f>IF(AK178&gt;8,"Match 9","")</f>
        <v>Match 9</v>
      </c>
      <c r="AA192" s="685"/>
      <c r="AB192" s="691"/>
      <c r="AC192" s="684" t="str">
        <f>IF(AK178&gt;9,"Match 10","")</f>
        <v>Match 10</v>
      </c>
      <c r="AD192" s="685"/>
      <c r="AE192" s="691"/>
      <c r="AF192" s="803"/>
      <c r="AG192" s="804"/>
      <c r="AH192" s="804"/>
      <c r="AI192" s="804"/>
      <c r="AJ192" s="804"/>
      <c r="AK192" s="804"/>
      <c r="AL192" s="804"/>
      <c r="AM192" s="804"/>
      <c r="AN192" s="804"/>
      <c r="AO192" s="804"/>
      <c r="AP192" s="804"/>
      <c r="AQ192" s="805"/>
    </row>
    <row r="193" spans="1:49" ht="15.75" x14ac:dyDescent="0.25">
      <c r="A193" s="11"/>
      <c r="B193" s="786" t="s">
        <v>44</v>
      </c>
      <c r="C193" s="787"/>
      <c r="D193" s="788"/>
      <c r="E193" s="786" t="s">
        <v>45</v>
      </c>
      <c r="F193" s="787"/>
      <c r="G193" s="788"/>
      <c r="H193" s="786" t="s">
        <v>46</v>
      </c>
      <c r="I193" s="787"/>
      <c r="J193" s="788"/>
      <c r="K193" s="786" t="s">
        <v>47</v>
      </c>
      <c r="L193" s="787"/>
      <c r="M193" s="788"/>
      <c r="N193" s="786" t="s">
        <v>48</v>
      </c>
      <c r="O193" s="787"/>
      <c r="P193" s="788"/>
      <c r="Q193" s="786" t="s">
        <v>46</v>
      </c>
      <c r="R193" s="787"/>
      <c r="S193" s="788"/>
      <c r="T193" s="786" t="s">
        <v>44</v>
      </c>
      <c r="U193" s="787"/>
      <c r="V193" s="788"/>
      <c r="W193" s="786" t="s">
        <v>48</v>
      </c>
      <c r="X193" s="787"/>
      <c r="Y193" s="788"/>
      <c r="Z193" s="786" t="s">
        <v>47</v>
      </c>
      <c r="AA193" s="787"/>
      <c r="AB193" s="788"/>
      <c r="AC193" s="786" t="s">
        <v>45</v>
      </c>
      <c r="AD193" s="787"/>
      <c r="AE193" s="788"/>
      <c r="AF193" s="42" t="s">
        <v>49</v>
      </c>
      <c r="AG193" s="43">
        <v>1</v>
      </c>
      <c r="AH193" s="43">
        <v>2</v>
      </c>
      <c r="AI193" s="43">
        <v>3</v>
      </c>
      <c r="AJ193" s="43">
        <v>4</v>
      </c>
      <c r="AK193" s="43">
        <v>5</v>
      </c>
      <c r="AL193" s="43">
        <v>6</v>
      </c>
      <c r="AM193" s="43">
        <v>7</v>
      </c>
      <c r="AN193" s="43">
        <v>8</v>
      </c>
      <c r="AO193" s="43">
        <v>9</v>
      </c>
      <c r="AP193" s="43">
        <v>10</v>
      </c>
      <c r="AQ193" s="44" t="s">
        <v>50</v>
      </c>
    </row>
    <row r="194" spans="1:49" ht="15.75" x14ac:dyDescent="0.25">
      <c r="A194" s="11"/>
      <c r="B194" s="45">
        <v>2</v>
      </c>
      <c r="C194" s="46" t="s">
        <v>51</v>
      </c>
      <c r="D194" s="47">
        <v>5</v>
      </c>
      <c r="E194" s="45">
        <v>1</v>
      </c>
      <c r="F194" s="46" t="str">
        <f>IF(AK178&gt;1,"v","")</f>
        <v>v</v>
      </c>
      <c r="G194" s="47">
        <v>4</v>
      </c>
      <c r="H194" s="45">
        <v>3</v>
      </c>
      <c r="I194" s="46" t="str">
        <f>IF(AK178&gt;2,"v","")</f>
        <v>v</v>
      </c>
      <c r="J194" s="47">
        <v>5</v>
      </c>
      <c r="K194" s="45">
        <v>2</v>
      </c>
      <c r="L194" s="46" t="str">
        <f>IF(AK178&gt;3,"v","")</f>
        <v>v</v>
      </c>
      <c r="M194" s="47">
        <v>4</v>
      </c>
      <c r="N194" s="45">
        <v>1</v>
      </c>
      <c r="O194" s="46" t="str">
        <f>IF(AK178&gt;4,"v","")</f>
        <v>v</v>
      </c>
      <c r="P194" s="47">
        <v>3</v>
      </c>
      <c r="Q194" s="45">
        <v>4</v>
      </c>
      <c r="R194" s="46" t="str">
        <f>IF(AK178&gt;5,"v","")</f>
        <v>v</v>
      </c>
      <c r="S194" s="47">
        <v>5</v>
      </c>
      <c r="T194" s="45">
        <v>2</v>
      </c>
      <c r="U194" s="46" t="str">
        <f>IF(AK178&gt;6,"v","")</f>
        <v>v</v>
      </c>
      <c r="V194" s="47">
        <v>3</v>
      </c>
      <c r="W194" s="45">
        <v>1</v>
      </c>
      <c r="X194" s="46" t="str">
        <f>IF(AK178&gt;7,"v","")</f>
        <v>v</v>
      </c>
      <c r="Y194" s="47">
        <v>5</v>
      </c>
      <c r="Z194" s="45">
        <v>3</v>
      </c>
      <c r="AA194" s="46" t="str">
        <f>IF(AK178&gt;8,"v","")</f>
        <v>v</v>
      </c>
      <c r="AB194" s="47">
        <v>4</v>
      </c>
      <c r="AC194" s="45">
        <v>1</v>
      </c>
      <c r="AD194" s="46" t="str">
        <f>IF(AK178&gt;9,"v","")</f>
        <v>v</v>
      </c>
      <c r="AE194" s="47">
        <v>2</v>
      </c>
      <c r="AF194" s="42" t="str">
        <f>IF(AK179&gt;0,"Team 1","")</f>
        <v>Team 1</v>
      </c>
      <c r="AG194" s="48" t="str">
        <f>IF(AK179&lt;1,"",IF(AK178&lt;1,"",IF(B194=1,B200-D200,IF(D194=1,D200-B200,""))))</f>
        <v/>
      </c>
      <c r="AH194" s="48">
        <f>IF(AK179&lt;1,"",IF(AK178&lt;2,"",IF(E194=1,E200-G200,IF(G194=1,G200-E200,""))))</f>
        <v>-1</v>
      </c>
      <c r="AI194" s="48" t="str">
        <f>IF(AK179&lt;1,"",IF(AK178&lt;3,"",IF(H194=1,H200-J200,IF(J194=1,J200-H200,""))))</f>
        <v/>
      </c>
      <c r="AJ194" s="48" t="str">
        <f>IF(AK179&lt;1,"",IF(AK178&lt;4,"",IF(K194=1,K200-M200,IF(M194=1,M200-K200,""))))</f>
        <v/>
      </c>
      <c r="AK194" s="48">
        <f>IF(AK179&lt;1,"",IF(AK178&lt;5,"",IF(N194=1,N200-P200,IF(P194=1,P200-N200,""))))</f>
        <v>14</v>
      </c>
      <c r="AL194" s="48" t="str">
        <f>IF(AK179&lt;1,"",IF(AK178&lt;6,"",IF(Q194=1,Q200-S200,IF(S194=1,S200-Q200,""))))</f>
        <v/>
      </c>
      <c r="AM194" s="48" t="str">
        <f>IF(AK179&lt;1,"",IF(AK178&lt;7,"",IF(T194=1,T200-V200,IF(V194=1,V200-T200,""))))</f>
        <v/>
      </c>
      <c r="AN194" s="48">
        <f>IF(AK179&lt;1,"",IF(AK178&lt;8,"",IF(W194=1,W200-Y200,IF(Y194=1,Y200-W200,""))))</f>
        <v>-9</v>
      </c>
      <c r="AO194" s="48" t="str">
        <f>IF(AK179&lt;1,"",IF(AK178&lt;9,"",IF(Z194=1,Z200-AB200,IF(AB194=1,AB200-Z200,""))))</f>
        <v/>
      </c>
      <c r="AP194" s="48">
        <f>IF(AK179&lt;1,"",IF(AK178&lt;10,"",IF(AC194=1,AC200-AE200,IF(AE194=1,AE200-AC200,""))))</f>
        <v>21</v>
      </c>
      <c r="AQ194" s="44">
        <f>SUM(AG194:AP194)</f>
        <v>25</v>
      </c>
    </row>
    <row r="195" spans="1:49" ht="15" x14ac:dyDescent="0.2">
      <c r="A195" s="4" t="s">
        <v>52</v>
      </c>
      <c r="B195" s="49">
        <v>25</v>
      </c>
      <c r="C195" s="50" t="s">
        <v>53</v>
      </c>
      <c r="D195" s="51">
        <v>16</v>
      </c>
      <c r="E195" s="49">
        <v>25</v>
      </c>
      <c r="F195" s="50" t="str">
        <f>IF(AK178&gt;1,"/","")</f>
        <v>/</v>
      </c>
      <c r="G195" s="51">
        <v>23</v>
      </c>
      <c r="H195" s="49">
        <v>25</v>
      </c>
      <c r="I195" s="50" t="str">
        <f>IF(AK178&gt;2,"/","")</f>
        <v>/</v>
      </c>
      <c r="J195" s="51">
        <v>21</v>
      </c>
      <c r="K195" s="49">
        <v>26</v>
      </c>
      <c r="L195" s="50" t="str">
        <f>IF(AK178&gt;3,"/","")</f>
        <v>/</v>
      </c>
      <c r="M195" s="51">
        <v>24</v>
      </c>
      <c r="N195" s="49">
        <v>25</v>
      </c>
      <c r="O195" s="50" t="str">
        <f>IF(AK178&gt;4,"/","")</f>
        <v>/</v>
      </c>
      <c r="P195" s="51">
        <v>18</v>
      </c>
      <c r="Q195" s="49">
        <v>25</v>
      </c>
      <c r="R195" s="50" t="str">
        <f>IF(AK178&gt;5,"/","")</f>
        <v>/</v>
      </c>
      <c r="S195" s="51">
        <v>18</v>
      </c>
      <c r="T195" s="49">
        <v>25</v>
      </c>
      <c r="U195" s="50" t="str">
        <f>IF(AK178&gt;6,"/","")</f>
        <v>/</v>
      </c>
      <c r="V195" s="51">
        <v>16</v>
      </c>
      <c r="W195" s="49">
        <v>20</v>
      </c>
      <c r="X195" s="50" t="str">
        <f>IF(AK178&gt;7,"/","")</f>
        <v>/</v>
      </c>
      <c r="Y195" s="51">
        <v>25</v>
      </c>
      <c r="Z195" s="49">
        <v>22</v>
      </c>
      <c r="AA195" s="50" t="str">
        <f>IF(AK178&gt;8,"/","")</f>
        <v>/</v>
      </c>
      <c r="AB195" s="51">
        <v>25</v>
      </c>
      <c r="AC195" s="49">
        <v>25</v>
      </c>
      <c r="AD195" s="50" t="str">
        <f>IF(AK178&gt;9,"/","")</f>
        <v>/</v>
      </c>
      <c r="AE195" s="51">
        <v>8</v>
      </c>
      <c r="AF195" s="42" t="str">
        <f>IF(AK179&gt;1,"Team 2","")</f>
        <v>Team 2</v>
      </c>
      <c r="AG195" s="48">
        <f>IF(AK179&lt;2,"",IF(AK178&lt;1,"",IF(B194=2,B200-D200,IF(D194=2,D200-B200,""))))</f>
        <v>16</v>
      </c>
      <c r="AH195" s="48" t="str">
        <f>IF(AK179&lt;2,"",IF(AK178&lt;2,"",IF(E194=2,E200-G200,IF(G194=2,G200-E200,""))))</f>
        <v/>
      </c>
      <c r="AI195" s="48" t="str">
        <f>IF(AK179&lt;2,"",IF(AK178&lt;3,"",IF(H194=2,H200-J200,IF(J194=2,J200-H200,""))))</f>
        <v/>
      </c>
      <c r="AJ195" s="48">
        <f>IF(AK179&lt;2,"",IF(AK178&lt;4,"",IF(K194=2,K200-M200,IF(M194=2,M200-K200,""))))</f>
        <v>7</v>
      </c>
      <c r="AK195" s="48" t="str">
        <f>IF(AK179&lt;2,"",IF(AK178&lt;5,"",IF(N194=2,N200-P200,IF(P194=2,P200-N200,""))))</f>
        <v/>
      </c>
      <c r="AL195" s="48" t="str">
        <f>IF(AK179&lt;2,"",IF(AK178&lt;6,"",IF(Q194=2,Q200-S200,IF(S194=2,S200-Q200,""))))</f>
        <v/>
      </c>
      <c r="AM195" s="48">
        <f>IF(AK179&lt;2,"",IF(AK178&lt;7,"",IF(T194=2,T200-V200,IF(V194=2,V200-T200,""))))</f>
        <v>16</v>
      </c>
      <c r="AN195" s="48" t="str">
        <f>IF(AK179&lt;2,"",IF(AK178&lt;8,"",IF(W194=2,W200-Y200,IF(Y194=2,Y200-W200,""))))</f>
        <v/>
      </c>
      <c r="AO195" s="48" t="str">
        <f>IF(AK179&lt;2,"",IF(AK178&lt;9,"",IF(Z194=2,Z200-AB200,IF(AB194=2,AB200-Z200,""))))</f>
        <v/>
      </c>
      <c r="AP195" s="48">
        <f>IF(AK179&lt;2,"",IF(AK178&lt;10,"",IF(AC194=2,AC200-AE200,IF(AE194=2,AE200-AC200,""))))</f>
        <v>-21</v>
      </c>
      <c r="AQ195" s="44">
        <f>SUM(AG195:AP195)</f>
        <v>18</v>
      </c>
    </row>
    <row r="196" spans="1:49" ht="15" x14ac:dyDescent="0.2">
      <c r="A196" s="3" t="str">
        <f>IF(AK177&gt;1,"Game 2","")</f>
        <v>Game 2</v>
      </c>
      <c r="B196" s="49">
        <v>25</v>
      </c>
      <c r="C196" s="50" t="s">
        <v>53</v>
      </c>
      <c r="D196" s="51">
        <v>18</v>
      </c>
      <c r="E196" s="49">
        <v>22</v>
      </c>
      <c r="F196" s="50" t="str">
        <f>IF(AK178&gt;1,IF(AK177&gt;1,"/",""),"")</f>
        <v>/</v>
      </c>
      <c r="G196" s="51">
        <v>25</v>
      </c>
      <c r="H196" s="49">
        <v>25</v>
      </c>
      <c r="I196" s="50" t="str">
        <f>IF(AK178&gt;2,IF(AK177&gt;1,"/",""),"")</f>
        <v>/</v>
      </c>
      <c r="J196" s="51">
        <v>22</v>
      </c>
      <c r="K196" s="49">
        <v>25</v>
      </c>
      <c r="L196" s="50" t="str">
        <f>IF(AK178&gt;3,IF(AK177&gt;1,"/",""),"")</f>
        <v>/</v>
      </c>
      <c r="M196" s="51">
        <v>20</v>
      </c>
      <c r="N196" s="49">
        <v>25</v>
      </c>
      <c r="O196" s="50" t="str">
        <f>IF(AK178&gt;4,IF(AK177&gt;1,"/",""),"")</f>
        <v>/</v>
      </c>
      <c r="P196" s="51">
        <v>18</v>
      </c>
      <c r="Q196" s="49">
        <v>25</v>
      </c>
      <c r="R196" s="50" t="str">
        <f>IF(AK178&gt;5,IF(AK177&gt;1,"/",""),"")</f>
        <v>/</v>
      </c>
      <c r="S196" s="51">
        <v>22</v>
      </c>
      <c r="T196" s="49">
        <v>25</v>
      </c>
      <c r="U196" s="50" t="str">
        <f>IF(AK178&gt;6,IF(AK177&gt;1,"/",""),"")</f>
        <v>/</v>
      </c>
      <c r="V196" s="51">
        <v>18</v>
      </c>
      <c r="W196" s="49">
        <v>21</v>
      </c>
      <c r="X196" s="50" t="str">
        <f>IF(AK178&gt;7,IF(AK177&gt;1,"/",""),"")</f>
        <v>/</v>
      </c>
      <c r="Y196" s="51">
        <v>25</v>
      </c>
      <c r="Z196" s="49">
        <v>23</v>
      </c>
      <c r="AA196" s="50" t="str">
        <f>IF(AK178&gt;8,IF(AK177&gt;1,"/",""),"")</f>
        <v>/</v>
      </c>
      <c r="AB196" s="51">
        <v>25</v>
      </c>
      <c r="AC196" s="49">
        <v>25</v>
      </c>
      <c r="AD196" s="50" t="str">
        <f>IF(AK178&gt;9,IF(AK177&gt;1,"/",""),"")</f>
        <v>/</v>
      </c>
      <c r="AE196" s="51">
        <v>21</v>
      </c>
      <c r="AF196" s="42" t="str">
        <f>IF(AK179&gt;2,"Team 3","")</f>
        <v>Team 3</v>
      </c>
      <c r="AG196" s="48" t="str">
        <f>IF(AK179&lt;3,"",IF(AK178&lt;1,"",IF(B194=3,B200-D200,IF(D194=3,D200-B200,""))))</f>
        <v/>
      </c>
      <c r="AH196" s="48" t="str">
        <f>IF(AK179&lt;3,"",IF(AK178&lt;2,"",IF(E194=3,E200-G200,IF(G194=3,G200-E200,""))))</f>
        <v/>
      </c>
      <c r="AI196" s="48">
        <f>IF(AK179&lt;3,"",IF(AK178&lt;3,"",IF(H194=3,H200-J200,IF(J194=3,J200-H200,""))))</f>
        <v>7</v>
      </c>
      <c r="AJ196" s="48" t="str">
        <f>IF(AK179&lt;3,"",IF(AK178&lt;4,"",IF(K194=3,K200-M200,IF(M194=3,M200-K200,""))))</f>
        <v/>
      </c>
      <c r="AK196" s="48">
        <f>IF(AK179&lt;3,"",IF(AK178&lt;5,"",IF(N194=3,N200-P200,IF(P194=3,P200-N200,""))))</f>
        <v>-14</v>
      </c>
      <c r="AL196" s="48" t="str">
        <f>IF(AK179&lt;3,"",IF(AK178&lt;6,"",IF(Q194=3,Q200-S200,IF(S194=3,S200-Q200,""))))</f>
        <v/>
      </c>
      <c r="AM196" s="48">
        <f>IF(AK179&lt;3,"",IF(AK178&lt;7,"",IF(T194=3,T200-V200,IF(V194=3,V200-T200,""))))</f>
        <v>-16</v>
      </c>
      <c r="AN196" s="48" t="str">
        <f>IF(AK179&lt;3,"",IF(AK178&lt;8,"",IF(W194=3,W200-Y200,IF(Y194=3,Y200-W200,""))))</f>
        <v/>
      </c>
      <c r="AO196" s="48">
        <f>IF(AK179&lt;3,"",IF(AK178&lt;9,"",IF(Z194=3,Z200-AB200,IF(AB194=3,AB200-Z200,""))))</f>
        <v>-5</v>
      </c>
      <c r="AP196" s="48" t="str">
        <f>IF(AK179&lt;3,"",IF(AK178&lt;9,"",IF(AC194=3,AC200-AE200,IF(AE194=3,AE200-AC200,""))))</f>
        <v/>
      </c>
      <c r="AQ196" s="44">
        <f>SUM(AG196:AP196)</f>
        <v>-28</v>
      </c>
    </row>
    <row r="197" spans="1:49" ht="15" x14ac:dyDescent="0.2">
      <c r="A197" s="3" t="str">
        <f>IF(AK177&gt;2,"Game 3","")</f>
        <v/>
      </c>
      <c r="B197" s="49"/>
      <c r="C197" s="50" t="s">
        <v>53</v>
      </c>
      <c r="D197" s="51"/>
      <c r="E197" s="49"/>
      <c r="F197" s="50" t="str">
        <f>IF(AK178&gt;1,IF(AK177&gt;2,"/",""),"")</f>
        <v/>
      </c>
      <c r="G197" s="51"/>
      <c r="H197" s="49"/>
      <c r="I197" s="50" t="str">
        <f>IF(AK178&gt;2,IF(AK177&gt;2,"/",""),"")</f>
        <v/>
      </c>
      <c r="J197" s="51"/>
      <c r="K197" s="49"/>
      <c r="L197" s="50" t="str">
        <f>IF(AK178&gt;3,IF(AK177&gt;2,"/",""),"")</f>
        <v/>
      </c>
      <c r="M197" s="51"/>
      <c r="N197" s="49"/>
      <c r="O197" s="50" t="str">
        <f>IF(AK178&gt;4,IF(AK177&gt;2,"/",""),"")</f>
        <v/>
      </c>
      <c r="P197" s="51"/>
      <c r="Q197" s="49"/>
      <c r="R197" s="50" t="str">
        <f>IF(AK178&gt;5,IF(AK177&gt;2,"/",""),"")</f>
        <v/>
      </c>
      <c r="S197" s="51"/>
      <c r="T197" s="49"/>
      <c r="U197" s="50" t="str">
        <f>IF(AK178&gt;6,IF(AK177&gt;2,"/",""),"")</f>
        <v/>
      </c>
      <c r="V197" s="51"/>
      <c r="W197" s="49"/>
      <c r="X197" s="50" t="str">
        <f>IF(AK178&gt;7,IF(AK177&gt;2,"/",""),"")</f>
        <v/>
      </c>
      <c r="Y197" s="51"/>
      <c r="Z197" s="49"/>
      <c r="AA197" s="50" t="str">
        <f>IF(AK178&gt;8,IF(AK177&gt;2,"/",""),"")</f>
        <v/>
      </c>
      <c r="AB197" s="51"/>
      <c r="AC197" s="49"/>
      <c r="AD197" s="50" t="str">
        <f>IF(AK178&gt;9,IF(AK177&gt;2,"/",""),"")</f>
        <v/>
      </c>
      <c r="AE197" s="51"/>
      <c r="AF197" s="42" t="str">
        <f>IF(AK179&gt;3,"Team 4","")</f>
        <v>Team 4</v>
      </c>
      <c r="AG197" s="48" t="str">
        <f>IF(AK179&lt;4,"",IF(AK178&lt;1,"",IF(B194=4,B200-D200,IF(D194=4,D200-B200,""))))</f>
        <v/>
      </c>
      <c r="AH197" s="48">
        <f>IF(AK179&lt;4,"",IF(AK178&lt;2,"",IF(E194=4,E200-G200,IF(G194=4,G200-E200,""))))</f>
        <v>1</v>
      </c>
      <c r="AI197" s="48" t="str">
        <f>IF(AK179&lt;4,"",IF(AK178&lt;3,"",IF(H194=4,H200-J200,IF(J194=4,J200-H200,""))))</f>
        <v/>
      </c>
      <c r="AJ197" s="48">
        <f>IF(AK179&lt;4,"",IF(AK178&lt;4,"",IF(K194=4,K200-M200,IF(M194=4,M200-K200,""))))</f>
        <v>-7</v>
      </c>
      <c r="AK197" s="48" t="str">
        <f>IF(AK179&lt;4,"",IF(AK178&lt;5,"",IF(N194=4,N200-P200,IF(P194=4,P200-N200,""))))</f>
        <v/>
      </c>
      <c r="AL197" s="48">
        <f>IF(AK179&lt;4,"",IF(AK178&lt;6,"",IF(Q194=4,Q200-S200,IF(S194=4,S200-Q200,""))))</f>
        <v>10</v>
      </c>
      <c r="AM197" s="48" t="str">
        <f>IF(AK179&lt;4,"",IF(AK178&lt;7,"",IF(T194=4,T200-V200,IF(V194=4,V200-T200,""))))</f>
        <v/>
      </c>
      <c r="AN197" s="48" t="str">
        <f>IF(AK179&lt;4,"",IF(AK178&lt;8,"",IF(W194=4,W200-Y200,IF(Y194=4,Y200-W200,""))))</f>
        <v/>
      </c>
      <c r="AO197" s="48">
        <f>IF(AK179&lt;4,"",IF(AK178&lt;9,"",IF(Z194=4,Z200-AB200,IF(AB194=4,AB200-Z200,""))))</f>
        <v>5</v>
      </c>
      <c r="AP197" s="48" t="str">
        <f>IF(AK179&lt;4,"",IF(AK178&lt;10,"",IF(AC194=4,AC200-AE200,IF(AE194=4,AE200-AC200,""))))</f>
        <v/>
      </c>
      <c r="AQ197" s="44">
        <f>SUM(AG197:AP197)</f>
        <v>9</v>
      </c>
    </row>
    <row r="198" spans="1:49" ht="15" x14ac:dyDescent="0.2">
      <c r="A198" s="3" t="str">
        <f>IF(AK177&gt;3,"Game 4","")</f>
        <v/>
      </c>
      <c r="B198" s="49"/>
      <c r="C198" s="50" t="s">
        <v>53</v>
      </c>
      <c r="D198" s="51"/>
      <c r="E198" s="49"/>
      <c r="F198" s="50" t="str">
        <f>IF(AK178&gt;1,IF(AK177&gt;3,"/",""),"")</f>
        <v/>
      </c>
      <c r="G198" s="51"/>
      <c r="H198" s="49"/>
      <c r="I198" s="50" t="str">
        <f>IF(AK178&gt;2,IF(AK177&gt;3,"/",""),"")</f>
        <v/>
      </c>
      <c r="J198" s="51"/>
      <c r="K198" s="49"/>
      <c r="L198" s="50" t="str">
        <f>IF(AK178&gt;3,IF(AK177&gt;3,"/",""),"")</f>
        <v/>
      </c>
      <c r="M198" s="51"/>
      <c r="N198" s="49"/>
      <c r="O198" s="50" t="str">
        <f>IF(AK178&gt;4,IF(AK177&gt;3,"/",""),"")</f>
        <v/>
      </c>
      <c r="P198" s="51"/>
      <c r="Q198" s="49"/>
      <c r="R198" s="50" t="str">
        <f>IF(AK178&gt;5,IF(AK177&gt;3,"/",""),"")</f>
        <v/>
      </c>
      <c r="S198" s="51"/>
      <c r="T198" s="49"/>
      <c r="U198" s="50" t="str">
        <f>IF(AK178&gt;6,IF(AK177&gt;3,"/",""),"")</f>
        <v/>
      </c>
      <c r="V198" s="51"/>
      <c r="W198" s="49"/>
      <c r="X198" s="50" t="str">
        <f>IF(AK178&gt;7,IF(AK177&gt;3,"/",""),"")</f>
        <v/>
      </c>
      <c r="Y198" s="51"/>
      <c r="Z198" s="49"/>
      <c r="AA198" s="50" t="str">
        <f>IF(AK178&gt;8,IF(AK177&gt;3,"/",""),"")</f>
        <v/>
      </c>
      <c r="AB198" s="51"/>
      <c r="AC198" s="49"/>
      <c r="AD198" s="50" t="str">
        <f>IF(AK178&gt;9,IF(AK177&gt;3,"/",""),"")</f>
        <v/>
      </c>
      <c r="AE198" s="51"/>
      <c r="AF198" s="42" t="str">
        <f>IF(AK179&gt;4,"Team 5","")</f>
        <v>Team 5</v>
      </c>
      <c r="AG198" s="52">
        <f>IF(AK179&lt;5,"",IF(AK178&lt;1,"",IF(B194=5,B200-D200,IF(D194=5,D200-B200,""))))</f>
        <v>-16</v>
      </c>
      <c r="AH198" s="48" t="str">
        <f>IF(AK179&lt;5,"",IF(AK178&lt;2,"",IF(E194=5,E200-G200,IF(G194=5,G200-E200,""))))</f>
        <v/>
      </c>
      <c r="AI198" s="48">
        <f>IF(AK179&lt;5,"",IF(AK178&lt;3,"",IF(H194=5,H200-J200,IF(J194=5,J200-H200,""))))</f>
        <v>-7</v>
      </c>
      <c r="AJ198" s="48" t="str">
        <f>IF(AK179&lt;5,"",IF(AK178&lt;4,"",IF(K194=5,K200-M200,IF(M194=5,M200-K200,""))))</f>
        <v/>
      </c>
      <c r="AK198" s="48" t="str">
        <f>IF(AK179&lt;5,"",IF(AK178&lt;5,"",IF(N194=5,N200-P200,IF(P194=5,P200-N200,""))))</f>
        <v/>
      </c>
      <c r="AL198" s="48">
        <f>IF(AK179&lt;5,"",IF(AK178&lt;6,"",IF(Q194=5,Q200-S200,IF(S194=5,S200-Q200,""))))</f>
        <v>-10</v>
      </c>
      <c r="AM198" s="48" t="str">
        <f>IF(AK179&lt;5,"",IF(AK178&lt;7,"",IF(T194=5,T200-V200,IF(V194=5,V200-T200,""))))</f>
        <v/>
      </c>
      <c r="AN198" s="48">
        <f>IF(AK179&lt;5,"",IF(AK178&lt;8,"",IF(W194=5,W200-Y200,IF(Y194=5,Y200-W200,""))))</f>
        <v>9</v>
      </c>
      <c r="AO198" s="48" t="str">
        <f>IF(AK179&lt;5,"",IF(AK178&lt;9,"",IF(Z194=5,Z200-AB200,IF(AB194=5,AB200-Z200,""))))</f>
        <v/>
      </c>
      <c r="AP198" s="48" t="str">
        <f>IF(AK179&lt;5,"",IF(AK178&lt;10,"",IF(AC194=5,AC200-AE200,IF(AE194=5,AE200-AC200,""))))</f>
        <v/>
      </c>
      <c r="AQ198" s="44">
        <f>SUM(AG198:AP198)</f>
        <v>-24</v>
      </c>
    </row>
    <row r="199" spans="1:49" ht="15" x14ac:dyDescent="0.2">
      <c r="A199" s="3" t="str">
        <f>IF(AK177&gt;4,"Game 5","")</f>
        <v/>
      </c>
      <c r="B199" s="49"/>
      <c r="C199" s="50" t="s">
        <v>53</v>
      </c>
      <c r="D199" s="51"/>
      <c r="E199" s="49"/>
      <c r="F199" s="50" t="str">
        <f>IF(AK178&gt;1,IF(AK177&gt;4,"/",""),"")</f>
        <v/>
      </c>
      <c r="G199" s="51"/>
      <c r="H199" s="49"/>
      <c r="I199" s="50" t="str">
        <f>IF(AK178&gt;2,IF(AK177&gt;4,"/",""),"")</f>
        <v/>
      </c>
      <c r="J199" s="51"/>
      <c r="K199" s="49"/>
      <c r="L199" s="50" t="str">
        <f>IF(AK178&gt;3,IF(AK177&gt;4,"/",""),"")</f>
        <v/>
      </c>
      <c r="M199" s="51"/>
      <c r="N199" s="49"/>
      <c r="O199" s="50" t="str">
        <f>IF(AK178&gt;4,IF(AK177&gt;4,"/",""),"")</f>
        <v/>
      </c>
      <c r="P199" s="51"/>
      <c r="Q199" s="49"/>
      <c r="R199" s="50" t="str">
        <f>IF(AK178&gt;5,IF(AK177&gt;4,"/",""),"")</f>
        <v/>
      </c>
      <c r="S199" s="51"/>
      <c r="T199" s="49"/>
      <c r="U199" s="50" t="str">
        <f>IF(AK178&gt;6,IF(AK177&gt;4,"/",""),"")</f>
        <v/>
      </c>
      <c r="V199" s="51"/>
      <c r="W199" s="49"/>
      <c r="X199" s="50" t="str">
        <f>IF(AK178&gt;7,IF(AK177&gt;4,"/",""),"")</f>
        <v/>
      </c>
      <c r="Y199" s="51"/>
      <c r="Z199" s="49"/>
      <c r="AA199" s="50" t="str">
        <f>IF(AK178&gt;8,IF(AK177&gt;4,"/",""),"")</f>
        <v/>
      </c>
      <c r="AB199" s="51"/>
      <c r="AC199" s="49"/>
      <c r="AD199" s="50" t="str">
        <f>IF(AK178&gt;9,IF(AK177&gt;4,"/",""),"")</f>
        <v/>
      </c>
      <c r="AE199" s="5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</row>
    <row r="200" spans="1:49" hidden="1" x14ac:dyDescent="0.2">
      <c r="A200" s="53"/>
      <c r="B200" s="53">
        <f>IF($AK177=5,SUM(B195:B199),IF($AK177=4,SUM(B195:B198),IF($AK177=3,SUM(B195:B197),IF($AK177=2,SUM(B195:B196),B195))))</f>
        <v>50</v>
      </c>
      <c r="C200" s="53"/>
      <c r="D200" s="53">
        <f>IF($AK177=5,SUM(D195:D199),IF($AK177=4,SUM(D195:D198),IF($AK177=3,SUM(D195:D197),IF($AK177=2,SUM(D195:D196),D195))))</f>
        <v>34</v>
      </c>
      <c r="E200" s="53">
        <f>IF($AK177=5,SUM(E195:E199),IF($AK177=4,SUM(E195:E198),IF($AK177=3,SUM(E195:E197),IF($AK177=2,SUM(E195:E196),E195))))</f>
        <v>47</v>
      </c>
      <c r="F200" s="53"/>
      <c r="G200" s="53">
        <f>IF($AK177=5,SUM(G195:G199),IF($AK177=4,SUM(G195:G198),IF($AK177=3,SUM(G195:G197),IF($AK177=2,SUM(G195:G196),G195))))</f>
        <v>48</v>
      </c>
      <c r="H200" s="53">
        <f>IF($AK177=5,SUM(H195:H199),IF($AK177=4,SUM(H195:H198),IF($AK177=3,SUM(H195:H197),IF($AK177=2,SUM(H195:H196),H195))))</f>
        <v>50</v>
      </c>
      <c r="I200" s="53"/>
      <c r="J200" s="53">
        <f>IF($AK177=5,SUM(J195:J199),IF($AK177=4,SUM(J195:J198),IF($AK177=3,SUM(J195:J197),IF($AK177=2,SUM(J195:J196),J195))))</f>
        <v>43</v>
      </c>
      <c r="K200" s="53">
        <f>IF($AK177=5,SUM(K195:K199),IF($AK177=4,SUM(K195:K198),IF($AK177=3,SUM(K195:K197),IF($AK177=2,SUM(K195:K196),K195))))</f>
        <v>51</v>
      </c>
      <c r="L200" s="53"/>
      <c r="M200" s="53">
        <f>IF($AK177=5,SUM(M195:M199),IF($AK177=4,SUM(M195:M198),IF($AK177=3,SUM(M195:M197),IF($AK177=2,SUM(M195:M196),M195))))</f>
        <v>44</v>
      </c>
      <c r="N200" s="53">
        <f>IF($AK177=5,SUM(N195:N199),IF($AK177=4,SUM(N195:N198),IF($AK177=3,SUM(N195:N197),IF($AK177=2,SUM(N195:N196),N195))))</f>
        <v>50</v>
      </c>
      <c r="O200" s="53"/>
      <c r="P200" s="53">
        <f>IF($AK177=5,SUM(P195:P199),IF($AK177=4,SUM(P195:P198),IF($AK177=3,SUM(P195:P197),IF($AK177=2,SUM(P195:P196),P195))))</f>
        <v>36</v>
      </c>
      <c r="Q200" s="53">
        <f>IF($AK177=5,SUM(Q195:Q199),IF($AK177=4,SUM(Q195:Q198),IF($AK177=3,SUM(Q195:Q197),IF($AK177=2,SUM(Q195:Q196),Q195))))</f>
        <v>50</v>
      </c>
      <c r="R200" s="53"/>
      <c r="S200" s="53">
        <f>IF($AK177=5,SUM(S195:S199),IF($AK177=4,SUM(S195:S198),IF($AK177=3,SUM(S195:S197),IF($AK177=2,SUM(S195:S196),S195))))</f>
        <v>40</v>
      </c>
      <c r="T200" s="53">
        <f>IF($AK177=5,SUM(T195:T199),IF($AK177=4,SUM(T195:T198),IF($AK177=3,SUM(T195:T197),IF($AK177=2,SUM(T195:T196),T195))))</f>
        <v>50</v>
      </c>
      <c r="U200" s="53"/>
      <c r="V200" s="53">
        <f>IF($AK177=5,SUM(V195:V199),IF($AK177=4,SUM(V195:V198),IF($AK177=3,SUM(V195:V197),IF($AK177=2,SUM(V195:V196),V195))))</f>
        <v>34</v>
      </c>
      <c r="W200" s="53">
        <f>IF($AK177=5,SUM(W195:W199),IF($AK177=4,SUM(W195:W198),IF($AK177=3,SUM(W195:W197),IF($AK177=2,SUM(W195:W196),W195))))</f>
        <v>41</v>
      </c>
      <c r="X200" s="53"/>
      <c r="Y200" s="53">
        <f>IF($AK177=5,SUM(Y195:Y199),IF($AK177=4,SUM(Y195:Y198),IF($AK177=3,SUM(Y195:Y197),IF($AK177=2,SUM(Y195:Y196),Y195))))</f>
        <v>50</v>
      </c>
      <c r="Z200" s="53">
        <f>IF($AK177=5,SUM(Z195:Z199),IF($AK177=4,SUM(Z195:Z198),IF($AK177=3,SUM(Z195:Z197),IF($AK177=2,SUM(Z195:Z196),Z195))))</f>
        <v>45</v>
      </c>
      <c r="AA200" s="53"/>
      <c r="AB200" s="53">
        <f>IF($AK177=5,SUM(AB195:AB199),IF($AK177=4,SUM(AB195:AB198),IF($AK177=3,SUM(AB195:AB197),IF($AK177=2,SUM(AB195:AB196),AB195))))</f>
        <v>50</v>
      </c>
      <c r="AC200" s="53">
        <f>IF($AK177=5,SUM(AC195:AC199),IF($AK177=4,SUM(AC195:AC198),IF($AK177=3,SUM(AC195:AC197),IF($AK177=2,SUM(AC195:AC196),AC195))))</f>
        <v>50</v>
      </c>
      <c r="AD200" s="53"/>
      <c r="AE200" s="53">
        <f>IF($AK177=5,SUM(AE195:AE199),IF($AK177=4,SUM(AE195:AE198),IF($AK177=3,SUM(AE195:AE197),IF($AK177=2,SUM(AE195:AE196),AE195))))</f>
        <v>29</v>
      </c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</row>
    <row r="201" spans="1:49" s="54" customFormat="1" ht="12.75" hidden="1" customHeight="1" x14ac:dyDescent="0.2">
      <c r="A201" s="54" t="s">
        <v>54</v>
      </c>
      <c r="B201" s="55">
        <f>IF(AND(B195&gt;D195,$AK178&gt;0,ISNUMBER(B195),ISNUMBER(D195)),1,0)</f>
        <v>1</v>
      </c>
      <c r="C201" s="55"/>
      <c r="D201" s="56">
        <f>IF(AND(D195&gt;B195,$AK178&gt;0,ISNUMBER(B195),ISNUMBER(D195)),1,0)</f>
        <v>0</v>
      </c>
      <c r="E201" s="55">
        <f>IF(AND(E195&gt;G195,$AK178&gt;1,ISNUMBER(E195),ISNUMBER(G195)),1,0)</f>
        <v>1</v>
      </c>
      <c r="F201" s="55"/>
      <c r="G201" s="56">
        <f>IF(AND(G195&gt;E195,$AK178&gt;1,ISNUMBER(E195),ISNUMBER(G195)),1,0)</f>
        <v>0</v>
      </c>
      <c r="H201" s="55">
        <f>IF(AND(H195&gt;J195,$AK178&gt;2,ISNUMBER(H195),ISNUMBER(J195)),1,0)</f>
        <v>1</v>
      </c>
      <c r="I201" s="55"/>
      <c r="J201" s="56">
        <f>IF(AND(J195&gt;H195,$AK178&gt;2,ISNUMBER(H195),ISNUMBER(J195)),1,0)</f>
        <v>0</v>
      </c>
      <c r="K201" s="55">
        <f>IF(AND(K195&gt;M195,$AK178&gt;3,ISNUMBER(K195),ISNUMBER(M195)),1,0)</f>
        <v>1</v>
      </c>
      <c r="L201" s="55"/>
      <c r="M201" s="56">
        <f>IF(AND(M195&gt;K195,$AK178&gt;3,ISNUMBER(K195),ISNUMBER(M195)),1,0)</f>
        <v>0</v>
      </c>
      <c r="N201" s="55">
        <f>IF(AND(N195&gt;P195,$AK178&gt;4,ISNUMBER(N195),ISNUMBER(P195)),1,0)</f>
        <v>1</v>
      </c>
      <c r="O201" s="55"/>
      <c r="P201" s="56">
        <f>IF(AND(P195&gt;N195,$AK178&gt;4,ISNUMBER(N195),ISNUMBER(P195)),1,0)</f>
        <v>0</v>
      </c>
      <c r="Q201" s="55">
        <f>IF(AND(Q195&gt;S195,$AK178&gt;5,ISNUMBER(Q195),ISNUMBER(S195)),1,0)</f>
        <v>1</v>
      </c>
      <c r="R201" s="55"/>
      <c r="S201" s="56">
        <f>IF(AND(S195&gt;Q195,$AK178&gt;5,ISNUMBER(Q195),ISNUMBER(S195)),1,0)</f>
        <v>0</v>
      </c>
      <c r="T201" s="55">
        <f>IF(AND(T195&gt;V195,$AK178&gt;6,ISNUMBER(T195),ISNUMBER(V195)),1,0)</f>
        <v>1</v>
      </c>
      <c r="U201" s="55"/>
      <c r="V201" s="56">
        <f>IF(AND(V195&gt;T195,$AK178&gt;6,ISNUMBER(T195),ISNUMBER(V195)),1,0)</f>
        <v>0</v>
      </c>
      <c r="W201" s="55">
        <f>IF(AND(W195&gt;Y195,$AK178&gt;7,ISNUMBER(W195),ISNUMBER(Y195)),1,0)</f>
        <v>0</v>
      </c>
      <c r="X201" s="55"/>
      <c r="Y201" s="56">
        <f>IF(AND(Y195&gt;W195,$AK178&gt;7,ISNUMBER(W195),ISNUMBER(Y195)),1,0)</f>
        <v>1</v>
      </c>
      <c r="Z201" s="55">
        <f>IF(AND(Z195&gt;AB195,$AK178&gt;8,ISNUMBER(Z195),ISNUMBER(AB195)),1,0)</f>
        <v>0</v>
      </c>
      <c r="AA201" s="55"/>
      <c r="AB201" s="56">
        <f>IF(AND(AB195&gt;Z195,$AK178&gt;8,ISNUMBER(Z195),ISNUMBER(AB195)),1,0)</f>
        <v>1</v>
      </c>
      <c r="AC201" s="55">
        <f>IF(AND(AC195&gt;AE195,$AK178&gt;9,ISNUMBER(AC195),ISNUMBER(AE195)),1,0)</f>
        <v>1</v>
      </c>
      <c r="AD201" s="55"/>
      <c r="AE201" s="56">
        <f>IF(AND(AE195&gt;AC195,$AK178&gt;9,ISNUMBER(AC195),ISNUMBER(AE195)),1,0)</f>
        <v>0</v>
      </c>
      <c r="AW201" s="146"/>
    </row>
    <row r="202" spans="1:49" s="54" customFormat="1" ht="12.75" hidden="1" customHeight="1" x14ac:dyDescent="0.2">
      <c r="A202" s="54" t="s">
        <v>55</v>
      </c>
      <c r="B202" s="55">
        <f>IF(AND(B196&gt;D196,$AK178&gt;0,$AK177&gt;1,ISNUMBER(B196),ISNUMBER(D196)),1,0)</f>
        <v>1</v>
      </c>
      <c r="C202" s="55"/>
      <c r="D202" s="56">
        <f>IF(AND(D196&gt;B196,$AK178&gt;0,$AK177&gt;1,ISNUMBER(B196),ISNUMBER(D196)),1,0)</f>
        <v>0</v>
      </c>
      <c r="E202" s="55">
        <f>IF(AND(E196&gt;G196,$AK178&gt;1,$AK177&gt;1,ISNUMBER(E196),ISNUMBER(G196)),1,0)</f>
        <v>0</v>
      </c>
      <c r="F202" s="55"/>
      <c r="G202" s="56">
        <f>IF(AND(G196&gt;E196,$AK178&gt;1,$AK177&gt;1,ISNUMBER(E196),ISNUMBER(G196)),1,0)</f>
        <v>1</v>
      </c>
      <c r="H202" s="55">
        <f>IF(AND(H196&gt;J196,$AK178&gt;2,$AK177&gt;1,ISNUMBER(H196),ISNUMBER(J196)),1,0)</f>
        <v>1</v>
      </c>
      <c r="I202" s="55"/>
      <c r="J202" s="56">
        <f>IF(AND(J196&gt;H196,$AK178&gt;2,$AK177&gt;1,ISNUMBER(H196),ISNUMBER(J196)),1,0)</f>
        <v>0</v>
      </c>
      <c r="K202" s="55">
        <f>IF(AND(K196&gt;M196,$AK178&gt;3,$AK177&gt;1,ISNUMBER(K196),ISNUMBER(M196)),1,0)</f>
        <v>1</v>
      </c>
      <c r="L202" s="55"/>
      <c r="M202" s="56">
        <f>IF(AND(M196&gt;K196,$AK178&gt;3,$AK177&gt;1,ISNUMBER(K196),ISNUMBER(M196)),1,0)</f>
        <v>0</v>
      </c>
      <c r="N202" s="55">
        <f>IF(AND(N196&gt;P196,$AK178&gt;4,$AK177&gt;1,ISNUMBER(N196),ISNUMBER(P196)),1,0)</f>
        <v>1</v>
      </c>
      <c r="O202" s="55"/>
      <c r="P202" s="56">
        <f>IF(AND(P196&gt;N196,$AK178&gt;4,$AK177&gt;1,ISNUMBER(N196),ISNUMBER(P196)),1,0)</f>
        <v>0</v>
      </c>
      <c r="Q202" s="55">
        <f>IF(AND(Q196&gt;S196,$AK178&gt;5,$AK177&gt;1,ISNUMBER(Q196),ISNUMBER(S196)),1,0)</f>
        <v>1</v>
      </c>
      <c r="R202" s="55"/>
      <c r="S202" s="56">
        <f>IF(AND(S196&gt;Q196,$AK178&gt;5,$AK177&gt;1,ISNUMBER(Q196),ISNUMBER(S196)),1,0)</f>
        <v>0</v>
      </c>
      <c r="T202" s="55">
        <f>IF(AND(T196&gt;V196,$AK178&gt;6,$AK177&gt;1,ISNUMBER(T196),ISNUMBER(V196)),1,0)</f>
        <v>1</v>
      </c>
      <c r="U202" s="55"/>
      <c r="V202" s="56">
        <f>IF(AND(V196&gt;T196,$AK178&gt;6,$AK177&gt;1,ISNUMBER(T196),ISNUMBER(V196)),1,0)</f>
        <v>0</v>
      </c>
      <c r="W202" s="55">
        <f>IF(AND(W196&gt;Y196,$AK178&gt;7,$AK177&gt;1,ISNUMBER(W196),ISNUMBER(Y196)),1,0)</f>
        <v>0</v>
      </c>
      <c r="X202" s="55"/>
      <c r="Y202" s="56">
        <f>IF(AND(Y196&gt;W196,$AK178&gt;7,$AK177&gt;1,ISNUMBER(W196),ISNUMBER(Y196)),1,0)</f>
        <v>1</v>
      </c>
      <c r="Z202" s="55">
        <f>IF(AND(Z196&gt;AB196,$AK178&gt;8,$AK177&gt;1,ISNUMBER(Z196),ISNUMBER(AB196)),1,0)</f>
        <v>0</v>
      </c>
      <c r="AA202" s="55"/>
      <c r="AB202" s="56">
        <f>IF(AND(AB196&gt;Z196,$AK178&gt;8,$AK177&gt;1,ISNUMBER(Z196),ISNUMBER(AB196)),1,0)</f>
        <v>1</v>
      </c>
      <c r="AC202" s="55">
        <f>IF(AND(AC196&gt;AE196,$AK178&gt;9,$AK177&gt;1,ISNUMBER(AC196),ISNUMBER(AE196)),1,0)</f>
        <v>1</v>
      </c>
      <c r="AD202" s="55"/>
      <c r="AE202" s="56">
        <f>IF(AND(AE196&gt;AC196,$AK178&gt;9,$AK177&gt;1,ISNUMBER(AC196),ISNUMBER(AE196)),1,0)</f>
        <v>0</v>
      </c>
      <c r="AW202" s="146"/>
    </row>
    <row r="203" spans="1:49" s="54" customFormat="1" ht="12.75" hidden="1" customHeight="1" x14ac:dyDescent="0.2">
      <c r="A203" s="54" t="s">
        <v>56</v>
      </c>
      <c r="B203" s="55">
        <f>IF(AND(B197&gt;D197,$AK178&gt;0,$AK177&gt;2,ISNUMBER(B197),ISNUMBER(D197)),1,0)</f>
        <v>0</v>
      </c>
      <c r="C203" s="55"/>
      <c r="D203" s="56">
        <f>IF(AND(D197&gt;B197,$AK178&gt;0,$AK177&gt;2,ISNUMBER(B197),ISNUMBER(D197)),1,0)</f>
        <v>0</v>
      </c>
      <c r="E203" s="55">
        <f>IF(AND(E197&gt;G197,$AK178&gt;1,$AK177&gt;2,ISNUMBER(E197),ISNUMBER(G197)),1,0)</f>
        <v>0</v>
      </c>
      <c r="F203" s="55"/>
      <c r="G203" s="56">
        <f>IF(AND(G197&gt;E197,$AK178&gt;1,$AK177&gt;2,ISNUMBER(E197),ISNUMBER(G197)),1,0)</f>
        <v>0</v>
      </c>
      <c r="H203" s="55">
        <f>IF(AND(H197&gt;J197,$AK178&gt;2,$AK177&gt;2,ISNUMBER(H197),ISNUMBER(J197)),1,0)</f>
        <v>0</v>
      </c>
      <c r="I203" s="55"/>
      <c r="J203" s="56">
        <f>IF(AND(J197&gt;H197,$AK178&gt;2,$AK177&gt;2,ISNUMBER(H197),ISNUMBER(J197)),1,0)</f>
        <v>0</v>
      </c>
      <c r="K203" s="55">
        <f>IF(AND(K197&gt;M197,$AK178&gt;3,$AK177&gt;2,ISNUMBER(K197),ISNUMBER(M197)),1,0)</f>
        <v>0</v>
      </c>
      <c r="L203" s="55"/>
      <c r="M203" s="56">
        <f>IF(AND(M197&gt;K197,$AK178&gt;3,$AK177&gt;2,ISNUMBER(K197),ISNUMBER(M197)),1,0)</f>
        <v>0</v>
      </c>
      <c r="N203" s="55">
        <f>IF(AND(N197&gt;P197,$AK178&gt;4,$AK177&gt;2,ISNUMBER(N197),ISNUMBER(P197)),1,0)</f>
        <v>0</v>
      </c>
      <c r="O203" s="55"/>
      <c r="P203" s="56">
        <f>IF(AND(P197&gt;N197,$AK178&gt;4,$AK177&gt;2,ISNUMBER(N197),ISNUMBER(P197)),1,0)</f>
        <v>0</v>
      </c>
      <c r="Q203" s="55">
        <f>IF(AND(Q197&gt;S197,$AK178&gt;5,$AK177&gt;2,ISNUMBER(Q197),ISNUMBER(S197)),1,0)</f>
        <v>0</v>
      </c>
      <c r="R203" s="55"/>
      <c r="S203" s="56">
        <f>IF(AND(S197&gt;Q197,$AK178&gt;5,$AK177&gt;2,ISNUMBER(Q197),ISNUMBER(S197)),1,0)</f>
        <v>0</v>
      </c>
      <c r="T203" s="55">
        <f>IF(AND(T197&gt;V197,$AK178&gt;6,$AK177&gt;2,ISNUMBER(T197),ISNUMBER(V197)),1,0)</f>
        <v>0</v>
      </c>
      <c r="U203" s="55"/>
      <c r="V203" s="56">
        <f>IF(AND(V197&gt;T197,$AK178&gt;6,$AK177&gt;2,ISNUMBER(T197),ISNUMBER(V197)),1,0)</f>
        <v>0</v>
      </c>
      <c r="W203" s="55">
        <f>IF(AND(W197&gt;Y197,$AK178&gt;7,$AK177&gt;2,ISNUMBER(W197),ISNUMBER(Y197)),1,0)</f>
        <v>0</v>
      </c>
      <c r="X203" s="55"/>
      <c r="Y203" s="56">
        <f>IF(AND(Y197&gt;W197,$AK178&gt;7,$AK177&gt;2,ISNUMBER(W197),ISNUMBER(Y197)),1,0)</f>
        <v>0</v>
      </c>
      <c r="Z203" s="55">
        <f>IF(AND(Z197&gt;AB197,$AK178&gt;8,$AK177&gt;2,ISNUMBER(Z197),ISNUMBER(AB197)),1,0)</f>
        <v>0</v>
      </c>
      <c r="AA203" s="55"/>
      <c r="AB203" s="56">
        <f>IF(AND(AB197&gt;Z197,$AK178&gt;8,$AK177&gt;2,ISNUMBER(Z197),ISNUMBER(AB197)),1,0)</f>
        <v>0</v>
      </c>
      <c r="AC203" s="55">
        <f>IF(AND(AC197&gt;AE197,$AK178&gt;9,$AK177&gt;2,ISNUMBER(AC197),ISNUMBER(AE197)),1,0)</f>
        <v>0</v>
      </c>
      <c r="AD203" s="55"/>
      <c r="AE203" s="56">
        <f>IF(AND(AE197&gt;AC197,$AK178&gt;9,$AK177&gt;2,ISNUMBER(AC197),ISNUMBER(AE197)),1,0)</f>
        <v>0</v>
      </c>
      <c r="AW203" s="146"/>
    </row>
    <row r="204" spans="1:49" s="54" customFormat="1" ht="12.75" hidden="1" customHeight="1" x14ac:dyDescent="0.2">
      <c r="A204" s="54" t="s">
        <v>57</v>
      </c>
      <c r="B204" s="55">
        <f>IF(AND(B198&gt;D198,$AK178&gt;0,$AK177&gt;3,ISNUMBER(B198),ISNUMBER(D198)),1,0)</f>
        <v>0</v>
      </c>
      <c r="C204" s="55"/>
      <c r="D204" s="56">
        <f>IF(AND(D198&gt;B198,$AK178&gt;0,$AK177&gt;3,ISNUMBER(B198),ISNUMBER(D198)),1,0)</f>
        <v>0</v>
      </c>
      <c r="E204" s="55">
        <f>IF(AND(E198&gt;G198,$AK178&gt;1,$AK177&gt;3,ISNUMBER(E198),ISNUMBER(G198)),1,0)</f>
        <v>0</v>
      </c>
      <c r="F204" s="55"/>
      <c r="G204" s="56">
        <f>IF(AND(G198&gt;E198,$AK178&gt;1,$AK177&gt;3,ISNUMBER(E198),ISNUMBER(G198)),1,0)</f>
        <v>0</v>
      </c>
      <c r="H204" s="55">
        <f>IF(AND(H198&gt;J198,$AK178&gt;2,$AK177&gt;3,ISNUMBER(H198),ISNUMBER(J198)),1,0)</f>
        <v>0</v>
      </c>
      <c r="I204" s="55"/>
      <c r="J204" s="56">
        <f>IF(AND(J198&gt;H198,$AK178&gt;2,$AK177&gt;3,ISNUMBER(H198),ISNUMBER(J198)),1,0)</f>
        <v>0</v>
      </c>
      <c r="K204" s="55">
        <f>IF(AND(K198&gt;M198,$AK178&gt;3,$AK177&gt;3,ISNUMBER(K198),ISNUMBER(M198)),1,0)</f>
        <v>0</v>
      </c>
      <c r="L204" s="55"/>
      <c r="M204" s="56">
        <f>IF(AND(M198&gt;K198,$AK178&gt;3,$AK177&gt;3,ISNUMBER(K198),ISNUMBER(M198)),1,0)</f>
        <v>0</v>
      </c>
      <c r="N204" s="55">
        <f>IF(AND(N198&gt;P198,$AK178&gt;4,$AK177&gt;3,ISNUMBER(N198),ISNUMBER(P198)),1,0)</f>
        <v>0</v>
      </c>
      <c r="O204" s="55"/>
      <c r="P204" s="56">
        <f>IF(AND(P198&gt;N198,$AK178&gt;4,$AK177&gt;3,ISNUMBER(N198),ISNUMBER(P198)),1,0)</f>
        <v>0</v>
      </c>
      <c r="Q204" s="55">
        <f>IF(AND(Q198&gt;S198,$AK178&gt;5,$AK177&gt;3,ISNUMBER(Q198),ISNUMBER(S198)),1,0)</f>
        <v>0</v>
      </c>
      <c r="R204" s="55"/>
      <c r="S204" s="56">
        <f>IF(AND(S198&gt;Q198,$AK178&gt;5,$AK177&gt;3,ISNUMBER(Q198),ISNUMBER(S198)),1,0)</f>
        <v>0</v>
      </c>
      <c r="T204" s="55">
        <f>IF(AND(T198&gt;V198,$AK178&gt;6,$AK177&gt;3,ISNUMBER(T198),ISNUMBER(V198)),1,0)</f>
        <v>0</v>
      </c>
      <c r="U204" s="55"/>
      <c r="V204" s="56">
        <f>IF(AND(V198&gt;T198,$AK178&gt;6,$AK177&gt;3,ISNUMBER(T198),ISNUMBER(V198)),1,0)</f>
        <v>0</v>
      </c>
      <c r="W204" s="55">
        <f>IF(AND(W198&gt;Y198,$AK178&gt;7,$AK177&gt;3,ISNUMBER(W198),ISNUMBER(Y198)),1,0)</f>
        <v>0</v>
      </c>
      <c r="X204" s="55"/>
      <c r="Y204" s="56">
        <f>IF(AND(Y198&gt;W198,$AK178&gt;7,$AK177&gt;3,ISNUMBER(W198),ISNUMBER(Y198)),1,0)</f>
        <v>0</v>
      </c>
      <c r="Z204" s="55">
        <f>IF(AND(Z198&gt;AB198,$AK178&gt;8,$AK177&gt;3,ISNUMBER(Z198),ISNUMBER(AB198)),1,0)</f>
        <v>0</v>
      </c>
      <c r="AA204" s="55"/>
      <c r="AB204" s="56">
        <f>IF(AND(AB198&gt;Z198,$AK178&gt;8,$AK177&gt;3,ISNUMBER(Z198),ISNUMBER(AB198)),1,0)</f>
        <v>0</v>
      </c>
      <c r="AC204" s="55">
        <f>IF(AND(AC198&gt;AE198,$AK178&gt;9,$AK177&gt;3,ISNUMBER(AC198),ISNUMBER(AE198)),1,0)</f>
        <v>0</v>
      </c>
      <c r="AD204" s="55"/>
      <c r="AE204" s="56">
        <f>IF(AND(AE198&gt;AC198,$AK178&gt;9,$AK177&gt;3,ISNUMBER(AC198),ISNUMBER(AE198)),1,0)</f>
        <v>0</v>
      </c>
      <c r="AW204" s="146"/>
    </row>
    <row r="205" spans="1:49" s="54" customFormat="1" ht="12.75" hidden="1" customHeight="1" x14ac:dyDescent="0.2">
      <c r="A205" s="54" t="s">
        <v>58</v>
      </c>
      <c r="B205" s="55">
        <f>IF(AND(B199&gt;D199,$AK178&gt;0,$AK177&gt;4,ISNUMBER(B199),ISNUMBER(D199)),1,0)</f>
        <v>0</v>
      </c>
      <c r="C205" s="55"/>
      <c r="D205" s="56">
        <f>IF(AND(D199&gt;B199,$AK178&gt;0,$AK177&gt;4,ISNUMBER(B199),ISNUMBER(D199)),1,0)</f>
        <v>0</v>
      </c>
      <c r="E205" s="55">
        <f>IF(AND(E199&gt;G199,$AK178&gt;1,$AK177&gt;4,ISNUMBER(E199),ISNUMBER(G199)),1,0)</f>
        <v>0</v>
      </c>
      <c r="F205" s="55"/>
      <c r="G205" s="56">
        <f>IF(AND(G199&gt;E199,$AK178&gt;1,$AK177&gt;4,ISNUMBER(E199),ISNUMBER(G199)),1,0)</f>
        <v>0</v>
      </c>
      <c r="H205" s="55">
        <f>IF(AND(H199&gt;J199,$AK178&gt;2,$AK177&gt;4,ISNUMBER(H199),ISNUMBER(J199)),1,0)</f>
        <v>0</v>
      </c>
      <c r="I205" s="55"/>
      <c r="J205" s="56">
        <f>IF(AND(J199&gt;H199,$AK178&gt;2,$AK177&gt;4,ISNUMBER(H199),ISNUMBER(J199)),1,0)</f>
        <v>0</v>
      </c>
      <c r="K205" s="55">
        <f>IF(AND(K199&gt;M199,$AK178&gt;3,$AK177&gt;4,ISNUMBER(K199),ISNUMBER(M199)),1,0)</f>
        <v>0</v>
      </c>
      <c r="L205" s="55"/>
      <c r="M205" s="56">
        <f>IF(AND(M199&gt;K199,$AK178&gt;3,$AK177&gt;4,ISNUMBER(K199),ISNUMBER(M199)),1,0)</f>
        <v>0</v>
      </c>
      <c r="N205" s="55">
        <f>IF(AND(N199&gt;P199,$AK178&gt;4,$AK177&gt;4,ISNUMBER(N199),ISNUMBER(P199)),1,0)</f>
        <v>0</v>
      </c>
      <c r="O205" s="55"/>
      <c r="P205" s="56">
        <f>IF(AND(P199&gt;N199,$AK178&gt;4,$AK177&gt;4,ISNUMBER(N199),ISNUMBER(P199)),1,0)</f>
        <v>0</v>
      </c>
      <c r="Q205" s="55">
        <f>IF(AND(Q199&gt;S199,$AK178&gt;5,$AK177&gt;4,ISNUMBER(Q199),ISNUMBER(S199)),1,0)</f>
        <v>0</v>
      </c>
      <c r="R205" s="55"/>
      <c r="S205" s="56">
        <f>IF(AND(S199&gt;Q199,$AK178&gt;5,$AK177&gt;4,ISNUMBER(Q199),ISNUMBER(S199)),1,0)</f>
        <v>0</v>
      </c>
      <c r="T205" s="55">
        <f>IF(AND(T199&gt;V199,$AK178&gt;6,$AK177&gt;4,ISNUMBER(T199),ISNUMBER(V199)),1,0)</f>
        <v>0</v>
      </c>
      <c r="U205" s="55"/>
      <c r="V205" s="56">
        <f>IF(AND(V199&gt;T199,$AK178&gt;6,$AK177&gt;4,ISNUMBER(T199),ISNUMBER(V199)),1,0)</f>
        <v>0</v>
      </c>
      <c r="W205" s="55">
        <f>IF(AND(W199&gt;Y199,$AK178&gt;7,$AK177&gt;4,ISNUMBER(W199),ISNUMBER(Y199)),1,0)</f>
        <v>0</v>
      </c>
      <c r="X205" s="55"/>
      <c r="Y205" s="56">
        <f>IF(AND(Y199&gt;W199,$AK178&gt;7,$AK177&gt;4,ISNUMBER(W199),ISNUMBER(Y199)),1,0)</f>
        <v>0</v>
      </c>
      <c r="Z205" s="55">
        <f>IF(AND(Z199&gt;AB199,$AK178&gt;8,$AK177&gt;4,ISNUMBER(Z199),ISNUMBER(AB199)),1,0)</f>
        <v>0</v>
      </c>
      <c r="AA205" s="55"/>
      <c r="AB205" s="56">
        <f>IF(AND(AB199&gt;Z199,$AK178&gt;8,$AK177&gt;4,ISNUMBER(Z199),ISNUMBER(AB199)),1,0)</f>
        <v>0</v>
      </c>
      <c r="AC205" s="55">
        <f>IF(AND(AC199&gt;AE199,$AK178&gt;9,$AK177&gt;4,ISNUMBER(AC199),ISNUMBER(AE199)),1,0)</f>
        <v>0</v>
      </c>
      <c r="AD205" s="55"/>
      <c r="AE205" s="56">
        <f>IF(AND(AE199&gt;AC199,$AK178&gt;9,$AK177&gt;4,ISNUMBER(AC199),ISNUMBER(AE199)),1,0)</f>
        <v>0</v>
      </c>
      <c r="AW205" s="146"/>
    </row>
    <row r="206" spans="1:49" s="54" customFormat="1" ht="38.25" hidden="1" customHeight="1" x14ac:dyDescent="0.2">
      <c r="A206" s="57" t="s">
        <v>59</v>
      </c>
      <c r="B206" s="54">
        <f>SUM(B201:B205)</f>
        <v>2</v>
      </c>
      <c r="D206" s="58">
        <f>SUM(D201:D205)</f>
        <v>0</v>
      </c>
      <c r="E206" s="54">
        <f>SUM(E201:E205)</f>
        <v>1</v>
      </c>
      <c r="G206" s="58">
        <f>SUM(G201:G205)</f>
        <v>1</v>
      </c>
      <c r="H206" s="54">
        <f>SUM(H201:H205)</f>
        <v>2</v>
      </c>
      <c r="J206" s="58">
        <f>SUM(J201:J205)</f>
        <v>0</v>
      </c>
      <c r="K206" s="54">
        <f>SUM(K201:K205)</f>
        <v>2</v>
      </c>
      <c r="M206" s="58">
        <f>SUM(M201:M205)</f>
        <v>0</v>
      </c>
      <c r="N206" s="54">
        <f>SUM(N201:N205)</f>
        <v>2</v>
      </c>
      <c r="P206" s="58">
        <f>SUM(P201:P205)</f>
        <v>0</v>
      </c>
      <c r="Q206" s="54">
        <f>SUM(Q201:Q205)</f>
        <v>2</v>
      </c>
      <c r="S206" s="58">
        <f>SUM(S201:S205)</f>
        <v>0</v>
      </c>
      <c r="T206" s="54">
        <f>SUM(T201:T205)</f>
        <v>2</v>
      </c>
      <c r="V206" s="58">
        <f>SUM(V201:V205)</f>
        <v>0</v>
      </c>
      <c r="W206" s="54">
        <f>SUM(W201:W205)</f>
        <v>0</v>
      </c>
      <c r="Y206" s="58">
        <f>SUM(Y201:Y205)</f>
        <v>2</v>
      </c>
      <c r="Z206" s="54">
        <f>SUM(Z201:Z205)</f>
        <v>0</v>
      </c>
      <c r="AB206" s="58">
        <f>SUM(AB201:AB205)</f>
        <v>2</v>
      </c>
      <c r="AC206" s="54">
        <f>SUM(AC201:AC205)</f>
        <v>2</v>
      </c>
      <c r="AE206" s="58">
        <f>SUM(AE201:AE205)</f>
        <v>0</v>
      </c>
      <c r="AW206" s="146"/>
    </row>
    <row r="207" spans="1:49" s="54" customFormat="1" ht="25.5" hidden="1" customHeight="1" x14ac:dyDescent="0.2">
      <c r="A207" s="57" t="s">
        <v>60</v>
      </c>
      <c r="B207" s="54">
        <f>IF(B206&gt;D206,IF(C241=AK177,1,IF(C241=AK177-1,1,0)),0)</f>
        <v>1</v>
      </c>
      <c r="C207" s="54">
        <f>B207+D207</f>
        <v>1</v>
      </c>
      <c r="D207" s="58">
        <f>IF(D206&gt;B206,IF(C241=AK177,1,IF(C241=AK177-1,1,0)),0)</f>
        <v>0</v>
      </c>
      <c r="E207" s="54">
        <f>IF(E206&gt;G206,IF(F241=AK177,1,IF(F241=AK177-1,1,0)),0)</f>
        <v>0</v>
      </c>
      <c r="F207" s="54">
        <f>E207+G207</f>
        <v>0</v>
      </c>
      <c r="G207" s="58">
        <f>IF(G206&gt;E206,IF(F241=AK177,1,IF(F241=AK177-1,1,0)),0)</f>
        <v>0</v>
      </c>
      <c r="H207" s="54">
        <f>IF(H206&gt;J206,IF(I241=AK177,1,IF(I241=AK177-1,1,0)),0)</f>
        <v>1</v>
      </c>
      <c r="I207" s="54">
        <f>H207+J207</f>
        <v>1</v>
      </c>
      <c r="J207" s="58">
        <f>IF(J206&gt;H206,IF(I241=AK177,1,IF(I241=AK177-1,1,0)),0)</f>
        <v>0</v>
      </c>
      <c r="K207" s="54">
        <f>IF(K206&gt;M206,IF(L241=AK177,1,IF(L241=AK177-1,1,0)),0)</f>
        <v>1</v>
      </c>
      <c r="L207" s="54">
        <f>K207+M207</f>
        <v>1</v>
      </c>
      <c r="M207" s="58">
        <f>IF(M206&gt;K206,IF(L241=AK177,1,IF(L241=AK177-1,1,0)),0)</f>
        <v>0</v>
      </c>
      <c r="N207" s="54">
        <f>IF(N206&gt;P206,IF(O241=AK177,1,IF(O241=AK177-1,1,0)),0)</f>
        <v>1</v>
      </c>
      <c r="O207" s="54">
        <f>N207+P207</f>
        <v>1</v>
      </c>
      <c r="P207" s="58">
        <f>IF(P206&gt;N206,IF(O241=AK177,1,IF(O241=AK177-1,1,0)),0)</f>
        <v>0</v>
      </c>
      <c r="Q207" s="54">
        <f>IF(Q206&gt;S206,IF(R241=AK177,1,IF(R241=AK177-1,1,0)),0)</f>
        <v>1</v>
      </c>
      <c r="R207" s="54">
        <f>Q207+S207</f>
        <v>1</v>
      </c>
      <c r="S207" s="58">
        <f>IF(S206&gt;Q206,IF(R241=AK177,1,IF(R241=AK177-1,1,0)),0)</f>
        <v>0</v>
      </c>
      <c r="T207" s="54">
        <f>IF(T206&gt;V206,IF(U241=AK177,1,IF(U241=AK177-1,1,0)),0)</f>
        <v>1</v>
      </c>
      <c r="U207" s="54">
        <f>T207+V207</f>
        <v>1</v>
      </c>
      <c r="V207" s="58">
        <f>IF(V206&gt;T206,IF(U241=AK177,1,IF(U241=AK177-1,1,0)),0)</f>
        <v>0</v>
      </c>
      <c r="W207" s="54">
        <f>IF(W206&gt;Y206,IF(X241=AK177,1,IF(X241=AK177-1,1,0)),0)</f>
        <v>0</v>
      </c>
      <c r="X207" s="54">
        <f>W207+Y207</f>
        <v>1</v>
      </c>
      <c r="Y207" s="58">
        <f>IF(Y206&gt;W206,IF(X241=AK177,1,IF(X241=AK177-1,1,0)),0)</f>
        <v>1</v>
      </c>
      <c r="Z207" s="54">
        <f>IF(Z206&gt;AB206,IF(AA241=AK177,1,IF(AA241=AK177-1,1,0)),0)</f>
        <v>0</v>
      </c>
      <c r="AA207" s="54">
        <f>Z207+AB207</f>
        <v>1</v>
      </c>
      <c r="AB207" s="58">
        <f>IF(AB206&gt;Z206,IF(AA241=AK177,1,IF(AA241=AK177-1,1,0)),0)</f>
        <v>1</v>
      </c>
      <c r="AC207" s="54">
        <f>IF(AC206&gt;AE206,IF(AD241=AK177,1,IF(AD241=AK177-1,1,0)),0)</f>
        <v>1</v>
      </c>
      <c r="AD207" s="54">
        <f>AC207+AE207</f>
        <v>1</v>
      </c>
      <c r="AE207" s="58">
        <f>IF(AE206&gt;AC206,IF(AD241=AK177,1,IF(AD241=AK177-1,1,0)),0)</f>
        <v>0</v>
      </c>
      <c r="AW207" s="146"/>
    </row>
    <row r="208" spans="1:49" s="54" customFormat="1" ht="25.5" hidden="1" customHeight="1" x14ac:dyDescent="0.2">
      <c r="A208" s="57"/>
      <c r="D208" s="58"/>
      <c r="G208" s="58"/>
      <c r="J208" s="58"/>
      <c r="M208" s="58"/>
      <c r="P208" s="58"/>
      <c r="S208" s="58"/>
      <c r="V208" s="58"/>
      <c r="Y208" s="58"/>
      <c r="AB208" s="58"/>
      <c r="AE208" s="58"/>
      <c r="AW208" s="146"/>
    </row>
    <row r="209" spans="1:49" s="54" customFormat="1" ht="12.75" hidden="1" customHeight="1" x14ac:dyDescent="0.2">
      <c r="A209" s="54" t="s">
        <v>61</v>
      </c>
      <c r="B209" s="54">
        <f>IF(B201=1,B195,0)</f>
        <v>25</v>
      </c>
      <c r="D209" s="58">
        <f t="shared" ref="D209:E213" si="20">IF(D201=1,D195,0)</f>
        <v>0</v>
      </c>
      <c r="E209" s="54">
        <f t="shared" si="20"/>
        <v>25</v>
      </c>
      <c r="G209" s="58">
        <f t="shared" ref="G209:H213" si="21">IF(G201=1,G195,0)</f>
        <v>0</v>
      </c>
      <c r="H209" s="54">
        <f t="shared" si="21"/>
        <v>25</v>
      </c>
      <c r="J209" s="58">
        <f t="shared" ref="J209:K213" si="22">IF(J201=1,J195,0)</f>
        <v>0</v>
      </c>
      <c r="K209" s="54">
        <f t="shared" si="22"/>
        <v>26</v>
      </c>
      <c r="M209" s="58">
        <f t="shared" ref="M209:N213" si="23">IF(M201=1,M195,0)</f>
        <v>0</v>
      </c>
      <c r="N209" s="54">
        <f t="shared" si="23"/>
        <v>25</v>
      </c>
      <c r="P209" s="58">
        <f t="shared" ref="P209:Q213" si="24">IF(P201=1,P195,0)</f>
        <v>0</v>
      </c>
      <c r="Q209" s="54">
        <f t="shared" si="24"/>
        <v>25</v>
      </c>
      <c r="S209" s="58">
        <f t="shared" ref="S209:T213" si="25">IF(S201=1,S195,0)</f>
        <v>0</v>
      </c>
      <c r="T209" s="54">
        <f t="shared" si="25"/>
        <v>25</v>
      </c>
      <c r="V209" s="58">
        <f t="shared" ref="V209:W213" si="26">IF(V201=1,V195,0)</f>
        <v>0</v>
      </c>
      <c r="W209" s="54">
        <f t="shared" si="26"/>
        <v>0</v>
      </c>
      <c r="Y209" s="58">
        <f t="shared" ref="Y209:Z213" si="27">IF(Y201=1,Y195,0)</f>
        <v>25</v>
      </c>
      <c r="Z209" s="54">
        <f t="shared" si="27"/>
        <v>0</v>
      </c>
      <c r="AB209" s="58">
        <f t="shared" ref="AB209:AC213" si="28">IF(AB201=1,AB195,0)</f>
        <v>25</v>
      </c>
      <c r="AC209" s="54">
        <f t="shared" si="28"/>
        <v>25</v>
      </c>
      <c r="AE209" s="58">
        <f>IF(AE201=1,AE195,0)</f>
        <v>0</v>
      </c>
      <c r="AW209" s="146"/>
    </row>
    <row r="210" spans="1:49" s="54" customFormat="1" ht="12.75" hidden="1" customHeight="1" x14ac:dyDescent="0.2">
      <c r="A210" s="54" t="s">
        <v>62</v>
      </c>
      <c r="B210" s="54">
        <f>IF(B202=1,B196,0)</f>
        <v>25</v>
      </c>
      <c r="D210" s="58">
        <f t="shared" si="20"/>
        <v>0</v>
      </c>
      <c r="E210" s="54">
        <f t="shared" si="20"/>
        <v>0</v>
      </c>
      <c r="G210" s="58">
        <f t="shared" si="21"/>
        <v>25</v>
      </c>
      <c r="H210" s="54">
        <f t="shared" si="21"/>
        <v>25</v>
      </c>
      <c r="J210" s="58">
        <f t="shared" si="22"/>
        <v>0</v>
      </c>
      <c r="K210" s="54">
        <f t="shared" si="22"/>
        <v>25</v>
      </c>
      <c r="M210" s="58">
        <f t="shared" si="23"/>
        <v>0</v>
      </c>
      <c r="N210" s="54">
        <f t="shared" si="23"/>
        <v>25</v>
      </c>
      <c r="P210" s="58">
        <f t="shared" si="24"/>
        <v>0</v>
      </c>
      <c r="Q210" s="54">
        <f t="shared" si="24"/>
        <v>25</v>
      </c>
      <c r="S210" s="58">
        <f t="shared" si="25"/>
        <v>0</v>
      </c>
      <c r="T210" s="54">
        <f t="shared" si="25"/>
        <v>25</v>
      </c>
      <c r="V210" s="58">
        <f t="shared" si="26"/>
        <v>0</v>
      </c>
      <c r="W210" s="54">
        <f t="shared" si="26"/>
        <v>0</v>
      </c>
      <c r="Y210" s="58">
        <f t="shared" si="27"/>
        <v>25</v>
      </c>
      <c r="Z210" s="54">
        <f t="shared" si="27"/>
        <v>0</v>
      </c>
      <c r="AB210" s="58">
        <f t="shared" si="28"/>
        <v>25</v>
      </c>
      <c r="AC210" s="54">
        <f t="shared" si="28"/>
        <v>25</v>
      </c>
      <c r="AE210" s="58">
        <f>IF(AE202=1,AE196,0)</f>
        <v>0</v>
      </c>
      <c r="AW210" s="146"/>
    </row>
    <row r="211" spans="1:49" s="54" customFormat="1" ht="12.75" hidden="1" customHeight="1" x14ac:dyDescent="0.2">
      <c r="A211" s="54" t="s">
        <v>63</v>
      </c>
      <c r="B211" s="54">
        <f>IF(B203=1,B197,0)</f>
        <v>0</v>
      </c>
      <c r="D211" s="58">
        <f t="shared" si="20"/>
        <v>0</v>
      </c>
      <c r="E211" s="54">
        <f t="shared" si="20"/>
        <v>0</v>
      </c>
      <c r="G211" s="58">
        <f t="shared" si="21"/>
        <v>0</v>
      </c>
      <c r="H211" s="54">
        <f t="shared" si="21"/>
        <v>0</v>
      </c>
      <c r="J211" s="58">
        <f t="shared" si="22"/>
        <v>0</v>
      </c>
      <c r="K211" s="54">
        <f t="shared" si="22"/>
        <v>0</v>
      </c>
      <c r="M211" s="58">
        <f t="shared" si="23"/>
        <v>0</v>
      </c>
      <c r="N211" s="54">
        <f t="shared" si="23"/>
        <v>0</v>
      </c>
      <c r="P211" s="58">
        <f t="shared" si="24"/>
        <v>0</v>
      </c>
      <c r="Q211" s="54">
        <f t="shared" si="24"/>
        <v>0</v>
      </c>
      <c r="S211" s="58">
        <f t="shared" si="25"/>
        <v>0</v>
      </c>
      <c r="T211" s="54">
        <f t="shared" si="25"/>
        <v>0</v>
      </c>
      <c r="V211" s="58">
        <f t="shared" si="26"/>
        <v>0</v>
      </c>
      <c r="W211" s="54">
        <f t="shared" si="26"/>
        <v>0</v>
      </c>
      <c r="Y211" s="58">
        <f t="shared" si="27"/>
        <v>0</v>
      </c>
      <c r="Z211" s="54">
        <f t="shared" si="27"/>
        <v>0</v>
      </c>
      <c r="AB211" s="58">
        <f t="shared" si="28"/>
        <v>0</v>
      </c>
      <c r="AC211" s="54">
        <f t="shared" si="28"/>
        <v>0</v>
      </c>
      <c r="AE211" s="58">
        <f>IF(AE203=1,AE197,0)</f>
        <v>0</v>
      </c>
      <c r="AW211" s="146"/>
    </row>
    <row r="212" spans="1:49" s="54" customFormat="1" ht="12.75" hidden="1" customHeight="1" x14ac:dyDescent="0.2">
      <c r="A212" s="54" t="s">
        <v>64</v>
      </c>
      <c r="B212" s="54">
        <f>IF(B204=1,B198,0)</f>
        <v>0</v>
      </c>
      <c r="D212" s="58">
        <f t="shared" si="20"/>
        <v>0</v>
      </c>
      <c r="E212" s="54">
        <f t="shared" si="20"/>
        <v>0</v>
      </c>
      <c r="G212" s="58">
        <f t="shared" si="21"/>
        <v>0</v>
      </c>
      <c r="H212" s="54">
        <f t="shared" si="21"/>
        <v>0</v>
      </c>
      <c r="J212" s="58">
        <f t="shared" si="22"/>
        <v>0</v>
      </c>
      <c r="K212" s="54">
        <f t="shared" si="22"/>
        <v>0</v>
      </c>
      <c r="M212" s="58">
        <f t="shared" si="23"/>
        <v>0</v>
      </c>
      <c r="N212" s="54">
        <f t="shared" si="23"/>
        <v>0</v>
      </c>
      <c r="P212" s="58">
        <f t="shared" si="24"/>
        <v>0</v>
      </c>
      <c r="Q212" s="54">
        <f t="shared" si="24"/>
        <v>0</v>
      </c>
      <c r="S212" s="58">
        <f t="shared" si="25"/>
        <v>0</v>
      </c>
      <c r="T212" s="54">
        <f t="shared" si="25"/>
        <v>0</v>
      </c>
      <c r="V212" s="58">
        <f t="shared" si="26"/>
        <v>0</v>
      </c>
      <c r="W212" s="54">
        <f t="shared" si="26"/>
        <v>0</v>
      </c>
      <c r="Y212" s="58">
        <f t="shared" si="27"/>
        <v>0</v>
      </c>
      <c r="Z212" s="54">
        <f t="shared" si="27"/>
        <v>0</v>
      </c>
      <c r="AB212" s="58">
        <f t="shared" si="28"/>
        <v>0</v>
      </c>
      <c r="AC212" s="54">
        <f t="shared" si="28"/>
        <v>0</v>
      </c>
      <c r="AE212" s="58">
        <f>IF(AE204=1,AE198,0)</f>
        <v>0</v>
      </c>
      <c r="AW212" s="146"/>
    </row>
    <row r="213" spans="1:49" s="54" customFormat="1" ht="12.75" hidden="1" customHeight="1" x14ac:dyDescent="0.2">
      <c r="A213" s="54" t="s">
        <v>65</v>
      </c>
      <c r="B213" s="54">
        <f>IF(B205=1,B199,0)</f>
        <v>0</v>
      </c>
      <c r="D213" s="58">
        <f t="shared" si="20"/>
        <v>0</v>
      </c>
      <c r="E213" s="54">
        <f t="shared" si="20"/>
        <v>0</v>
      </c>
      <c r="G213" s="58">
        <f t="shared" si="21"/>
        <v>0</v>
      </c>
      <c r="H213" s="54">
        <f t="shared" si="21"/>
        <v>0</v>
      </c>
      <c r="J213" s="58">
        <f t="shared" si="22"/>
        <v>0</v>
      </c>
      <c r="K213" s="54">
        <f t="shared" si="22"/>
        <v>0</v>
      </c>
      <c r="M213" s="58">
        <f t="shared" si="23"/>
        <v>0</v>
      </c>
      <c r="N213" s="54">
        <f t="shared" si="23"/>
        <v>0</v>
      </c>
      <c r="P213" s="58">
        <f t="shared" si="24"/>
        <v>0</v>
      </c>
      <c r="Q213" s="54">
        <f t="shared" si="24"/>
        <v>0</v>
      </c>
      <c r="S213" s="58">
        <f t="shared" si="25"/>
        <v>0</v>
      </c>
      <c r="T213" s="54">
        <f t="shared" si="25"/>
        <v>0</v>
      </c>
      <c r="V213" s="58">
        <f t="shared" si="26"/>
        <v>0</v>
      </c>
      <c r="W213" s="54">
        <f t="shared" si="26"/>
        <v>0</v>
      </c>
      <c r="Y213" s="58">
        <f t="shared" si="27"/>
        <v>0</v>
      </c>
      <c r="Z213" s="54">
        <f t="shared" si="27"/>
        <v>0</v>
      </c>
      <c r="AB213" s="58">
        <f t="shared" si="28"/>
        <v>0</v>
      </c>
      <c r="AC213" s="54">
        <f t="shared" si="28"/>
        <v>0</v>
      </c>
      <c r="AE213" s="58">
        <f>IF(AE205=1,AE199,0)</f>
        <v>0</v>
      </c>
      <c r="AW213" s="146"/>
    </row>
    <row r="214" spans="1:49" s="54" customFormat="1" ht="38.25" hidden="1" customHeight="1" x14ac:dyDescent="0.2">
      <c r="A214" s="57" t="s">
        <v>66</v>
      </c>
      <c r="B214" s="54">
        <f>SUM(B209:D213)</f>
        <v>50</v>
      </c>
      <c r="D214" s="58"/>
      <c r="E214" s="54">
        <f>SUM(E209:G213)</f>
        <v>50</v>
      </c>
      <c r="G214" s="58"/>
      <c r="H214" s="54">
        <f>SUM(H209:J213)</f>
        <v>50</v>
      </c>
      <c r="J214" s="58"/>
      <c r="K214" s="54">
        <f>SUM(K209:M213)</f>
        <v>51</v>
      </c>
      <c r="M214" s="58"/>
      <c r="N214" s="54">
        <f>SUM(N209:P213)</f>
        <v>50</v>
      </c>
      <c r="P214" s="58"/>
      <c r="Q214" s="54">
        <f>SUM(Q209:S213)</f>
        <v>50</v>
      </c>
      <c r="S214" s="58"/>
      <c r="T214" s="54">
        <f>SUM(T209:V213)</f>
        <v>50</v>
      </c>
      <c r="V214" s="58"/>
      <c r="W214" s="54">
        <f>SUM(W209:Y213)</f>
        <v>50</v>
      </c>
      <c r="Y214" s="58"/>
      <c r="Z214" s="54">
        <f>SUM(Z209:AB213)</f>
        <v>50</v>
      </c>
      <c r="AB214" s="58"/>
      <c r="AC214" s="54">
        <f>SUM(AC209:AE213)</f>
        <v>50</v>
      </c>
      <c r="AE214" s="58"/>
      <c r="AW214" s="146"/>
    </row>
    <row r="215" spans="1:49" s="54" customFormat="1" ht="38.25" hidden="1" customHeight="1" x14ac:dyDescent="0.2">
      <c r="A215" s="54" t="s">
        <v>67</v>
      </c>
      <c r="D215" s="58"/>
      <c r="G215" s="58"/>
      <c r="J215" s="58"/>
      <c r="M215" s="58"/>
      <c r="P215" s="58"/>
      <c r="S215" s="58"/>
      <c r="V215" s="58"/>
      <c r="Y215" s="58"/>
      <c r="AB215" s="58"/>
      <c r="AE215" s="58"/>
      <c r="AF215" s="57" t="s">
        <v>68</v>
      </c>
      <c r="AG215" s="54" t="s">
        <v>69</v>
      </c>
      <c r="AW215" s="146"/>
    </row>
    <row r="216" spans="1:49" s="54" customFormat="1" ht="12.75" hidden="1" customHeight="1" x14ac:dyDescent="0.2">
      <c r="A216" s="54" t="s">
        <v>70</v>
      </c>
      <c r="B216" s="54">
        <f>IF(B194=1,IF(B207=1,1,0),0)</f>
        <v>0</v>
      </c>
      <c r="D216" s="58">
        <f>IF(D194=1,IF(D207=1,1,0),0)</f>
        <v>0</v>
      </c>
      <c r="E216" s="54">
        <f>IF(E194=1,IF(E207=1,1,0),0)</f>
        <v>0</v>
      </c>
      <c r="G216" s="58">
        <f>IF(G194=1,IF(G207=1,1,0),0)</f>
        <v>0</v>
      </c>
      <c r="H216" s="54">
        <f>IF(H194=1,IF(H207=1,1,0),0)</f>
        <v>0</v>
      </c>
      <c r="J216" s="58">
        <f>IF(J194=1,IF(J207=1,1,0),0)</f>
        <v>0</v>
      </c>
      <c r="K216" s="54">
        <f>IF(K194=1,IF(K207=1,1,0),0)</f>
        <v>0</v>
      </c>
      <c r="M216" s="58">
        <f>IF(M194=1,IF(M207=1,1,0),0)</f>
        <v>0</v>
      </c>
      <c r="N216" s="54">
        <f>IF(N194=1,IF(N207=1,1,0),0)</f>
        <v>1</v>
      </c>
      <c r="P216" s="58">
        <f>IF(P194=1,IF(P207=1,1,0),0)</f>
        <v>0</v>
      </c>
      <c r="Q216" s="54">
        <f>IF(Q194=1,IF(Q207=1,1,0),0)</f>
        <v>0</v>
      </c>
      <c r="S216" s="58">
        <f>IF(S194=1,IF(S207=1,1,0),0)</f>
        <v>0</v>
      </c>
      <c r="T216" s="54">
        <f>IF(T194=1,IF(T207=1,1,0),0)</f>
        <v>0</v>
      </c>
      <c r="V216" s="58">
        <f>IF(V194=1,IF(V207=1,1,0),0)</f>
        <v>0</v>
      </c>
      <c r="W216" s="54">
        <f>IF(W194=1,IF(W207=1,1,0),0)</f>
        <v>0</v>
      </c>
      <c r="Y216" s="58">
        <f>IF(Y194=1,IF(Y207=1,1,0),0)</f>
        <v>0</v>
      </c>
      <c r="Z216" s="54">
        <f>IF(Z194=1,IF(Z207=1,1,0),0)</f>
        <v>0</v>
      </c>
      <c r="AB216" s="58">
        <f>IF(AB194=1,IF(AB207=1,1,0),0)</f>
        <v>0</v>
      </c>
      <c r="AC216" s="54">
        <f>IF(AC194=1,IF(AC207=1,1,0),0)</f>
        <v>1</v>
      </c>
      <c r="AE216" s="58">
        <f>IF(AE194=1,IF(AE207=1,1,0),0)</f>
        <v>0</v>
      </c>
      <c r="AF216" s="54">
        <f>SUM(B216:AE216)</f>
        <v>2</v>
      </c>
      <c r="AG216" s="54">
        <f>AF222-AF216</f>
        <v>1</v>
      </c>
      <c r="AW216" s="146"/>
    </row>
    <row r="217" spans="1:49" s="54" customFormat="1" ht="12.75" hidden="1" customHeight="1" x14ac:dyDescent="0.2">
      <c r="A217" s="54" t="s">
        <v>71</v>
      </c>
      <c r="B217" s="54">
        <f>IF(B194=2,IF(B207=1,1,0),0)</f>
        <v>1</v>
      </c>
      <c r="D217" s="58">
        <f>IF(D194=2,IF(D207=1,1,0),0)</f>
        <v>0</v>
      </c>
      <c r="E217" s="54">
        <f>IF(E194=2,IF(E207=1,1,0),0)</f>
        <v>0</v>
      </c>
      <c r="G217" s="58">
        <f>IF(G194=2,IF(G207=1,1,0),0)</f>
        <v>0</v>
      </c>
      <c r="H217" s="54">
        <f>IF(H194=2,IF(H207=1,1,0),0)</f>
        <v>0</v>
      </c>
      <c r="J217" s="58">
        <f>IF(J194=2,IF(J207=1,1,0),0)</f>
        <v>0</v>
      </c>
      <c r="K217" s="54">
        <f>IF(K194=2,IF(K207=1,1,0),0)</f>
        <v>1</v>
      </c>
      <c r="M217" s="58">
        <f>IF(M194=2,IF(M207=1,1,0),0)</f>
        <v>0</v>
      </c>
      <c r="N217" s="54">
        <f>IF(N194=2,IF(N207=1,1,0),0)</f>
        <v>0</v>
      </c>
      <c r="P217" s="58">
        <f>IF(P194=2,IF(P207=1,1,0),0)</f>
        <v>0</v>
      </c>
      <c r="Q217" s="54">
        <f>IF(Q194=2,IF(Q207=1,1,0),0)</f>
        <v>0</v>
      </c>
      <c r="S217" s="58">
        <f>IF(S194=2,IF(S207=1,1,0),0)</f>
        <v>0</v>
      </c>
      <c r="T217" s="54">
        <f>IF(T194=2,IF(T207=1,1,0),0)</f>
        <v>1</v>
      </c>
      <c r="V217" s="58">
        <f>IF(V194=2,IF(V207=1,1,0),0)</f>
        <v>0</v>
      </c>
      <c r="W217" s="54">
        <f>IF(W194=2,IF(W207=1,1,0),0)</f>
        <v>0</v>
      </c>
      <c r="Y217" s="58">
        <f>IF(Y194=2,IF(Y207=1,1,0),0)</f>
        <v>0</v>
      </c>
      <c r="Z217" s="54">
        <f>IF(Z194=2,IF(Z207=1,1,0),0)</f>
        <v>0</v>
      </c>
      <c r="AB217" s="58">
        <f>IF(AB194=2,IF(AB207=1,1,0),0)</f>
        <v>0</v>
      </c>
      <c r="AC217" s="54">
        <f>IF(AC194=2,IF(AC207=1,1,0),0)</f>
        <v>0</v>
      </c>
      <c r="AE217" s="58">
        <f>IF(AE194=2,IF(AE207=1,1,0),0)</f>
        <v>0</v>
      </c>
      <c r="AF217" s="54">
        <f>SUM(B217:AE217)</f>
        <v>3</v>
      </c>
      <c r="AG217" s="54">
        <f>AF223-AF217</f>
        <v>1</v>
      </c>
      <c r="AW217" s="146"/>
    </row>
    <row r="218" spans="1:49" s="54" customFormat="1" ht="12.75" hidden="1" customHeight="1" x14ac:dyDescent="0.2">
      <c r="A218" s="54" t="s">
        <v>72</v>
      </c>
      <c r="B218" s="54">
        <f>IF(B194=3,IF(B207=1,1,0),0)</f>
        <v>0</v>
      </c>
      <c r="D218" s="58">
        <f>IF(D194=3,IF(D207=1,1,0),0)</f>
        <v>0</v>
      </c>
      <c r="E218" s="54">
        <f>IF(E194=3,IF(E207=1,1,0),0)</f>
        <v>0</v>
      </c>
      <c r="G218" s="58">
        <f>IF(G194=3,IF(G207=1,1,0),0)</f>
        <v>0</v>
      </c>
      <c r="H218" s="54">
        <f>IF(H194=3,IF(H207=1,1,0),0)</f>
        <v>1</v>
      </c>
      <c r="J218" s="58">
        <f>IF(J194=3,IF(J207=1,1,0),0)</f>
        <v>0</v>
      </c>
      <c r="K218" s="54">
        <f>IF(K194=3,IF(K207=1,1,0),0)</f>
        <v>0</v>
      </c>
      <c r="M218" s="58">
        <f>IF(M194=3,IF(M207=1,1,0),0)</f>
        <v>0</v>
      </c>
      <c r="N218" s="54">
        <f>IF(N194=3,IF(N207=1,1,0),0)</f>
        <v>0</v>
      </c>
      <c r="P218" s="58">
        <f>IF(P194=3,IF(P207=1,1,0),0)</f>
        <v>0</v>
      </c>
      <c r="Q218" s="54">
        <f>IF(Q194=3,IF(Q207=1,1,0),0)</f>
        <v>0</v>
      </c>
      <c r="S218" s="58">
        <f>IF(S194=3,IF(S207=1,1,0),0)</f>
        <v>0</v>
      </c>
      <c r="T218" s="54">
        <f>IF(T194=3,IF(T207=1,1,0),0)</f>
        <v>0</v>
      </c>
      <c r="V218" s="58">
        <f>IF(V194=3,IF(V207=1,1,0),0)</f>
        <v>0</v>
      </c>
      <c r="W218" s="54">
        <f>IF(W194=3,IF(W207=1,1,0),0)</f>
        <v>0</v>
      </c>
      <c r="Y218" s="58">
        <f>IF(Y194=3,IF(Y207=1,1,0),0)</f>
        <v>0</v>
      </c>
      <c r="Z218" s="54">
        <f>IF(Z194=3,IF(Z207=1,1,0),0)</f>
        <v>0</v>
      </c>
      <c r="AB218" s="58">
        <f>IF(AB194=3,IF(AB207=1,1,0),0)</f>
        <v>0</v>
      </c>
      <c r="AC218" s="54">
        <f>IF(AC194=3,IF(AC207=1,1,0),0)</f>
        <v>0</v>
      </c>
      <c r="AE218" s="58">
        <f>IF(AE194=3,IF(AE207=1,1,0),0)</f>
        <v>0</v>
      </c>
      <c r="AF218" s="54">
        <f>SUM(B218:AE218)</f>
        <v>1</v>
      </c>
      <c r="AG218" s="54">
        <f>AF224-AF218</f>
        <v>3</v>
      </c>
      <c r="AW218" s="146"/>
    </row>
    <row r="219" spans="1:49" s="54" customFormat="1" ht="12.75" hidden="1" customHeight="1" x14ac:dyDescent="0.2">
      <c r="A219" s="54" t="s">
        <v>73</v>
      </c>
      <c r="B219" s="54">
        <f>IF(B194=4,IF(B207=1,1,0),0)</f>
        <v>0</v>
      </c>
      <c r="D219" s="58">
        <f>IF(D194=4,IF(D207=1,1,0),0)</f>
        <v>0</v>
      </c>
      <c r="E219" s="54">
        <f>IF(E194=4,IF(E207=1,1,0),0)</f>
        <v>0</v>
      </c>
      <c r="G219" s="58">
        <f>IF(G194=4,IF(G207=1,1,0),0)</f>
        <v>0</v>
      </c>
      <c r="H219" s="54">
        <f>IF(H194=4,IF(H207=1,1,0),0)</f>
        <v>0</v>
      </c>
      <c r="J219" s="58">
        <f>IF(J194=4,IF(J207=1,1,0),0)</f>
        <v>0</v>
      </c>
      <c r="K219" s="54">
        <f>IF(K194=4,IF(K207=1,1,0),0)</f>
        <v>0</v>
      </c>
      <c r="M219" s="58">
        <f>IF(M194=4,IF(M207=1,1,0),0)</f>
        <v>0</v>
      </c>
      <c r="N219" s="54">
        <f>IF(N194=4,IF(N207=1,1,0),0)</f>
        <v>0</v>
      </c>
      <c r="P219" s="58">
        <f>IF(P194=4,IF(P207=1,1,0),0)</f>
        <v>0</v>
      </c>
      <c r="Q219" s="54">
        <f>IF(Q194=4,IF(Q207=1,1,0),0)</f>
        <v>1</v>
      </c>
      <c r="S219" s="58">
        <f>IF(S194=4,IF(S207=1,1,0),0)</f>
        <v>0</v>
      </c>
      <c r="T219" s="54">
        <f>IF(T194=4,IF(T207=1,1,0),0)</f>
        <v>0</v>
      </c>
      <c r="V219" s="58">
        <f>IF(V194=4,IF(V207=1,1,0),0)</f>
        <v>0</v>
      </c>
      <c r="W219" s="54">
        <f>IF(W194=4,IF(W207=1,1,0),0)</f>
        <v>0</v>
      </c>
      <c r="Y219" s="58">
        <f>IF(Y194=4,IF(Y207=1,1,0),0)</f>
        <v>0</v>
      </c>
      <c r="Z219" s="54">
        <f>IF(Z194=4,IF(Z207=1,1,0),0)</f>
        <v>0</v>
      </c>
      <c r="AB219" s="58">
        <f>IF(AB194=4,IF(AB207=1,1,0),0)</f>
        <v>1</v>
      </c>
      <c r="AC219" s="54">
        <f>IF(AC194=4,IF(AC207=1,1,0),0)</f>
        <v>0</v>
      </c>
      <c r="AE219" s="58">
        <f>IF(AE194=4,IF(AE207=1,1,0),0)</f>
        <v>0</v>
      </c>
      <c r="AF219" s="54">
        <f>SUM(B219:AE219)</f>
        <v>2</v>
      </c>
      <c r="AG219" s="54">
        <f>AF225-AF219</f>
        <v>1</v>
      </c>
      <c r="AW219" s="146"/>
    </row>
    <row r="220" spans="1:49" s="54" customFormat="1" ht="12.75" hidden="1" customHeight="1" x14ac:dyDescent="0.2">
      <c r="A220" s="54" t="s">
        <v>74</v>
      </c>
      <c r="B220" s="54">
        <f>IF(B194=5,IF(B207=1,1,0),0)</f>
        <v>0</v>
      </c>
      <c r="D220" s="58">
        <f>IF(D194=5,IF(D207=1,1,0),0)</f>
        <v>0</v>
      </c>
      <c r="E220" s="54">
        <f>IF(E194=5,IF(E207=1,1,0),0)</f>
        <v>0</v>
      </c>
      <c r="G220" s="58">
        <f>IF(G194=5,IF(G207=1,1,0),0)</f>
        <v>0</v>
      </c>
      <c r="H220" s="54">
        <f>IF(H194=5,IF(H207=1,1,0),0)</f>
        <v>0</v>
      </c>
      <c r="J220" s="58">
        <f>IF(J194=5,IF(J207=1,1,0),0)</f>
        <v>0</v>
      </c>
      <c r="K220" s="54">
        <f>IF(K194=5,IF(K207=1,1,0),0)</f>
        <v>0</v>
      </c>
      <c r="M220" s="58">
        <f>IF(M194=5,IF(M207=1,1,0),0)</f>
        <v>0</v>
      </c>
      <c r="N220" s="54">
        <f>IF(N194=5,IF(N207=1,1,0),0)</f>
        <v>0</v>
      </c>
      <c r="P220" s="58">
        <f>IF(P194=5,IF(P207=1,1,0),0)</f>
        <v>0</v>
      </c>
      <c r="Q220" s="54">
        <f>IF(Q194=5,IF(Q207=1,1,0),0)</f>
        <v>0</v>
      </c>
      <c r="S220" s="58">
        <f>IF(S194=5,IF(S207=1,1,0),0)</f>
        <v>0</v>
      </c>
      <c r="T220" s="54">
        <f>IF(T194=5,IF(T207=1,1,0),0)</f>
        <v>0</v>
      </c>
      <c r="V220" s="58">
        <f>IF(V194=5,IF(V207=1,1,0),0)</f>
        <v>0</v>
      </c>
      <c r="W220" s="54">
        <f>IF(W194=5,IF(W207=1,1,0),0)</f>
        <v>0</v>
      </c>
      <c r="Y220" s="58">
        <f>IF(Y194=5,IF(Y207=1,1,0),0)</f>
        <v>1</v>
      </c>
      <c r="Z220" s="54">
        <f>IF(Z194=5,IF(Z207=1,1,0),0)</f>
        <v>0</v>
      </c>
      <c r="AB220" s="58">
        <f>IF(AB194=5,IF(AB207=1,1,0),0)</f>
        <v>0</v>
      </c>
      <c r="AC220" s="54">
        <f>IF(AC194=5,IF(AC207=1,1,0),0)</f>
        <v>0</v>
      </c>
      <c r="AE220" s="58">
        <f>IF(AE194=5,IF(AE207=1,1,0),0)</f>
        <v>0</v>
      </c>
      <c r="AF220" s="54">
        <f>SUM(B220:AE220)</f>
        <v>1</v>
      </c>
      <c r="AG220" s="54">
        <f>AF226-AF220</f>
        <v>3</v>
      </c>
      <c r="AW220" s="146"/>
    </row>
    <row r="221" spans="1:49" s="54" customFormat="1" ht="38.25" hidden="1" customHeight="1" x14ac:dyDescent="0.2">
      <c r="A221" s="57"/>
      <c r="D221" s="58"/>
      <c r="G221" s="58"/>
      <c r="J221" s="58"/>
      <c r="M221" s="58"/>
      <c r="P221" s="58"/>
      <c r="S221" s="58"/>
      <c r="V221" s="58"/>
      <c r="Y221" s="58"/>
      <c r="AB221" s="58"/>
      <c r="AE221" s="58"/>
      <c r="AF221" s="57" t="s">
        <v>75</v>
      </c>
      <c r="AW221" s="146"/>
    </row>
    <row r="222" spans="1:49" s="54" customFormat="1" ht="12.75" hidden="1" customHeight="1" x14ac:dyDescent="0.2">
      <c r="A222" s="54" t="s">
        <v>76</v>
      </c>
      <c r="B222" s="54">
        <f>IF(B194=1,IF(C207=1,1,0),0)</f>
        <v>0</v>
      </c>
      <c r="D222" s="58">
        <f>IF(D194=1,IF(C207=1,1,0),0)</f>
        <v>0</v>
      </c>
      <c r="E222" s="54">
        <f>IF(E194=1,IF(F207=1,1,0),0)</f>
        <v>0</v>
      </c>
      <c r="G222" s="58">
        <f>IF(G194=1,IF(F207=1,1,0),0)</f>
        <v>0</v>
      </c>
      <c r="H222" s="54">
        <f>IF(H194=1,IF(I207=1,1,0),0)</f>
        <v>0</v>
      </c>
      <c r="J222" s="58">
        <f>IF(J194=1,IF(I207=1,1,0),0)</f>
        <v>0</v>
      </c>
      <c r="K222" s="54">
        <f>IF(K194=1,IF(L207=1,1,0),0)</f>
        <v>0</v>
      </c>
      <c r="M222" s="58">
        <f>IF(M194=1,IF(L207=1,1,0),0)</f>
        <v>0</v>
      </c>
      <c r="N222" s="54">
        <f>IF(N194=1,IF(O207=1,1,0),0)</f>
        <v>1</v>
      </c>
      <c r="P222" s="58">
        <f>IF(P194=1,IF(O207=1,1,0),0)</f>
        <v>0</v>
      </c>
      <c r="Q222" s="54">
        <f>IF(Q194=1,IF(R207=1,1,0),0)</f>
        <v>0</v>
      </c>
      <c r="S222" s="58">
        <f>IF(S194=1,IF(R207=1,1,0),0)</f>
        <v>0</v>
      </c>
      <c r="T222" s="54">
        <f>IF(T194=1,IF(U207=1,1,0),0)</f>
        <v>0</v>
      </c>
      <c r="V222" s="58">
        <f>IF(V194=1,IF(U207=1,1,0),0)</f>
        <v>0</v>
      </c>
      <c r="W222" s="54">
        <f>IF(W194=1,IF(X207=1,1,0),0)</f>
        <v>1</v>
      </c>
      <c r="Y222" s="58">
        <f>IF(Y194=1,IF(X207=1,1,0),0)</f>
        <v>0</v>
      </c>
      <c r="Z222" s="54">
        <f>IF(Z194=1,IF(AA207=1,1,0),0)</f>
        <v>0</v>
      </c>
      <c r="AB222" s="58">
        <f>IF(AB194=1,IF(AA207=1,1,0),0)</f>
        <v>0</v>
      </c>
      <c r="AC222" s="54">
        <f>IF(AC194=1,IF(AD207=1,1,0),0)</f>
        <v>1</v>
      </c>
      <c r="AE222" s="58">
        <f>IF(AE194=1,IF(AD207=1,1,0),0)</f>
        <v>0</v>
      </c>
      <c r="AF222" s="54">
        <f>SUM(B222:AE222)</f>
        <v>3</v>
      </c>
      <c r="AW222" s="146"/>
    </row>
    <row r="223" spans="1:49" s="54" customFormat="1" ht="12.75" hidden="1" customHeight="1" x14ac:dyDescent="0.2">
      <c r="A223" s="54" t="s">
        <v>77</v>
      </c>
      <c r="B223" s="54">
        <f>IF(B194=2,IF(C207=1,1,0),0)</f>
        <v>1</v>
      </c>
      <c r="D223" s="58">
        <f>IF(D194=2,IF(C207=1,1,0),0)</f>
        <v>0</v>
      </c>
      <c r="E223" s="54">
        <f>IF(E194=2,IF(F207=1,1,0),0)</f>
        <v>0</v>
      </c>
      <c r="G223" s="58">
        <f>IF(G194=2,IF(F207=1,1,0),0)</f>
        <v>0</v>
      </c>
      <c r="H223" s="54">
        <f>IF(H194=2,IF(I207=1,1,0),0)</f>
        <v>0</v>
      </c>
      <c r="J223" s="58">
        <f>IF(J194=2,IF(I207=1,1,0),0)</f>
        <v>0</v>
      </c>
      <c r="K223" s="54">
        <f>IF(K194=2,IF(L207=1,1,0),0)</f>
        <v>1</v>
      </c>
      <c r="M223" s="58">
        <f>IF(M194=2,IF(L207=1,1,0),0)</f>
        <v>0</v>
      </c>
      <c r="N223" s="54">
        <f>IF(N194=2,IF(O207=1,1,0),0)</f>
        <v>0</v>
      </c>
      <c r="P223" s="58">
        <f>IF(P194=2,IF(O207=1,1,0),0)</f>
        <v>0</v>
      </c>
      <c r="Q223" s="54">
        <f>IF(Q194=2,IF(R207=1,1,0),0)</f>
        <v>0</v>
      </c>
      <c r="S223" s="58">
        <f>IF(S194=2,IF(R207=1,1,0),0)</f>
        <v>0</v>
      </c>
      <c r="T223" s="54">
        <f>IF(T194=2,IF(U207=1,1,0),0)</f>
        <v>1</v>
      </c>
      <c r="V223" s="58">
        <f>IF(V194=2,IF(U207=1,1,0),0)</f>
        <v>0</v>
      </c>
      <c r="W223" s="54">
        <f>IF(W194=2,IF(X207=1,1,0),0)</f>
        <v>0</v>
      </c>
      <c r="Y223" s="58">
        <f>IF(Y194=2,IF(X207=1,1,0),0)</f>
        <v>0</v>
      </c>
      <c r="Z223" s="54">
        <f>IF(Z194=2,IF(AA207=1,1,0),0)</f>
        <v>0</v>
      </c>
      <c r="AB223" s="58">
        <f>IF(AB194=2,IF(AA207=1,1,0),0)</f>
        <v>0</v>
      </c>
      <c r="AC223" s="54">
        <f>IF(AC194=2,IF(AD207=1,1,0),0)</f>
        <v>0</v>
      </c>
      <c r="AE223" s="58">
        <f>IF(AE194=2,IF(AD207=1,1,0),0)</f>
        <v>1</v>
      </c>
      <c r="AF223" s="54">
        <f>SUM(B223:AE223)</f>
        <v>4</v>
      </c>
      <c r="AW223" s="146"/>
    </row>
    <row r="224" spans="1:49" s="54" customFormat="1" ht="12.75" hidden="1" customHeight="1" x14ac:dyDescent="0.2">
      <c r="A224" s="54" t="s">
        <v>78</v>
      </c>
      <c r="B224" s="54">
        <f>IF(B194=3,IF(C207=1,1,0),0)</f>
        <v>0</v>
      </c>
      <c r="D224" s="58">
        <f>IF(D194=3,IF(C207=1,1,0),0)</f>
        <v>0</v>
      </c>
      <c r="E224" s="54">
        <f>IF(E194=3,IF(F207=1,1,0),0)</f>
        <v>0</v>
      </c>
      <c r="G224" s="58">
        <f>IF(G194=3,IF(F207=1,1,0),0)</f>
        <v>0</v>
      </c>
      <c r="H224" s="54">
        <f>IF(H194=3,IF(I207=1,1,0),0)</f>
        <v>1</v>
      </c>
      <c r="J224" s="58">
        <f>IF(J194=3,IF(I207=1,1,0),0)</f>
        <v>0</v>
      </c>
      <c r="K224" s="54">
        <f>IF(K194=3,IF(L207=1,1,0),0)</f>
        <v>0</v>
      </c>
      <c r="M224" s="58">
        <f>IF(M194=3,IF(L207=1,1,0),0)</f>
        <v>0</v>
      </c>
      <c r="N224" s="54">
        <f>IF(N194=3,IF(O207=1,1,0),0)</f>
        <v>0</v>
      </c>
      <c r="P224" s="58">
        <f>IF(P194=3,IF(O207=1,1,0),0)</f>
        <v>1</v>
      </c>
      <c r="Q224" s="54">
        <f>IF(Q194=3,IF(R207=1,1,0),0)</f>
        <v>0</v>
      </c>
      <c r="S224" s="58">
        <f>IF(S194=3,IF(R207=1,1,0),0)</f>
        <v>0</v>
      </c>
      <c r="T224" s="54">
        <f>IF(T194=3,IF(U207=1,1,0),0)</f>
        <v>0</v>
      </c>
      <c r="V224" s="58">
        <f>IF(V194=3,IF(U207=1,1,0),0)</f>
        <v>1</v>
      </c>
      <c r="W224" s="54">
        <f>IF(W194=3,IF(X207=1,1,0),0)</f>
        <v>0</v>
      </c>
      <c r="Y224" s="58">
        <f>IF(Y194=3,IF(X207=1,1,0),0)</f>
        <v>0</v>
      </c>
      <c r="Z224" s="54">
        <f>IF(Z194=3,IF(AA207=1,1,0),0)</f>
        <v>1</v>
      </c>
      <c r="AB224" s="58">
        <f>IF(AB194=3,IF(AA207=1,1,0),0)</f>
        <v>0</v>
      </c>
      <c r="AC224" s="54">
        <f>IF(AC194=3,IF(AD207=1,1,0),0)</f>
        <v>0</v>
      </c>
      <c r="AE224" s="58">
        <f>IF(AE194=3,IF(AD207=1,1,0),0)</f>
        <v>0</v>
      </c>
      <c r="AF224" s="54">
        <f>SUM(B224:AE224)</f>
        <v>4</v>
      </c>
      <c r="AW224" s="146"/>
    </row>
    <row r="225" spans="1:49" s="54" customFormat="1" ht="12.75" hidden="1" customHeight="1" x14ac:dyDescent="0.2">
      <c r="A225" s="54" t="s">
        <v>79</v>
      </c>
      <c r="B225" s="54">
        <f>IF(B194=4,IF(C207=1,1,0),0)</f>
        <v>0</v>
      </c>
      <c r="D225" s="58">
        <f>IF(D194=4,IF(C207=1,1,0),0)</f>
        <v>0</v>
      </c>
      <c r="E225" s="54">
        <f>IF(E194=4,IF(F207=1,1,0),0)</f>
        <v>0</v>
      </c>
      <c r="G225" s="58">
        <f>IF(G194=4,IF(F207=1,1,0),0)</f>
        <v>0</v>
      </c>
      <c r="H225" s="54">
        <f>IF(H194=4,IF(I207=1,1,0),0)</f>
        <v>0</v>
      </c>
      <c r="J225" s="58">
        <f>IF(J194=4,IF(I207=1,1,0),0)</f>
        <v>0</v>
      </c>
      <c r="K225" s="54">
        <f>IF(K194=4,IF(L207=1,1,0),0)</f>
        <v>0</v>
      </c>
      <c r="M225" s="58">
        <f>IF(M194=4,IF(L207=1,1,0),0)</f>
        <v>1</v>
      </c>
      <c r="N225" s="54">
        <f>IF(N194=4,IF(O207=1,1,0),0)</f>
        <v>0</v>
      </c>
      <c r="P225" s="58">
        <f>IF(P194=4,IF(O207=1,1,0),0)</f>
        <v>0</v>
      </c>
      <c r="Q225" s="54">
        <f>IF(Q194=4,IF(R207=1,1,0),0)</f>
        <v>1</v>
      </c>
      <c r="S225" s="58">
        <f>IF(S194=4,IF(R207=1,1,0),0)</f>
        <v>0</v>
      </c>
      <c r="T225" s="54">
        <f>IF(T194=4,IF(U207=1,1,0),0)</f>
        <v>0</v>
      </c>
      <c r="V225" s="58">
        <f>IF(V194=4,IF(U207=1,1,0),0)</f>
        <v>0</v>
      </c>
      <c r="W225" s="54">
        <f>IF(W194=4,IF(X207=1,1,0),0)</f>
        <v>0</v>
      </c>
      <c r="Y225" s="58">
        <f>IF(Y194=4,IF(X207=1,1,0),0)</f>
        <v>0</v>
      </c>
      <c r="Z225" s="54">
        <f>IF(Z194=4,IF(AA207=1,1,0),0)</f>
        <v>0</v>
      </c>
      <c r="AB225" s="58">
        <f>IF(AB194=4,IF(AA207=1,1,0),0)</f>
        <v>1</v>
      </c>
      <c r="AC225" s="54">
        <f>IF(AC194=4,IF(AD207=1,1,0),0)</f>
        <v>0</v>
      </c>
      <c r="AE225" s="58">
        <f>IF(AE194=4,IF(AD207=1,1,0),0)</f>
        <v>0</v>
      </c>
      <c r="AF225" s="54">
        <f>SUM(B225:AE225)</f>
        <v>3</v>
      </c>
      <c r="AW225" s="146"/>
    </row>
    <row r="226" spans="1:49" s="54" customFormat="1" ht="12.75" hidden="1" customHeight="1" x14ac:dyDescent="0.2">
      <c r="A226" s="54" t="s">
        <v>80</v>
      </c>
      <c r="B226" s="54">
        <f>IF(B194=5,IF(C207=1,1,0),0)</f>
        <v>0</v>
      </c>
      <c r="D226" s="58">
        <f>IF(D194=5,IF(C207=1,1,0),0)</f>
        <v>1</v>
      </c>
      <c r="E226" s="54">
        <f>IF(E194=5,IF(F207=1,1,0),0)</f>
        <v>0</v>
      </c>
      <c r="G226" s="58">
        <f>IF(G194=5,IF(F207=1,1,0),0)</f>
        <v>0</v>
      </c>
      <c r="H226" s="54">
        <f>IF(H194=5,IF(I207=1,1,0),0)</f>
        <v>0</v>
      </c>
      <c r="J226" s="58">
        <f>IF(J194=5,IF(I207=1,1,0),0)</f>
        <v>1</v>
      </c>
      <c r="K226" s="54">
        <f>IF(K194=5,IF(L207=1,1,0),0)</f>
        <v>0</v>
      </c>
      <c r="M226" s="58">
        <f>IF(M194=5,IF(L207=1,1,0),0)</f>
        <v>0</v>
      </c>
      <c r="N226" s="54">
        <f>IF(N194=5,IF(O207=1,1,0),0)</f>
        <v>0</v>
      </c>
      <c r="P226" s="58">
        <f>IF(P194=5,IF(O207=1,1,0),0)</f>
        <v>0</v>
      </c>
      <c r="Q226" s="54">
        <f>IF(Q194=5,IF(R207=1,1,0),0)</f>
        <v>0</v>
      </c>
      <c r="S226" s="58">
        <f>IF(S194=5,IF(R207=1,1,0),0)</f>
        <v>1</v>
      </c>
      <c r="T226" s="54">
        <f>IF(T194=5,IF(U207=1,1,0),0)</f>
        <v>0</v>
      </c>
      <c r="V226" s="58">
        <f>IF(V194=5,IF(U207=1,1,0),0)</f>
        <v>0</v>
      </c>
      <c r="W226" s="54">
        <f>IF(W194=5,IF(X207=1,1,0),0)</f>
        <v>0</v>
      </c>
      <c r="Y226" s="58">
        <f>IF(Y194=5,IF(X207=1,1,0),0)</f>
        <v>1</v>
      </c>
      <c r="Z226" s="54">
        <f>IF(Z194=5,IF(AA207=1,1,0),0)</f>
        <v>0</v>
      </c>
      <c r="AB226" s="58">
        <f>IF(AB194=5,IF(AA207=1,1,0),0)</f>
        <v>0</v>
      </c>
      <c r="AC226" s="54">
        <f>IF(AC194=5,IF(AD207=1,1,0),0)</f>
        <v>0</v>
      </c>
      <c r="AE226" s="58">
        <f>IF(AE194=5,IF(AD207=1,1,0),0)</f>
        <v>0</v>
      </c>
      <c r="AF226" s="54">
        <f>SUM(B226:AE226)</f>
        <v>4</v>
      </c>
      <c r="AW226" s="146"/>
    </row>
    <row r="227" spans="1:49" s="54" customFormat="1" ht="38.25" hidden="1" customHeight="1" x14ac:dyDescent="0.2">
      <c r="A227" s="57"/>
      <c r="D227" s="58"/>
      <c r="G227" s="58"/>
      <c r="J227" s="58"/>
      <c r="M227" s="58"/>
      <c r="P227" s="58"/>
      <c r="S227" s="58"/>
      <c r="V227" s="58"/>
      <c r="Y227" s="58"/>
      <c r="AB227" s="58"/>
      <c r="AE227" s="58"/>
      <c r="AF227" s="57" t="s">
        <v>81</v>
      </c>
      <c r="AG227" s="789"/>
      <c r="AH227" s="789"/>
      <c r="AI227" s="789"/>
      <c r="AJ227" s="789"/>
      <c r="AK227" s="789"/>
      <c r="AW227" s="146"/>
    </row>
    <row r="228" spans="1:49" s="54" customFormat="1" ht="12.75" hidden="1" customHeight="1" x14ac:dyDescent="0.2">
      <c r="A228" s="54" t="s">
        <v>76</v>
      </c>
      <c r="B228" s="54">
        <f>IF(B194=1,B214,0)</f>
        <v>0</v>
      </c>
      <c r="D228" s="58">
        <f>IF(D194=1,B214,0)</f>
        <v>0</v>
      </c>
      <c r="E228" s="54">
        <f>IF(E194=1,E214,0)</f>
        <v>50</v>
      </c>
      <c r="G228" s="58">
        <f>IF(G194=1,E214,0)</f>
        <v>0</v>
      </c>
      <c r="H228" s="54">
        <f>IF(H194=1,H214,0)</f>
        <v>0</v>
      </c>
      <c r="J228" s="58">
        <f>IF(J194=1,H214,0)</f>
        <v>0</v>
      </c>
      <c r="K228" s="54">
        <f>IF(K194=1,K214,0)</f>
        <v>0</v>
      </c>
      <c r="M228" s="58">
        <f>IF(M194=1,K214,0)</f>
        <v>0</v>
      </c>
      <c r="N228" s="54">
        <f>IF(N194=1,N214,0)</f>
        <v>50</v>
      </c>
      <c r="P228" s="58">
        <f>IF(P194=1,N214,0)</f>
        <v>0</v>
      </c>
      <c r="Q228" s="54">
        <f>IF(Q194=1,Q214,0)</f>
        <v>0</v>
      </c>
      <c r="S228" s="58">
        <f>IF(S194=1,Q214,0)</f>
        <v>0</v>
      </c>
      <c r="T228" s="54">
        <f>IF(T194=1,T214,0)</f>
        <v>0</v>
      </c>
      <c r="V228" s="58">
        <f>IF(V194=1,T214,0)</f>
        <v>0</v>
      </c>
      <c r="W228" s="54">
        <f>IF(W194=1,W214,0)</f>
        <v>50</v>
      </c>
      <c r="Y228" s="58">
        <f>IF(Y194=1,W214,0)</f>
        <v>0</v>
      </c>
      <c r="Z228" s="54">
        <f>IF(Z194=1,Z214,0)</f>
        <v>0</v>
      </c>
      <c r="AB228" s="58">
        <f>IF(AB194=1,Z214,0)</f>
        <v>0</v>
      </c>
      <c r="AC228" s="54">
        <f>IF(AC194=1,AC214,0)</f>
        <v>50</v>
      </c>
      <c r="AE228" s="58">
        <f>IF(AE194=1,AC214,0)</f>
        <v>0</v>
      </c>
      <c r="AF228" s="54">
        <f>SUM(B228:AE228)</f>
        <v>200</v>
      </c>
      <c r="AW228" s="146"/>
    </row>
    <row r="229" spans="1:49" s="54" customFormat="1" ht="12.75" hidden="1" customHeight="1" x14ac:dyDescent="0.2">
      <c r="A229" s="54" t="s">
        <v>77</v>
      </c>
      <c r="B229" s="54">
        <f>IF(B194=2,B214,0)</f>
        <v>50</v>
      </c>
      <c r="D229" s="58">
        <f>IF(D194=2,B214,0)</f>
        <v>0</v>
      </c>
      <c r="E229" s="54">
        <f>IF(E194=2,E214,0)</f>
        <v>0</v>
      </c>
      <c r="G229" s="58">
        <f>IF(G194=2,E214,0)</f>
        <v>0</v>
      </c>
      <c r="H229" s="54">
        <f>IF(H194=2,H214,0)</f>
        <v>0</v>
      </c>
      <c r="J229" s="58">
        <f>IF(J194=2,H214,0)</f>
        <v>0</v>
      </c>
      <c r="K229" s="54">
        <f>IF(K194=2,K214,0)</f>
        <v>51</v>
      </c>
      <c r="M229" s="58">
        <f>IF(M194=2,K214,0)</f>
        <v>0</v>
      </c>
      <c r="N229" s="54">
        <f>IF(N194=2,N214,0)</f>
        <v>0</v>
      </c>
      <c r="P229" s="58">
        <f>IF(P194=2,N214,0)</f>
        <v>0</v>
      </c>
      <c r="Q229" s="54">
        <f>IF(Q194=2,Q214,0)</f>
        <v>0</v>
      </c>
      <c r="S229" s="58">
        <f>IF(S194=2,Q214,0)</f>
        <v>0</v>
      </c>
      <c r="T229" s="54">
        <f>IF(T194=2,T214,0)</f>
        <v>50</v>
      </c>
      <c r="V229" s="58">
        <f>IF(V194=2,T214,0)</f>
        <v>0</v>
      </c>
      <c r="W229" s="54">
        <f>IF(W194=2,W214,0)</f>
        <v>0</v>
      </c>
      <c r="Y229" s="58">
        <f>IF(Y194=2,W214,0)</f>
        <v>0</v>
      </c>
      <c r="Z229" s="54">
        <f>IF(Z194=2,Z214,0)</f>
        <v>0</v>
      </c>
      <c r="AB229" s="58">
        <f>IF(AB194=2,Z214,0)</f>
        <v>0</v>
      </c>
      <c r="AC229" s="54">
        <f>IF(AC194=2,AC214,0)</f>
        <v>0</v>
      </c>
      <c r="AE229" s="58">
        <f>IF(AE194=2,AC214,0)</f>
        <v>50</v>
      </c>
      <c r="AF229" s="54">
        <f>SUM(B229:AE229)</f>
        <v>201</v>
      </c>
      <c r="AW229" s="146"/>
    </row>
    <row r="230" spans="1:49" s="54" customFormat="1" ht="12.75" hidden="1" customHeight="1" x14ac:dyDescent="0.2">
      <c r="A230" s="54" t="s">
        <v>78</v>
      </c>
      <c r="B230" s="54">
        <f>IF(B194=3,B214,0)</f>
        <v>0</v>
      </c>
      <c r="D230" s="58">
        <f>IF(D194=3,B214,0)</f>
        <v>0</v>
      </c>
      <c r="E230" s="54">
        <f>IF(E194=3,E214,0)</f>
        <v>0</v>
      </c>
      <c r="G230" s="58">
        <f>IF(G194=3,E214,0)</f>
        <v>0</v>
      </c>
      <c r="H230" s="54">
        <f>IF(H194=3,H214,0)</f>
        <v>50</v>
      </c>
      <c r="J230" s="58">
        <f>IF(J194=3,H214,0)</f>
        <v>0</v>
      </c>
      <c r="K230" s="54">
        <f>IF(K194=3,K214,0)</f>
        <v>0</v>
      </c>
      <c r="M230" s="58">
        <f>IF(M194=3,K214,0)</f>
        <v>0</v>
      </c>
      <c r="N230" s="54">
        <f>IF(N194=3,N214,0)</f>
        <v>0</v>
      </c>
      <c r="P230" s="58">
        <f>IF(P194=3,N214,0)</f>
        <v>50</v>
      </c>
      <c r="Q230" s="54">
        <f>IF(Q194=3,Q214,0)</f>
        <v>0</v>
      </c>
      <c r="S230" s="58">
        <f>IF(S194=3,Q214,0)</f>
        <v>0</v>
      </c>
      <c r="T230" s="54">
        <f>IF(T194=3,T214,0)</f>
        <v>0</v>
      </c>
      <c r="V230" s="58">
        <f>IF(V194=3,T214,0)</f>
        <v>50</v>
      </c>
      <c r="W230" s="54">
        <f>IF(W194=3,W214,0)</f>
        <v>0</v>
      </c>
      <c r="Y230" s="58">
        <f>IF(Y194=3,W214,0)</f>
        <v>0</v>
      </c>
      <c r="Z230" s="54">
        <f>IF(Z194=3,Z214,0)</f>
        <v>50</v>
      </c>
      <c r="AB230" s="58">
        <f>IF(AB194=3,Z214,0)</f>
        <v>0</v>
      </c>
      <c r="AC230" s="54">
        <f>IF(AC194=3,AC214,0)</f>
        <v>0</v>
      </c>
      <c r="AE230" s="58">
        <f>IF(AE194=3,AC214,0)</f>
        <v>0</v>
      </c>
      <c r="AF230" s="54">
        <f>SUM(B230:AE230)</f>
        <v>200</v>
      </c>
      <c r="AW230" s="146"/>
    </row>
    <row r="231" spans="1:49" s="54" customFormat="1" ht="12.75" hidden="1" customHeight="1" x14ac:dyDescent="0.2">
      <c r="A231" s="54" t="s">
        <v>79</v>
      </c>
      <c r="B231" s="54">
        <f>IF(B194=4,B214,0)</f>
        <v>0</v>
      </c>
      <c r="D231" s="58">
        <f>IF(D194=4,B214,0)</f>
        <v>0</v>
      </c>
      <c r="E231" s="54">
        <f>IF(E194=4,E214,0)</f>
        <v>0</v>
      </c>
      <c r="G231" s="58">
        <f>IF(G194=4,E214,0)</f>
        <v>50</v>
      </c>
      <c r="H231" s="54">
        <f>IF(H194=4,H214,0)</f>
        <v>0</v>
      </c>
      <c r="J231" s="58">
        <f>IF(J194=4,H214,0)</f>
        <v>0</v>
      </c>
      <c r="K231" s="54">
        <f>IF(K194=4,K214,0)</f>
        <v>0</v>
      </c>
      <c r="M231" s="58">
        <f>IF(M194=4,K214,0)</f>
        <v>51</v>
      </c>
      <c r="N231" s="54">
        <f>IF(N194=4,N214,0)</f>
        <v>0</v>
      </c>
      <c r="P231" s="58">
        <f>IF(P194=4,N214,0)</f>
        <v>0</v>
      </c>
      <c r="Q231" s="54">
        <f>IF(Q194=4,Q214,0)</f>
        <v>50</v>
      </c>
      <c r="S231" s="58">
        <f>IF(S194=4,Q214,0)</f>
        <v>0</v>
      </c>
      <c r="T231" s="54">
        <f>IF(T194=4,T214,0)</f>
        <v>0</v>
      </c>
      <c r="V231" s="58">
        <f>IF(V194=4,T214,0)</f>
        <v>0</v>
      </c>
      <c r="W231" s="54">
        <f>IF(W194=4,W214,0)</f>
        <v>0</v>
      </c>
      <c r="Y231" s="58">
        <f>IF(Y194=4,W214,0)</f>
        <v>0</v>
      </c>
      <c r="Z231" s="54">
        <f>IF(Z194=4,Z214,0)</f>
        <v>0</v>
      </c>
      <c r="AB231" s="58">
        <f>IF(AB194=4,Z214,0)</f>
        <v>50</v>
      </c>
      <c r="AC231" s="54">
        <f>IF(AC194=4,AC214,0)</f>
        <v>0</v>
      </c>
      <c r="AE231" s="58">
        <f>IF(AE194=4,AC214,0)</f>
        <v>0</v>
      </c>
      <c r="AF231" s="54">
        <f>SUM(B231:AE231)</f>
        <v>201</v>
      </c>
      <c r="AW231" s="146"/>
    </row>
    <row r="232" spans="1:49" s="54" customFormat="1" ht="12.75" hidden="1" customHeight="1" x14ac:dyDescent="0.2">
      <c r="A232" s="54" t="s">
        <v>80</v>
      </c>
      <c r="B232" s="54">
        <f>IF(B194=5,B214,0)</f>
        <v>0</v>
      </c>
      <c r="D232" s="58">
        <f>IF(D194=5,B214,0)</f>
        <v>50</v>
      </c>
      <c r="E232" s="54">
        <f>IF(E194=5,E214,0)</f>
        <v>0</v>
      </c>
      <c r="G232" s="58">
        <f>IF(G194=5,E214,0)</f>
        <v>0</v>
      </c>
      <c r="H232" s="54">
        <f>IF(H194=5,H214,0)</f>
        <v>0</v>
      </c>
      <c r="J232" s="58">
        <f>IF(J194=5,H214,0)</f>
        <v>50</v>
      </c>
      <c r="K232" s="54">
        <f>IF(K194=5,K214,0)</f>
        <v>0</v>
      </c>
      <c r="M232" s="58">
        <f>IF(M194=5,K214,0)</f>
        <v>0</v>
      </c>
      <c r="N232" s="54">
        <f>IF(N194=5,N214,0)</f>
        <v>0</v>
      </c>
      <c r="P232" s="58">
        <f>IF(P194=5,N214,0)</f>
        <v>0</v>
      </c>
      <c r="Q232" s="54">
        <f>IF(Q194=5,Q214,0)</f>
        <v>0</v>
      </c>
      <c r="S232" s="58">
        <f>IF(S194=5,Q214,0)</f>
        <v>50</v>
      </c>
      <c r="T232" s="54">
        <f>IF(T194=5,T214,0)</f>
        <v>0</v>
      </c>
      <c r="V232" s="58">
        <f>IF(V194=5,T214,0)</f>
        <v>0</v>
      </c>
      <c r="W232" s="54">
        <f>IF(W194=5,W214,0)</f>
        <v>0</v>
      </c>
      <c r="Y232" s="58">
        <f>IF(Y194=5,W214,0)</f>
        <v>50</v>
      </c>
      <c r="Z232" s="54">
        <f>IF(Z194=5,Z214,0)</f>
        <v>0</v>
      </c>
      <c r="AB232" s="58">
        <f>IF(AB194=5,Z214,0)</f>
        <v>0</v>
      </c>
      <c r="AC232" s="54">
        <f>IF(AC194=5,AC214,0)</f>
        <v>0</v>
      </c>
      <c r="AE232" s="58">
        <f>IF(AE194=5,AC214,0)</f>
        <v>0</v>
      </c>
      <c r="AF232" s="54">
        <f>SUM(B232:AE232)</f>
        <v>200</v>
      </c>
      <c r="AW232" s="146"/>
    </row>
    <row r="233" spans="1:49" s="54" customFormat="1" ht="38.25" hidden="1" customHeight="1" x14ac:dyDescent="0.2">
      <c r="A233" s="54" t="s">
        <v>82</v>
      </c>
      <c r="D233" s="58"/>
      <c r="G233" s="58"/>
      <c r="J233" s="58"/>
      <c r="M233" s="58"/>
      <c r="P233" s="58"/>
      <c r="S233" s="58"/>
      <c r="V233" s="58"/>
      <c r="Y233" s="58"/>
      <c r="AB233" s="58"/>
      <c r="AE233" s="58"/>
      <c r="AF233" s="57" t="s">
        <v>83</v>
      </c>
      <c r="AG233" s="54" t="s">
        <v>84</v>
      </c>
      <c r="AW233" s="146"/>
    </row>
    <row r="234" spans="1:49" s="54" customFormat="1" ht="12.75" hidden="1" customHeight="1" x14ac:dyDescent="0.2">
      <c r="A234" s="54" t="s">
        <v>70</v>
      </c>
      <c r="B234" s="54">
        <f>IF(B194=1,SUMIF(B201:B205,"&gt;0"),0)</f>
        <v>0</v>
      </c>
      <c r="D234" s="58">
        <f>IF(D194=1,SUMIF(D201:D205,"&gt;0"),0)</f>
        <v>0</v>
      </c>
      <c r="E234" s="54">
        <f>IF(E194=1,SUMIF(E201:E205,"&gt;0"),0)</f>
        <v>1</v>
      </c>
      <c r="G234" s="58">
        <f>IF(G194=1,SUMIF(G201:G205,"&gt;0"),0)</f>
        <v>0</v>
      </c>
      <c r="H234" s="54">
        <f>IF(H194=1,SUMIF(H201:H205,"&gt;0"),0)</f>
        <v>0</v>
      </c>
      <c r="J234" s="58">
        <f>IF(J194=1,SUMIF(J201:J205,"&gt;0"),0)</f>
        <v>0</v>
      </c>
      <c r="K234" s="54">
        <f>IF(K194=1,SUMIF(K201:K205,"&gt;0"),0)</f>
        <v>0</v>
      </c>
      <c r="M234" s="58">
        <f>IF(M194=1,SUMIF(M201:M205,"&gt;0"),0)</f>
        <v>0</v>
      </c>
      <c r="N234" s="54">
        <f>IF(N194=1,SUMIF(N201:N205,"&gt;0"),0)</f>
        <v>2</v>
      </c>
      <c r="P234" s="58">
        <f>IF(P194=1,SUMIF(P201:P205,"&gt;0"),0)</f>
        <v>0</v>
      </c>
      <c r="Q234" s="54">
        <f>IF(Q194=1,SUMIF(Q201:Q205,"&gt;0"),0)</f>
        <v>0</v>
      </c>
      <c r="S234" s="58">
        <f>IF(S194=1,SUMIF(S201:S205,"&gt;0"),0)</f>
        <v>0</v>
      </c>
      <c r="T234" s="54">
        <f>IF(T194=1,SUMIF(T201:T205,"&gt;0"),0)</f>
        <v>0</v>
      </c>
      <c r="V234" s="58">
        <f>IF(V194=1,SUMIF(V201:V205,"&gt;0"),0)</f>
        <v>0</v>
      </c>
      <c r="W234" s="54">
        <f>IF(W194=1,SUMIF(W201:W205,"&gt;0"),0)</f>
        <v>0</v>
      </c>
      <c r="Y234" s="58">
        <f>IF(Y194=1,SUMIF(Y201:Y205,"&gt;0"),0)</f>
        <v>0</v>
      </c>
      <c r="Z234" s="54">
        <f>IF(Z194=1,SUMIF(Z201:Z205,"&gt;0"),0)</f>
        <v>0</v>
      </c>
      <c r="AB234" s="58">
        <f>IF(AB194=1,SUMIF(AB201:AB205,"&gt;0"),0)</f>
        <v>0</v>
      </c>
      <c r="AC234" s="54">
        <f>IF(AC194=1,SUMIF(AC201:AC205,"&gt;0"),0)</f>
        <v>2</v>
      </c>
      <c r="AE234" s="58">
        <f>IF(AE194=1,SUMIF(AE201:AE205,"&gt;0"),0)</f>
        <v>0</v>
      </c>
      <c r="AF234" s="54">
        <f>SUM(B234:AE234)</f>
        <v>5</v>
      </c>
      <c r="AG234" s="54">
        <f>AF242-AF234</f>
        <v>3</v>
      </c>
      <c r="AW234" s="146"/>
    </row>
    <row r="235" spans="1:49" s="54" customFormat="1" ht="12.75" hidden="1" customHeight="1" x14ac:dyDescent="0.2">
      <c r="A235" s="54" t="s">
        <v>71</v>
      </c>
      <c r="B235" s="54">
        <f>IF(B194=2,SUMIF(B201:B205,"&gt;0"),0)</f>
        <v>2</v>
      </c>
      <c r="D235" s="58">
        <f>IF(D194=2,SUMIF(D201:D205,"&gt;0"),0)</f>
        <v>0</v>
      </c>
      <c r="E235" s="54">
        <f>IF(E194=2,SUMIF(E201:E205,"&gt;0"),0)</f>
        <v>0</v>
      </c>
      <c r="G235" s="58">
        <f>IF(G194=2,SUMIF(G201:G205,"&gt;0"),0)</f>
        <v>0</v>
      </c>
      <c r="H235" s="54">
        <f>IF(H194=2,SUMIF(H201:H205,"&gt;0"),0)</f>
        <v>0</v>
      </c>
      <c r="J235" s="58">
        <f>IF(J194=2,SUMIF(J201:J205,"&gt;0"),0)</f>
        <v>0</v>
      </c>
      <c r="K235" s="54">
        <f>IF(K194=2,SUMIF(K201:K205,"&gt;0"),0)</f>
        <v>2</v>
      </c>
      <c r="M235" s="58">
        <f>IF(M194=2,SUMIF(M201:M205,"&gt;0"),0)</f>
        <v>0</v>
      </c>
      <c r="N235" s="54">
        <f>IF(N194=2,SUMIF(N201:N205,"&gt;0"),0)</f>
        <v>0</v>
      </c>
      <c r="P235" s="58">
        <f>IF(P194=2,SUMIF(P201:P205,"&gt;0"),0)</f>
        <v>0</v>
      </c>
      <c r="Q235" s="54">
        <f>IF(Q194=2,SUMIF(Q201:Q205,"&gt;0"),0)</f>
        <v>0</v>
      </c>
      <c r="S235" s="58">
        <f>IF(S194=2,SUMIF(S201:S205,"&gt;0"),0)</f>
        <v>0</v>
      </c>
      <c r="T235" s="54">
        <f>IF(T194=2,SUMIF(T201:T205,"&gt;0"),0)</f>
        <v>2</v>
      </c>
      <c r="V235" s="58">
        <f>IF(V194=2,SUMIF(V201:V205,"&gt;0"),0)</f>
        <v>0</v>
      </c>
      <c r="W235" s="54">
        <f>IF(W194=2,SUMIF(W201:W205,"&gt;0"),0)</f>
        <v>0</v>
      </c>
      <c r="Y235" s="58">
        <f>IF(Y194=2,SUMIF(Y201:Y205,"&gt;0"),0)</f>
        <v>0</v>
      </c>
      <c r="Z235" s="54">
        <f>IF(Z194=2,SUMIF(Z201:Z205,"&gt;0"),0)</f>
        <v>0</v>
      </c>
      <c r="AB235" s="58">
        <f>IF(AB194=2,SUMIF(AB201:AB205,"&gt;0"),0)</f>
        <v>0</v>
      </c>
      <c r="AC235" s="54">
        <f>IF(AC194=2,SUMIF(AC201:AC205,"&gt;0"),0)</f>
        <v>0</v>
      </c>
      <c r="AE235" s="58">
        <f>IF(AE194=2,SUMIF(AE201:AE205,"&gt;0"),0)</f>
        <v>0</v>
      </c>
      <c r="AF235" s="54">
        <f>SUM(B235:AE235)</f>
        <v>6</v>
      </c>
      <c r="AG235" s="54">
        <f>AF243-AF235</f>
        <v>2</v>
      </c>
      <c r="AW235" s="146"/>
    </row>
    <row r="236" spans="1:49" s="54" customFormat="1" ht="12.75" hidden="1" customHeight="1" x14ac:dyDescent="0.2">
      <c r="A236" s="54" t="s">
        <v>72</v>
      </c>
      <c r="B236" s="54">
        <f>IF(B194=3,SUMIF(B201:B205,"&gt;0"),0)</f>
        <v>0</v>
      </c>
      <c r="D236" s="58">
        <f>IF(D194=3,SUMIF(D201:D205,"&gt;0"),0)</f>
        <v>0</v>
      </c>
      <c r="E236" s="54">
        <f>IF(E194=3,SUMIF(E201:E205,"&gt;0"),0)</f>
        <v>0</v>
      </c>
      <c r="G236" s="58">
        <f>IF(G194=3,SUMIF(G201:G205,"&gt;0"),0)</f>
        <v>0</v>
      </c>
      <c r="H236" s="54">
        <f>IF(H194=3,SUMIF(H201:H205,"&gt;0"),0)</f>
        <v>2</v>
      </c>
      <c r="J236" s="58">
        <f>IF(J194=3,SUMIF(J201:J205,"&gt;0"),0)</f>
        <v>0</v>
      </c>
      <c r="K236" s="54">
        <f>IF(K194=3,SUMIF(K201:K205,"&gt;0"),0)</f>
        <v>0</v>
      </c>
      <c r="M236" s="58">
        <f>IF(M194=3,SUMIF(M201:M205,"&gt;0"),0)</f>
        <v>0</v>
      </c>
      <c r="N236" s="54">
        <f>IF(N194=3,SUMIF(N201:N205,"&gt;0"),0)</f>
        <v>0</v>
      </c>
      <c r="P236" s="58">
        <f>IF(P194=3,SUMIF(P201:P205,"&gt;0"),0)</f>
        <v>0</v>
      </c>
      <c r="Q236" s="54">
        <f>IF(Q194=3,SUMIF(Q201:Q205,"&gt;0"),0)</f>
        <v>0</v>
      </c>
      <c r="S236" s="58">
        <f>IF(S194=3,SUMIF(S201:S205,"&gt;0"),0)</f>
        <v>0</v>
      </c>
      <c r="T236" s="54">
        <f>IF(T194=3,SUMIF(T201:T205,"&gt;0"),0)</f>
        <v>0</v>
      </c>
      <c r="V236" s="58">
        <f>IF(V194=3,SUMIF(V201:V205,"&gt;0"),0)</f>
        <v>0</v>
      </c>
      <c r="W236" s="54">
        <f>IF(W194=3,SUMIF(W201:W205,"&gt;0"),0)</f>
        <v>0</v>
      </c>
      <c r="Y236" s="58">
        <f>IF(Y194=3,SUMIF(Y201:Y205,"&gt;0"),0)</f>
        <v>0</v>
      </c>
      <c r="Z236" s="54">
        <f>IF(Z194=3,SUMIF(Z201:Z205,"&gt;0"),0)</f>
        <v>0</v>
      </c>
      <c r="AB236" s="58">
        <f>IF(AB194=3,SUMIF(AB201:AB205,"&gt;0"),0)</f>
        <v>0</v>
      </c>
      <c r="AC236" s="54">
        <f>IF(AC194=3,SUMIF(AC201:AC205,"&gt;0"),0)</f>
        <v>0</v>
      </c>
      <c r="AE236" s="58">
        <f>IF(AE194=3,SUMIF(AE201:AE205,"&gt;0"),0)</f>
        <v>0</v>
      </c>
      <c r="AF236" s="54">
        <f>SUM(B236:AE236)</f>
        <v>2</v>
      </c>
      <c r="AG236" s="54">
        <f>AF244-AF236</f>
        <v>6</v>
      </c>
      <c r="AW236" s="146"/>
    </row>
    <row r="237" spans="1:49" s="54" customFormat="1" ht="12.75" hidden="1" customHeight="1" x14ac:dyDescent="0.2">
      <c r="A237" s="54" t="s">
        <v>73</v>
      </c>
      <c r="B237" s="54">
        <f>IF(B194=4,SUMIF(B201:B205,"&gt;0"),0)</f>
        <v>0</v>
      </c>
      <c r="D237" s="58">
        <f>IF(D194=4,SUMIF(D201:D205,"&gt;0"),0)</f>
        <v>0</v>
      </c>
      <c r="E237" s="54">
        <f>IF(E194=4,SUMIF(E201:E205,"&gt;0"),0)</f>
        <v>0</v>
      </c>
      <c r="G237" s="58">
        <f>IF(G194=4,SUMIF(G201:G205,"&gt;0"),0)</f>
        <v>1</v>
      </c>
      <c r="H237" s="54">
        <f>IF(H194=4,SUMIF(H201:H205,"&gt;0"),0)</f>
        <v>0</v>
      </c>
      <c r="J237" s="58">
        <f>IF(J194=4,SUMIF(J201:J205,"&gt;0"),0)</f>
        <v>0</v>
      </c>
      <c r="K237" s="54">
        <f>IF(K194=4,SUMIF(K201:K205,"&gt;0"),0)</f>
        <v>0</v>
      </c>
      <c r="M237" s="58">
        <f>IF(M194=4,SUMIF(M201:M205,"&gt;0"),0)</f>
        <v>0</v>
      </c>
      <c r="N237" s="54">
        <f>IF(N194=4,SUMIF(N201:N205,"&gt;0"),0)</f>
        <v>0</v>
      </c>
      <c r="P237" s="58">
        <f>IF(P194=4,SUMIF(P201:P205,"&gt;0"),0)</f>
        <v>0</v>
      </c>
      <c r="Q237" s="54">
        <f>IF(Q194=4,SUMIF(Q201:Q205,"&gt;0"),0)</f>
        <v>2</v>
      </c>
      <c r="S237" s="58">
        <f>IF(S194=4,SUMIF(S201:S205,"&gt;0"),0)</f>
        <v>0</v>
      </c>
      <c r="T237" s="54">
        <f>IF(T194=4,SUMIF(T201:T205,"&gt;0"),0)</f>
        <v>0</v>
      </c>
      <c r="V237" s="58">
        <f>IF(V194=4,SUMIF(V201:V205,"&gt;0"),0)</f>
        <v>0</v>
      </c>
      <c r="W237" s="54">
        <f>IF(W194=4,SUMIF(W201:W205,"&gt;0"),0)</f>
        <v>0</v>
      </c>
      <c r="Y237" s="58">
        <f>IF(Y194=4,SUMIF(Y201:Y205,"&gt;0"),0)</f>
        <v>0</v>
      </c>
      <c r="Z237" s="54">
        <f>IF(Z194=4,SUMIF(Z201:Z205,"&gt;0"),0)</f>
        <v>0</v>
      </c>
      <c r="AB237" s="58">
        <f>IF(AB194=4,SUMIF(AB201:AB205,"&gt;0"),0)</f>
        <v>2</v>
      </c>
      <c r="AC237" s="54">
        <f>IF(AC194=4,SUMIF(AC201:AC205,"&gt;0"),0)</f>
        <v>0</v>
      </c>
      <c r="AE237" s="58">
        <f>IF(AE194=4,SUMIF(AE201:AE205,"&gt;0"),0)</f>
        <v>0</v>
      </c>
      <c r="AF237" s="54">
        <f>SUM(B237:AE237)</f>
        <v>5</v>
      </c>
      <c r="AG237" s="54">
        <f>AF245-AF237</f>
        <v>3</v>
      </c>
      <c r="AW237" s="146"/>
    </row>
    <row r="238" spans="1:49" s="54" customFormat="1" ht="12.75" hidden="1" customHeight="1" x14ac:dyDescent="0.2">
      <c r="A238" s="54" t="s">
        <v>74</v>
      </c>
      <c r="B238" s="54">
        <f>IF(B194=5,SUMIF(B201:B205,"&gt;0"),0)</f>
        <v>0</v>
      </c>
      <c r="D238" s="58">
        <f>IF(D194=5,SUMIF(D201:D205,"&gt;0"),0)</f>
        <v>0</v>
      </c>
      <c r="E238" s="54">
        <f>IF(E194=5,SUMIF(E201:E205,"&gt;0"),0)</f>
        <v>0</v>
      </c>
      <c r="G238" s="58">
        <f>IF(G194=5,SUMIF(G201:G205,"&gt;0"),0)</f>
        <v>0</v>
      </c>
      <c r="H238" s="54">
        <f>IF(H194=5,SUMIF(H201:H205,"&gt;0"),0)</f>
        <v>0</v>
      </c>
      <c r="J238" s="58">
        <f>IF(J194=5,SUMIF(J201:J205,"&gt;0"),0)</f>
        <v>0</v>
      </c>
      <c r="K238" s="54">
        <f>IF(K194=5,SUMIF(K201:K205,"&gt;0"),0)</f>
        <v>0</v>
      </c>
      <c r="M238" s="58">
        <f>IF(M194=5,SUMIF(M201:M205,"&gt;0"),0)</f>
        <v>0</v>
      </c>
      <c r="N238" s="54">
        <f>IF(N194=5,SUMIF(N201:N205,"&gt;0"),0)</f>
        <v>0</v>
      </c>
      <c r="P238" s="58">
        <f>IF(P194=5,SUMIF(P201:P205,"&gt;0"),0)</f>
        <v>0</v>
      </c>
      <c r="Q238" s="54">
        <f>IF(Q194=5,SUMIF(Q201:Q205,"&gt;0"),0)</f>
        <v>0</v>
      </c>
      <c r="S238" s="58">
        <f>IF(S194=5,SUMIF(S201:S205,"&gt;0"),0)</f>
        <v>0</v>
      </c>
      <c r="T238" s="54">
        <f>IF(T194=5,SUMIF(T201:T205,"&gt;0"),0)</f>
        <v>0</v>
      </c>
      <c r="V238" s="58">
        <f>IF(V194=5,SUMIF(V201:V205,"&gt;0"),0)</f>
        <v>0</v>
      </c>
      <c r="W238" s="54">
        <f>IF(W194=5,SUMIF(W201:W205,"&gt;0"),0)</f>
        <v>0</v>
      </c>
      <c r="Y238" s="58">
        <f>IF(Y194=5,SUMIF(Y201:Y205,"&gt;0"),0)</f>
        <v>2</v>
      </c>
      <c r="Z238" s="54">
        <f>IF(Z194=5,SUMIF(Z201:Z205,"&gt;0"),0)</f>
        <v>0</v>
      </c>
      <c r="AB238" s="58">
        <f>IF(AB194=5,SUMIF(AB201:AB205,"&gt;0"),0)</f>
        <v>0</v>
      </c>
      <c r="AC238" s="54">
        <f>IF(AC194=5,SUMIF(AC201:AC205,"&gt;0"),0)</f>
        <v>0</v>
      </c>
      <c r="AE238" s="58">
        <f>IF(AE194=5,SUMIF(AE201:AE205,"&gt;0"),0)</f>
        <v>0</v>
      </c>
      <c r="AF238" s="54">
        <f>SUM(B238:AE238)</f>
        <v>2</v>
      </c>
      <c r="AG238" s="54">
        <f>AF246-AF238</f>
        <v>6</v>
      </c>
      <c r="AW238" s="146"/>
    </row>
    <row r="239" spans="1:49" s="54" customFormat="1" ht="12.75" hidden="1" customHeight="1" x14ac:dyDescent="0.2">
      <c r="D239" s="58"/>
      <c r="G239" s="58"/>
      <c r="J239" s="58"/>
      <c r="M239" s="58"/>
      <c r="P239" s="58"/>
      <c r="S239" s="58"/>
      <c r="V239" s="58"/>
      <c r="Y239" s="58"/>
      <c r="AB239" s="58"/>
      <c r="AE239" s="58"/>
      <c r="AW239" s="146"/>
    </row>
    <row r="240" spans="1:49" s="54" customFormat="1" ht="12.75" hidden="1" customHeight="1" x14ac:dyDescent="0.2">
      <c r="D240" s="58"/>
      <c r="G240" s="58"/>
      <c r="J240" s="58"/>
      <c r="M240" s="58"/>
      <c r="P240" s="58"/>
      <c r="S240" s="58"/>
      <c r="V240" s="58"/>
      <c r="Y240" s="58"/>
      <c r="AB240" s="58"/>
      <c r="AE240" s="58"/>
      <c r="AW240" s="146"/>
    </row>
    <row r="241" spans="1:54" s="54" customFormat="1" ht="51" hidden="1" customHeight="1" x14ac:dyDescent="0.2">
      <c r="A241" s="57" t="s">
        <v>85</v>
      </c>
      <c r="C241" s="54">
        <f>SUMIF(B234:D238,"&gt;0")</f>
        <v>2</v>
      </c>
      <c r="D241" s="58"/>
      <c r="F241" s="54">
        <f>SUMIF(E234:G238,"&gt;0")</f>
        <v>2</v>
      </c>
      <c r="G241" s="58"/>
      <c r="I241" s="54">
        <f>SUMIF(H234:J238,"&gt;0")</f>
        <v>2</v>
      </c>
      <c r="J241" s="58"/>
      <c r="L241" s="54">
        <f>SUMIF(K234:M238,"&gt;0")</f>
        <v>2</v>
      </c>
      <c r="M241" s="58"/>
      <c r="O241" s="54">
        <f>SUMIF(N234:P238,"&gt;0")</f>
        <v>2</v>
      </c>
      <c r="P241" s="58"/>
      <c r="R241" s="54">
        <f>SUMIF(Q234:S238,"&gt;0")</f>
        <v>2</v>
      </c>
      <c r="S241" s="58"/>
      <c r="U241" s="54">
        <f>SUMIF(T234:V238,"&gt;0")</f>
        <v>2</v>
      </c>
      <c r="V241" s="58"/>
      <c r="X241" s="54">
        <f>SUMIF(W234:Y238,"&gt;0")</f>
        <v>2</v>
      </c>
      <c r="Y241" s="58"/>
      <c r="AA241" s="54">
        <f>SUMIF(Z234:AB238,"&gt;0")</f>
        <v>2</v>
      </c>
      <c r="AB241" s="58"/>
      <c r="AD241" s="54">
        <f>SUMIF(AC234:AE238,"&gt;0")</f>
        <v>2</v>
      </c>
      <c r="AE241" s="58"/>
      <c r="AF241" s="57" t="s">
        <v>86</v>
      </c>
      <c r="AW241" s="146"/>
    </row>
    <row r="242" spans="1:54" s="54" customFormat="1" ht="12.75" hidden="1" customHeight="1" x14ac:dyDescent="0.2">
      <c r="A242" s="54" t="s">
        <v>76</v>
      </c>
      <c r="B242" s="54">
        <f>IF(B194=1,C241,0)</f>
        <v>0</v>
      </c>
      <c r="D242" s="58">
        <f>IF(D194=1,C241,0)</f>
        <v>0</v>
      </c>
      <c r="E242" s="54">
        <f>IF(E194=1,F241,0)</f>
        <v>2</v>
      </c>
      <c r="G242" s="58">
        <f>IF(G194=1,F241,0)</f>
        <v>0</v>
      </c>
      <c r="H242" s="54">
        <f>IF(H194=1,I241,0)</f>
        <v>0</v>
      </c>
      <c r="J242" s="58">
        <f>IF(J194=1,I241,0)</f>
        <v>0</v>
      </c>
      <c r="K242" s="54">
        <f>IF(K194=1,L241,0)</f>
        <v>0</v>
      </c>
      <c r="M242" s="58">
        <f>IF(M194=1,L241,0)</f>
        <v>0</v>
      </c>
      <c r="N242" s="54">
        <f>IF(N194=1,O241,0)</f>
        <v>2</v>
      </c>
      <c r="P242" s="58">
        <f>IF(P194=1,O241,0)</f>
        <v>0</v>
      </c>
      <c r="Q242" s="54">
        <f>IF(Q194=1,R241,0)</f>
        <v>0</v>
      </c>
      <c r="S242" s="58">
        <f>IF(S194=1,R241,0)</f>
        <v>0</v>
      </c>
      <c r="T242" s="54">
        <f>IF(T194=1,U241,0)</f>
        <v>0</v>
      </c>
      <c r="V242" s="58">
        <f>IF(V194=1,U241,0)</f>
        <v>0</v>
      </c>
      <c r="W242" s="54">
        <f>IF(W194=1,X241,0)</f>
        <v>2</v>
      </c>
      <c r="Y242" s="58">
        <f>IF(Y194=1,X241,0)</f>
        <v>0</v>
      </c>
      <c r="Z242" s="54">
        <f>IF(Z194=1,AA241,0)</f>
        <v>0</v>
      </c>
      <c r="AB242" s="58">
        <f>IF(AB194=1,AA241,0)</f>
        <v>0</v>
      </c>
      <c r="AC242" s="54">
        <f>IF(AC194=1,AD241,0)</f>
        <v>2</v>
      </c>
      <c r="AE242" s="58">
        <f>IF(AE194=1,AD241,0)</f>
        <v>0</v>
      </c>
      <c r="AF242" s="54">
        <f>SUM(B242:AE242)</f>
        <v>8</v>
      </c>
      <c r="AW242" s="146"/>
    </row>
    <row r="243" spans="1:54" s="54" customFormat="1" ht="12.75" hidden="1" customHeight="1" x14ac:dyDescent="0.2">
      <c r="A243" s="54" t="s">
        <v>77</v>
      </c>
      <c r="B243" s="54">
        <f>IF(B194=2,C241,0)</f>
        <v>2</v>
      </c>
      <c r="D243" s="58">
        <f>IF(D194=2,C241,0)</f>
        <v>0</v>
      </c>
      <c r="E243" s="54">
        <f>IF(E194=2,F241,0)</f>
        <v>0</v>
      </c>
      <c r="G243" s="58">
        <f>IF(G194=2,F241,0)</f>
        <v>0</v>
      </c>
      <c r="H243" s="54">
        <f>IF(H194=2,I241,0)</f>
        <v>0</v>
      </c>
      <c r="J243" s="58">
        <f>IF(J194=2,I241,0)</f>
        <v>0</v>
      </c>
      <c r="K243" s="54">
        <f>IF(K194=2,L241,0)</f>
        <v>2</v>
      </c>
      <c r="M243" s="58">
        <f>IF(M194=2,L241,0)</f>
        <v>0</v>
      </c>
      <c r="N243" s="54">
        <f>IF(N194=2,O241,0)</f>
        <v>0</v>
      </c>
      <c r="P243" s="58">
        <f>IF(P194=2,O241,0)</f>
        <v>0</v>
      </c>
      <c r="Q243" s="54">
        <f>IF(Q194=2,R241,0)</f>
        <v>0</v>
      </c>
      <c r="S243" s="58">
        <f>IF(S194=2,R241,0)</f>
        <v>0</v>
      </c>
      <c r="T243" s="54">
        <f>IF(T194=2,U241,0)</f>
        <v>2</v>
      </c>
      <c r="V243" s="58">
        <f>IF(V194=2,U241,0)</f>
        <v>0</v>
      </c>
      <c r="W243" s="54">
        <f>IF(W194=2,X241,0)</f>
        <v>0</v>
      </c>
      <c r="Y243" s="58">
        <f>IF(Y194=2,X241,0)</f>
        <v>0</v>
      </c>
      <c r="Z243" s="54">
        <f>IF(Z194=2,AA241,0)</f>
        <v>0</v>
      </c>
      <c r="AB243" s="58">
        <f>IF(AB194=2,AA241,0)</f>
        <v>0</v>
      </c>
      <c r="AC243" s="54">
        <f>IF(AC194=2,AD241,0)</f>
        <v>0</v>
      </c>
      <c r="AE243" s="58">
        <f>IF(AE194=2,AD241,0)</f>
        <v>2</v>
      </c>
      <c r="AF243" s="54">
        <f>SUM(B243:AE243)</f>
        <v>8</v>
      </c>
      <c r="AW243" s="146"/>
    </row>
    <row r="244" spans="1:54" s="54" customFormat="1" ht="12.75" hidden="1" customHeight="1" x14ac:dyDescent="0.2">
      <c r="A244" s="54" t="s">
        <v>78</v>
      </c>
      <c r="B244" s="54">
        <f>IF(B194=3,C241,0)</f>
        <v>0</v>
      </c>
      <c r="D244" s="58">
        <f>IF(D194=3,C241,0)</f>
        <v>0</v>
      </c>
      <c r="E244" s="54">
        <f>IF(E194=3,F241,0)</f>
        <v>0</v>
      </c>
      <c r="G244" s="58">
        <f>IF(G194=3,F241,0)</f>
        <v>0</v>
      </c>
      <c r="H244" s="54">
        <f>IF(H194=3,I241,0)</f>
        <v>2</v>
      </c>
      <c r="J244" s="58">
        <f>IF(J194=3,I241,0)</f>
        <v>0</v>
      </c>
      <c r="K244" s="54">
        <f>IF(K194=3,L241,0)</f>
        <v>0</v>
      </c>
      <c r="M244" s="58">
        <f>IF(M194=3,L241,0)</f>
        <v>0</v>
      </c>
      <c r="N244" s="54">
        <f>IF(N194=3,O241,0)</f>
        <v>0</v>
      </c>
      <c r="P244" s="58">
        <f>IF(P194=3,O241,0)</f>
        <v>2</v>
      </c>
      <c r="Q244" s="54">
        <f>IF(Q194=3,R241,0)</f>
        <v>0</v>
      </c>
      <c r="S244" s="58">
        <f>IF(S194=3,R241,0)</f>
        <v>0</v>
      </c>
      <c r="T244" s="54">
        <f>IF(T194=3,U241,0)</f>
        <v>0</v>
      </c>
      <c r="V244" s="58">
        <f>IF(V194=3,U241,0)</f>
        <v>2</v>
      </c>
      <c r="W244" s="54">
        <f>IF(W194=3,X241,0)</f>
        <v>0</v>
      </c>
      <c r="Y244" s="58">
        <f>IF(Y194=3,X241,0)</f>
        <v>0</v>
      </c>
      <c r="Z244" s="54">
        <f>IF(Z194=3,AA241,0)</f>
        <v>2</v>
      </c>
      <c r="AB244" s="58">
        <f>IF(AB194=3,AA241,0)</f>
        <v>0</v>
      </c>
      <c r="AC244" s="54">
        <f>IF(AC194=3,AD241,0)</f>
        <v>0</v>
      </c>
      <c r="AE244" s="58">
        <f>IF(AE194=3,AD241,0)</f>
        <v>0</v>
      </c>
      <c r="AF244" s="54">
        <f>SUM(B244:AE244)</f>
        <v>8</v>
      </c>
      <c r="AW244" s="146"/>
    </row>
    <row r="245" spans="1:54" s="54" customFormat="1" ht="12.75" hidden="1" customHeight="1" x14ac:dyDescent="0.2">
      <c r="A245" s="54" t="s">
        <v>79</v>
      </c>
      <c r="B245" s="54">
        <f>IF(B194=4,C241,0)</f>
        <v>0</v>
      </c>
      <c r="D245" s="58">
        <f>IF(D194=4,C241,0)</f>
        <v>0</v>
      </c>
      <c r="E245" s="54">
        <f>IF(E194=4,F241,0)</f>
        <v>0</v>
      </c>
      <c r="G245" s="58">
        <f>IF(G194=4,F241,0)</f>
        <v>2</v>
      </c>
      <c r="H245" s="54">
        <f>IF(H194=4,I241,0)</f>
        <v>0</v>
      </c>
      <c r="J245" s="58">
        <f>IF(J194=4,I241,0)</f>
        <v>0</v>
      </c>
      <c r="K245" s="54">
        <f>IF(K194=4,L241,0)</f>
        <v>0</v>
      </c>
      <c r="M245" s="58">
        <f>IF(M194=4,L241,0)</f>
        <v>2</v>
      </c>
      <c r="N245" s="54">
        <f>IF(N194=4,O241,0)</f>
        <v>0</v>
      </c>
      <c r="P245" s="58">
        <f>IF(P194=4,O241,0)</f>
        <v>0</v>
      </c>
      <c r="Q245" s="54">
        <f>IF(Q194=4,R241,0)</f>
        <v>2</v>
      </c>
      <c r="S245" s="58">
        <f>IF(S194=4,R241,0)</f>
        <v>0</v>
      </c>
      <c r="T245" s="54">
        <f>IF(T194=4,U241,0)</f>
        <v>0</v>
      </c>
      <c r="V245" s="58">
        <f>IF(V194=4,U241,0)</f>
        <v>0</v>
      </c>
      <c r="W245" s="54">
        <f>IF(W194=4,X241,0)</f>
        <v>0</v>
      </c>
      <c r="Y245" s="58">
        <f>IF(Y194=4,X241,0)</f>
        <v>0</v>
      </c>
      <c r="Z245" s="54">
        <f>IF(Z194=4,AA241,0)</f>
        <v>0</v>
      </c>
      <c r="AB245" s="58">
        <f>IF(AB194=4,AA241,0)</f>
        <v>2</v>
      </c>
      <c r="AC245" s="54">
        <f>IF(AC194=4,AD241,0)</f>
        <v>0</v>
      </c>
      <c r="AE245" s="58">
        <f>IF(AE194=4,AD241,0)</f>
        <v>0</v>
      </c>
      <c r="AF245" s="54">
        <f>SUM(B245:AE245)</f>
        <v>8</v>
      </c>
      <c r="AW245" s="146"/>
    </row>
    <row r="246" spans="1:54" s="54" customFormat="1" ht="12.75" hidden="1" customHeight="1" x14ac:dyDescent="0.2">
      <c r="A246" s="54" t="s">
        <v>80</v>
      </c>
      <c r="B246" s="54">
        <f>IF(B194=5,C241,0)</f>
        <v>0</v>
      </c>
      <c r="D246" s="58">
        <f>IF(D194=5,C241,0)</f>
        <v>2</v>
      </c>
      <c r="E246" s="54">
        <f>IF(E194=5,F241,0)</f>
        <v>0</v>
      </c>
      <c r="G246" s="58">
        <f>IF(G194=5,F241,0)</f>
        <v>0</v>
      </c>
      <c r="H246" s="54">
        <f>IF(H194=5,I241,0)</f>
        <v>0</v>
      </c>
      <c r="J246" s="58">
        <f>IF(J194=5,I241,0)</f>
        <v>2</v>
      </c>
      <c r="K246" s="54">
        <f>IF(K194=5,L241,0)</f>
        <v>0</v>
      </c>
      <c r="M246" s="58">
        <f>IF(M194=5,L241,0)</f>
        <v>0</v>
      </c>
      <c r="N246" s="54">
        <f>IF(N194=5,O241,0)</f>
        <v>0</v>
      </c>
      <c r="P246" s="58">
        <f>IF(P194=5,O241,0)</f>
        <v>0</v>
      </c>
      <c r="Q246" s="54">
        <f>IF(Q194=5,R241,0)</f>
        <v>0</v>
      </c>
      <c r="S246" s="58">
        <f>IF(S194=5,R241,0)</f>
        <v>2</v>
      </c>
      <c r="T246" s="54">
        <f>IF(T194=5,U241,0)</f>
        <v>0</v>
      </c>
      <c r="V246" s="58">
        <f>IF(V194=5,U241,0)</f>
        <v>0</v>
      </c>
      <c r="W246" s="54">
        <f>IF(W194=5,X241,0)</f>
        <v>0</v>
      </c>
      <c r="Y246" s="58">
        <f>IF(Y194=5,X241,0)</f>
        <v>2</v>
      </c>
      <c r="Z246" s="54">
        <f>IF(Z194=5,AA241,0)</f>
        <v>0</v>
      </c>
      <c r="AB246" s="58">
        <f>IF(AB194=5,AA241,0)</f>
        <v>0</v>
      </c>
      <c r="AC246" s="54">
        <f>IF(AC194=5,AD241,0)</f>
        <v>0</v>
      </c>
      <c r="AE246" s="58">
        <f>IF(AE194=5,AD241,0)</f>
        <v>0</v>
      </c>
      <c r="AF246" s="54">
        <f>SUM(B246:AE246)</f>
        <v>8</v>
      </c>
      <c r="AW246" s="146"/>
    </row>
    <row r="247" spans="1:54" hidden="1" x14ac:dyDescent="0.2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60"/>
      <c r="AO247" s="60"/>
      <c r="AP247" s="60"/>
      <c r="AQ247" s="60"/>
      <c r="AR247" s="61"/>
      <c r="AS247" s="61"/>
      <c r="AT247" s="61"/>
      <c r="AU247" s="61"/>
      <c r="AV247" s="61"/>
      <c r="BB247" s="62"/>
    </row>
    <row r="248" spans="1:54" s="61" customFormat="1" hidden="1" x14ac:dyDescent="0.2">
      <c r="A248" s="63"/>
      <c r="B248" s="63"/>
      <c r="C248" s="63" t="s">
        <v>87</v>
      </c>
      <c r="D248" s="63">
        <v>1</v>
      </c>
      <c r="E248" s="63"/>
      <c r="F248" s="63"/>
      <c r="G248" s="63">
        <v>2</v>
      </c>
      <c r="H248" s="63"/>
      <c r="I248" s="63"/>
      <c r="J248" s="63">
        <v>3</v>
      </c>
      <c r="K248" s="63"/>
      <c r="L248" s="63"/>
      <c r="M248" s="63">
        <v>4</v>
      </c>
      <c r="N248" s="63"/>
      <c r="O248" s="63"/>
      <c r="P248" s="63">
        <v>5</v>
      </c>
      <c r="Q248" s="63"/>
      <c r="R248" s="63"/>
      <c r="S248" s="63">
        <v>6</v>
      </c>
      <c r="T248" s="63"/>
      <c r="U248" s="63"/>
      <c r="V248" s="63">
        <v>7</v>
      </c>
      <c r="W248" s="63"/>
      <c r="X248" s="63"/>
      <c r="Y248" s="63">
        <v>8</v>
      </c>
      <c r="Z248" s="63"/>
      <c r="AA248" s="63"/>
      <c r="AB248" s="63">
        <v>9</v>
      </c>
      <c r="AC248" s="63"/>
      <c r="AD248" s="63"/>
      <c r="AE248" s="63">
        <v>10</v>
      </c>
      <c r="AF248" s="4"/>
      <c r="AG248" s="63"/>
      <c r="AI248" s="64"/>
      <c r="AJ248" s="4"/>
      <c r="AK248" s="4"/>
      <c r="AL248" s="4"/>
      <c r="AM248" s="4"/>
      <c r="AN248" s="4"/>
      <c r="AO248" s="4"/>
      <c r="AT248" s="64" t="s">
        <v>88</v>
      </c>
      <c r="AW248" s="65"/>
      <c r="BB248" s="65"/>
    </row>
    <row r="249" spans="1:54" s="61" customFormat="1" hidden="1" x14ac:dyDescent="0.2">
      <c r="A249" s="66">
        <v>1</v>
      </c>
      <c r="B249" s="66" t="str">
        <f>E178</f>
        <v>CSRA Heat 14 Black</v>
      </c>
      <c r="C249" s="66">
        <f>VLOOKUP(B249,AU$3:BB$33,3,FALSE)</f>
        <v>1914.8405147891358</v>
      </c>
      <c r="D249" s="66">
        <f>IF(B242,B257,IF(D242,D257,C249))</f>
        <v>1914.8405147891358</v>
      </c>
      <c r="E249" s="66"/>
      <c r="F249" s="66"/>
      <c r="G249" s="66">
        <f>IF(E242,E257,IF(G242,G257,D249))</f>
        <v>1910.3044952300095</v>
      </c>
      <c r="H249" s="66"/>
      <c r="I249" s="66"/>
      <c r="J249" s="66">
        <f>IF(H242,H257,IF(J242,J257,G249))</f>
        <v>1910.3044952300095</v>
      </c>
      <c r="K249" s="66"/>
      <c r="L249" s="66"/>
      <c r="M249" s="66">
        <f>IF(K242,K257,IF(M242,M257,J249))</f>
        <v>1910.3044952300095</v>
      </c>
      <c r="N249" s="66"/>
      <c r="O249" s="66"/>
      <c r="P249" s="66">
        <f>IF(N242,N257,IF(P242,P257,M249))</f>
        <v>1945.9232801194557</v>
      </c>
      <c r="Q249" s="66"/>
      <c r="R249" s="66"/>
      <c r="S249" s="66">
        <f>IF(Q242,Q257,IF(S242,S257,P249))</f>
        <v>1945.9232801194557</v>
      </c>
      <c r="T249" s="66"/>
      <c r="U249" s="66"/>
      <c r="V249" s="66">
        <f>IF(T242,T257,IF(V242,V257,S249))</f>
        <v>1945.9232801194557</v>
      </c>
      <c r="W249" s="66"/>
      <c r="X249" s="66"/>
      <c r="Y249" s="66">
        <f>IF(W242,W257,IF(Y242,Y257,V249))</f>
        <v>1895.0247493644254</v>
      </c>
      <c r="Z249" s="66"/>
      <c r="AA249" s="66"/>
      <c r="AB249" s="66">
        <f>IF(Z242,Z257,IF(AB242,AB257,Y249))</f>
        <v>1895.0247493644254</v>
      </c>
      <c r="AC249" s="66"/>
      <c r="AD249" s="66"/>
      <c r="AE249" s="66">
        <f>IF(AC242,AC257,IF(AE242,AE257,AB249))</f>
        <v>1934.1205810170186</v>
      </c>
      <c r="AF249" s="4"/>
      <c r="AG249" s="4"/>
      <c r="AJ249" s="4"/>
      <c r="AK249" s="4"/>
      <c r="AL249" s="4"/>
      <c r="AM249" s="4"/>
      <c r="AN249" s="4"/>
      <c r="AO249" s="4"/>
      <c r="AT249" s="61" t="str">
        <f>B249</f>
        <v>CSRA Heat 14 Black</v>
      </c>
      <c r="AU249" s="61">
        <f>AE249</f>
        <v>1934.1205810170186</v>
      </c>
      <c r="AW249" s="65"/>
      <c r="BB249" s="65"/>
    </row>
    <row r="250" spans="1:54" s="61" customFormat="1" hidden="1" x14ac:dyDescent="0.2">
      <c r="A250" s="66">
        <v>2</v>
      </c>
      <c r="B250" s="66" t="str">
        <f>E180</f>
        <v>C1VB 14 Reg Royal Grvl</v>
      </c>
      <c r="C250" s="66">
        <f>VLOOKUP(B250,AU$3:BB$33,3,FALSE)</f>
        <v>1895.4903689374637</v>
      </c>
      <c r="D250" s="66">
        <f>IF(B243,B257,IF(D243,D257,C250))</f>
        <v>1916.3882990568575</v>
      </c>
      <c r="E250" s="66"/>
      <c r="F250" s="66"/>
      <c r="G250" s="66">
        <f>IF(E243,E257,IF(G243,G257,D250))</f>
        <v>1916.3882990568575</v>
      </c>
      <c r="H250" s="66"/>
      <c r="I250" s="66"/>
      <c r="J250" s="66">
        <f>IF(H243,H257,IF(J243,J257,G250))</f>
        <v>1916.3882990568575</v>
      </c>
      <c r="K250" s="66"/>
      <c r="L250" s="66"/>
      <c r="M250" s="66">
        <f>IF(K243,K257,IF(M243,M257,J250))</f>
        <v>1944.1222984871949</v>
      </c>
      <c r="N250" s="66"/>
      <c r="O250" s="66"/>
      <c r="P250" s="66">
        <f>IF(N243,N257,IF(P243,P257,M250))</f>
        <v>1944.1222984871949</v>
      </c>
      <c r="Q250" s="66"/>
      <c r="R250" s="66"/>
      <c r="S250" s="66">
        <f>IF(Q243,Q257,IF(S243,S257,P250))</f>
        <v>1944.1222984871949</v>
      </c>
      <c r="T250" s="66"/>
      <c r="U250" s="66"/>
      <c r="V250" s="66">
        <f>IF(T243,T257,IF(V243,V257,S250))</f>
        <v>1973.3681143691592</v>
      </c>
      <c r="W250" s="66"/>
      <c r="X250" s="66"/>
      <c r="Y250" s="66">
        <f>IF(W243,W257,IF(Y243,Y257,V250))</f>
        <v>1973.3681143691592</v>
      </c>
      <c r="Z250" s="66"/>
      <c r="AA250" s="66"/>
      <c r="AB250" s="66">
        <f>IF(Z243,Z257,IF(AB243,AB257,Y250))</f>
        <v>1973.3681143691592</v>
      </c>
      <c r="AC250" s="66"/>
      <c r="AD250" s="66"/>
      <c r="AE250" s="66">
        <f>IF(AC243,AC257,IF(AE243,AE257,AB250))</f>
        <v>1934.272282716566</v>
      </c>
      <c r="AF250" s="4"/>
      <c r="AG250" s="4"/>
      <c r="AJ250" s="4"/>
      <c r="AL250" s="4"/>
      <c r="AM250" s="4"/>
      <c r="AN250" s="4"/>
      <c r="AO250" s="4"/>
      <c r="AT250" s="61" t="str">
        <f>B250</f>
        <v>C1VB 14 Reg Royal Grvl</v>
      </c>
      <c r="AU250" s="61">
        <f>AE250</f>
        <v>1934.272282716566</v>
      </c>
      <c r="AW250" s="65"/>
      <c r="BB250" s="65"/>
    </row>
    <row r="251" spans="1:54" s="61" customFormat="1" hidden="1" x14ac:dyDescent="0.2">
      <c r="A251" s="66">
        <v>3</v>
      </c>
      <c r="B251" s="66" t="str">
        <f>E182</f>
        <v>MOTO 14's</v>
      </c>
      <c r="C251" s="66">
        <f>VLOOKUP(B251,AU$3:BB$33,3,FALSE)</f>
        <v>1933.3202027700872</v>
      </c>
      <c r="D251" s="66">
        <f>IF(B244,B257,IF(D244,D257,C251))</f>
        <v>1933.3202027700872</v>
      </c>
      <c r="E251" s="66"/>
      <c r="F251" s="66"/>
      <c r="G251" s="66">
        <f>IF(E244,E257,IF(G244,G257,D251))</f>
        <v>1933.3202027700872</v>
      </c>
      <c r="H251" s="66"/>
      <c r="I251" s="66"/>
      <c r="J251" s="66">
        <f>IF(H244,H257,IF(J244,J257,G251))</f>
        <v>1949.7637409736587</v>
      </c>
      <c r="K251" s="66"/>
      <c r="L251" s="66"/>
      <c r="M251" s="66">
        <f>IF(K244,K257,IF(M244,M257,J251))</f>
        <v>1949.7637409736587</v>
      </c>
      <c r="N251" s="66"/>
      <c r="O251" s="66"/>
      <c r="P251" s="66">
        <f>IF(N244,N257,IF(P244,P257,M251))</f>
        <v>1914.1449560842125</v>
      </c>
      <c r="Q251" s="66"/>
      <c r="R251" s="66"/>
      <c r="S251" s="66">
        <f>IF(Q244,Q257,IF(S244,S257,P251))</f>
        <v>1914.1449560842125</v>
      </c>
      <c r="T251" s="66"/>
      <c r="U251" s="66"/>
      <c r="V251" s="66">
        <f>IF(T244,T257,IF(V244,V257,S251))</f>
        <v>1884.8991402022482</v>
      </c>
      <c r="W251" s="66"/>
      <c r="X251" s="66"/>
      <c r="Y251" s="66">
        <f>IF(W244,W257,IF(Y244,Y257,V251))</f>
        <v>1884.8991402022482</v>
      </c>
      <c r="Z251" s="66"/>
      <c r="AA251" s="66"/>
      <c r="AB251" s="66">
        <f>IF(Z244,Z257,IF(AB244,AB257,Y251))</f>
        <v>1851.0023848190285</v>
      </c>
      <c r="AC251" s="66"/>
      <c r="AD251" s="66"/>
      <c r="AE251" s="66">
        <f>IF(AC244,AC257,IF(AE244,AE257,AB251))</f>
        <v>1851.0023848190285</v>
      </c>
      <c r="AF251" s="4"/>
      <c r="AG251" s="4"/>
      <c r="AJ251" s="4"/>
      <c r="AL251" s="4"/>
      <c r="AM251" s="4"/>
      <c r="AN251" s="4"/>
      <c r="AO251" s="4"/>
      <c r="AT251" s="61" t="str">
        <f>B251</f>
        <v>MOTO 14's</v>
      </c>
      <c r="AU251" s="61">
        <f>AE251</f>
        <v>1851.0023848190285</v>
      </c>
      <c r="AW251" s="65"/>
      <c r="BB251" s="65"/>
    </row>
    <row r="252" spans="1:54" s="61" customFormat="1" hidden="1" x14ac:dyDescent="0.2">
      <c r="A252" s="66">
        <v>4</v>
      </c>
      <c r="B252" s="66" t="str">
        <f>E184</f>
        <v>SOAR EAGLES 14U</v>
      </c>
      <c r="C252" s="66">
        <f>VLOOKUP(B252,AU$3:BB$33,3,FALSE)</f>
        <v>1865.2574148016322</v>
      </c>
      <c r="D252" s="66">
        <f>IF(B245,B257,IF(D245,D257,C252))</f>
        <v>1865.2574148016322</v>
      </c>
      <c r="E252" s="66"/>
      <c r="F252" s="66"/>
      <c r="G252" s="66">
        <f>IF(E245,E257,IF(G245,G257,D252))</f>
        <v>1869.7934343607585</v>
      </c>
      <c r="H252" s="66"/>
      <c r="I252" s="66"/>
      <c r="J252" s="66">
        <f>IF(H245,H257,IF(J245,J257,G252))</f>
        <v>1869.7934343607585</v>
      </c>
      <c r="K252" s="66"/>
      <c r="L252" s="66"/>
      <c r="M252" s="66">
        <f>IF(K245,K257,IF(M245,M257,J252))</f>
        <v>1842.059434930421</v>
      </c>
      <c r="N252" s="66"/>
      <c r="O252" s="66"/>
      <c r="P252" s="66">
        <f>IF(N245,N257,IF(P245,P257,M252))</f>
        <v>1842.059434930421</v>
      </c>
      <c r="Q252" s="66"/>
      <c r="R252" s="66"/>
      <c r="S252" s="66">
        <f>IF(Q245,Q257,IF(S245,S257,P252))</f>
        <v>1864.2812115559436</v>
      </c>
      <c r="T252" s="66"/>
      <c r="U252" s="66"/>
      <c r="V252" s="66">
        <f>IF(T245,T257,IF(V245,V257,S252))</f>
        <v>1864.2812115559436</v>
      </c>
      <c r="W252" s="66"/>
      <c r="X252" s="66"/>
      <c r="Y252" s="66">
        <f>IF(W245,W257,IF(Y245,Y257,V252))</f>
        <v>1864.2812115559436</v>
      </c>
      <c r="Z252" s="66"/>
      <c r="AA252" s="66"/>
      <c r="AB252" s="66">
        <f>IF(Z245,Z257,IF(AB245,AB257,Y252))</f>
        <v>1898.1779669391633</v>
      </c>
      <c r="AC252" s="66"/>
      <c r="AD252" s="66"/>
      <c r="AE252" s="66">
        <f>IF(AC245,AC257,IF(AE245,AE257,AB252))</f>
        <v>1898.1779669391633</v>
      </c>
      <c r="AF252" s="4"/>
      <c r="AG252" s="4"/>
      <c r="AJ252" s="4"/>
      <c r="AL252" s="4"/>
      <c r="AM252" s="4"/>
      <c r="AN252" s="4"/>
      <c r="AO252" s="4"/>
      <c r="AT252" s="61" t="str">
        <f>B252</f>
        <v>SOAR EAGLES 14U</v>
      </c>
      <c r="AU252" s="61">
        <f>AE252</f>
        <v>1898.1779669391633</v>
      </c>
      <c r="AW252" s="65"/>
      <c r="BB252" s="65"/>
    </row>
    <row r="253" spans="1:54" s="61" customFormat="1" hidden="1" x14ac:dyDescent="0.2">
      <c r="A253" s="66">
        <v>5</v>
      </c>
      <c r="B253" s="66" t="str">
        <f>E186</f>
        <v>CSRA Heat 15 Red</v>
      </c>
      <c r="C253" s="66">
        <f>VLOOKUP(B253,AU$3:BB$33,3,FALSE)</f>
        <v>1769.7324273066286</v>
      </c>
      <c r="D253" s="66">
        <f>IF(B246,B257,IF(D246,D257,C253))</f>
        <v>1748.8344971872348</v>
      </c>
      <c r="E253" s="66"/>
      <c r="F253" s="66"/>
      <c r="G253" s="66">
        <f>IF(E246,E257,IF(G246,G257,D253))</f>
        <v>1748.8344971872348</v>
      </c>
      <c r="H253" s="66"/>
      <c r="I253" s="66"/>
      <c r="J253" s="66">
        <f>IF(H246,H257,IF(J246,J257,G253))</f>
        <v>1732.3909589836633</v>
      </c>
      <c r="K253" s="66"/>
      <c r="L253" s="66"/>
      <c r="M253" s="66">
        <f>IF(K246,K257,IF(M246,M257,J253))</f>
        <v>1732.3909589836633</v>
      </c>
      <c r="N253" s="66"/>
      <c r="O253" s="66"/>
      <c r="P253" s="66">
        <f>IF(N246,N257,IF(P246,P257,M253))</f>
        <v>1732.3909589836633</v>
      </c>
      <c r="Q253" s="66"/>
      <c r="R253" s="66"/>
      <c r="S253" s="66">
        <f>IF(Q246,Q257,IF(S246,S257,P253))</f>
        <v>1710.1691823581407</v>
      </c>
      <c r="T253" s="66"/>
      <c r="U253" s="66"/>
      <c r="V253" s="66">
        <f>IF(T246,T257,IF(V246,V257,S253))</f>
        <v>1710.1691823581407</v>
      </c>
      <c r="W253" s="66"/>
      <c r="X253" s="66"/>
      <c r="Y253" s="66">
        <f>IF(W246,W257,IF(Y246,Y257,V253))</f>
        <v>1761.0677131131711</v>
      </c>
      <c r="Z253" s="66"/>
      <c r="AA253" s="66"/>
      <c r="AB253" s="66">
        <f>IF(Z246,Z257,IF(AB246,AB257,Y253))</f>
        <v>1761.0677131131711</v>
      </c>
      <c r="AC253" s="66"/>
      <c r="AD253" s="66"/>
      <c r="AE253" s="66">
        <f>IF(AC246,AC257,IF(AE246,AE257,AB253))</f>
        <v>1761.0677131131711</v>
      </c>
      <c r="AF253" s="4"/>
      <c r="AG253" s="4"/>
      <c r="AJ253" s="4"/>
      <c r="AL253" s="4"/>
      <c r="AM253" s="4"/>
      <c r="AN253" s="4"/>
      <c r="AO253" s="4"/>
      <c r="AT253" s="61" t="str">
        <f>B253</f>
        <v>CSRA Heat 15 Red</v>
      </c>
      <c r="AU253" s="61">
        <f>AE253</f>
        <v>1761.0677131131711</v>
      </c>
      <c r="AW253" s="65"/>
      <c r="BB253" s="65"/>
    </row>
    <row r="254" spans="1:54" s="61" customFormat="1" hidden="1" x14ac:dyDescent="0.2">
      <c r="A254" s="66"/>
      <c r="B254" s="66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66"/>
      <c r="AE254" s="66"/>
      <c r="AF254" s="4"/>
      <c r="AG254" s="4"/>
      <c r="AJ254" s="4"/>
      <c r="AL254" s="4"/>
      <c r="AM254" s="4"/>
      <c r="AN254" s="4"/>
      <c r="AO254" s="4"/>
      <c r="AW254" s="65"/>
      <c r="BB254" s="65"/>
    </row>
    <row r="255" spans="1:54" s="61" customFormat="1" hidden="1" x14ac:dyDescent="0.2">
      <c r="A255" s="66" t="s">
        <v>89</v>
      </c>
      <c r="B255" s="66">
        <f>VLOOKUP(B194,$A249:$AE253,3,FALSE)</f>
        <v>1895.4903689374637</v>
      </c>
      <c r="C255" s="66">
        <v>1</v>
      </c>
      <c r="D255" s="66">
        <f>VLOOKUP(D194,$A249:$AE253,3,FALSE)</f>
        <v>1769.7324273066286</v>
      </c>
      <c r="E255" s="66">
        <f>VLOOKUP(E194,$A249:$AE253,4,FALSE)</f>
        <v>1914.8405147891358</v>
      </c>
      <c r="F255" s="66">
        <v>2</v>
      </c>
      <c r="G255" s="66">
        <f>VLOOKUP(G194,$A249:$AE253,4,FALSE)</f>
        <v>1865.2574148016322</v>
      </c>
      <c r="H255" s="66">
        <f>VLOOKUP(H194,$A249:$AE253,7,FALSE)</f>
        <v>1933.3202027700872</v>
      </c>
      <c r="I255" s="66">
        <v>3</v>
      </c>
      <c r="J255" s="66">
        <f>VLOOKUP(J194,$A249:$AE253,7,FALSE)</f>
        <v>1748.8344971872348</v>
      </c>
      <c r="K255" s="66">
        <f>VLOOKUP(K194,$A249:$AE253,10,FALSE)</f>
        <v>1916.3882990568575</v>
      </c>
      <c r="L255" s="66">
        <v>4</v>
      </c>
      <c r="M255" s="66">
        <f>VLOOKUP(M194,$A249:$AE253,10,FALSE)</f>
        <v>1869.7934343607585</v>
      </c>
      <c r="N255" s="66">
        <f>VLOOKUP(N194,$A249:$AE253,13,FALSE)</f>
        <v>1910.3044952300095</v>
      </c>
      <c r="O255" s="66">
        <v>5</v>
      </c>
      <c r="P255" s="66">
        <f>VLOOKUP(P194,$A249:$AE253,13,FALSE)</f>
        <v>1949.7637409736587</v>
      </c>
      <c r="Q255" s="66">
        <f>VLOOKUP(Q194,$A249:$AE253,16,FALSE)</f>
        <v>1842.059434930421</v>
      </c>
      <c r="R255" s="66">
        <v>6</v>
      </c>
      <c r="S255" s="66">
        <f>VLOOKUP(S194,$A249:$AE253,16,FALSE)</f>
        <v>1732.3909589836633</v>
      </c>
      <c r="T255" s="66">
        <f>VLOOKUP(T194,$A249:$AE253,19,FALSE)</f>
        <v>1944.1222984871949</v>
      </c>
      <c r="U255" s="66">
        <v>7</v>
      </c>
      <c r="V255" s="66">
        <f>VLOOKUP(V194,$A249:$AE253,19,FALSE)</f>
        <v>1914.1449560842125</v>
      </c>
      <c r="W255" s="66">
        <f>VLOOKUP(W194,$A249:$AE253,22,FALSE)</f>
        <v>1945.9232801194557</v>
      </c>
      <c r="X255" s="66">
        <v>8</v>
      </c>
      <c r="Y255" s="66">
        <f>VLOOKUP(Y194,$A249:$AE253,22,FALSE)</f>
        <v>1710.1691823581407</v>
      </c>
      <c r="Z255" s="66">
        <f>VLOOKUP(Z194,$A249:$AE253,25,FALSE)</f>
        <v>1884.8991402022482</v>
      </c>
      <c r="AA255" s="66">
        <v>9</v>
      </c>
      <c r="AB255" s="66">
        <f>VLOOKUP(AB194,$A249:$AE253,25,FALSE)</f>
        <v>1864.2812115559436</v>
      </c>
      <c r="AC255" s="66">
        <f>VLOOKUP(AC194,$A249:$AE253,28,FALSE)</f>
        <v>1895.0247493644254</v>
      </c>
      <c r="AD255" s="66">
        <v>10</v>
      </c>
      <c r="AE255" s="66">
        <f>VLOOKUP(AE194,$A249:$AE253,28,FALSE)</f>
        <v>1973.3681143691592</v>
      </c>
      <c r="AF255" s="4"/>
      <c r="AG255" s="59"/>
      <c r="AH255" s="59"/>
      <c r="AI255" s="59"/>
      <c r="AJ255" s="59"/>
      <c r="AK255" s="59"/>
      <c r="AL255" s="59"/>
      <c r="AM255" s="59"/>
      <c r="AN255" s="60"/>
      <c r="AO255" s="60"/>
      <c r="AP255" s="60"/>
      <c r="AQ255" s="60"/>
      <c r="AW255" s="65"/>
      <c r="BB255" s="65"/>
    </row>
    <row r="256" spans="1:54" s="71" customFormat="1" hidden="1" x14ac:dyDescent="0.2">
      <c r="A256" s="67" t="s">
        <v>90</v>
      </c>
      <c r="B256" s="67">
        <f>1/(1+(10^-((B255-D255)/400)))*(B206+D206)</f>
        <v>1.3469396837689438</v>
      </c>
      <c r="C256" s="67"/>
      <c r="D256" s="67">
        <f>1/(1+(10^-((D255-B255)/400)))*(B206+D206)</f>
        <v>0.65306031623105609</v>
      </c>
      <c r="E256" s="67">
        <f>1/(1+(10^-((E255-G255)/400)))*(E206+G206)</f>
        <v>1.1417506112226996</v>
      </c>
      <c r="F256" s="67"/>
      <c r="G256" s="67">
        <f>1/(1+(10^-((G255-E255)/400)))*(E206+G206)</f>
        <v>0.85824938877730039</v>
      </c>
      <c r="H256" s="67">
        <f>1/(1+(10^-((H255-J255)/400)))*(H206+J206)</f>
        <v>1.486139431138392</v>
      </c>
      <c r="I256" s="67"/>
      <c r="J256" s="67">
        <f>1/(1+(10^-((J255-H255)/400)))*(H206+J206)</f>
        <v>0.51386056886160802</v>
      </c>
      <c r="K256" s="67">
        <f>1/(1+(10^-((K255-M255)/400)))*(K206+M206)</f>
        <v>1.1333125178019545</v>
      </c>
      <c r="L256" s="67"/>
      <c r="M256" s="67">
        <f>1/(1+(10^-((M255-K255)/400)))*(K206+M206)</f>
        <v>0.86668748219804559</v>
      </c>
      <c r="N256" s="67">
        <f>1/(1+(10^-((N255-P255)/400)))*(N206+P206)</f>
        <v>0.88691297220480181</v>
      </c>
      <c r="O256" s="67"/>
      <c r="P256" s="67">
        <f>1/(1+(10^-((P255-N255)/400)))*(N206+P206)</f>
        <v>1.1130870277951983</v>
      </c>
      <c r="Q256" s="67">
        <f>1/(1+(10^-((Q255-S255)/400)))*(Q206+S206)</f>
        <v>1.3055694804524192</v>
      </c>
      <c r="R256" s="67"/>
      <c r="S256" s="67">
        <f>1/(1+(10^-((S255-Q255)/400)))*(Q206+S206)</f>
        <v>0.69443051954758073</v>
      </c>
      <c r="T256" s="67">
        <f>1/(1+(10^-((T255-V255)/400)))*(T206+V206)</f>
        <v>1.0860682536886193</v>
      </c>
      <c r="U256" s="67"/>
      <c r="V256" s="67">
        <f>1/(1+(10^-((V255-T255)/400)))*(T206+V206)</f>
        <v>0.91393174631138085</v>
      </c>
      <c r="W256" s="67">
        <f>1/(1+(10^-((W255-Y255)/400)))*(W206+Y206)</f>
        <v>1.5905790860946984</v>
      </c>
      <c r="X256" s="67"/>
      <c r="Y256" s="67">
        <f>1/(1+(10^-((Y255-W255)/400)))*(W206+Y206)</f>
        <v>0.40942091390530172</v>
      </c>
      <c r="Z256" s="67">
        <f>1/(1+(10^-((Z255-AB255)/400)))*(Z206+AB206)</f>
        <v>1.0592736057256122</v>
      </c>
      <c r="AA256" s="67"/>
      <c r="AB256" s="67">
        <f>1/(1+(10^-((AB255-Z255)/400)))*(Z206+AB206)</f>
        <v>0.94072639427438787</v>
      </c>
      <c r="AC256" s="67">
        <f>1/(1+(10^-((AC255-AE255)/400)))*(AC206+AE206)</f>
        <v>0.77825526085646013</v>
      </c>
      <c r="AD256" s="67"/>
      <c r="AE256" s="67">
        <f>1/(1+(10^-((AE255-AC255)/400)))*(AC206+AE206)</f>
        <v>1.2217447391435401</v>
      </c>
      <c r="AF256" s="68"/>
      <c r="AG256" s="69"/>
      <c r="AH256" s="69"/>
      <c r="AI256" s="69"/>
      <c r="AJ256" s="69"/>
      <c r="AK256" s="69"/>
      <c r="AL256" s="69"/>
      <c r="AM256" s="69"/>
      <c r="AN256" s="70"/>
      <c r="AO256" s="70"/>
      <c r="AP256" s="70"/>
      <c r="AQ256" s="70"/>
      <c r="AW256" s="72"/>
      <c r="BB256" s="72"/>
    </row>
    <row r="257" spans="1:54" s="77" customFormat="1" hidden="1" x14ac:dyDescent="0.2">
      <c r="A257" s="73" t="s">
        <v>91</v>
      </c>
      <c r="B257" s="73">
        <f>B255+(B206-B256)*$BA$1</f>
        <v>1916.3882990568575</v>
      </c>
      <c r="C257" s="73"/>
      <c r="D257" s="73">
        <f>D255+(D206-D256)*$BA$1</f>
        <v>1748.8344971872348</v>
      </c>
      <c r="E257" s="73">
        <f>E255+(E206-E256)*$BA$1</f>
        <v>1910.3044952300095</v>
      </c>
      <c r="F257" s="73"/>
      <c r="G257" s="73">
        <f>G255+(G206-G256)*$BA$1</f>
        <v>1869.7934343607585</v>
      </c>
      <c r="H257" s="73">
        <f>H255+(H206-H256)*$BA$1</f>
        <v>1949.7637409736587</v>
      </c>
      <c r="I257" s="73"/>
      <c r="J257" s="73">
        <f>J255+(J206-J256)*$BA$1</f>
        <v>1732.3909589836633</v>
      </c>
      <c r="K257" s="73">
        <f>K255+(K206-K256)*$BA$1</f>
        <v>1944.1222984871949</v>
      </c>
      <c r="L257" s="73"/>
      <c r="M257" s="73">
        <f>M255+(M206-M256)*$BA$1</f>
        <v>1842.059434930421</v>
      </c>
      <c r="N257" s="73">
        <f>N255+(N206-N256)*$BA$1</f>
        <v>1945.9232801194557</v>
      </c>
      <c r="O257" s="73"/>
      <c r="P257" s="73">
        <f>P255+(P206-P256)*$BA$1</f>
        <v>1914.1449560842125</v>
      </c>
      <c r="Q257" s="73">
        <f>Q255+(Q206-Q256)*$BA$1</f>
        <v>1864.2812115559436</v>
      </c>
      <c r="R257" s="73"/>
      <c r="S257" s="73">
        <f>S255+(S206-S256)*$BA$1</f>
        <v>1710.1691823581407</v>
      </c>
      <c r="T257" s="73">
        <f>T255+(T206-T256)*$BA$1</f>
        <v>1973.3681143691592</v>
      </c>
      <c r="U257" s="73"/>
      <c r="V257" s="73">
        <f>V255+(V206-V256)*$BA$1</f>
        <v>1884.8991402022482</v>
      </c>
      <c r="W257" s="73">
        <f>W255+(W206-W256)*$BA$1</f>
        <v>1895.0247493644254</v>
      </c>
      <c r="X257" s="73"/>
      <c r="Y257" s="73">
        <f>Y255+(Y206-Y256)*$BA$1</f>
        <v>1761.0677131131711</v>
      </c>
      <c r="Z257" s="73">
        <f>Z255+(Z206-Z256)*$BA$1</f>
        <v>1851.0023848190285</v>
      </c>
      <c r="AA257" s="73"/>
      <c r="AB257" s="73">
        <f>AB255+(AB206-AB256)*$BA$1</f>
        <v>1898.1779669391633</v>
      </c>
      <c r="AC257" s="73">
        <f>AC255+(AC206-AC256)*$BA$1</f>
        <v>1934.1205810170186</v>
      </c>
      <c r="AD257" s="73"/>
      <c r="AE257" s="73">
        <f>AE255+(AE206-AE256)*$BA$1</f>
        <v>1934.272282716566</v>
      </c>
      <c r="AF257" s="74"/>
      <c r="AG257" s="75"/>
      <c r="AH257" s="75"/>
      <c r="AI257" s="75"/>
      <c r="AJ257" s="75"/>
      <c r="AK257" s="75"/>
      <c r="AL257" s="75"/>
      <c r="AM257" s="75"/>
      <c r="AN257" s="76"/>
      <c r="AO257" s="76"/>
      <c r="AP257" s="76"/>
      <c r="AQ257" s="76"/>
      <c r="AW257" s="78"/>
      <c r="BB257" s="78"/>
    </row>
    <row r="258" spans="1:54" s="77" customFormat="1" hidden="1" x14ac:dyDescent="0.2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  <c r="AD258" s="73"/>
      <c r="AE258" s="73"/>
      <c r="AF258" s="74"/>
      <c r="AG258" s="75"/>
      <c r="AH258" s="75"/>
      <c r="AI258" s="75"/>
      <c r="AJ258" s="75"/>
      <c r="AK258" s="75"/>
      <c r="AL258" s="75"/>
      <c r="AM258" s="75"/>
      <c r="AN258" s="76"/>
      <c r="AO258" s="76"/>
      <c r="AP258" s="76"/>
      <c r="AQ258" s="76"/>
      <c r="AW258" s="78"/>
      <c r="BB258" s="78"/>
    </row>
    <row r="259" spans="1:54" s="61" customFormat="1" x14ac:dyDescent="0.2">
      <c r="A259" s="790" t="str">
        <f>IF($AK180=1,"Pool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259" s="790"/>
      <c r="C259" s="790"/>
      <c r="D259" s="790"/>
      <c r="E259" s="790"/>
      <c r="F259" s="790"/>
      <c r="G259" s="790"/>
      <c r="H259" s="790"/>
      <c r="I259" s="790"/>
      <c r="J259" s="790"/>
      <c r="K259" s="790"/>
      <c r="L259" s="790"/>
      <c r="M259" s="790"/>
      <c r="N259" s="790"/>
      <c r="O259" s="790"/>
      <c r="P259" s="790"/>
      <c r="Q259" s="790"/>
      <c r="R259" s="790"/>
      <c r="S259" s="790"/>
      <c r="T259" s="790"/>
      <c r="U259" s="790"/>
      <c r="V259" s="790"/>
      <c r="W259" s="790"/>
      <c r="X259" s="790"/>
      <c r="Y259" s="790"/>
      <c r="Z259" s="790"/>
      <c r="AA259" s="790"/>
      <c r="AB259" s="790"/>
      <c r="AC259" s="790"/>
      <c r="AD259" s="790"/>
      <c r="AE259" s="790"/>
      <c r="AF259" s="790"/>
      <c r="AG259" s="790"/>
      <c r="AH259" s="790"/>
      <c r="AI259" s="790"/>
      <c r="AJ259" s="790"/>
      <c r="AK259" s="790"/>
      <c r="AL259" s="790"/>
      <c r="AM259" s="790"/>
      <c r="AN259" s="768"/>
      <c r="AO259" s="768"/>
      <c r="AP259" s="768"/>
      <c r="AQ259" s="768"/>
      <c r="AW259" s="65"/>
    </row>
    <row r="260" spans="1:54" s="61" customFormat="1" x14ac:dyDescent="0.2">
      <c r="A260" s="791"/>
      <c r="B260" s="791"/>
      <c r="C260" s="791"/>
      <c r="D260" s="791"/>
      <c r="E260" s="791"/>
      <c r="F260" s="791"/>
      <c r="G260" s="791"/>
      <c r="H260" s="791"/>
      <c r="I260" s="791"/>
      <c r="J260" s="791"/>
      <c r="K260" s="791"/>
      <c r="L260" s="791"/>
      <c r="M260" s="791"/>
      <c r="N260" s="791"/>
      <c r="O260" s="791"/>
      <c r="P260" s="791"/>
      <c r="Q260" s="791"/>
      <c r="R260" s="791"/>
      <c r="S260" s="791"/>
      <c r="T260" s="791"/>
      <c r="U260" s="791"/>
      <c r="V260" s="791"/>
      <c r="W260" s="791"/>
      <c r="X260" s="791"/>
      <c r="Y260" s="791"/>
      <c r="Z260" s="791"/>
      <c r="AA260" s="791"/>
      <c r="AB260" s="791"/>
      <c r="AC260" s="791"/>
      <c r="AD260" s="791"/>
      <c r="AE260" s="791"/>
      <c r="AF260" s="791"/>
      <c r="AG260" s="791"/>
      <c r="AH260" s="791"/>
      <c r="AI260" s="791"/>
      <c r="AJ260" s="791"/>
      <c r="AK260" s="791"/>
      <c r="AL260" s="791"/>
      <c r="AM260" s="791"/>
      <c r="AN260" s="791"/>
      <c r="AO260" s="791"/>
      <c r="AP260" s="791"/>
      <c r="AQ260" s="791"/>
      <c r="AW260" s="65"/>
    </row>
    <row r="261" spans="1:54" ht="21" thickBot="1" x14ac:dyDescent="0.35">
      <c r="A261" s="780" t="s">
        <v>93</v>
      </c>
      <c r="B261" s="780"/>
      <c r="C261" s="780"/>
      <c r="D261" s="780"/>
      <c r="E261" s="780"/>
      <c r="F261" s="780"/>
      <c r="G261" s="780"/>
      <c r="H261" s="780"/>
      <c r="I261" s="780"/>
      <c r="J261" s="780"/>
      <c r="K261" s="780"/>
      <c r="L261" s="780"/>
      <c r="M261" s="780"/>
      <c r="N261" s="780"/>
      <c r="O261" s="780"/>
      <c r="P261" s="780"/>
      <c r="Q261" s="780"/>
      <c r="R261" s="780"/>
      <c r="S261" s="780"/>
      <c r="T261" s="780"/>
      <c r="U261" s="780"/>
      <c r="V261" s="780"/>
      <c r="W261" s="780"/>
      <c r="X261" s="780"/>
      <c r="Y261" s="780"/>
      <c r="Z261" s="780"/>
      <c r="AA261" s="780"/>
      <c r="AB261" s="780"/>
      <c r="AC261" s="780"/>
      <c r="AD261" s="780"/>
      <c r="AE261" s="780"/>
      <c r="AF261" s="780"/>
      <c r="AG261" s="780"/>
      <c r="AH261" s="780"/>
      <c r="AI261" s="780"/>
      <c r="AJ261" s="780"/>
      <c r="AK261" s="780"/>
      <c r="AL261" s="780"/>
      <c r="AM261" s="780"/>
      <c r="AN261" s="780"/>
      <c r="AO261" s="780"/>
      <c r="AP261" s="780"/>
      <c r="AQ261" s="780"/>
    </row>
    <row r="262" spans="1:54" ht="13.5" thickBot="1" x14ac:dyDescent="0.25">
      <c r="A262" s="781" t="s">
        <v>94</v>
      </c>
      <c r="B262" s="1021" t="s">
        <v>95</v>
      </c>
      <c r="C262" s="1022"/>
      <c r="D262" s="1022"/>
      <c r="E262" s="1022"/>
      <c r="F262" s="1022"/>
      <c r="G262" s="1022"/>
      <c r="H262" s="1022"/>
      <c r="I262" s="1022"/>
      <c r="J262" s="1022"/>
      <c r="K262" s="1022"/>
      <c r="L262" s="1023"/>
      <c r="M262" s="1021" t="s">
        <v>96</v>
      </c>
      <c r="N262" s="1022"/>
      <c r="O262" s="1022"/>
      <c r="P262" s="1022"/>
      <c r="Q262" s="1022"/>
      <c r="R262" s="1022"/>
      <c r="S262" s="1022"/>
      <c r="T262" s="1022"/>
      <c r="U262" s="1022"/>
      <c r="V262" s="1022"/>
      <c r="W262" s="1023"/>
      <c r="X262" s="783" t="s">
        <v>97</v>
      </c>
      <c r="Y262" s="784"/>
      <c r="Z262" s="784"/>
      <c r="AA262" s="784"/>
      <c r="AB262" s="784"/>
      <c r="AC262" s="784"/>
      <c r="AD262" s="784"/>
      <c r="AE262" s="784"/>
      <c r="AF262" s="784"/>
      <c r="AG262" s="785"/>
      <c r="AH262" s="783" t="s">
        <v>98</v>
      </c>
      <c r="AI262" s="784"/>
      <c r="AJ262" s="784"/>
      <c r="AK262" s="784"/>
      <c r="AL262" s="784"/>
      <c r="AM262" s="784"/>
      <c r="AN262" s="784"/>
      <c r="AO262" s="784"/>
      <c r="AP262" s="785"/>
    </row>
    <row r="263" spans="1:54" ht="13.5" thickBot="1" x14ac:dyDescent="0.25">
      <c r="A263" s="1020"/>
      <c r="B263" s="1019" t="s">
        <v>7</v>
      </c>
      <c r="C263" s="1013"/>
      <c r="D263" s="1013"/>
      <c r="E263" s="1013"/>
      <c r="F263" s="1013" t="s">
        <v>99</v>
      </c>
      <c r="G263" s="1013"/>
      <c r="H263" s="1013"/>
      <c r="I263" s="1013"/>
      <c r="J263" s="1013" t="s">
        <v>143</v>
      </c>
      <c r="K263" s="1013"/>
      <c r="L263" s="172" t="s">
        <v>6</v>
      </c>
      <c r="M263" s="1019" t="s">
        <v>7</v>
      </c>
      <c r="N263" s="1013"/>
      <c r="O263" s="1013"/>
      <c r="P263" s="1013"/>
      <c r="Q263" s="1013"/>
      <c r="R263" s="1013" t="s">
        <v>99</v>
      </c>
      <c r="S263" s="1013"/>
      <c r="T263" s="1013"/>
      <c r="U263" s="1013" t="s">
        <v>143</v>
      </c>
      <c r="V263" s="1013"/>
      <c r="W263" s="173" t="s">
        <v>6</v>
      </c>
      <c r="X263" s="1019" t="s">
        <v>7</v>
      </c>
      <c r="Y263" s="1013"/>
      <c r="Z263" s="1013"/>
      <c r="AA263" s="1013"/>
      <c r="AB263" s="1013"/>
      <c r="AC263" s="1013" t="s">
        <v>99</v>
      </c>
      <c r="AD263" s="1013"/>
      <c r="AE263" s="1013"/>
      <c r="AF263" s="171" t="s">
        <v>143</v>
      </c>
      <c r="AG263" s="173" t="s">
        <v>6</v>
      </c>
      <c r="AH263" s="1019" t="s">
        <v>7</v>
      </c>
      <c r="AI263" s="1013"/>
      <c r="AJ263" s="1013"/>
      <c r="AK263" s="1013" t="s">
        <v>99</v>
      </c>
      <c r="AL263" s="1013"/>
      <c r="AM263" s="1013"/>
      <c r="AN263" s="1013" t="s">
        <v>143</v>
      </c>
      <c r="AO263" s="1013"/>
      <c r="AP263" s="173" t="s">
        <v>6</v>
      </c>
    </row>
    <row r="264" spans="1:54" x14ac:dyDescent="0.2">
      <c r="A264" s="157" t="s">
        <v>100</v>
      </c>
      <c r="B264" s="1014" t="str">
        <f>IF($AF$8=1,$E$8,IF($AF$10=1,$E$10,IF($AF$12=1,$E$12,IF($AF$14=1,$E$14,IF($AF$16=1,$E$16,"1st Place "&amp;$A264)))))</f>
        <v>SMVC Royals 14</v>
      </c>
      <c r="C264" s="1015"/>
      <c r="D264" s="1015"/>
      <c r="E264" s="1015"/>
      <c r="F264" s="1011" t="str">
        <f>IF($AF$8=1,$E$9,IF($AF$10=1,$E$11,IF($AF$12=1,$E$13,IF($AF$14=1,$E$15,IF($AF$16=1,$E$17,"1st Place "&amp;$A264)))))</f>
        <v>fj4smvbc1cr</v>
      </c>
      <c r="G264" s="1011"/>
      <c r="H264" s="1011"/>
      <c r="I264" s="1011"/>
      <c r="J264" s="1012">
        <f>IF($AF$8=1,$Z$8,IF($AF$10=1,$Z$10,IF($AF$12=1,$Z$12,IF($AF$14=1,$Z$14,IF($AF$16=1,$Z$16,0)))))</f>
        <v>0.20895522388059701</v>
      </c>
      <c r="K264" s="1012"/>
      <c r="L264" s="174">
        <f>IF(AND(J264=0,J265=0,J266=0),0,IF(OR(AND(J264&gt;J265,J264&gt;J266),AND(J264=J265,J264=J266),AND(J264=J265,J264&gt;J266),AND(J264=J266,J264&gt;J265)),1,IF(OR(J264&gt;J265,J264&gt;J266,J264=J265,J264=J266),2,3)))</f>
        <v>1</v>
      </c>
      <c r="M264" s="1014" t="str">
        <f>IF($AF$8=2,$E$8,IF($AF$10=2,$E$10,IF($AF$12=2,$E$12,IF($AF$14=2,$E$14,IF($AF$16=2,$E$16,"2nd Place "&amp;$A264)))))</f>
        <v>Foothills 14 Holland</v>
      </c>
      <c r="N264" s="1015"/>
      <c r="O264" s="1015"/>
      <c r="P264" s="1015"/>
      <c r="Q264" s="1015"/>
      <c r="R264" s="1011" t="str">
        <f>IF($AF$8=2,$E$9,IF($AF$10=2,$E$11,IF($AF$12=2,$E$13,IF($AF$14=2,$E$15,IF($AF$16=2,$E$17,"2nd Place "&amp;$A264)))))</f>
        <v>fj4footh1pm</v>
      </c>
      <c r="S264" s="1011"/>
      <c r="T264" s="1011"/>
      <c r="U264" s="1012">
        <f>IF($AF$8=2,$Z$8,IF($AF$10=2,$Z$10,IF($AF$12=2,$Z$12,IF($AF$14=2,$Z$14,IF($AF$16=2,$Z$16,0)))))</f>
        <v>5.9701492537313432E-2</v>
      </c>
      <c r="V264" s="1012"/>
      <c r="W264" s="175">
        <f>IF(AND(J264=0,J265=0,J266=0),0,IF(OR(AND(U264&gt;U265,U264&gt;U266),AND(U264=U265,U264=U266),AND(U264=U265,U264&gt;U266),AND(U264=U266,U264&gt;U265)),1,IF(OR(U264&gt;U265,U264&gt;U266,U264=U265,U264=U266),2,3)))</f>
        <v>1</v>
      </c>
      <c r="X264" s="1016" t="str">
        <f>IF($AF$8=3,$E$8,IF($AF$10=3,$E$10,IF($AF$12=3,$E$12,IF($AF$14=3,$E$14,IF($AF$16=3,$E$16,"3rd Place "&amp;$A264)))))</f>
        <v>C1VB 14 Reg Black Grvl</v>
      </c>
      <c r="Y264" s="1017"/>
      <c r="Z264" s="1017"/>
      <c r="AA264" s="1017"/>
      <c r="AB264" s="1017"/>
      <c r="AC264" s="1018" t="str">
        <f>IF($AF$8=3,$E$9,IF($AF$10=3,$E$11,IF($AF$12=3,$E$13,IF($AF$14=3,$E$15,IF($AF$16=3,$E$17,"3rd Place "&amp;$A264)))))</f>
        <v>fj4crone4pm</v>
      </c>
      <c r="AD264" s="1018"/>
      <c r="AE264" s="1018"/>
      <c r="AF264" s="176">
        <f>IF($AF$8=3,$Z$8,IF($AF$10=3,$Z$10,IF($AF$12=3,$Z$12,IF($AF$14=3,$Z$14,IF($AF$16=3,$Z$16,0)))))</f>
        <v>-1.9900497512437811E-2</v>
      </c>
      <c r="AG264" s="175">
        <f>IF(AND(J264=0,J265=0,J266=0),0,IF(OR(AND(AF264&gt;AF265,AF264&gt;AF266),AND(AF264=AF265,AF264=AF266),AND(AF264=AF265,AF264&gt;AF266),AND(AF264=AF266,AF264&gt;AF265)),1,IF(OR(AF264&gt;AF265,AF264&gt;AF266,AF264=AF265,AF264=AF266),2,3)))</f>
        <v>3</v>
      </c>
      <c r="AH264" s="1014" t="str">
        <f>IF($AF$8=4,$E$8,IF($AF$10=4,$E$10,IF($AF$12=4,$E$12,IF($AF$14=4,$E$14,IF($AF$16=4,$E$16,"4th Place "&amp;$A264)))))</f>
        <v>Chas Jrs 14 White</v>
      </c>
      <c r="AI264" s="1015"/>
      <c r="AJ264" s="1015"/>
      <c r="AK264" s="1011" t="str">
        <f>IF($AF$8=4,$E$9,IF($AF$10=4,$E$11,IF($AF$12=4,$E$13,IF($AF$14=4,$E$15,IF($AF$16=4,$E$17,"4th Place "&amp;$A264)))))</f>
        <v>fj4charl3pm</v>
      </c>
      <c r="AL264" s="1011"/>
      <c r="AM264" s="1011"/>
      <c r="AN264" s="1012">
        <f>IF($AF$8=4,$Z$8,IF($AF$10=4,$Z$10,IF($AF$12=4,$Z$12,IF($AF$14=4,$Z$14,IF($AF$16=4,$Z$16,0)))))</f>
        <v>-9.4527363184079602E-2</v>
      </c>
      <c r="AO264" s="1012"/>
      <c r="AP264" s="175">
        <f>IF(AND(J264=0,J265=0,J266=0),0,IF(OR(AND(AN264&gt;AN265,AN264&gt;AN266),AND(AN264=AN265,AN264=AN266),AND(AN264=AN265,AN264&gt;AN266),AND(AN264=AN266,AN264&gt;AN265)),1,IF(OR(AN264&gt;AN265,AN264&gt;AN266,AN264=AN265,AN264=AN266),2,3)))</f>
        <v>2</v>
      </c>
    </row>
    <row r="265" spans="1:54" x14ac:dyDescent="0.2">
      <c r="A265" s="157" t="s">
        <v>101</v>
      </c>
      <c r="B265" s="1007" t="str">
        <f>IF($AF$93=1,$E$93,IF($AF$95=1,$E$95,IF($AF$97=1,$E$97,IF($AF$99=1,$E$99,IF($AF$101=1,$E$101,"1st Place "&amp;$A265)))))</f>
        <v>TC Extreme 14 Amber</v>
      </c>
      <c r="C265" s="1008"/>
      <c r="D265" s="1008"/>
      <c r="E265" s="1008"/>
      <c r="F265" s="1009" t="str">
        <f>IF($AF$93=1,$E$94,IF($AF$95=1,$E$96,IF($AF$97=1,$E$98,IF($AF$99=1,$E$100,IF($AF$101=1,$E$102,"1st Place "&amp;$A265)))))</f>
        <v>fj4triex1so</v>
      </c>
      <c r="G265" s="1009"/>
      <c r="H265" s="1009"/>
      <c r="I265" s="1009"/>
      <c r="J265" s="1010">
        <f>IF($AF$93=1,$Z$93,IF($AF$95=1,$Z$95,IF($AF$97=1,$Z$97,IF($AF$99=1,$Z$99,IF($AF$101=1,$Z$101,0)))))</f>
        <v>0.17241379310344829</v>
      </c>
      <c r="K265" s="1010"/>
      <c r="L265" s="178">
        <f>IF(AND(J264=0,J265=0,J266=0),0,IF(OR(AND(J265&gt;J264,J265&gt;J266),AND(J265=J266,J265&gt;J264)),1,IF(OR(J265&gt;J264,J265&gt;J266,AND(J265=J264,J265=J266),J265=J266),2,3)))</f>
        <v>2</v>
      </c>
      <c r="M265" s="1007" t="str">
        <f>IF($AF$93=2,$E$93,IF($AF$95=2,$E$95,IF($AF$97=2,$E$97,IF($AF$99=2,$E$99,IF($AF$101=2,$E$101,"2nd Place "&amp;$A265)))))</f>
        <v>BVA 14 Black</v>
      </c>
      <c r="N265" s="1008"/>
      <c r="O265" s="1008"/>
      <c r="P265" s="1008"/>
      <c r="Q265" s="1008"/>
      <c r="R265" s="1009" t="str">
        <f>IF($AF$93=2,$E$94,IF($AF$95=2,$E$96,IF($AF$97=2,$E$98,IF($AF$99=2,$E$100,IF($AF$101=2,$E$102,"2nd Place "&amp;$A265)))))</f>
        <v>fj4biltm2cr</v>
      </c>
      <c r="S265" s="1009"/>
      <c r="T265" s="1009"/>
      <c r="U265" s="1010">
        <f>IF($AF$93=2,$Z$93,IF($AF$95=2,$Z$95,IF($AF$97=2,$Z$97,IF($AF$99=2,$Z$99,IF($AF$101=2,$Z$101,0)))))</f>
        <v>5.5E-2</v>
      </c>
      <c r="V265" s="1010"/>
      <c r="W265" s="179">
        <f>IF(AND(J264=0,J265=0,J266=0),0,IF(OR(AND(U265&gt;U264,U265&gt;U266),AND(U265=U266,U265&gt;U264)),1,IF(OR(U265&gt;U264,U265&gt;U266,AND(U265=U264,U265=U266),U265=U266),2,3)))</f>
        <v>2</v>
      </c>
      <c r="X265" s="1007" t="str">
        <f>IF($AF$93=3,$E$93,IF($AF$95=3,$E$95,IF($AF$97=3,$E$97,IF($AF$99=3,$E$99,IF($AF$101=3,$E$101,"3rd Place "&amp;$A265)))))</f>
        <v>Chas Jrs 14 Blue</v>
      </c>
      <c r="Y265" s="1008"/>
      <c r="Z265" s="1008"/>
      <c r="AA265" s="1008"/>
      <c r="AB265" s="1008"/>
      <c r="AC265" s="1009" t="str">
        <f>IF($AF$93=3,$E$94,IF($AF$95=3,$E$96,IF($AF$97=3,$E$98,IF($AF$99=3,$E$100,IF($AF$101=3,$E$102,"3rd Place "&amp;$A265)))))</f>
        <v>fj4charl2pm</v>
      </c>
      <c r="AD265" s="1009"/>
      <c r="AE265" s="1009"/>
      <c r="AF265" s="177">
        <f>IF($AF$93=3,$Z$93,IF($AF$95=3,$Z$95,IF($AF$97=3,$Z$97,IF($AF$99=3,$Z$99,IF($AF$101=3,$Z$101,0)))))</f>
        <v>8.8669950738916259E-2</v>
      </c>
      <c r="AG265" s="179">
        <f>IF(AND(J264=0,J265=0,J266=0),0,IF(OR(AND(AF265&gt;AF264,AF265&gt;AF266),AND(AF265=AF266,AF265&gt;AF264)),1,IF(OR(AF265&gt;AF264,AF265&gt;AF266,AND(AF265=AF264,AF265=AF266),AF265=AF266),2,3)))</f>
        <v>2</v>
      </c>
      <c r="AH265" s="1007" t="str">
        <f>IF($AF$93=4,$E$93,IF($AF$95=4,$E$95,IF($AF$97=4,$E$97,IF($AF$99=4,$E$99,IF($AF$101=4,$E$101,"4th Place "&amp;$A265)))))</f>
        <v>Blitz14 Black</v>
      </c>
      <c r="AI265" s="1008"/>
      <c r="AJ265" s="1008"/>
      <c r="AK265" s="1009" t="str">
        <f>IF($AF$93=4,$E$94,IF($AF$95=4,$E$96,IF($AF$97=4,$E$98,IF($AF$99=4,$E$100,IF($AF$101=4,$E$102,"4th Place "&amp;$A265)))))</f>
        <v>fj4clebl1cr</v>
      </c>
      <c r="AL265" s="1009"/>
      <c r="AM265" s="1009"/>
      <c r="AN265" s="1010">
        <f>IF($AF$93=4,$Z$93,IF($AF$95=4,$Z$95,IF($AF$97=4,$Z$97,IF($AF$99=4,$Z$99,IF($AF$101=4,$Z$101,0)))))</f>
        <v>0.04</v>
      </c>
      <c r="AO265" s="1010"/>
      <c r="AP265" s="179">
        <f>IF(AND(J264=0,J265=0,J266=0),0,IF(OR(AND(AN265&gt;AN264,AN265&gt;AN266),AND(AN265=AN266,AN265&gt;AN264)),1,IF(OR(AN265&gt;AN264,AN265&gt;AN266,AND(AN265=AN264,AN265=AN266),AN265=AN266),2,3)))</f>
        <v>1</v>
      </c>
    </row>
    <row r="266" spans="1:54" ht="13.5" thickBot="1" x14ac:dyDescent="0.25">
      <c r="A266" s="79" t="s">
        <v>144</v>
      </c>
      <c r="B266" s="999" t="str">
        <f>IF($AF$178=1,$E$178,IF($AF$180=1,$E$180,IF($AF$182=1,$E$182,IF($AF$184=1,$E$184,IF($AF$186=1,$E$186,"1st Place "&amp;$A266)))))</f>
        <v>C1VB 14 Reg Royal Grvl</v>
      </c>
      <c r="C266" s="1000"/>
      <c r="D266" s="1000"/>
      <c r="E266" s="1000"/>
      <c r="F266" s="998" t="str">
        <f>IF($AF$178=1,$E$179,IF($AF$180=1,$E$181,IF($AF$182=1,$E$183,IF($AF$184=1,$E$185,IF($AF$186=1,$E$187,"1st Place "&amp;$A266)))))</f>
        <v>fj4crone5pm</v>
      </c>
      <c r="G266" s="998"/>
      <c r="H266" s="998"/>
      <c r="I266" s="998"/>
      <c r="J266" s="1001">
        <f>IF($AF$178=1,$Z$178,IF($AF$180=1,$Z$180,IF($AF$182=1,$Z$182,IF($AF$184=1,$Z$184,IF($AF$186=1,$Z$186,0)))))</f>
        <v>8.9552238805970144E-2</v>
      </c>
      <c r="K266" s="1001"/>
      <c r="L266" s="181">
        <f>IF(AND(J264=0,J265=0,J266=0),0,IF(AND(J266&gt;J264,J266&gt;J265),1,IF(OR(J266&gt;J264,J266&gt;J265),2,3)))</f>
        <v>3</v>
      </c>
      <c r="M266" s="999" t="str">
        <f>IF($AF$178=2,$E$178,IF($AF$180=2,$E$180,IF($AF$182=2,$E$182,IF($AF$184=2,$E$184,IF($AF$186=2,$E$186,"2nd Place "&amp;$A266)))))</f>
        <v>SOAR EAGLES 14U</v>
      </c>
      <c r="N266" s="1000"/>
      <c r="O266" s="1000"/>
      <c r="P266" s="1000"/>
      <c r="Q266" s="1000"/>
      <c r="R266" s="998" t="str">
        <f>IF($AF$178=2,$E$179,IF($AF$180=2,$E$181,IF($AF$182=2,$E$183,IF($AF$184=2,$E$185,IF($AF$186=2,$E$187,"2nd Place "&amp;$A266)))))</f>
        <v>fj4soarj2pm</v>
      </c>
      <c r="S266" s="998"/>
      <c r="T266" s="998"/>
      <c r="U266" s="1001">
        <f>IF($AF$178=2,$Z$178,IF($AF$180=2,$Z$180,IF($AF$182=2,$Z$182,IF($AF$184=2,$Z$184,IF($AF$186=2,$Z$186,0)))))</f>
        <v>4.4776119402985072E-2</v>
      </c>
      <c r="V266" s="1001"/>
      <c r="W266" s="182">
        <f>IF(AND(J264=0,J265=0,J266=0),0,IF(AND(U266&gt;U264,U266&gt;U265),1,IF(OR(U266&gt;U264,U266&gt;U265),2,3)))</f>
        <v>3</v>
      </c>
      <c r="X266" s="999" t="str">
        <f>IF($AF$178=3,$E$178,IF($AF$180=3,$E$180,IF($AF$182=3,$E$182,IF($AF$184=3,$E$184,IF($AF$186=3,$E$186,"3rd Place "&amp;$A266)))))</f>
        <v>CSRA Heat 14 Black</v>
      </c>
      <c r="Y266" s="1000"/>
      <c r="Z266" s="1000"/>
      <c r="AA266" s="1000"/>
      <c r="AB266" s="1000"/>
      <c r="AC266" s="998" t="str">
        <f>IF($AF$178=3,$E$179,IF($AF$180=3,$E$181,IF($AF$182=3,$E$183,IF($AF$184=3,$E$185,IF($AF$186=3,$E$187,"3rd Place "&amp;$A266)))))</f>
        <v>fj4csrah2pm</v>
      </c>
      <c r="AD266" s="998"/>
      <c r="AE266" s="998"/>
      <c r="AF266" s="180">
        <f>IF($AF$178=3,$Z$178,IF($AF$180=3,$Z$180,IF($AF$182=3,$Z$182,IF($AF$184=3,$Z$184,IF($AF$186=3,$Z$186,0)))))</f>
        <v>0.125</v>
      </c>
      <c r="AG266" s="182">
        <f>IF(AND(J264=0,J265=0,J266=0),0,IF(AND(AF266&gt;AF264,AF266&gt;AF265),1,IF(OR(AF266&gt;AF264,AF266&gt;AF265),2,3)))</f>
        <v>1</v>
      </c>
      <c r="AH266" s="999" t="str">
        <f>IF($AF$178=4,$E$178,IF($AF$180=4,$E$180,IF($AF$182=4,$E$182,IF($AF$184=4,$E$184,IF($AF$186=4,$E$186,"4th Place "&amp;$A266)))))</f>
        <v>MOTO 14's</v>
      </c>
      <c r="AI266" s="1000"/>
      <c r="AJ266" s="1000"/>
      <c r="AK266" s="998" t="str">
        <f>IF($AF$178=4,$E$179,IF($AF$180=4,$E$181,IF($AF$182=4,$E$183,IF($AF$184=4,$E$185,IF($AF$186=4,$E$187,"4th Place "&amp;$A266)))))</f>
        <v>fj4motoj1pm</v>
      </c>
      <c r="AL266" s="998"/>
      <c r="AM266" s="998"/>
      <c r="AN266" s="1001">
        <f>IF($AF$178=4,$Z$178,IF($AF$180=4,$Z$180,IF($AF$182=4,$Z$182,IF($AF$184=4,$Z$184,IF($AF$186=4,$Z$186,0)))))</f>
        <v>-0.14000000000000001</v>
      </c>
      <c r="AO266" s="1001"/>
      <c r="AP266" s="182">
        <f>IF(AND(J264=0,J265=0,J266=0),0,IF(AND(AN266&gt;AN264,AN266&gt;AN265),1,IF(OR(AN266&gt;AN264,AN266&gt;AN265),2,3)))</f>
        <v>3</v>
      </c>
    </row>
    <row r="267" spans="1:54" ht="13.5" thickBot="1" x14ac:dyDescent="0.25">
      <c r="A267" s="1002" t="s">
        <v>145</v>
      </c>
      <c r="B267" s="1004" t="s">
        <v>146</v>
      </c>
      <c r="C267" s="1005"/>
      <c r="D267" s="1005"/>
      <c r="E267" s="1005"/>
      <c r="F267" s="1005"/>
      <c r="G267" s="1005"/>
      <c r="H267" s="1005"/>
      <c r="I267" s="1005"/>
      <c r="J267" s="1005"/>
      <c r="K267" s="1005"/>
      <c r="L267" s="1006"/>
      <c r="M267" s="783" t="s">
        <v>147</v>
      </c>
      <c r="N267" s="784"/>
      <c r="O267" s="784"/>
      <c r="P267" s="784"/>
      <c r="Q267" s="784"/>
      <c r="R267" s="784"/>
      <c r="S267" s="784"/>
      <c r="T267" s="784"/>
      <c r="U267" s="784"/>
      <c r="V267" s="784"/>
      <c r="W267" s="785"/>
      <c r="X267" s="783" t="s">
        <v>148</v>
      </c>
      <c r="Y267" s="784"/>
      <c r="Z267" s="784"/>
      <c r="AA267" s="784"/>
      <c r="AB267" s="784"/>
      <c r="AC267" s="784"/>
      <c r="AD267" s="784"/>
      <c r="AE267" s="784"/>
      <c r="AF267" s="784"/>
      <c r="AG267" s="785"/>
      <c r="AH267" s="783" t="s">
        <v>149</v>
      </c>
      <c r="AI267" s="784"/>
      <c r="AJ267" s="784"/>
      <c r="AK267" s="784"/>
      <c r="AL267" s="784"/>
      <c r="AM267" s="784"/>
      <c r="AN267" s="784"/>
      <c r="AO267" s="784"/>
      <c r="AP267" s="785"/>
    </row>
    <row r="268" spans="1:54" ht="13.5" thickBot="1" x14ac:dyDescent="0.25">
      <c r="A268" s="1003"/>
      <c r="B268" s="995" t="s">
        <v>7</v>
      </c>
      <c r="C268" s="996"/>
      <c r="D268" s="996"/>
      <c r="E268" s="996"/>
      <c r="F268" s="996"/>
      <c r="G268" s="996"/>
      <c r="H268" s="997"/>
      <c r="I268" s="995" t="s">
        <v>8</v>
      </c>
      <c r="J268" s="996"/>
      <c r="K268" s="996"/>
      <c r="L268" s="997"/>
      <c r="M268" s="777" t="s">
        <v>7</v>
      </c>
      <c r="N268" s="778"/>
      <c r="O268" s="778"/>
      <c r="P268" s="778"/>
      <c r="Q268" s="778"/>
      <c r="R268" s="778"/>
      <c r="S268" s="779"/>
      <c r="T268" s="777" t="s">
        <v>8</v>
      </c>
      <c r="U268" s="778"/>
      <c r="V268" s="778"/>
      <c r="W268" s="779"/>
      <c r="X268" s="777" t="s">
        <v>7</v>
      </c>
      <c r="Y268" s="778"/>
      <c r="Z268" s="778"/>
      <c r="AA268" s="778"/>
      <c r="AB268" s="778"/>
      <c r="AC268" s="778"/>
      <c r="AD268" s="778"/>
      <c r="AE268" s="779"/>
      <c r="AF268" s="777" t="s">
        <v>8</v>
      </c>
      <c r="AG268" s="779"/>
      <c r="AH268" s="778" t="s">
        <v>7</v>
      </c>
      <c r="AI268" s="778"/>
      <c r="AJ268" s="778"/>
      <c r="AK268" s="778"/>
      <c r="AL268" s="778"/>
      <c r="AM268" s="779"/>
      <c r="AN268" s="777" t="s">
        <v>8</v>
      </c>
      <c r="AO268" s="778"/>
      <c r="AP268" s="779"/>
    </row>
    <row r="269" spans="1:54" x14ac:dyDescent="0.2">
      <c r="A269" s="106" t="s">
        <v>150</v>
      </c>
      <c r="B269" s="986" t="str">
        <f>IF(L264=1,B264,IF(L265=1,B265,IF(L266=1,B266,"#1 1st Place")))</f>
        <v>SMVC Royals 14</v>
      </c>
      <c r="C269" s="987"/>
      <c r="D269" s="987"/>
      <c r="E269" s="987"/>
      <c r="F269" s="987"/>
      <c r="G269" s="987"/>
      <c r="H269" s="987"/>
      <c r="I269" s="988" t="str">
        <f>IF(L264=1,F264,IF(L265=1,F265,IF(L266=1,F266,"#1 1st Place")))</f>
        <v>fj4smvbc1cr</v>
      </c>
      <c r="J269" s="988"/>
      <c r="K269" s="988"/>
      <c r="L269" s="989"/>
      <c r="M269" s="990" t="str">
        <f>IF(W264=1,M264,IF(W265=1,M265,IF(W266=1,M266,"#1 2nd Place")))</f>
        <v>Foothills 14 Holland</v>
      </c>
      <c r="N269" s="991"/>
      <c r="O269" s="991"/>
      <c r="P269" s="991"/>
      <c r="Q269" s="991"/>
      <c r="R269" s="991"/>
      <c r="S269" s="991"/>
      <c r="T269" s="992" t="str">
        <f>IF(W264=1,R264,IF(W265=1,R265,IF(W266=1,R266,"#1 2nd Place")))</f>
        <v>fj4footh1pm</v>
      </c>
      <c r="U269" s="992"/>
      <c r="V269" s="992"/>
      <c r="W269" s="993"/>
      <c r="X269" s="990" t="str">
        <f>IF(AG264=1,X264,IF(AG265=1,X265,IF(AG266=1,X266,"#1 3rd Place")))</f>
        <v>CSRA Heat 14 Black</v>
      </c>
      <c r="Y269" s="991"/>
      <c r="Z269" s="991"/>
      <c r="AA269" s="991"/>
      <c r="AB269" s="991"/>
      <c r="AC269" s="991"/>
      <c r="AD269" s="991"/>
      <c r="AE269" s="991"/>
      <c r="AF269" s="992" t="str">
        <f>IF(AG264=1,AC264,IF(AG265=1,AC265,IF(AG266=1,AC266,"#1 3rd Place")))</f>
        <v>fj4csrah2pm</v>
      </c>
      <c r="AG269" s="993"/>
      <c r="AH269" s="994" t="str">
        <f>IF(AP264=1,AH264,IF(AP265=1,AH265,IF(AP266=1,AH266,"#1 4th Place")))</f>
        <v>Blitz14 Black</v>
      </c>
      <c r="AI269" s="991"/>
      <c r="AJ269" s="991"/>
      <c r="AK269" s="991"/>
      <c r="AL269" s="991"/>
      <c r="AM269" s="991"/>
      <c r="AN269" s="992" t="str">
        <f>IF(AP264=1,AK264,IF(AP265=1,AK265,IF(AP266=1,AK266,"#1 4th Place")))</f>
        <v>fj4clebl1cr</v>
      </c>
      <c r="AO269" s="992"/>
      <c r="AP269" s="993"/>
    </row>
    <row r="270" spans="1:54" x14ac:dyDescent="0.2">
      <c r="A270" s="106" t="s">
        <v>151</v>
      </c>
      <c r="B270" s="934" t="str">
        <f>IF(L264=2,B264,IF(L265=2,B265,IF(L266=2,B266,"#2 1st Place")))</f>
        <v>TC Extreme 14 Amber</v>
      </c>
      <c r="C270" s="935"/>
      <c r="D270" s="935"/>
      <c r="E270" s="935"/>
      <c r="F270" s="935"/>
      <c r="G270" s="935"/>
      <c r="H270" s="935"/>
      <c r="I270" s="936" t="str">
        <f>IF(L264=2,F264,IF(L265=2,F265,IF(L266=2,F266,"#2 1st Place")))</f>
        <v>fj4triex1so</v>
      </c>
      <c r="J270" s="936"/>
      <c r="K270" s="936"/>
      <c r="L270" s="937"/>
      <c r="M270" s="985" t="str">
        <f>IF(W264=2,M264,IF(W265=2,M265,IF(W266=2,M266,"#2 2nd Place")))</f>
        <v>BVA 14 Black</v>
      </c>
      <c r="N270" s="981"/>
      <c r="O270" s="981"/>
      <c r="P270" s="981"/>
      <c r="Q270" s="981"/>
      <c r="R270" s="981"/>
      <c r="S270" s="981"/>
      <c r="T270" s="982" t="str">
        <f>IF(W264=2,R264,IF(W265=2,R265,IF(W266=2,R266,"#2 2nd Place")))</f>
        <v>fj4biltm2cr</v>
      </c>
      <c r="U270" s="982"/>
      <c r="V270" s="982"/>
      <c r="W270" s="983"/>
      <c r="X270" s="985" t="str">
        <f>IF(AG264=2,X264,IF(AG265=2,X265,IF(AG266=2,X266,"#2 3rd Place")))</f>
        <v>Chas Jrs 14 Blue</v>
      </c>
      <c r="Y270" s="981"/>
      <c r="Z270" s="981"/>
      <c r="AA270" s="981"/>
      <c r="AB270" s="981"/>
      <c r="AC270" s="981"/>
      <c r="AD270" s="981"/>
      <c r="AE270" s="981"/>
      <c r="AF270" s="982" t="str">
        <f>IF(AG264=2,AC264,IF(AG265=2,AC265,IF(AG266=2,AC266,"#2 3rd Place")))</f>
        <v>fj4charl2pm</v>
      </c>
      <c r="AG270" s="983"/>
      <c r="AH270" s="980" t="str">
        <f>IF(AP264=2,AH264,IF(AP265=2,AH265,IF(AP266=2,AH266,"#2 4th Place")))</f>
        <v>Chas Jrs 14 White</v>
      </c>
      <c r="AI270" s="981"/>
      <c r="AJ270" s="981"/>
      <c r="AK270" s="981"/>
      <c r="AL270" s="981"/>
      <c r="AM270" s="981"/>
      <c r="AN270" s="982" t="str">
        <f>IF(AP264=2,AK264,IF(AP265=2,AK265,IF(AP266=2,AK266,"#2 4th Place")))</f>
        <v>fj4charl3pm</v>
      </c>
      <c r="AO270" s="982"/>
      <c r="AP270" s="983"/>
    </row>
    <row r="271" spans="1:54" s="3" customFormat="1" ht="13.5" thickBot="1" x14ac:dyDescent="0.25">
      <c r="A271" s="168" t="s">
        <v>152</v>
      </c>
      <c r="B271" s="773" t="str">
        <f>IF(L264=3,B264,IF(L265=3,B265,IF(L266=3,B266,"#3 1st Place")))</f>
        <v>C1VB 14 Reg Royal Grvl</v>
      </c>
      <c r="C271" s="774"/>
      <c r="D271" s="774"/>
      <c r="E271" s="774"/>
      <c r="F271" s="774"/>
      <c r="G271" s="774"/>
      <c r="H271" s="774"/>
      <c r="I271" s="775" t="str">
        <f>IF(L264=3,F264,IF(L265=3,F265,IF(L266=3,F266,"#3 1st Place")))</f>
        <v>fj4crone5pm</v>
      </c>
      <c r="J271" s="775"/>
      <c r="K271" s="775"/>
      <c r="L271" s="776"/>
      <c r="M271" s="773" t="str">
        <f>IF(W264=3,M264,IF(W265=3,M265,IF(W266=3,M266,"#3 2nd Place")))</f>
        <v>SOAR EAGLES 14U</v>
      </c>
      <c r="N271" s="774"/>
      <c r="O271" s="774"/>
      <c r="P271" s="774"/>
      <c r="Q271" s="774"/>
      <c r="R271" s="774"/>
      <c r="S271" s="774"/>
      <c r="T271" s="775" t="str">
        <f>IF(W264=3,R264,IF(W265=3,R265,IF(W266=3,R266,"#3 2nd Place")))</f>
        <v>fj4soarj2pm</v>
      </c>
      <c r="U271" s="775"/>
      <c r="V271" s="775"/>
      <c r="W271" s="776"/>
      <c r="X271" s="773" t="str">
        <f>IF(AG264=3,X264,IF(AG265=3,X265,IF(AG266=3,X266,"#3 3rd Place")))</f>
        <v>C1VB 14 Reg Black Grvl</v>
      </c>
      <c r="Y271" s="774"/>
      <c r="Z271" s="774"/>
      <c r="AA271" s="774"/>
      <c r="AB271" s="774"/>
      <c r="AC271" s="774"/>
      <c r="AD271" s="774"/>
      <c r="AE271" s="774"/>
      <c r="AF271" s="775" t="str">
        <f>IF(AG264=3,AC264,IF(AG265=3,AC265,IF(AG266=3,AC266,"#3 3rd Place")))</f>
        <v>fj4crone4pm</v>
      </c>
      <c r="AG271" s="776"/>
      <c r="AH271" s="984" t="str">
        <f>IF(AP264=3,AH264,IF(AP265=3,AH265,IF(AP266=3,AH266,"#3 4th Place")))</f>
        <v>MOTO 14's</v>
      </c>
      <c r="AI271" s="774"/>
      <c r="AJ271" s="774"/>
      <c r="AK271" s="774"/>
      <c r="AL271" s="774"/>
      <c r="AM271" s="774"/>
      <c r="AN271" s="775" t="str">
        <f>IF(AP264=3,AK264,IF(AP265=3,AK265,IF(AP266=3,AK266,"#3 4th Place")))</f>
        <v>fj4motoj1pm</v>
      </c>
      <c r="AO271" s="775"/>
      <c r="AP271" s="776"/>
      <c r="AW271" s="62"/>
      <c r="AX271" s="4"/>
      <c r="AY271" s="4"/>
      <c r="AZ271" s="4"/>
      <c r="BA271" s="4"/>
    </row>
    <row r="272" spans="1:54" s="3" customFormat="1" x14ac:dyDescent="0.2">
      <c r="A272" s="35"/>
      <c r="B272" s="81"/>
      <c r="C272" s="81"/>
      <c r="D272" s="81"/>
      <c r="E272" s="81"/>
      <c r="F272" s="81"/>
      <c r="G272" s="81"/>
      <c r="H272" s="81"/>
      <c r="I272" s="81"/>
      <c r="J272" s="81"/>
      <c r="K272" s="81"/>
      <c r="L272" s="81"/>
      <c r="M272" s="183"/>
      <c r="N272" s="183"/>
      <c r="O272" s="183"/>
      <c r="P272" s="183"/>
      <c r="Q272" s="183"/>
      <c r="R272" s="183"/>
      <c r="S272" s="183"/>
      <c r="T272" s="183"/>
      <c r="U272" s="183"/>
      <c r="V272" s="183"/>
      <c r="W272" s="183"/>
      <c r="AW272" s="62"/>
      <c r="AX272" s="4"/>
      <c r="AY272" s="4"/>
      <c r="AZ272" s="4"/>
      <c r="BA272" s="4"/>
    </row>
    <row r="273" spans="1:56" ht="15.75" x14ac:dyDescent="0.25">
      <c r="A273" s="763" t="s">
        <v>102</v>
      </c>
      <c r="B273" s="763"/>
      <c r="C273" s="763"/>
      <c r="D273" s="763"/>
      <c r="E273" s="763"/>
      <c r="F273" s="763"/>
      <c r="G273" s="763"/>
      <c r="H273" s="763"/>
      <c r="I273" s="763"/>
      <c r="J273" s="763"/>
      <c r="K273" s="763"/>
      <c r="L273" s="763"/>
      <c r="M273" s="763"/>
      <c r="N273" s="763"/>
      <c r="O273" s="763"/>
      <c r="P273" s="763"/>
      <c r="Q273" s="763"/>
      <c r="R273" s="763"/>
      <c r="S273" s="763"/>
      <c r="T273" s="763"/>
      <c r="U273" s="763"/>
      <c r="V273" s="763"/>
      <c r="W273" s="763"/>
      <c r="X273" s="763"/>
      <c r="Y273" s="763"/>
      <c r="Z273" s="763"/>
      <c r="AA273" s="763"/>
      <c r="AB273" s="763"/>
      <c r="AC273" s="763"/>
      <c r="AD273" s="763"/>
      <c r="AE273" s="763"/>
      <c r="AF273" s="763"/>
      <c r="AG273" s="763"/>
      <c r="AH273" s="763"/>
      <c r="AI273" s="763"/>
      <c r="AJ273" s="763"/>
      <c r="AK273" s="763"/>
      <c r="AL273" s="763"/>
      <c r="AM273" s="763"/>
      <c r="AN273" s="763"/>
      <c r="AO273" s="763"/>
      <c r="AP273" s="763"/>
      <c r="AQ273" s="763"/>
      <c r="AT273" s="83"/>
      <c r="AU273" s="83"/>
      <c r="AV273" s="83"/>
    </row>
    <row r="274" spans="1:56" ht="36" customHeight="1" x14ac:dyDescent="0.25">
      <c r="A274" s="764" t="s">
        <v>350</v>
      </c>
      <c r="B274" s="765"/>
      <c r="C274" s="765"/>
      <c r="D274" s="765"/>
      <c r="E274" s="765"/>
      <c r="F274" s="765"/>
      <c r="G274" s="765"/>
      <c r="H274" s="765"/>
      <c r="I274" s="765"/>
      <c r="J274" s="765"/>
      <c r="K274" s="765"/>
      <c r="L274" s="765"/>
      <c r="M274" s="765"/>
      <c r="N274" s="765"/>
      <c r="O274" s="765"/>
      <c r="P274" s="765"/>
      <c r="Q274" s="765"/>
      <c r="R274" s="765"/>
      <c r="S274" s="765"/>
      <c r="T274" s="765"/>
      <c r="U274" s="765"/>
      <c r="V274" s="765"/>
      <c r="W274" s="765"/>
      <c r="X274" s="765"/>
      <c r="Y274" s="765"/>
      <c r="Z274" s="765"/>
      <c r="AA274" s="765"/>
      <c r="AB274" s="765"/>
      <c r="AC274" s="765"/>
      <c r="AD274" s="765"/>
      <c r="AE274" s="765"/>
      <c r="AF274" s="765"/>
      <c r="AG274" s="765"/>
      <c r="AH274" s="765"/>
      <c r="AI274" s="765"/>
      <c r="AJ274" s="765"/>
      <c r="AK274" s="765"/>
      <c r="AL274" s="765"/>
      <c r="AM274" s="765"/>
      <c r="AN274" s="765"/>
      <c r="AO274" s="765"/>
      <c r="AP274" s="765"/>
      <c r="AQ274" s="765"/>
    </row>
    <row r="275" spans="1:56" x14ac:dyDescent="0.2">
      <c r="A275" s="766" t="s">
        <v>170</v>
      </c>
      <c r="B275" s="766"/>
      <c r="C275" s="766"/>
      <c r="D275" s="766"/>
      <c r="E275" s="766"/>
      <c r="F275" s="766"/>
      <c r="G275" s="766"/>
      <c r="H275" s="766"/>
      <c r="I275" s="766"/>
      <c r="J275" s="766"/>
      <c r="K275" s="766"/>
      <c r="L275" s="766"/>
      <c r="M275" s="766"/>
      <c r="N275" s="766"/>
      <c r="O275" s="766"/>
      <c r="P275" s="766"/>
      <c r="Q275" s="766"/>
      <c r="R275" s="766"/>
      <c r="S275" s="766"/>
      <c r="T275" s="766"/>
      <c r="U275" s="766"/>
      <c r="V275" s="766"/>
      <c r="W275" s="766"/>
      <c r="X275" s="766"/>
      <c r="Y275" s="766"/>
      <c r="Z275" s="766"/>
      <c r="AA275" s="766"/>
      <c r="AB275" s="766"/>
      <c r="AC275" s="766"/>
      <c r="AD275" s="766"/>
      <c r="AE275" s="766"/>
      <c r="AF275" s="766"/>
      <c r="AG275" s="766"/>
      <c r="AH275" s="766"/>
      <c r="AI275" s="766"/>
      <c r="AJ275" s="766"/>
      <c r="AK275" s="766"/>
      <c r="AL275" s="766"/>
      <c r="AM275" s="766"/>
      <c r="AN275" s="766"/>
      <c r="AO275" s="766"/>
      <c r="AP275" s="766"/>
      <c r="AQ275" s="766"/>
    </row>
    <row r="276" spans="1:56" x14ac:dyDescent="0.2">
      <c r="A276" s="766" t="s">
        <v>153</v>
      </c>
      <c r="B276" s="766"/>
      <c r="C276" s="766"/>
      <c r="D276" s="766"/>
      <c r="E276" s="766"/>
      <c r="F276" s="766"/>
      <c r="G276" s="766"/>
      <c r="H276" s="766"/>
      <c r="I276" s="766"/>
      <c r="J276" s="766"/>
      <c r="K276" s="766"/>
      <c r="L276" s="766"/>
      <c r="M276" s="766"/>
      <c r="N276" s="766"/>
      <c r="O276" s="766"/>
      <c r="P276" s="766"/>
      <c r="Q276" s="766"/>
      <c r="R276" s="766"/>
      <c r="S276" s="766"/>
      <c r="T276" s="766"/>
      <c r="U276" s="766"/>
      <c r="V276" s="766"/>
      <c r="W276" s="766"/>
      <c r="X276" s="766"/>
      <c r="Y276" s="766"/>
      <c r="Z276" s="766"/>
      <c r="AA276" s="766"/>
      <c r="AB276" s="766"/>
      <c r="AC276" s="766"/>
      <c r="AD276" s="766"/>
      <c r="AE276" s="766"/>
      <c r="AF276" s="766"/>
      <c r="AG276" s="766"/>
      <c r="AH276" s="766"/>
      <c r="AI276" s="766"/>
      <c r="AJ276" s="766"/>
      <c r="AK276" s="766"/>
      <c r="AL276" s="766"/>
      <c r="AM276" s="766"/>
      <c r="AN276" s="766"/>
      <c r="AO276" s="766"/>
      <c r="AP276" s="766"/>
      <c r="AQ276" s="766"/>
    </row>
    <row r="277" spans="1:56" x14ac:dyDescent="0.2">
      <c r="A277" s="767" t="s">
        <v>104</v>
      </c>
      <c r="B277" s="767"/>
      <c r="C277" s="767"/>
      <c r="D277" s="767"/>
      <c r="E277" s="767"/>
      <c r="F277" s="767"/>
      <c r="G277" s="767"/>
      <c r="H277" s="767"/>
      <c r="I277" s="767"/>
      <c r="J277" s="767"/>
      <c r="K277" s="767"/>
      <c r="L277" s="84"/>
    </row>
    <row r="278" spans="1:56" x14ac:dyDescent="0.2">
      <c r="C278" s="3"/>
      <c r="D278" s="3"/>
      <c r="E278" s="3"/>
      <c r="L278" s="84"/>
    </row>
    <row r="279" spans="1:56" x14ac:dyDescent="0.2">
      <c r="A279" s="768" t="s">
        <v>105</v>
      </c>
      <c r="B279" s="768"/>
      <c r="C279" s="768"/>
      <c r="D279" s="768"/>
      <c r="E279" s="768"/>
      <c r="F279" s="768"/>
      <c r="G279" s="768"/>
      <c r="H279" s="768"/>
      <c r="I279" s="768"/>
      <c r="J279" s="768"/>
      <c r="K279" s="768"/>
      <c r="L279" s="768"/>
      <c r="M279" s="768"/>
      <c r="N279" s="768"/>
      <c r="O279" s="768"/>
      <c r="P279" s="768"/>
      <c r="Q279" s="62"/>
      <c r="S279" s="768" t="s">
        <v>106</v>
      </c>
      <c r="T279" s="768"/>
      <c r="U279" s="768"/>
      <c r="V279" s="768"/>
      <c r="W279" s="768"/>
      <c r="X279" s="768"/>
      <c r="Y279" s="768"/>
      <c r="Z279" s="768"/>
      <c r="AA279" s="768"/>
      <c r="AB279" s="768"/>
      <c r="AC279" s="768"/>
      <c r="AD279" s="768"/>
      <c r="AE279" s="768"/>
      <c r="AF279" s="768"/>
      <c r="AG279" s="768"/>
    </row>
    <row r="281" spans="1:56" ht="13.5" thickBot="1" x14ac:dyDescent="0.25">
      <c r="A281" s="736" t="str">
        <f>IF(B309=1,B301,IF(B309=2,B302,IF(B309=3,B303,IF(B309=4,B304,IF(OR(B309="B",B309="b"),"BYE","invalid")))))</f>
        <v>SMVC Royals 14</v>
      </c>
      <c r="B281" s="736"/>
      <c r="C281" s="736"/>
      <c r="D281" s="736"/>
      <c r="E281" s="736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T281" s="89"/>
      <c r="U281" s="89"/>
      <c r="V281" s="736" t="str">
        <f>IF(W309=1,X301,IF(W309=2,X302,IF(W309=3,X303,IF(W309=4,X304,IF(OR(W309="B",W309="b"),"BYE","invalid")))))</f>
        <v>BVA 14 Black</v>
      </c>
      <c r="W281" s="736"/>
      <c r="X281" s="736"/>
      <c r="Y281" s="736"/>
      <c r="Z281" s="736"/>
      <c r="AA281" s="736"/>
      <c r="AB281" s="736"/>
      <c r="AC281" s="88"/>
      <c r="AD281" s="88"/>
      <c r="AE281" s="88"/>
      <c r="AF281" s="88"/>
    </row>
    <row r="282" spans="1:56" x14ac:dyDescent="0.2">
      <c r="A282" s="738" t="s">
        <v>107</v>
      </c>
      <c r="B282" s="738"/>
      <c r="C282" s="738"/>
      <c r="D282" s="738"/>
      <c r="E282" s="738"/>
      <c r="F282" s="91"/>
      <c r="G282" s="88"/>
      <c r="H282" s="88"/>
      <c r="I282" s="88"/>
      <c r="J282" s="88"/>
      <c r="K282" s="88"/>
      <c r="L282" s="88"/>
      <c r="M282" s="88"/>
      <c r="N282" s="88"/>
      <c r="O282" s="88"/>
      <c r="T282" s="92"/>
      <c r="U282" s="92"/>
      <c r="V282" s="739" t="s">
        <v>154</v>
      </c>
      <c r="W282" s="739"/>
      <c r="X282" s="739"/>
      <c r="Y282" s="739"/>
      <c r="Z282" s="739"/>
      <c r="AA282" s="739"/>
      <c r="AB282" s="752"/>
      <c r="AC282" s="88"/>
      <c r="AD282" s="88"/>
      <c r="AE282" s="88"/>
      <c r="AF282" s="88"/>
    </row>
    <row r="283" spans="1:56" x14ac:dyDescent="0.2">
      <c r="A283" s="88"/>
      <c r="B283" s="88"/>
      <c r="C283" s="88"/>
      <c r="D283" s="88"/>
      <c r="E283" s="88"/>
      <c r="F283" s="91"/>
      <c r="G283" s="88"/>
      <c r="H283" s="88"/>
      <c r="I283" s="88"/>
      <c r="J283" s="88"/>
      <c r="K283" s="88"/>
      <c r="L283" s="88"/>
      <c r="M283" s="88"/>
      <c r="N283" s="88"/>
      <c r="O283" s="88"/>
      <c r="S283" s="88"/>
      <c r="T283" s="88"/>
      <c r="U283" s="88"/>
      <c r="V283" s="88"/>
      <c r="W283" s="88"/>
      <c r="X283" s="88"/>
      <c r="Y283" s="88"/>
      <c r="Z283" s="88"/>
      <c r="AA283" s="88"/>
      <c r="AB283" s="165"/>
      <c r="AC283" s="88"/>
      <c r="AD283" s="88"/>
      <c r="AE283" s="88"/>
      <c r="AF283" s="88"/>
    </row>
    <row r="284" spans="1:56" ht="13.5" thickBot="1" x14ac:dyDescent="0.25">
      <c r="A284" s="739" t="str">
        <f>B303&amp;" ref"</f>
        <v>C1VB 14 Reg Royal Grvl ref</v>
      </c>
      <c r="B284" s="739"/>
      <c r="C284" s="739"/>
      <c r="D284" s="739"/>
      <c r="E284" s="752"/>
      <c r="F284" s="748" t="str">
        <f>IF(H309=1,B301,IF(H309=2,B302,IF(H309=3,B303,IF(H309=4,B304,"Winner Match 1"))))</f>
        <v>Foothills 14 Holland</v>
      </c>
      <c r="G284" s="749"/>
      <c r="H284" s="749"/>
      <c r="I284" s="749"/>
      <c r="J284" s="749"/>
      <c r="K284" s="749"/>
      <c r="L284" s="749"/>
      <c r="M284" s="749"/>
      <c r="N284" s="749"/>
      <c r="O284" s="88"/>
      <c r="Q284" s="96"/>
      <c r="R284" s="96"/>
      <c r="S284" s="96"/>
      <c r="T284" s="96"/>
      <c r="U284" s="739" t="str">
        <f>X303&amp;" ref"</f>
        <v>CSRA Heat 14 Black ref</v>
      </c>
      <c r="V284" s="739"/>
      <c r="W284" s="739"/>
      <c r="X284" s="739"/>
      <c r="Y284" s="739"/>
      <c r="Z284" s="739"/>
      <c r="AA284" s="739"/>
      <c r="AB284" s="752"/>
      <c r="AC284" s="748" t="str">
        <f>IF(AC309=1,X301,IF(AC309=2,X302,IF(AC309=3,X303,IF(AC309=4,X304,"Winner Match 1"))))</f>
        <v>Chas Jrs 14 Blue</v>
      </c>
      <c r="AD284" s="749"/>
      <c r="AE284" s="749"/>
      <c r="AF284" s="749"/>
      <c r="AG284" s="749"/>
      <c r="AH284" s="749"/>
      <c r="AI284" s="749"/>
    </row>
    <row r="285" spans="1:56" x14ac:dyDescent="0.2">
      <c r="A285" s="746" t="s">
        <v>109</v>
      </c>
      <c r="B285" s="746"/>
      <c r="C285" s="746"/>
      <c r="D285" s="746"/>
      <c r="E285" s="746"/>
      <c r="F285" s="759"/>
      <c r="G285" s="760"/>
      <c r="H285" s="760"/>
      <c r="I285" s="761"/>
      <c r="J285" s="744"/>
      <c r="K285" s="745"/>
      <c r="L285" s="745"/>
      <c r="M285" s="745"/>
      <c r="N285" s="745"/>
      <c r="O285" s="88"/>
      <c r="P285" s="88"/>
      <c r="Q285" s="95"/>
      <c r="R285" s="10"/>
      <c r="S285" s="102"/>
      <c r="T285" s="102"/>
      <c r="U285" s="762" t="s">
        <v>110</v>
      </c>
      <c r="V285" s="762"/>
      <c r="W285" s="762"/>
      <c r="X285" s="762"/>
      <c r="Y285" s="762"/>
      <c r="Z285" s="762"/>
      <c r="AA285" s="762"/>
      <c r="AB285" s="165"/>
      <c r="AC285" s="759"/>
      <c r="AD285" s="760"/>
      <c r="AE285" s="760"/>
      <c r="AF285" s="761"/>
      <c r="AG285" s="744"/>
      <c r="AH285" s="745"/>
      <c r="AI285" s="745"/>
    </row>
    <row r="286" spans="1:56" ht="13.5" thickBot="1" x14ac:dyDescent="0.25">
      <c r="A286" s="736" t="str">
        <f>IF(D309=1,B301,IF(D309=2,B302,IF(D309=3,B303,IF(D309=4,B304,IF(OR(D309="B",D309="b"),"BYE","invalid")))))</f>
        <v>Foothills 14 Holland</v>
      </c>
      <c r="B286" s="736"/>
      <c r="C286" s="736"/>
      <c r="D286" s="736"/>
      <c r="E286" s="737"/>
      <c r="F286" s="91"/>
      <c r="G286" s="88"/>
      <c r="H286" s="88"/>
      <c r="I286" s="88"/>
      <c r="J286" s="91"/>
      <c r="K286" s="88"/>
      <c r="L286" s="88"/>
      <c r="M286" s="88"/>
      <c r="N286" s="88"/>
      <c r="O286" s="88"/>
      <c r="P286" s="88"/>
      <c r="Q286" s="88"/>
      <c r="U286" s="88"/>
      <c r="V286" s="736" t="str">
        <f>IF(Y309=1,X301,IF(Y309=2,X302,IF(Y309=3,X303,IF(Y309=4,X304,IF(OR(Y309="B",Y309="b"),"BYE","invalid")))))</f>
        <v>Chas Jrs 14 Blue</v>
      </c>
      <c r="W286" s="736"/>
      <c r="X286" s="736"/>
      <c r="Y286" s="736"/>
      <c r="Z286" s="736"/>
      <c r="AA286" s="736"/>
      <c r="AB286" s="737"/>
      <c r="AC286" s="88"/>
      <c r="AD286" s="88"/>
      <c r="AE286" s="88"/>
      <c r="AF286" s="165"/>
      <c r="AG286" s="88"/>
      <c r="AH286" s="88"/>
      <c r="AW286" s="146"/>
      <c r="AX286" s="54"/>
      <c r="AY286" s="54"/>
      <c r="AZ286" s="54"/>
      <c r="BA286" s="54"/>
    </row>
    <row r="287" spans="1:56" x14ac:dyDescent="0.2">
      <c r="A287" s="738" t="s">
        <v>155</v>
      </c>
      <c r="B287" s="738"/>
      <c r="C287" s="738"/>
      <c r="D287" s="738"/>
      <c r="E287" s="738"/>
      <c r="F287" s="88"/>
      <c r="G287" s="88"/>
      <c r="H287" s="88"/>
      <c r="I287" s="88"/>
      <c r="J287" s="91"/>
      <c r="K287" s="88"/>
      <c r="L287" s="88"/>
      <c r="M287" s="88"/>
      <c r="N287" s="88"/>
      <c r="O287" s="88"/>
      <c r="P287" s="88"/>
      <c r="Q287" s="88"/>
      <c r="V287" s="757" t="s">
        <v>156</v>
      </c>
      <c r="W287" s="757"/>
      <c r="X287" s="757"/>
      <c r="Y287" s="757"/>
      <c r="Z287" s="757"/>
      <c r="AA287" s="757"/>
      <c r="AB287" s="757"/>
      <c r="AC287" s="88"/>
      <c r="AD287" s="88"/>
      <c r="AE287" s="88"/>
      <c r="AF287" s="165"/>
      <c r="AG287" s="88"/>
      <c r="AH287" s="88"/>
      <c r="AR287" s="104"/>
      <c r="AS287" s="104"/>
      <c r="AW287" s="146"/>
      <c r="AX287" s="54"/>
      <c r="AY287" s="54"/>
      <c r="AZ287" s="54"/>
      <c r="BA287" s="54"/>
      <c r="BB287" s="104"/>
      <c r="BC287" s="104"/>
      <c r="BD287" s="104"/>
    </row>
    <row r="288" spans="1:56" x14ac:dyDescent="0.2">
      <c r="A288" s="88"/>
      <c r="B288" s="88"/>
      <c r="C288" s="88"/>
      <c r="D288" s="88"/>
      <c r="E288" s="88"/>
      <c r="F288" s="751" t="s">
        <v>113</v>
      </c>
      <c r="G288" s="751"/>
      <c r="H288" s="751"/>
      <c r="I288" s="758"/>
      <c r="J288" s="91"/>
      <c r="K288" s="88"/>
      <c r="L288" s="88"/>
      <c r="M288" s="88"/>
      <c r="N288" s="88"/>
      <c r="O288" s="88"/>
      <c r="P288" s="88"/>
      <c r="Q288" s="88"/>
      <c r="S288" s="88"/>
      <c r="T288" s="88"/>
      <c r="U288" s="88"/>
      <c r="V288" s="88"/>
      <c r="W288" s="88"/>
      <c r="X288" s="96"/>
      <c r="Y288" s="96"/>
      <c r="Z288" s="96"/>
      <c r="AB288" s="96"/>
      <c r="AC288" s="751" t="s">
        <v>113</v>
      </c>
      <c r="AD288" s="751"/>
      <c r="AE288" s="751"/>
      <c r="AF288" s="758"/>
      <c r="AG288" s="88"/>
      <c r="AH288" s="88"/>
      <c r="AW288" s="146"/>
      <c r="AX288" s="54"/>
      <c r="AY288" s="54"/>
      <c r="AZ288" s="54"/>
      <c r="BA288" s="54"/>
    </row>
    <row r="289" spans="1:53" ht="13.5" thickBot="1" x14ac:dyDescent="0.25">
      <c r="A289" s="88"/>
      <c r="B289" s="88"/>
      <c r="C289" s="88"/>
      <c r="D289" s="88"/>
      <c r="E289" s="88"/>
      <c r="F289" s="88"/>
      <c r="G289" s="88"/>
      <c r="H289" s="88"/>
      <c r="I289" s="88"/>
      <c r="J289" s="978" t="str">
        <f>IF(K314=1,B301,IF(K314=2,B302,IF(K314=3,B303,IF(K314=4,B304,"Division Winner"))))</f>
        <v>TC Extreme 14 Amber</v>
      </c>
      <c r="K289" s="979"/>
      <c r="L289" s="979"/>
      <c r="M289" s="979"/>
      <c r="N289" s="979"/>
      <c r="O289" s="979"/>
      <c r="P289" s="979"/>
      <c r="Q289" s="979"/>
      <c r="R289" s="89"/>
      <c r="S289" s="88"/>
      <c r="T289" s="88"/>
      <c r="U289" s="88"/>
      <c r="V289" s="88"/>
      <c r="W289" s="88"/>
      <c r="X289" s="88"/>
      <c r="Y289" s="88"/>
      <c r="Z289" s="88"/>
      <c r="AA289" s="88"/>
      <c r="AB289" s="107"/>
      <c r="AC289" s="107"/>
      <c r="AD289" s="107"/>
      <c r="AE289" s="107"/>
      <c r="AF289" s="166"/>
      <c r="AG289" s="978" t="str">
        <f>IF(AF314=1,X301,IF(AF314=2,X302,IF(AF314=3,X303,IF(AF314=4,X304,"Division Winner"))))</f>
        <v>Chas Jrs 14 Blue</v>
      </c>
      <c r="AH289" s="979"/>
      <c r="AI289" s="979"/>
      <c r="AJ289" s="979"/>
      <c r="AK289" s="979"/>
      <c r="AL289" s="979"/>
      <c r="AW289" s="146"/>
      <c r="AX289" s="54"/>
      <c r="AY289" s="54"/>
      <c r="AZ289" s="54"/>
      <c r="BA289" s="54"/>
    </row>
    <row r="290" spans="1:53" ht="13.5" thickBot="1" x14ac:dyDescent="0.25">
      <c r="A290" s="736" t="str">
        <f>IF(E309=1,B301,IF(E309=2,B302,IF(E309=3,B303,IF(E309=4,B304,IF(OR(E309="B",E309="b"),"BYE","invalid")))))</f>
        <v>TC Extreme 14 Amber</v>
      </c>
      <c r="B290" s="736"/>
      <c r="C290" s="736"/>
      <c r="D290" s="736"/>
      <c r="E290" s="736"/>
      <c r="F290" s="746" t="s">
        <v>114</v>
      </c>
      <c r="G290" s="746"/>
      <c r="H290" s="746"/>
      <c r="I290" s="746"/>
      <c r="J290" s="750" t="s">
        <v>115</v>
      </c>
      <c r="K290" s="751"/>
      <c r="L290" s="751"/>
      <c r="M290" s="751"/>
      <c r="N290" s="751"/>
      <c r="O290" s="751"/>
      <c r="P290" s="751"/>
      <c r="Q290" s="751"/>
      <c r="S290" s="107"/>
      <c r="T290" s="107"/>
      <c r="U290" s="107"/>
      <c r="V290" s="736" t="str">
        <f>IF(Z309=1,X301,IF(Z309=2,X302,IF(Z309=3,X303,IF(Z309=4,X304,IF(OR(Z309="B",Z309="b"),"BYE","invalid")))))</f>
        <v>SOAR EAGLES 14U</v>
      </c>
      <c r="W290" s="736"/>
      <c r="X290" s="736"/>
      <c r="Y290" s="736"/>
      <c r="Z290" s="736"/>
      <c r="AA290" s="736"/>
      <c r="AB290" s="736"/>
      <c r="AC290" s="746" t="s">
        <v>116</v>
      </c>
      <c r="AD290" s="746"/>
      <c r="AE290" s="746"/>
      <c r="AF290" s="747"/>
      <c r="AG290" s="750" t="s">
        <v>117</v>
      </c>
      <c r="AH290" s="751"/>
      <c r="AI290" s="751"/>
      <c r="AJ290" s="751"/>
      <c r="AK290" s="751"/>
      <c r="AL290" s="751"/>
      <c r="AW290" s="146"/>
      <c r="AX290" s="54"/>
      <c r="AY290" s="54"/>
      <c r="AZ290" s="54"/>
      <c r="BA290" s="54"/>
    </row>
    <row r="291" spans="1:53" x14ac:dyDescent="0.2">
      <c r="A291" s="738" t="s">
        <v>118</v>
      </c>
      <c r="B291" s="738"/>
      <c r="C291" s="738"/>
      <c r="D291" s="738"/>
      <c r="E291" s="738"/>
      <c r="F291" s="91"/>
      <c r="G291" s="88"/>
      <c r="H291" s="88"/>
      <c r="I291" s="88"/>
      <c r="J291" s="750"/>
      <c r="K291" s="751"/>
      <c r="L291" s="751"/>
      <c r="M291" s="751"/>
      <c r="N291" s="751"/>
      <c r="O291" s="751"/>
      <c r="P291" s="751"/>
      <c r="Q291" s="751"/>
      <c r="R291" s="88"/>
      <c r="S291" s="104"/>
      <c r="T291" s="104"/>
      <c r="U291" s="104"/>
      <c r="V291" s="739" t="s">
        <v>157</v>
      </c>
      <c r="W291" s="739"/>
      <c r="X291" s="739"/>
      <c r="Y291" s="739"/>
      <c r="Z291" s="739"/>
      <c r="AA291" s="739"/>
      <c r="AB291" s="752"/>
      <c r="AC291" s="88"/>
      <c r="AD291" s="88"/>
      <c r="AE291" s="88"/>
      <c r="AF291" s="165"/>
      <c r="AG291" s="88"/>
      <c r="AH291" s="88"/>
      <c r="AW291" s="146"/>
      <c r="AX291" s="54"/>
      <c r="AY291" s="54"/>
      <c r="AZ291" s="54"/>
      <c r="BA291" s="54"/>
    </row>
    <row r="292" spans="1:53" x14ac:dyDescent="0.2">
      <c r="A292" s="88"/>
      <c r="B292" s="88"/>
      <c r="C292" s="88"/>
      <c r="D292" s="88"/>
      <c r="E292" s="88"/>
      <c r="F292" s="91"/>
      <c r="G292" s="88"/>
      <c r="H292" s="88"/>
      <c r="I292" s="88"/>
      <c r="J292" s="91"/>
      <c r="K292" s="88"/>
      <c r="L292" s="88"/>
      <c r="M292" s="88"/>
      <c r="N292" s="88"/>
      <c r="O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  <c r="AA292" s="88"/>
      <c r="AB292" s="165"/>
      <c r="AC292" s="91"/>
      <c r="AD292" s="88"/>
      <c r="AE292" s="88"/>
      <c r="AF292" s="165"/>
      <c r="AG292" s="88"/>
      <c r="AH292" s="88"/>
      <c r="AW292" s="146"/>
      <c r="AX292" s="54"/>
      <c r="AY292" s="54"/>
      <c r="AZ292" s="54"/>
      <c r="BA292" s="54"/>
    </row>
    <row r="293" spans="1:53" ht="13.5" thickBot="1" x14ac:dyDescent="0.25">
      <c r="A293" s="751" t="s">
        <v>120</v>
      </c>
      <c r="B293" s="751"/>
      <c r="C293" s="751"/>
      <c r="D293" s="751"/>
      <c r="E293" s="95"/>
      <c r="F293" s="973"/>
      <c r="G293" s="974"/>
      <c r="H293" s="974"/>
      <c r="I293" s="975"/>
      <c r="J293" s="976"/>
      <c r="K293" s="977"/>
      <c r="L293" s="977"/>
      <c r="M293" s="977"/>
      <c r="N293" s="977"/>
      <c r="O293" s="88"/>
      <c r="R293" s="96"/>
      <c r="S293" s="96"/>
      <c r="T293" s="96"/>
      <c r="U293" s="751" t="s">
        <v>120</v>
      </c>
      <c r="V293" s="751"/>
      <c r="W293" s="751"/>
      <c r="X293" s="751"/>
      <c r="Y293" s="751"/>
      <c r="Z293" s="751"/>
      <c r="AA293" s="751"/>
      <c r="AB293" s="88"/>
      <c r="AC293" s="741"/>
      <c r="AD293" s="742"/>
      <c r="AE293" s="742"/>
      <c r="AF293" s="743"/>
      <c r="AG293" s="744"/>
      <c r="AH293" s="745"/>
      <c r="AI293" s="745"/>
      <c r="AW293" s="146"/>
      <c r="AX293" s="54"/>
      <c r="AY293" s="54"/>
      <c r="AZ293" s="54"/>
      <c r="BA293" s="54"/>
    </row>
    <row r="294" spans="1:53" x14ac:dyDescent="0.2">
      <c r="A294" s="746" t="s">
        <v>109</v>
      </c>
      <c r="B294" s="746"/>
      <c r="C294" s="746"/>
      <c r="D294" s="746"/>
      <c r="E294" s="747"/>
      <c r="F294" s="748" t="str">
        <f>IF(J309=1,B301,IF(J309=2,B302,IF(J309=3,B303,IF(J309=4,B304,"Winner Match 2"))))</f>
        <v>TC Extreme 14 Amber</v>
      </c>
      <c r="G294" s="749"/>
      <c r="H294" s="749"/>
      <c r="I294" s="749"/>
      <c r="J294" s="749"/>
      <c r="K294" s="749"/>
      <c r="L294" s="749"/>
      <c r="M294" s="749"/>
      <c r="N294" s="749"/>
      <c r="O294" s="88"/>
      <c r="Q294" s="95"/>
      <c r="R294" s="95"/>
      <c r="T294" s="102"/>
      <c r="U294" s="746" t="s">
        <v>110</v>
      </c>
      <c r="V294" s="746"/>
      <c r="W294" s="746"/>
      <c r="X294" s="746"/>
      <c r="Y294" s="746"/>
      <c r="Z294" s="746"/>
      <c r="AA294" s="746"/>
      <c r="AB294" s="165"/>
      <c r="AC294" s="748" t="str">
        <f>IF(AE309=1,X301,IF(AE309=2,X302,IF(AE309=3,X303,IF(AE309=4,X304,"Winner Match 2"))))</f>
        <v>SOAR EAGLES 14U</v>
      </c>
      <c r="AD294" s="749"/>
      <c r="AE294" s="749"/>
      <c r="AF294" s="749"/>
      <c r="AG294" s="749"/>
      <c r="AH294" s="749"/>
      <c r="AI294" s="749"/>
      <c r="AW294" s="146"/>
      <c r="AX294" s="54"/>
      <c r="AY294" s="54"/>
      <c r="AZ294" s="54"/>
      <c r="BA294" s="54"/>
    </row>
    <row r="295" spans="1:53" ht="13.5" thickBot="1" x14ac:dyDescent="0.25">
      <c r="A295" s="736" t="str">
        <f>IF(G309=1,B301,IF(G309=2,B302,IF(G309=3,B303,IF(G309=4,B304,IF(OR(G309="B",G309="b"),"BYE","invalid")))))</f>
        <v>C1VB 14 Reg Royal Grvl</v>
      </c>
      <c r="B295" s="736"/>
      <c r="C295" s="736"/>
      <c r="D295" s="736"/>
      <c r="E295" s="737"/>
      <c r="F295" s="91"/>
      <c r="G295" s="88"/>
      <c r="H295" s="88"/>
      <c r="I295" s="88"/>
      <c r="J295" s="184"/>
      <c r="K295" s="88"/>
      <c r="L295" s="88"/>
      <c r="M295" s="88"/>
      <c r="N295" s="88"/>
      <c r="O295" s="88"/>
      <c r="Q295" s="88"/>
      <c r="R295" s="88"/>
      <c r="S295" s="88"/>
      <c r="T295" s="107"/>
      <c r="U295" s="107"/>
      <c r="V295" s="736" t="str">
        <f>IF(AB309=1,X301,IF(AB309=2,X302,IF(AB309=3,X303,IF(AB309=4,X304,IF(OR(AB309="B",AB309="b"),"BYE","invalid")))))</f>
        <v>CSRA Heat 14 Black</v>
      </c>
      <c r="W295" s="736"/>
      <c r="X295" s="736"/>
      <c r="Y295" s="736"/>
      <c r="Z295" s="736"/>
      <c r="AA295" s="736"/>
      <c r="AB295" s="737"/>
      <c r="AC295" s="88"/>
      <c r="AD295" s="88"/>
      <c r="AE295" s="88"/>
      <c r="AF295" s="88"/>
      <c r="AW295" s="146"/>
      <c r="AX295" s="54"/>
      <c r="AY295" s="54"/>
      <c r="AZ295" s="54"/>
      <c r="BA295" s="54"/>
    </row>
    <row r="296" spans="1:53" x14ac:dyDescent="0.2">
      <c r="A296" s="738" t="s">
        <v>158</v>
      </c>
      <c r="B296" s="738"/>
      <c r="C296" s="738"/>
      <c r="D296" s="738"/>
      <c r="E296" s="738"/>
      <c r="T296" s="104"/>
      <c r="U296" s="104"/>
      <c r="V296" s="739" t="s">
        <v>159</v>
      </c>
      <c r="W296" s="739"/>
      <c r="X296" s="739"/>
      <c r="Y296" s="739"/>
      <c r="Z296" s="739"/>
      <c r="AA296" s="739"/>
      <c r="AB296" s="739"/>
      <c r="AW296" s="146"/>
      <c r="AX296" s="54"/>
      <c r="AY296" s="54"/>
      <c r="AZ296" s="54"/>
      <c r="BA296" s="54"/>
    </row>
    <row r="297" spans="1:53" x14ac:dyDescent="0.2">
      <c r="AT297" s="54"/>
      <c r="AU297" s="54"/>
      <c r="AV297" s="54"/>
      <c r="AW297" s="146"/>
      <c r="AX297" s="54"/>
      <c r="AY297" s="54"/>
      <c r="AZ297" s="54"/>
      <c r="BA297" s="54"/>
    </row>
    <row r="298" spans="1:53" x14ac:dyDescent="0.2">
      <c r="AT298" s="54"/>
      <c r="AU298" s="54"/>
      <c r="AV298" s="54"/>
      <c r="AW298" s="146"/>
      <c r="AX298" s="54"/>
      <c r="AY298" s="54"/>
      <c r="AZ298" s="54"/>
      <c r="BA298" s="54"/>
    </row>
    <row r="299" spans="1:53" ht="16.5" thickBot="1" x14ac:dyDescent="0.3">
      <c r="A299" s="740" t="s">
        <v>123</v>
      </c>
      <c r="B299" s="740"/>
      <c r="C299" s="740"/>
      <c r="D299" s="740"/>
      <c r="E299" s="740"/>
      <c r="F299" s="740"/>
      <c r="G299" s="740"/>
      <c r="H299" s="740"/>
      <c r="I299" s="740"/>
      <c r="J299" s="740"/>
      <c r="K299" s="169"/>
      <c r="R299" s="82"/>
      <c r="S299" s="82"/>
      <c r="T299" s="82"/>
      <c r="U299" s="740" t="s">
        <v>124</v>
      </c>
      <c r="V299" s="740"/>
      <c r="W299" s="740"/>
      <c r="X299" s="740"/>
      <c r="Y299" s="740"/>
      <c r="Z299" s="740"/>
      <c r="AA299" s="740"/>
      <c r="AB299" s="740"/>
      <c r="AC299" s="740"/>
      <c r="AD299" s="740"/>
      <c r="AE299" s="740"/>
      <c r="AF299" s="740"/>
      <c r="AT299" s="54"/>
      <c r="AU299" s="54"/>
      <c r="AV299" s="54"/>
      <c r="AW299" s="146"/>
      <c r="AX299" s="54"/>
      <c r="AY299" s="54"/>
      <c r="AZ299" s="54"/>
      <c r="BA299" s="54"/>
    </row>
    <row r="300" spans="1:53" ht="13.5" thickBot="1" x14ac:dyDescent="0.25">
      <c r="A300" s="113" t="s">
        <v>125</v>
      </c>
      <c r="B300" s="730" t="s">
        <v>126</v>
      </c>
      <c r="C300" s="731"/>
      <c r="D300" s="731"/>
      <c r="E300" s="731"/>
      <c r="F300" s="731"/>
      <c r="G300" s="731"/>
      <c r="H300" s="731"/>
      <c r="I300" s="731"/>
      <c r="J300" s="732"/>
      <c r="K300" s="733" t="s">
        <v>127</v>
      </c>
      <c r="L300" s="734"/>
      <c r="M300" s="734"/>
      <c r="N300" s="734"/>
      <c r="O300" s="734"/>
      <c r="P300" s="734"/>
      <c r="Q300" s="735"/>
      <c r="R300" s="88"/>
      <c r="U300" s="718" t="s">
        <v>125</v>
      </c>
      <c r="V300" s="719"/>
      <c r="W300" s="720"/>
      <c r="X300" s="730" t="s">
        <v>126</v>
      </c>
      <c r="Y300" s="731"/>
      <c r="Z300" s="731"/>
      <c r="AA300" s="731"/>
      <c r="AB300" s="731"/>
      <c r="AC300" s="731"/>
      <c r="AD300" s="731"/>
      <c r="AE300" s="731"/>
      <c r="AF300" s="732"/>
      <c r="AG300" s="733" t="s">
        <v>127</v>
      </c>
      <c r="AH300" s="734"/>
      <c r="AI300" s="734"/>
      <c r="AJ300" s="734"/>
      <c r="AK300" s="734"/>
      <c r="AL300" s="734"/>
      <c r="AM300" s="735"/>
      <c r="AT300" s="54"/>
      <c r="AU300" s="54"/>
      <c r="AV300" s="54"/>
      <c r="AW300" s="146"/>
      <c r="AX300" s="54"/>
      <c r="AY300" s="54"/>
      <c r="AZ300" s="54"/>
      <c r="BA300" s="54"/>
    </row>
    <row r="301" spans="1:53" ht="13.5" thickBot="1" x14ac:dyDescent="0.25">
      <c r="A301" s="113">
        <v>1</v>
      </c>
      <c r="B301" s="712" t="str">
        <f>B264</f>
        <v>SMVC Royals 14</v>
      </c>
      <c r="C301" s="713"/>
      <c r="D301" s="713"/>
      <c r="E301" s="713"/>
      <c r="F301" s="713"/>
      <c r="G301" s="713"/>
      <c r="H301" s="713"/>
      <c r="I301" s="713"/>
      <c r="J301" s="714"/>
      <c r="K301" s="715" t="str">
        <f>F264</f>
        <v>fj4smvbc1cr</v>
      </c>
      <c r="L301" s="716"/>
      <c r="M301" s="716"/>
      <c r="N301" s="716"/>
      <c r="O301" s="716"/>
      <c r="P301" s="716"/>
      <c r="Q301" s="717"/>
      <c r="R301" s="88"/>
      <c r="U301" s="718">
        <v>1</v>
      </c>
      <c r="V301" s="719"/>
      <c r="W301" s="720"/>
      <c r="X301" s="712" t="str">
        <f>M270</f>
        <v>BVA 14 Black</v>
      </c>
      <c r="Y301" s="713"/>
      <c r="Z301" s="713"/>
      <c r="AA301" s="713"/>
      <c r="AB301" s="713"/>
      <c r="AC301" s="713"/>
      <c r="AD301" s="713"/>
      <c r="AE301" s="713"/>
      <c r="AF301" s="714"/>
      <c r="AG301" s="715" t="str">
        <f>T270</f>
        <v>fj4biltm2cr</v>
      </c>
      <c r="AH301" s="716"/>
      <c r="AI301" s="716"/>
      <c r="AJ301" s="716"/>
      <c r="AK301" s="716"/>
      <c r="AL301" s="716"/>
      <c r="AM301" s="717"/>
      <c r="AT301" s="54"/>
      <c r="AU301" s="54"/>
      <c r="AV301" s="54"/>
      <c r="AW301" s="146"/>
      <c r="AX301" s="54"/>
      <c r="AY301" s="54"/>
      <c r="AZ301" s="54"/>
      <c r="BA301" s="54"/>
    </row>
    <row r="302" spans="1:53" ht="13.5" thickBot="1" x14ac:dyDescent="0.25">
      <c r="A302" s="113">
        <v>2</v>
      </c>
      <c r="B302" s="712" t="str">
        <f>B265</f>
        <v>TC Extreme 14 Amber</v>
      </c>
      <c r="C302" s="713"/>
      <c r="D302" s="713"/>
      <c r="E302" s="713"/>
      <c r="F302" s="713"/>
      <c r="G302" s="713"/>
      <c r="H302" s="713"/>
      <c r="I302" s="713"/>
      <c r="J302" s="714"/>
      <c r="K302" s="715" t="str">
        <f>F265</f>
        <v>fj4triex1so</v>
      </c>
      <c r="L302" s="716"/>
      <c r="M302" s="716"/>
      <c r="N302" s="716"/>
      <c r="O302" s="716"/>
      <c r="P302" s="716"/>
      <c r="Q302" s="717"/>
      <c r="R302" s="88"/>
      <c r="U302" s="718">
        <v>2</v>
      </c>
      <c r="V302" s="719"/>
      <c r="W302" s="720"/>
      <c r="X302" s="712" t="str">
        <f>M271</f>
        <v>SOAR EAGLES 14U</v>
      </c>
      <c r="Y302" s="713"/>
      <c r="Z302" s="713"/>
      <c r="AA302" s="713"/>
      <c r="AB302" s="713"/>
      <c r="AC302" s="713"/>
      <c r="AD302" s="713"/>
      <c r="AE302" s="713"/>
      <c r="AF302" s="714"/>
      <c r="AG302" s="715" t="str">
        <f>T271</f>
        <v>fj4soarj2pm</v>
      </c>
      <c r="AH302" s="716"/>
      <c r="AI302" s="716"/>
      <c r="AJ302" s="716"/>
      <c r="AK302" s="716"/>
      <c r="AL302" s="716"/>
      <c r="AM302" s="717"/>
      <c r="AT302" s="54"/>
      <c r="AU302" s="54"/>
      <c r="AV302" s="54"/>
      <c r="AW302" s="146"/>
      <c r="AX302" s="54"/>
      <c r="AY302" s="54"/>
      <c r="AZ302" s="54"/>
      <c r="BA302" s="54"/>
    </row>
    <row r="303" spans="1:53" ht="13.5" thickBot="1" x14ac:dyDescent="0.25">
      <c r="A303" s="113">
        <v>3</v>
      </c>
      <c r="B303" s="712" t="str">
        <f>B266</f>
        <v>C1VB 14 Reg Royal Grvl</v>
      </c>
      <c r="C303" s="713"/>
      <c r="D303" s="713"/>
      <c r="E303" s="713"/>
      <c r="F303" s="713"/>
      <c r="G303" s="713"/>
      <c r="H303" s="713"/>
      <c r="I303" s="713"/>
      <c r="J303" s="714"/>
      <c r="K303" s="715" t="str">
        <f>F266</f>
        <v>fj4crone5pm</v>
      </c>
      <c r="L303" s="716"/>
      <c r="M303" s="716"/>
      <c r="N303" s="716"/>
      <c r="O303" s="716"/>
      <c r="P303" s="716"/>
      <c r="Q303" s="717"/>
      <c r="R303" s="88"/>
      <c r="U303" s="718">
        <v>3</v>
      </c>
      <c r="V303" s="719"/>
      <c r="W303" s="720"/>
      <c r="X303" s="712" t="str">
        <f>X269</f>
        <v>CSRA Heat 14 Black</v>
      </c>
      <c r="Y303" s="713"/>
      <c r="Z303" s="713"/>
      <c r="AA303" s="713"/>
      <c r="AB303" s="713"/>
      <c r="AC303" s="713"/>
      <c r="AD303" s="713"/>
      <c r="AE303" s="713"/>
      <c r="AF303" s="714"/>
      <c r="AG303" s="715" t="str">
        <f>AF269</f>
        <v>fj4csrah2pm</v>
      </c>
      <c r="AH303" s="716"/>
      <c r="AI303" s="716"/>
      <c r="AJ303" s="716"/>
      <c r="AK303" s="716"/>
      <c r="AL303" s="716"/>
      <c r="AM303" s="717"/>
      <c r="AT303" s="54"/>
      <c r="AU303" s="54"/>
      <c r="AV303" s="54"/>
      <c r="AW303" s="146"/>
      <c r="AX303" s="54"/>
      <c r="AY303" s="54"/>
      <c r="AZ303" s="54"/>
      <c r="BA303" s="54"/>
    </row>
    <row r="304" spans="1:53" ht="13.5" thickBot="1" x14ac:dyDescent="0.25">
      <c r="A304" s="113">
        <v>4</v>
      </c>
      <c r="B304" s="970" t="str">
        <f>M269</f>
        <v>Foothills 14 Holland</v>
      </c>
      <c r="C304" s="971"/>
      <c r="D304" s="971"/>
      <c r="E304" s="971"/>
      <c r="F304" s="971"/>
      <c r="G304" s="971"/>
      <c r="H304" s="971"/>
      <c r="I304" s="971"/>
      <c r="J304" s="972"/>
      <c r="K304" s="715" t="str">
        <f>T269</f>
        <v>fj4footh1pm</v>
      </c>
      <c r="L304" s="716"/>
      <c r="M304" s="716"/>
      <c r="N304" s="716"/>
      <c r="O304" s="716"/>
      <c r="P304" s="716"/>
      <c r="Q304" s="717"/>
      <c r="R304" s="88"/>
      <c r="U304" s="718">
        <v>4</v>
      </c>
      <c r="V304" s="719"/>
      <c r="W304" s="720"/>
      <c r="X304" s="712" t="str">
        <f>X270</f>
        <v>Chas Jrs 14 Blue</v>
      </c>
      <c r="Y304" s="713"/>
      <c r="Z304" s="713"/>
      <c r="AA304" s="713"/>
      <c r="AB304" s="713"/>
      <c r="AC304" s="713"/>
      <c r="AD304" s="713"/>
      <c r="AE304" s="713"/>
      <c r="AF304" s="714"/>
      <c r="AG304" s="715" t="str">
        <f>AF270</f>
        <v>fj4charl2pm</v>
      </c>
      <c r="AH304" s="716"/>
      <c r="AI304" s="716"/>
      <c r="AJ304" s="716"/>
      <c r="AK304" s="716"/>
      <c r="AL304" s="716"/>
      <c r="AM304" s="717"/>
      <c r="AT304" s="54"/>
      <c r="AU304" s="54"/>
      <c r="AV304" s="54"/>
      <c r="AW304" s="146"/>
      <c r="AX304" s="54"/>
      <c r="AY304" s="54"/>
      <c r="AZ304" s="54"/>
      <c r="BA304" s="54"/>
    </row>
    <row r="305" spans="1:68" ht="13.5" thickBot="1" x14ac:dyDescent="0.25">
      <c r="AT305" s="54"/>
      <c r="AU305" s="54"/>
      <c r="AV305" s="54"/>
      <c r="AW305" s="146"/>
      <c r="AX305" s="54"/>
      <c r="AY305" s="54"/>
      <c r="AZ305" s="54"/>
      <c r="BA305" s="54"/>
    </row>
    <row r="306" spans="1:68" x14ac:dyDescent="0.2">
      <c r="B306" s="721" t="s">
        <v>128</v>
      </c>
      <c r="C306" s="693"/>
      <c r="D306" s="694"/>
      <c r="E306" s="692" t="s">
        <v>128</v>
      </c>
      <c r="F306" s="693"/>
      <c r="G306" s="694"/>
      <c r="H306" s="692" t="s">
        <v>11</v>
      </c>
      <c r="I306" s="693"/>
      <c r="J306" s="695"/>
      <c r="K306" s="696" t="s">
        <v>129</v>
      </c>
      <c r="L306" s="722"/>
      <c r="M306" s="722"/>
      <c r="N306" s="722"/>
      <c r="O306" s="722"/>
      <c r="P306" s="722"/>
      <c r="Q306" s="723"/>
      <c r="R306" s="85"/>
      <c r="S306" s="85"/>
      <c r="T306" s="85"/>
      <c r="U306" s="85"/>
      <c r="W306" s="721" t="s">
        <v>128</v>
      </c>
      <c r="X306" s="693"/>
      <c r="Y306" s="694"/>
      <c r="Z306" s="692" t="s">
        <v>128</v>
      </c>
      <c r="AA306" s="693"/>
      <c r="AB306" s="694"/>
      <c r="AC306" s="692" t="s">
        <v>11</v>
      </c>
      <c r="AD306" s="693"/>
      <c r="AE306" s="695"/>
      <c r="AF306" s="696" t="s">
        <v>129</v>
      </c>
      <c r="AG306" s="697"/>
      <c r="AH306" s="697"/>
      <c r="AI306" s="697"/>
      <c r="AJ306" s="698"/>
      <c r="AW306" s="146"/>
      <c r="AX306" s="54"/>
      <c r="AY306" s="54"/>
      <c r="AZ306" s="54"/>
      <c r="BA306" s="54"/>
    </row>
    <row r="307" spans="1:68" x14ac:dyDescent="0.2">
      <c r="A307" s="41" t="s">
        <v>130</v>
      </c>
      <c r="B307" s="705">
        <v>3</v>
      </c>
      <c r="C307" s="706"/>
      <c r="D307" s="707"/>
      <c r="E307" s="708" t="s">
        <v>131</v>
      </c>
      <c r="F307" s="706"/>
      <c r="G307" s="707"/>
      <c r="H307" s="708" t="s">
        <v>132</v>
      </c>
      <c r="I307" s="706"/>
      <c r="J307" s="709"/>
      <c r="K307" s="724"/>
      <c r="L307" s="725"/>
      <c r="M307" s="725"/>
      <c r="N307" s="725"/>
      <c r="O307" s="725"/>
      <c r="P307" s="725"/>
      <c r="Q307" s="726"/>
      <c r="R307" s="85"/>
      <c r="S307" s="85"/>
      <c r="T307" s="710" t="s">
        <v>130</v>
      </c>
      <c r="U307" s="710"/>
      <c r="V307" s="711"/>
      <c r="W307" s="705">
        <v>3</v>
      </c>
      <c r="X307" s="706"/>
      <c r="Y307" s="707"/>
      <c r="Z307" s="708" t="s">
        <v>131</v>
      </c>
      <c r="AA307" s="706"/>
      <c r="AB307" s="707"/>
      <c r="AC307" s="708" t="s">
        <v>132</v>
      </c>
      <c r="AD307" s="706"/>
      <c r="AE307" s="709"/>
      <c r="AF307" s="699"/>
      <c r="AG307" s="700"/>
      <c r="AH307" s="700"/>
      <c r="AI307" s="700"/>
      <c r="AJ307" s="701"/>
      <c r="AW307" s="146"/>
      <c r="AX307" s="54"/>
      <c r="AY307" s="54"/>
      <c r="AZ307" s="54"/>
      <c r="BA307" s="54"/>
    </row>
    <row r="308" spans="1:68" ht="13.5" thickBot="1" x14ac:dyDescent="0.25">
      <c r="A308" s="11"/>
      <c r="B308" s="690" t="s">
        <v>43</v>
      </c>
      <c r="C308" s="685"/>
      <c r="D308" s="691"/>
      <c r="E308" s="684" t="s">
        <v>133</v>
      </c>
      <c r="F308" s="685"/>
      <c r="G308" s="691"/>
      <c r="H308" s="684" t="s">
        <v>134</v>
      </c>
      <c r="I308" s="685"/>
      <c r="J308" s="686"/>
      <c r="K308" s="727"/>
      <c r="L308" s="728"/>
      <c r="M308" s="728"/>
      <c r="N308" s="728"/>
      <c r="O308" s="728"/>
      <c r="P308" s="728"/>
      <c r="Q308" s="729"/>
      <c r="R308" s="85"/>
      <c r="S308" s="85"/>
      <c r="T308" s="671"/>
      <c r="U308" s="671"/>
      <c r="V308" s="672"/>
      <c r="W308" s="690" t="s">
        <v>43</v>
      </c>
      <c r="X308" s="685"/>
      <c r="Y308" s="691"/>
      <c r="Z308" s="684" t="s">
        <v>133</v>
      </c>
      <c r="AA308" s="685"/>
      <c r="AB308" s="691"/>
      <c r="AC308" s="684" t="s">
        <v>134</v>
      </c>
      <c r="AD308" s="685"/>
      <c r="AE308" s="686"/>
      <c r="AF308" s="702"/>
      <c r="AG308" s="703"/>
      <c r="AH308" s="703"/>
      <c r="AI308" s="703"/>
      <c r="AJ308" s="704"/>
      <c r="AW308" s="146"/>
      <c r="AX308" s="54"/>
      <c r="AY308" s="54"/>
      <c r="AZ308" s="54"/>
      <c r="BA308" s="54"/>
    </row>
    <row r="309" spans="1:68" ht="13.5" thickBot="1" x14ac:dyDescent="0.25">
      <c r="A309" s="11"/>
      <c r="B309" s="117">
        <v>1</v>
      </c>
      <c r="C309" s="118" t="s">
        <v>51</v>
      </c>
      <c r="D309" s="119">
        <v>4</v>
      </c>
      <c r="E309" s="120">
        <v>2</v>
      </c>
      <c r="F309" s="118" t="s">
        <v>51</v>
      </c>
      <c r="G309" s="119">
        <v>3</v>
      </c>
      <c r="H309" s="121">
        <f>IF(OR(AND(OR(B313&gt;0,D313&gt;0),B313&gt;D313),OR(D309="b",D309="B")),B309,IF(OR(AND(OR(B313&gt;0,D313&gt;0),D313&gt;B313),OR(B309="b",B309="B")),D309,"W1"))</f>
        <v>4</v>
      </c>
      <c r="I309" s="122" t="s">
        <v>51</v>
      </c>
      <c r="J309" s="123">
        <f>IF(OR(AND(OR(E313&gt;0,G313&gt;0),E313&gt;G313),OR(G309="b",G309="B")),E309,IF(OR(AND(OR(E313&gt;0,G313&gt;0),G313&gt;E313),OR(E309="b",E309="B")),G309,"W2"))</f>
        <v>2</v>
      </c>
      <c r="K309" s="687" t="s">
        <v>135</v>
      </c>
      <c r="L309" s="688"/>
      <c r="M309" s="688"/>
      <c r="N309" s="689"/>
      <c r="R309" s="85"/>
      <c r="S309" s="85"/>
      <c r="T309" s="671"/>
      <c r="U309" s="671"/>
      <c r="V309" s="672"/>
      <c r="W309" s="117">
        <v>1</v>
      </c>
      <c r="X309" s="118" t="s">
        <v>51</v>
      </c>
      <c r="Y309" s="119">
        <v>4</v>
      </c>
      <c r="Z309" s="120">
        <v>2</v>
      </c>
      <c r="AA309" s="118" t="s">
        <v>51</v>
      </c>
      <c r="AB309" s="119">
        <v>3</v>
      </c>
      <c r="AC309" s="121">
        <f>IF(OR(AND(OR(W313&gt;0,Y313&gt;0),W313&gt;Y313),OR(Y309="b",Y309="B")),W309,IF(OR(AND(OR(W313&gt;0,Y313&gt;0),Y313&gt;W313),OR(W309="b",W309="B")),Y309,"W1"))</f>
        <v>4</v>
      </c>
      <c r="AD309" s="122" t="s">
        <v>51</v>
      </c>
      <c r="AE309" s="123">
        <f>IF(OR(AND(OR(Z313&gt;0,AB313&gt;0),Z313&gt;AB313),OR(AB313="b",AB313="B")),Z309,IF(OR(AND(OR(Z313&gt;0,AB313&gt;0),AB313&gt;Z313),OR(Z313="b",Z313="B")),AB309,"W2"))</f>
        <v>2</v>
      </c>
      <c r="AF309" s="687" t="s">
        <v>135</v>
      </c>
      <c r="AG309" s="689"/>
      <c r="AH309" s="85"/>
      <c r="AI309" s="85"/>
      <c r="AJ309" s="85"/>
      <c r="AW309" s="146"/>
      <c r="AX309" s="54"/>
      <c r="AY309" s="54"/>
      <c r="AZ309" s="54"/>
      <c r="BA309" s="54"/>
    </row>
    <row r="310" spans="1:68" ht="13.5" hidden="1" customHeight="1" x14ac:dyDescent="0.2">
      <c r="A310" s="11"/>
      <c r="B310" s="129">
        <f>IF(B314&gt;D314,1,0)</f>
        <v>0</v>
      </c>
      <c r="C310" s="130"/>
      <c r="D310" s="131">
        <f>IF(D314&gt;B314,1,0)</f>
        <v>1</v>
      </c>
      <c r="E310" s="129">
        <f>IF(E314&gt;G314,1,0)</f>
        <v>1</v>
      </c>
      <c r="F310" s="130"/>
      <c r="G310" s="131">
        <f>IF(G314&gt;E314,1,0)</f>
        <v>0</v>
      </c>
      <c r="H310" s="129">
        <f>IF(H314&gt;J314,1,0)</f>
        <v>0</v>
      </c>
      <c r="I310" s="130"/>
      <c r="J310" s="131">
        <f>IF(J314&gt;H314,1,0)</f>
        <v>1</v>
      </c>
      <c r="K310" s="132"/>
      <c r="L310" s="133"/>
      <c r="M310" s="133"/>
      <c r="N310" s="134"/>
      <c r="R310" s="85"/>
      <c r="S310" s="85"/>
      <c r="T310" s="671"/>
      <c r="U310" s="671"/>
      <c r="V310" s="672"/>
      <c r="W310" s="129">
        <f>IF(W314&gt;Y314,1,0)</f>
        <v>0</v>
      </c>
      <c r="X310" s="130"/>
      <c r="Y310" s="131">
        <f>IF(Y314&gt;W314,1,0)</f>
        <v>1</v>
      </c>
      <c r="Z310" s="129">
        <f>IF(Z314&gt;AB314,1,0)</f>
        <v>1</v>
      </c>
      <c r="AA310" s="130"/>
      <c r="AB310" s="131">
        <f>IF(AB314&gt;Z314,1,0)</f>
        <v>0</v>
      </c>
      <c r="AC310" s="129">
        <f>IF(AC314&gt;AE314,1,0)</f>
        <v>1</v>
      </c>
      <c r="AD310" s="130"/>
      <c r="AE310" s="131">
        <f>IF(AE314&gt;AC314,1,0)</f>
        <v>0</v>
      </c>
      <c r="AF310" s="124"/>
      <c r="AG310" s="125"/>
      <c r="AH310" s="85"/>
      <c r="AI310" s="85"/>
      <c r="AJ310" s="85"/>
      <c r="AW310" s="146"/>
      <c r="AX310" s="54"/>
      <c r="AY310" s="54"/>
      <c r="AZ310" s="54"/>
      <c r="BA310" s="54"/>
    </row>
    <row r="311" spans="1:68" ht="13.5" hidden="1" customHeight="1" x14ac:dyDescent="0.2">
      <c r="A311" s="11"/>
      <c r="B311" s="129">
        <f>IF(B315&gt;D315,1,0)</f>
        <v>0</v>
      </c>
      <c r="C311" s="130"/>
      <c r="D311" s="131">
        <f>IF(D315&gt;B315,1,0)</f>
        <v>0</v>
      </c>
      <c r="E311" s="129">
        <f>IF(E315&gt;G315,1,0)</f>
        <v>0</v>
      </c>
      <c r="F311" s="130"/>
      <c r="G311" s="131">
        <f>IF(G315&gt;E315,1,0)</f>
        <v>0</v>
      </c>
      <c r="H311" s="129">
        <f>IF(H315&gt;J315,1,0)</f>
        <v>0</v>
      </c>
      <c r="I311" s="130"/>
      <c r="J311" s="131">
        <f>IF(J315&gt;H315,1,0)</f>
        <v>1</v>
      </c>
      <c r="K311" s="132"/>
      <c r="L311" s="133"/>
      <c r="M311" s="133"/>
      <c r="N311" s="134"/>
      <c r="R311" s="85"/>
      <c r="S311" s="85"/>
      <c r="T311" s="671"/>
      <c r="U311" s="671"/>
      <c r="V311" s="672"/>
      <c r="W311" s="129">
        <f>IF(W315&gt;Y315,1,0)</f>
        <v>0</v>
      </c>
      <c r="X311" s="130"/>
      <c r="Y311" s="131">
        <f>IF(Y315&gt;W315,1,0)</f>
        <v>0</v>
      </c>
      <c r="Z311" s="129">
        <f>IF(Z315&gt;AB315,1,0)</f>
        <v>0</v>
      </c>
      <c r="AA311" s="130"/>
      <c r="AB311" s="131">
        <f>IF(AB315&gt;Z315,1,0)</f>
        <v>0</v>
      </c>
      <c r="AC311" s="129">
        <f>IF(AC315&gt;AE315,1,0)</f>
        <v>1</v>
      </c>
      <c r="AD311" s="130"/>
      <c r="AE311" s="131">
        <f>IF(AE315&gt;AC315,1,0)</f>
        <v>0</v>
      </c>
      <c r="AF311" s="124"/>
      <c r="AG311" s="125"/>
      <c r="AH311" s="85"/>
      <c r="AI311" s="85"/>
      <c r="AJ311" s="85"/>
      <c r="AW311" s="146"/>
      <c r="AX311" s="54"/>
      <c r="AY311" s="54"/>
      <c r="AZ311" s="54"/>
      <c r="BA311" s="54"/>
    </row>
    <row r="312" spans="1:68" ht="13.5" hidden="1" customHeight="1" thickBot="1" x14ac:dyDescent="0.25">
      <c r="A312" s="11"/>
      <c r="B312" s="129">
        <f>IF(B316&gt;D316,1,0)</f>
        <v>0</v>
      </c>
      <c r="C312" s="130"/>
      <c r="D312" s="131">
        <f>IF(D316&gt;B316,1,0)</f>
        <v>0</v>
      </c>
      <c r="E312" s="129">
        <f>IF(E316&gt;G316,1,0)</f>
        <v>0</v>
      </c>
      <c r="F312" s="130"/>
      <c r="G312" s="131">
        <f>IF(G316&gt;E316,1,0)</f>
        <v>0</v>
      </c>
      <c r="H312" s="129">
        <f>IF(H316&gt;J316,1,0)</f>
        <v>0</v>
      </c>
      <c r="I312" s="130"/>
      <c r="J312" s="131">
        <f>IF(J316&gt;H316,1,0)</f>
        <v>0</v>
      </c>
      <c r="K312" s="132"/>
      <c r="L312" s="133"/>
      <c r="M312" s="133"/>
      <c r="N312" s="134"/>
      <c r="R312" s="85"/>
      <c r="S312" s="85"/>
      <c r="T312" s="671"/>
      <c r="U312" s="671"/>
      <c r="V312" s="672"/>
      <c r="W312" s="129">
        <f>IF(W316&gt;Y316,1,0)</f>
        <v>0</v>
      </c>
      <c r="X312" s="130"/>
      <c r="Y312" s="131">
        <f>IF(Y316&gt;W316,1,0)</f>
        <v>0</v>
      </c>
      <c r="Z312" s="129">
        <f>IF(Z316&gt;AB316,1,0)</f>
        <v>0</v>
      </c>
      <c r="AA312" s="130"/>
      <c r="AB312" s="131">
        <f>IF(AB316&gt;Z316,1,0)</f>
        <v>0</v>
      </c>
      <c r="AC312" s="129">
        <f>IF(AC316&gt;AE316,1,0)</f>
        <v>0</v>
      </c>
      <c r="AD312" s="130"/>
      <c r="AE312" s="131">
        <f>IF(AE316&gt;AC316,1,0)</f>
        <v>0</v>
      </c>
      <c r="AF312" s="124"/>
      <c r="AG312" s="125"/>
      <c r="AH312" s="85"/>
      <c r="AI312" s="85"/>
      <c r="AJ312" s="85"/>
      <c r="AW312" s="146"/>
      <c r="AX312" s="54"/>
      <c r="AY312" s="54"/>
      <c r="AZ312" s="54"/>
      <c r="BA312" s="54"/>
    </row>
    <row r="313" spans="1:68" ht="13.5" hidden="1" customHeight="1" x14ac:dyDescent="0.2">
      <c r="A313" s="11"/>
      <c r="B313" s="129">
        <f>SUM(B310:B312)</f>
        <v>0</v>
      </c>
      <c r="C313" s="130"/>
      <c r="D313" s="129">
        <f>SUM(D310:D312)</f>
        <v>1</v>
      </c>
      <c r="E313" s="129">
        <f>SUM(E310:E312)</f>
        <v>1</v>
      </c>
      <c r="F313" s="130"/>
      <c r="G313" s="129">
        <f>SUM(G310:G312)</f>
        <v>0</v>
      </c>
      <c r="H313" s="129">
        <f>SUM(H310:H312)</f>
        <v>0</v>
      </c>
      <c r="I313" s="130"/>
      <c r="J313" s="129">
        <f>SUM(J310:J312)</f>
        <v>2</v>
      </c>
      <c r="K313" s="132"/>
      <c r="L313" s="133"/>
      <c r="M313" s="133"/>
      <c r="N313" s="134"/>
      <c r="R313" s="85"/>
      <c r="S313" s="85"/>
      <c r="T313" s="671"/>
      <c r="U313" s="671"/>
      <c r="V313" s="672"/>
      <c r="W313" s="129">
        <f>SUM(W310:W312)</f>
        <v>0</v>
      </c>
      <c r="X313" s="130"/>
      <c r="Y313" s="129">
        <f>SUM(Y310:Y312)</f>
        <v>1</v>
      </c>
      <c r="Z313" s="129">
        <f>SUM(Z310:Z312)</f>
        <v>1</v>
      </c>
      <c r="AA313" s="130"/>
      <c r="AB313" s="129">
        <f>SUM(AB310:AB312)</f>
        <v>0</v>
      </c>
      <c r="AC313" s="129">
        <f>SUM(AC310:AC312)</f>
        <v>2</v>
      </c>
      <c r="AD313" s="130"/>
      <c r="AE313" s="129">
        <f>SUM(AE310:AE312)</f>
        <v>0</v>
      </c>
      <c r="AF313" s="124"/>
      <c r="AG313" s="125"/>
      <c r="AH313" s="85"/>
      <c r="AI313" s="85"/>
      <c r="AJ313" s="85"/>
      <c r="AW313" s="146"/>
      <c r="AX313" s="54"/>
      <c r="AY313" s="54"/>
      <c r="AZ313" s="54"/>
      <c r="BA313" s="54"/>
    </row>
    <row r="314" spans="1:68" ht="12.75" customHeight="1" x14ac:dyDescent="0.2">
      <c r="A314" s="9" t="s">
        <v>52</v>
      </c>
      <c r="B314" s="135">
        <v>20</v>
      </c>
      <c r="C314" s="50" t="s">
        <v>53</v>
      </c>
      <c r="D314" s="136">
        <v>25</v>
      </c>
      <c r="E314" s="137">
        <v>25</v>
      </c>
      <c r="F314" s="50" t="s">
        <v>53</v>
      </c>
      <c r="G314" s="136">
        <v>12</v>
      </c>
      <c r="H314" s="137">
        <v>14</v>
      </c>
      <c r="I314" s="50" t="s">
        <v>53</v>
      </c>
      <c r="J314" s="138">
        <v>25</v>
      </c>
      <c r="K314" s="673">
        <f>IF(AND(OR(H313&gt;0,J313&gt;0),AND(1&lt;=H309,H309&lt;=4),AND(1&lt;=J309,J309&lt;=4)),IF(H313&gt;J313,H309,IF(J313&gt;H313,J309,"")),"")</f>
        <v>2</v>
      </c>
      <c r="L314" s="674"/>
      <c r="M314" s="674"/>
      <c r="N314" s="675"/>
      <c r="R314" s="85"/>
      <c r="S314" s="85"/>
      <c r="T314" s="86"/>
      <c r="U314" s="86"/>
      <c r="V314" s="9" t="s">
        <v>52</v>
      </c>
      <c r="W314" s="135">
        <v>19</v>
      </c>
      <c r="X314" s="50" t="s">
        <v>53</v>
      </c>
      <c r="Y314" s="136">
        <v>25</v>
      </c>
      <c r="Z314" s="137">
        <v>25</v>
      </c>
      <c r="AA314" s="50" t="s">
        <v>53</v>
      </c>
      <c r="AB314" s="136">
        <v>19</v>
      </c>
      <c r="AC314" s="137">
        <v>25</v>
      </c>
      <c r="AD314" s="50" t="s">
        <v>53</v>
      </c>
      <c r="AE314" s="138">
        <v>18</v>
      </c>
      <c r="AF314" s="673">
        <f>IF(AND(OR(AC313&gt;0,AE313&gt;0),AND(1&lt;=AC309,AC309&lt;=4),AND(1&lt;=AE309,AE309&lt;=4)),IF(AC313&gt;AE313,AC309,IF(AE313&gt;AC313,AE309,"")),"")</f>
        <v>4</v>
      </c>
      <c r="AG314" s="675"/>
      <c r="AH314" s="85"/>
      <c r="AI314" s="85"/>
      <c r="AJ314" s="85"/>
      <c r="AW314" s="146"/>
      <c r="AX314" s="54"/>
      <c r="AY314" s="54"/>
      <c r="AZ314" s="54"/>
      <c r="BA314" s="54"/>
    </row>
    <row r="315" spans="1:68" ht="12.75" customHeight="1" x14ac:dyDescent="0.2">
      <c r="A315" s="9" t="s">
        <v>136</v>
      </c>
      <c r="B315" s="135"/>
      <c r="C315" s="50" t="s">
        <v>53</v>
      </c>
      <c r="D315" s="136"/>
      <c r="E315" s="137"/>
      <c r="F315" s="50" t="s">
        <v>53</v>
      </c>
      <c r="G315" s="136"/>
      <c r="H315" s="137">
        <v>13</v>
      </c>
      <c r="I315" s="50" t="s">
        <v>53</v>
      </c>
      <c r="J315" s="138">
        <v>25</v>
      </c>
      <c r="K315" s="676"/>
      <c r="L315" s="677"/>
      <c r="M315" s="677"/>
      <c r="N315" s="678"/>
      <c r="R315" s="85"/>
      <c r="S315" s="85"/>
      <c r="T315" s="86"/>
      <c r="U315" s="86"/>
      <c r="V315" s="9" t="s">
        <v>136</v>
      </c>
      <c r="W315" s="135"/>
      <c r="X315" s="50" t="s">
        <v>53</v>
      </c>
      <c r="Y315" s="136"/>
      <c r="Z315" s="137"/>
      <c r="AA315" s="50" t="s">
        <v>53</v>
      </c>
      <c r="AB315" s="136"/>
      <c r="AC315" s="137">
        <v>25</v>
      </c>
      <c r="AD315" s="50" t="s">
        <v>53</v>
      </c>
      <c r="AE315" s="138">
        <v>18</v>
      </c>
      <c r="AF315" s="676"/>
      <c r="AG315" s="678"/>
      <c r="AH315" s="85"/>
      <c r="AI315" s="85"/>
      <c r="AJ315" s="85"/>
      <c r="AW315" s="146"/>
      <c r="AX315" s="54"/>
      <c r="AY315" s="54"/>
      <c r="AZ315" s="54"/>
      <c r="BA315" s="54"/>
    </row>
    <row r="316" spans="1:68" ht="13.5" customHeight="1" thickBot="1" x14ac:dyDescent="0.25">
      <c r="A316" s="9" t="s">
        <v>137</v>
      </c>
      <c r="B316" s="141"/>
      <c r="C316" s="142" t="s">
        <v>53</v>
      </c>
      <c r="D316" s="143"/>
      <c r="E316" s="144"/>
      <c r="F316" s="142" t="s">
        <v>53</v>
      </c>
      <c r="G316" s="143"/>
      <c r="H316" s="144"/>
      <c r="I316" s="142" t="s">
        <v>53</v>
      </c>
      <c r="J316" s="145"/>
      <c r="K316" s="679"/>
      <c r="L316" s="680"/>
      <c r="M316" s="680"/>
      <c r="N316" s="681"/>
      <c r="R316" s="85"/>
      <c r="S316" s="85"/>
      <c r="T316" s="86"/>
      <c r="U316" s="86"/>
      <c r="V316" s="9" t="s">
        <v>137</v>
      </c>
      <c r="W316" s="141"/>
      <c r="X316" s="142" t="s">
        <v>53</v>
      </c>
      <c r="Y316" s="143"/>
      <c r="Z316" s="144"/>
      <c r="AA316" s="142" t="s">
        <v>53</v>
      </c>
      <c r="AB316" s="143"/>
      <c r="AC316" s="144"/>
      <c r="AD316" s="142" t="s">
        <v>53</v>
      </c>
      <c r="AE316" s="145"/>
      <c r="AF316" s="679"/>
      <c r="AG316" s="681"/>
      <c r="AH316" s="85"/>
      <c r="AI316" s="85"/>
      <c r="AJ316" s="85"/>
      <c r="AW316" s="146"/>
      <c r="AX316" s="54"/>
      <c r="AY316" s="54"/>
      <c r="AZ316" s="54"/>
      <c r="BA316" s="54"/>
    </row>
    <row r="317" spans="1:68" hidden="1" x14ac:dyDescent="0.2">
      <c r="B317" s="3"/>
      <c r="C317" s="90" t="s">
        <v>87</v>
      </c>
      <c r="D317" s="3" t="s">
        <v>138</v>
      </c>
      <c r="E317" s="3"/>
      <c r="F317" s="90"/>
      <c r="G317" s="4" t="s">
        <v>139</v>
      </c>
      <c r="J317" s="4" t="s">
        <v>140</v>
      </c>
      <c r="W317" s="3"/>
      <c r="X317" s="90" t="s">
        <v>87</v>
      </c>
      <c r="Y317" s="3" t="s">
        <v>138</v>
      </c>
      <c r="Z317" s="3"/>
      <c r="AA317" s="90"/>
      <c r="AB317" s="4" t="s">
        <v>139</v>
      </c>
      <c r="AE317" s="4" t="s">
        <v>140</v>
      </c>
      <c r="AT317" s="4" t="str">
        <f>B318</f>
        <v>SMVC Royals 14</v>
      </c>
      <c r="AU317" s="4">
        <f>J318</f>
        <v>2155.0443410250045</v>
      </c>
      <c r="AW317" s="146"/>
      <c r="AX317" s="54"/>
      <c r="AY317" s="54"/>
      <c r="AZ317" s="54"/>
      <c r="BA317" s="54"/>
      <c r="BB317" s="146"/>
      <c r="BC317" s="54"/>
      <c r="BD317" s="54"/>
      <c r="BE317" s="146"/>
      <c r="BF317" s="54"/>
      <c r="BG317" s="54"/>
      <c r="BH317" s="146"/>
      <c r="BI317" s="54"/>
      <c r="BJ317" s="54"/>
      <c r="BK317" s="146"/>
      <c r="BL317" s="54"/>
      <c r="BM317" s="54"/>
      <c r="BN317" s="146"/>
      <c r="BO317" s="54"/>
      <c r="BP317" s="54"/>
    </row>
    <row r="318" spans="1:68" hidden="1" x14ac:dyDescent="0.2">
      <c r="A318" s="4">
        <v>1</v>
      </c>
      <c r="B318" s="4" t="str">
        <f>B301</f>
        <v>SMVC Royals 14</v>
      </c>
      <c r="C318" s="4">
        <f>VLOOKUP(B318,AU$2:AY$22,4,FALSE)</f>
        <v>2166.5412469090652</v>
      </c>
      <c r="D318" s="4">
        <f>IF(A318=B309,B324,IF(A318=D309,D324,C318))</f>
        <v>2155.0443410250045</v>
      </c>
      <c r="G318" s="4">
        <f>IF(A318=E309,E324,IF(A318=G309,G324,D318))</f>
        <v>2155.0443410250045</v>
      </c>
      <c r="J318" s="4">
        <f>IF(A318=H309,H324,IF(A318=J309,J324,G318))</f>
        <v>2155.0443410250045</v>
      </c>
      <c r="U318" s="164"/>
      <c r="V318" s="164">
        <v>1</v>
      </c>
      <c r="W318" s="4" t="str">
        <f>X301</f>
        <v>BVA 14 Black</v>
      </c>
      <c r="X318" s="4">
        <f>VLOOKUP(W318,AU$2:AY$22,4,FALSE)</f>
        <v>1889.12808855605</v>
      </c>
      <c r="Y318" s="4">
        <f>IF(V318=W309,W324,IF(V318=Y309,Y324,X318))</f>
        <v>1885.8634313593002</v>
      </c>
      <c r="AB318" s="4">
        <f>IF(V318=Z309,Z324,IF(V318=AB309,AB324,Y318))</f>
        <v>1885.8634313593002</v>
      </c>
      <c r="AE318" s="4">
        <f>IF(V318=AC309,AC324,IF(V318=AE309,AE324,AB318))</f>
        <v>1885.8634313593002</v>
      </c>
      <c r="AT318" s="4" t="str">
        <f>B319</f>
        <v>TC Extreme 14 Amber</v>
      </c>
      <c r="AU318" s="4">
        <f>J319</f>
        <v>2191.3037844041428</v>
      </c>
      <c r="AW318" s="146"/>
      <c r="AX318" s="54"/>
      <c r="AY318" s="54"/>
      <c r="AZ318" s="54"/>
      <c r="BA318" s="54"/>
      <c r="BB318" s="146"/>
      <c r="BC318" s="54"/>
      <c r="BD318" s="54"/>
      <c r="BE318" s="146"/>
      <c r="BF318" s="54"/>
      <c r="BG318" s="54"/>
      <c r="BH318" s="146"/>
      <c r="BI318" s="54"/>
      <c r="BJ318" s="54"/>
      <c r="BK318" s="146"/>
      <c r="BL318" s="54"/>
      <c r="BM318" s="54"/>
      <c r="BN318" s="146"/>
      <c r="BO318" s="54"/>
      <c r="BP318" s="54"/>
    </row>
    <row r="319" spans="1:68" hidden="1" x14ac:dyDescent="0.2">
      <c r="A319" s="4">
        <v>2</v>
      </c>
      <c r="B319" s="4" t="str">
        <f>B302</f>
        <v>TC Extreme 14 Amber</v>
      </c>
      <c r="C319" s="4">
        <f>VLOOKUP(B319,AU$2:AY$22,4,FALSE)</f>
        <v>2179.3232925082521</v>
      </c>
      <c r="D319" s="4">
        <f>IF(A319=B309,B324,IF(A319=D309,D324,C319))</f>
        <v>2179.3232925082521</v>
      </c>
      <c r="G319" s="4">
        <f>IF(A319=E309,E324,IF(A319=G309,G324,D319))</f>
        <v>2182.4614553880306</v>
      </c>
      <c r="J319" s="4">
        <f>IF(A319=H309,H324,IF(A319=J309,J324,G319))</f>
        <v>2191.3037844041428</v>
      </c>
      <c r="U319" s="164"/>
      <c r="V319" s="164">
        <v>2</v>
      </c>
      <c r="W319" s="4" t="str">
        <f>X302</f>
        <v>SOAR EAGLES 14U</v>
      </c>
      <c r="X319" s="4">
        <f>VLOOKUP(W319,AU$2:AY$22,4,FALSE)</f>
        <v>1898.1779669391633</v>
      </c>
      <c r="Y319" s="4">
        <f>IF(V319=W309,W324,IF(V319=Y309,Y324,X319))</f>
        <v>1898.1779669391633</v>
      </c>
      <c r="AB319" s="4">
        <f>IF(V319=Z309,Z324,IF(V319=AB309,AB324,Y319))</f>
        <v>1907.0026363998129</v>
      </c>
      <c r="AE319" s="4">
        <f>IF(V319=AC309,AC324,IF(V319=AE309,AE324,AB319))</f>
        <v>1900.0253559371931</v>
      </c>
      <c r="AT319" s="4" t="str">
        <f>B320</f>
        <v>C1VB 14 Reg Royal Grvl</v>
      </c>
      <c r="AU319" s="4">
        <f>J320</f>
        <v>1931.1341198367875</v>
      </c>
      <c r="AW319" s="146"/>
      <c r="AX319" s="54"/>
      <c r="AY319" s="54"/>
      <c r="AZ319" s="54"/>
      <c r="BA319" s="54"/>
      <c r="BB319" s="146"/>
      <c r="BC319" s="54"/>
      <c r="BD319" s="54"/>
      <c r="BE319" s="146"/>
      <c r="BF319" s="54"/>
      <c r="BG319" s="54"/>
      <c r="BH319" s="146"/>
      <c r="BI319" s="54"/>
      <c r="BJ319" s="54"/>
      <c r="BK319" s="146"/>
      <c r="BL319" s="54"/>
      <c r="BM319" s="54"/>
      <c r="BN319" s="146"/>
      <c r="BO319" s="54"/>
      <c r="BP319" s="54"/>
    </row>
    <row r="320" spans="1:68" hidden="1" x14ac:dyDescent="0.2">
      <c r="A320" s="4">
        <v>3</v>
      </c>
      <c r="B320" s="4" t="str">
        <f>B303</f>
        <v>C1VB 14 Reg Royal Grvl</v>
      </c>
      <c r="C320" s="4">
        <f>VLOOKUP(B320,AU$2:AY$22,4,FALSE)</f>
        <v>1934.272282716566</v>
      </c>
      <c r="D320" s="4">
        <f>IF(A320=B309,B324,IF(A320=D309,D324,C320))</f>
        <v>1934.272282716566</v>
      </c>
      <c r="G320" s="4">
        <f>IF(A320=E309,E324,IF(A320=G309,G324,D320))</f>
        <v>1931.1341198367875</v>
      </c>
      <c r="J320" s="4">
        <f>IF(A320=H309,H324,IF(A320=J309,J324,G320))</f>
        <v>1931.1341198367875</v>
      </c>
      <c r="U320" s="164"/>
      <c r="V320" s="164">
        <v>3</v>
      </c>
      <c r="W320" s="4" t="str">
        <f>X303</f>
        <v>CSRA Heat 14 Black</v>
      </c>
      <c r="X320" s="4">
        <f>VLOOKUP(W320,AU$2:AY$22,4,FALSE)</f>
        <v>1934.1205810170186</v>
      </c>
      <c r="Y320" s="4">
        <f>IF(V320=W309,W324,IF(V320=Y309,Y324,X320))</f>
        <v>1934.1205810170186</v>
      </c>
      <c r="AB320" s="4">
        <f>IF(V320=Z309,Z324,IF(V320=AB309,AB324,Y320))</f>
        <v>1925.295911556369</v>
      </c>
      <c r="AE320" s="4">
        <f>IF(V320=AC309,AC324,IF(V320=AE309,AE324,AB320))</f>
        <v>1925.295911556369</v>
      </c>
      <c r="AT320" s="4" t="str">
        <f>B321</f>
        <v>Foothills 14 Holland</v>
      </c>
      <c r="AU320" s="4">
        <f>J321</f>
        <v>2006.3678428890369</v>
      </c>
      <c r="AW320" s="146"/>
      <c r="AX320" s="54"/>
      <c r="AY320" s="54"/>
      <c r="AZ320" s="54"/>
      <c r="BA320" s="54"/>
      <c r="BB320" s="146"/>
      <c r="BC320" s="54"/>
      <c r="BD320" s="54"/>
      <c r="BE320" s="146"/>
      <c r="BF320" s="54"/>
      <c r="BG320" s="54"/>
      <c r="BH320" s="146"/>
      <c r="BI320" s="54"/>
      <c r="BJ320" s="54"/>
      <c r="BK320" s="146"/>
      <c r="BL320" s="54"/>
      <c r="BM320" s="54"/>
      <c r="BN320" s="146"/>
      <c r="BO320" s="54"/>
      <c r="BP320" s="54"/>
    </row>
    <row r="321" spans="1:68" hidden="1" x14ac:dyDescent="0.2">
      <c r="A321" s="4">
        <v>4</v>
      </c>
      <c r="B321" s="4" t="str">
        <f>B304</f>
        <v>Foothills 14 Holland</v>
      </c>
      <c r="C321" s="4">
        <f>VLOOKUP(B321,AU$2:AY$22,4,FALSE)</f>
        <v>2003.7132660210884</v>
      </c>
      <c r="D321" s="4">
        <f>IF(A321=B309,B324,IF(A321=D309,D324,C321))</f>
        <v>2015.2101719051491</v>
      </c>
      <c r="G321" s="4">
        <f>IF(A321=E309,E324,IF(A321=G309,G324,D321))</f>
        <v>2015.2101719051491</v>
      </c>
      <c r="J321" s="4">
        <f>IF(A321=H309,H324,IF(A321=J309,J324,G321))</f>
        <v>2006.3678428890369</v>
      </c>
      <c r="U321" s="164"/>
      <c r="V321" s="164">
        <v>4</v>
      </c>
      <c r="W321" s="4" t="str">
        <f>X304</f>
        <v>Chas Jrs 14 Blue</v>
      </c>
      <c r="X321" s="4">
        <f>VLOOKUP(W321,AU$2:AY$22,4,FALSE)</f>
        <v>2125.5973103070378</v>
      </c>
      <c r="Y321" s="4">
        <f>IF(V321=W309,W324,IF(V321=Y309,Y324,X321))</f>
        <v>2128.8619675037876</v>
      </c>
      <c r="AB321" s="4">
        <f>IF(V321=Z309,Z324,IF(V321=AB309,AB324,Y321))</f>
        <v>2128.8619675037876</v>
      </c>
      <c r="AE321" s="4">
        <f>IF(V321=AC309,AC324,IF(V321=AE309,AE324,AB321))</f>
        <v>2135.8392479664076</v>
      </c>
      <c r="AT321" s="4" t="str">
        <f>W318</f>
        <v>BVA 14 Black</v>
      </c>
      <c r="AU321" s="4">
        <f>AE318</f>
        <v>1885.8634313593002</v>
      </c>
      <c r="AW321" s="146"/>
      <c r="AX321" s="54"/>
      <c r="AY321" s="54"/>
      <c r="AZ321" s="54"/>
      <c r="BA321" s="54"/>
      <c r="BB321" s="146"/>
      <c r="BC321" s="54"/>
      <c r="BD321" s="54"/>
      <c r="BE321" s="146"/>
      <c r="BF321" s="54"/>
      <c r="BG321" s="54"/>
      <c r="BH321" s="146"/>
      <c r="BI321" s="54"/>
      <c r="BJ321" s="54"/>
      <c r="BK321" s="146"/>
      <c r="BL321" s="54"/>
      <c r="BM321" s="54"/>
      <c r="BN321" s="146"/>
      <c r="BO321" s="54"/>
      <c r="BP321" s="54"/>
    </row>
    <row r="322" spans="1:68" hidden="1" x14ac:dyDescent="0.2">
      <c r="A322" s="4" t="s">
        <v>89</v>
      </c>
      <c r="B322" s="4">
        <f>VLOOKUP(B309,$A318:$J321,3,FALSE)</f>
        <v>2166.5412469090652</v>
      </c>
      <c r="D322" s="4">
        <f>VLOOKUP(D309,$A318:$J321,3,FALSE)</f>
        <v>2003.7132660210884</v>
      </c>
      <c r="E322" s="4">
        <f>VLOOKUP(E309,$A318:$J321,4,FALSE)</f>
        <v>2179.3232925082521</v>
      </c>
      <c r="G322" s="4">
        <f>VLOOKUP(G309,$A318:$J321,4,FALSE)</f>
        <v>1934.272282716566</v>
      </c>
      <c r="H322" s="4">
        <f>VLOOKUP(H309,$A318:$J321,7,FALSE)</f>
        <v>2015.2101719051491</v>
      </c>
      <c r="J322" s="4">
        <f>VLOOKUP(J309,$A318:$J321,7,FALSE)</f>
        <v>2182.4614553880306</v>
      </c>
      <c r="T322" s="682" t="s">
        <v>89</v>
      </c>
      <c r="U322" s="682"/>
      <c r="V322" s="682"/>
      <c r="W322" s="4">
        <f>VLOOKUP(W309,$V318:$AE321,3,FALSE)</f>
        <v>1889.12808855605</v>
      </c>
      <c r="Y322" s="4">
        <f>VLOOKUP(Y309,$V318:$AE321,3,FALSE)</f>
        <v>2125.5973103070378</v>
      </c>
      <c r="Z322" s="4">
        <f>VLOOKUP(Z309,$V318:$AE321,4,FALSE)</f>
        <v>1898.1779669391633</v>
      </c>
      <c r="AB322" s="4">
        <f>VLOOKUP(AB309,$V318:$AE321,4,FALSE)</f>
        <v>1934.1205810170186</v>
      </c>
      <c r="AC322" s="4">
        <f>VLOOKUP(AC309,$V318:$AE321,7,FALSE)</f>
        <v>2128.8619675037876</v>
      </c>
      <c r="AE322" s="4">
        <f>VLOOKUP(AE309,$V318:$AE321,7,FALSE)</f>
        <v>1907.0026363998129</v>
      </c>
      <c r="AT322" s="4" t="str">
        <f>W319</f>
        <v>SOAR EAGLES 14U</v>
      </c>
      <c r="AU322" s="4">
        <f>AE319</f>
        <v>1900.0253559371931</v>
      </c>
      <c r="AW322" s="146"/>
      <c r="AX322" s="54"/>
      <c r="AY322" s="54"/>
      <c r="AZ322" s="54"/>
      <c r="BA322" s="54"/>
      <c r="BB322" s="146"/>
      <c r="BC322" s="54"/>
      <c r="BD322" s="54"/>
      <c r="BE322" s="146"/>
      <c r="BF322" s="54"/>
      <c r="BG322" s="54"/>
      <c r="BH322" s="146"/>
      <c r="BI322" s="54"/>
      <c r="BJ322" s="54"/>
      <c r="BK322" s="146"/>
      <c r="BL322" s="54"/>
      <c r="BM322" s="54"/>
      <c r="BN322" s="146"/>
      <c r="BO322" s="54"/>
      <c r="BP322" s="54"/>
    </row>
    <row r="323" spans="1:68" hidden="1" x14ac:dyDescent="0.2">
      <c r="A323" s="68" t="s">
        <v>90</v>
      </c>
      <c r="B323" s="68">
        <f>1/(1+(10^-((B322-D322)/400)))*(B313+D313)</f>
        <v>0.71855661775378499</v>
      </c>
      <c r="C323" s="68"/>
      <c r="D323" s="68">
        <f>1/(1+(10^-((D322-B322)/400)))*(B313+D313)</f>
        <v>0.28144338224621501</v>
      </c>
      <c r="E323" s="68">
        <f>1/(1+(10^-((E322-G322)/400)))*(E313+G313)</f>
        <v>0.80386482001384063</v>
      </c>
      <c r="G323" s="68">
        <f>1/(1+(10^-((G322-E322)/400)))*(E313+G313)</f>
        <v>0.19613517998615931</v>
      </c>
      <c r="H323" s="68">
        <f>1/(1+(10^-((H322-J322)/400)))*(H313+J313)</f>
        <v>0.55264556350701377</v>
      </c>
      <c r="J323" s="68">
        <f>1/(1+(10^-((J322-H322)/400)))*(H313+J313)</f>
        <v>1.4473544364929862</v>
      </c>
      <c r="T323" s="683" t="s">
        <v>90</v>
      </c>
      <c r="U323" s="683"/>
      <c r="V323" s="683"/>
      <c r="W323" s="68">
        <f>1/(1+(10^-((W322-Y322)/400)))*(W313+Y313)</f>
        <v>0.2040410747968624</v>
      </c>
      <c r="X323" s="68"/>
      <c r="Y323" s="68">
        <f>1/(1+(10^-((Y322-W322)/400)))*(W313+Y313)</f>
        <v>0.79595892520313749</v>
      </c>
      <c r="Z323" s="68">
        <f>1/(1+(10^-((Z322-AB322)/400)))*(Z313+AB313)</f>
        <v>0.44845815870940442</v>
      </c>
      <c r="AB323" s="68">
        <f>1/(1+(10^-((AB322-Z322)/400)))*(Z313+AB313)</f>
        <v>0.55154184129059558</v>
      </c>
      <c r="AC323" s="68">
        <f>1/(1+(10^-((AC322-AE322)/400)))*(AC313+AE313)</f>
        <v>1.5639199710862628</v>
      </c>
      <c r="AE323" s="68">
        <f>1/(1+(10^-((AE322-AC322)/400)))*(AC313+AE313)</f>
        <v>0.43608002891373715</v>
      </c>
      <c r="AT323" s="4" t="str">
        <f>W320</f>
        <v>CSRA Heat 14 Black</v>
      </c>
      <c r="AU323" s="4">
        <f>AE320</f>
        <v>1925.295911556369</v>
      </c>
      <c r="AW323" s="146"/>
      <c r="AX323" s="54"/>
      <c r="AY323" s="54"/>
      <c r="AZ323" s="54"/>
      <c r="BA323" s="54"/>
      <c r="BB323" s="146"/>
      <c r="BC323" s="54"/>
      <c r="BD323" s="54"/>
      <c r="BE323" s="146"/>
      <c r="BF323" s="54"/>
      <c r="BG323" s="54"/>
      <c r="BH323" s="146"/>
      <c r="BI323" s="54"/>
      <c r="BJ323" s="54"/>
      <c r="BK323" s="146"/>
      <c r="BL323" s="54"/>
      <c r="BM323" s="54"/>
      <c r="BN323" s="146"/>
      <c r="BO323" s="54"/>
      <c r="BP323" s="54"/>
    </row>
    <row r="324" spans="1:68" hidden="1" x14ac:dyDescent="0.2">
      <c r="A324" s="74" t="s">
        <v>91</v>
      </c>
      <c r="B324" s="74">
        <f>B322+(B313-B323)*$BA$2</f>
        <v>2155.0443410250045</v>
      </c>
      <c r="C324" s="74"/>
      <c r="D324" s="74">
        <f>D322+(D313-D323)*$BA$2</f>
        <v>2015.2101719051491</v>
      </c>
      <c r="E324" s="74">
        <f>E322+(E313-E323)*$BA$2</f>
        <v>2182.4614553880306</v>
      </c>
      <c r="G324" s="74">
        <f>G322+(G313-G323)*$BA$2</f>
        <v>1931.1341198367875</v>
      </c>
      <c r="H324" s="74">
        <f>H322+(H313-H323)*$BA$2</f>
        <v>2006.3678428890369</v>
      </c>
      <c r="J324" s="74">
        <f>J322+(J313-J323)*$BA$2</f>
        <v>2191.3037844041428</v>
      </c>
      <c r="T324" s="669" t="s">
        <v>91</v>
      </c>
      <c r="U324" s="669"/>
      <c r="V324" s="669"/>
      <c r="W324" s="74">
        <f>W322+(W313-W323)*$BA$2</f>
        <v>1885.8634313593002</v>
      </c>
      <c r="X324" s="74"/>
      <c r="Y324" s="74">
        <f>Y322+(Y313-Y323)*$BA$2</f>
        <v>2128.8619675037876</v>
      </c>
      <c r="Z324" s="74">
        <f>Z322+(Z313-Z323)*$BA$2</f>
        <v>1907.0026363998129</v>
      </c>
      <c r="AB324" s="74">
        <f>AB322+(AB313-AB323)*$BA$2</f>
        <v>1925.295911556369</v>
      </c>
      <c r="AC324" s="74">
        <f>AC322+(AC313-AC323)*$BA$2</f>
        <v>2135.8392479664076</v>
      </c>
      <c r="AE324" s="74">
        <f>AE322+(AE313-AE323)*$BA$2</f>
        <v>1900.0253559371931</v>
      </c>
      <c r="AT324" s="4" t="str">
        <f>W321</f>
        <v>Chas Jrs 14 Blue</v>
      </c>
      <c r="AU324" s="4">
        <f>AE321</f>
        <v>2135.8392479664076</v>
      </c>
      <c r="AW324" s="146"/>
      <c r="AX324" s="54"/>
      <c r="AY324" s="54"/>
      <c r="AZ324" s="54"/>
      <c r="BA324" s="54"/>
      <c r="BB324" s="146"/>
      <c r="BC324" s="54"/>
      <c r="BD324" s="54"/>
      <c r="BE324" s="146"/>
      <c r="BF324" s="54"/>
      <c r="BG324" s="54"/>
      <c r="BH324" s="146"/>
      <c r="BI324" s="54"/>
      <c r="BJ324" s="54"/>
      <c r="BK324" s="146"/>
      <c r="BL324" s="54"/>
      <c r="BM324" s="54"/>
      <c r="BN324" s="146"/>
      <c r="BO324" s="54"/>
      <c r="BP324" s="54"/>
    </row>
    <row r="325" spans="1:68" x14ac:dyDescent="0.2">
      <c r="A325" s="670" t="s">
        <v>141</v>
      </c>
      <c r="B325" s="670"/>
      <c r="C325" s="670"/>
      <c r="D325" s="670"/>
      <c r="E325" s="670"/>
      <c r="F325" s="670"/>
      <c r="G325" s="670"/>
      <c r="H325" s="670"/>
      <c r="I325" s="670"/>
      <c r="J325" s="670"/>
      <c r="K325" s="670"/>
      <c r="L325" s="670"/>
      <c r="M325" s="670"/>
      <c r="R325" s="85"/>
      <c r="S325" s="85"/>
      <c r="T325" s="86"/>
      <c r="U325" s="86"/>
      <c r="V325" s="670" t="s">
        <v>141</v>
      </c>
      <c r="W325" s="670"/>
      <c r="X325" s="670"/>
      <c r="Y325" s="670"/>
      <c r="Z325" s="670"/>
      <c r="AA325" s="670"/>
      <c r="AB325" s="670"/>
      <c r="AC325" s="670"/>
      <c r="AD325" s="670"/>
      <c r="AE325" s="670"/>
      <c r="AF325" s="670"/>
      <c r="AG325" s="670"/>
      <c r="AH325" s="85"/>
      <c r="AI325" s="85"/>
      <c r="AJ325" s="85"/>
      <c r="AW325" s="146"/>
      <c r="AX325" s="54"/>
      <c r="AY325" s="54"/>
      <c r="AZ325" s="54"/>
      <c r="BA325" s="54"/>
    </row>
    <row r="326" spans="1:68" x14ac:dyDescent="0.2">
      <c r="AT326" s="54"/>
      <c r="AU326" s="54"/>
      <c r="AV326" s="54"/>
      <c r="AW326" s="146"/>
      <c r="AX326" s="54"/>
      <c r="AY326" s="54"/>
      <c r="AZ326" s="54"/>
      <c r="BA326" s="54"/>
    </row>
    <row r="327" spans="1:68" x14ac:dyDescent="0.2">
      <c r="A327" s="768" t="s">
        <v>160</v>
      </c>
      <c r="B327" s="768"/>
      <c r="C327" s="768"/>
      <c r="D327" s="768"/>
      <c r="E327" s="768"/>
      <c r="F327" s="768"/>
      <c r="G327" s="768"/>
      <c r="H327" s="768"/>
      <c r="I327" s="768"/>
      <c r="J327" s="768"/>
      <c r="K327" s="768"/>
      <c r="L327" s="768"/>
      <c r="M327" s="768"/>
      <c r="N327" s="768"/>
      <c r="O327" s="768"/>
      <c r="P327" s="768"/>
      <c r="Q327" s="62"/>
      <c r="S327" s="87"/>
      <c r="T327" s="87"/>
      <c r="U327" s="87"/>
      <c r="V327" s="87"/>
      <c r="W327" s="87"/>
      <c r="X327" s="87"/>
      <c r="Y327" s="87"/>
      <c r="Z327" s="87"/>
      <c r="AA327" s="87"/>
      <c r="AB327" s="87"/>
      <c r="AC327" s="87"/>
      <c r="AD327" s="87"/>
      <c r="AE327" s="87"/>
      <c r="AF327" s="87"/>
      <c r="AG327" s="87"/>
      <c r="AH327" s="85"/>
      <c r="AI327" s="85"/>
      <c r="AJ327" s="85"/>
      <c r="AK327" s="85"/>
      <c r="AL327" s="85"/>
      <c r="AM327" s="85"/>
      <c r="AT327" s="54"/>
      <c r="AU327" s="54"/>
      <c r="AV327" s="54"/>
      <c r="AW327" s="146"/>
      <c r="AX327" s="54"/>
      <c r="AY327" s="54"/>
      <c r="AZ327" s="54"/>
      <c r="BA327" s="54"/>
    </row>
    <row r="328" spans="1:68" x14ac:dyDescent="0.2">
      <c r="S328" s="85"/>
      <c r="T328" s="85"/>
      <c r="U328" s="85"/>
      <c r="V328" s="85"/>
      <c r="W328" s="85"/>
      <c r="X328" s="85"/>
      <c r="Y328" s="85"/>
      <c r="Z328" s="85"/>
      <c r="AA328" s="85"/>
      <c r="AB328" s="85"/>
      <c r="AC328" s="85"/>
      <c r="AD328" s="85"/>
      <c r="AE328" s="85"/>
      <c r="AF328" s="85"/>
      <c r="AG328" s="85"/>
      <c r="AH328" s="85"/>
      <c r="AI328" s="85"/>
      <c r="AJ328" s="85"/>
      <c r="AK328" s="85"/>
      <c r="AL328" s="85"/>
      <c r="AM328" s="85"/>
      <c r="AT328" s="54"/>
      <c r="AU328" s="54"/>
      <c r="AV328" s="54"/>
      <c r="AW328" s="146"/>
      <c r="AX328" s="54"/>
      <c r="AY328" s="54"/>
      <c r="AZ328" s="54"/>
      <c r="BA328" s="54"/>
    </row>
    <row r="329" spans="1:68" ht="13.5" thickBot="1" x14ac:dyDescent="0.25">
      <c r="A329" s="736" t="str">
        <f>IF(B357=1,B349,IF(B357=2,B350,IF(B357=3,B351,IF(B357=4,B352,IF(OR(B357="B",B357="b"),"BYE","invalid")))))</f>
        <v>C1VB 14 Reg Black Grvl</v>
      </c>
      <c r="B329" s="736"/>
      <c r="C329" s="736"/>
      <c r="D329" s="736"/>
      <c r="E329" s="736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S329" s="85"/>
      <c r="T329" s="90"/>
      <c r="U329" s="90"/>
      <c r="V329" s="86"/>
      <c r="W329" s="86"/>
      <c r="X329" s="86"/>
      <c r="Y329" s="86"/>
      <c r="Z329" s="86"/>
      <c r="AA329" s="86"/>
      <c r="AB329" s="86"/>
      <c r="AC329" s="85"/>
      <c r="AD329" s="85"/>
      <c r="AE329" s="85"/>
      <c r="AF329" s="85"/>
      <c r="AG329" s="85"/>
      <c r="AH329" s="85"/>
      <c r="AI329" s="85"/>
      <c r="AJ329" s="85"/>
      <c r="AK329" s="85"/>
      <c r="AL329" s="85"/>
      <c r="AM329" s="85"/>
      <c r="AT329" s="54"/>
      <c r="AU329" s="54"/>
      <c r="AV329" s="54"/>
      <c r="AW329" s="146"/>
      <c r="AX329" s="54"/>
      <c r="AY329" s="54"/>
      <c r="AZ329" s="54"/>
      <c r="BA329" s="54"/>
    </row>
    <row r="330" spans="1:68" x14ac:dyDescent="0.2">
      <c r="A330" s="738" t="s">
        <v>161</v>
      </c>
      <c r="B330" s="738"/>
      <c r="C330" s="738"/>
      <c r="D330" s="738"/>
      <c r="E330" s="738"/>
      <c r="F330" s="91"/>
      <c r="G330" s="88"/>
      <c r="H330" s="88"/>
      <c r="I330" s="88"/>
      <c r="J330" s="88"/>
      <c r="K330" s="88"/>
      <c r="L330" s="88"/>
      <c r="M330" s="88"/>
      <c r="N330" s="88"/>
      <c r="O330" s="88"/>
      <c r="S330" s="85"/>
      <c r="T330" s="93"/>
      <c r="U330" s="93"/>
      <c r="V330" s="94"/>
      <c r="W330" s="94"/>
      <c r="X330" s="94"/>
      <c r="Y330" s="94"/>
      <c r="Z330" s="94"/>
      <c r="AA330" s="94"/>
      <c r="AB330" s="94"/>
      <c r="AC330" s="85"/>
      <c r="AD330" s="85"/>
      <c r="AE330" s="85"/>
      <c r="AF330" s="85"/>
      <c r="AG330" s="85"/>
      <c r="AH330" s="85"/>
      <c r="AI330" s="85"/>
      <c r="AJ330" s="85"/>
      <c r="AK330" s="85"/>
      <c r="AL330" s="85"/>
      <c r="AM330" s="85"/>
      <c r="AT330" s="54"/>
      <c r="AU330" s="54"/>
      <c r="AV330" s="54"/>
      <c r="AW330" s="146"/>
      <c r="AX330" s="54"/>
      <c r="AY330" s="54"/>
      <c r="AZ330" s="54"/>
      <c r="BA330" s="54"/>
    </row>
    <row r="331" spans="1:68" x14ac:dyDescent="0.2">
      <c r="A331" s="88"/>
      <c r="B331" s="88"/>
      <c r="C331" s="88"/>
      <c r="D331" s="88"/>
      <c r="E331" s="88"/>
      <c r="F331" s="91"/>
      <c r="G331" s="88"/>
      <c r="H331" s="88"/>
      <c r="I331" s="88"/>
      <c r="J331" s="88"/>
      <c r="K331" s="88"/>
      <c r="L331" s="88"/>
      <c r="M331" s="88"/>
      <c r="N331" s="88"/>
      <c r="O331" s="88"/>
      <c r="S331" s="85"/>
      <c r="T331" s="85"/>
      <c r="U331" s="85"/>
      <c r="V331" s="85"/>
      <c r="W331" s="85"/>
      <c r="X331" s="85"/>
      <c r="Y331" s="85"/>
      <c r="Z331" s="85"/>
      <c r="AA331" s="85"/>
      <c r="AB331" s="85"/>
      <c r="AC331" s="85"/>
      <c r="AD331" s="85"/>
      <c r="AE331" s="85"/>
      <c r="AF331" s="85"/>
      <c r="AG331" s="85"/>
      <c r="AH331" s="85"/>
      <c r="AI331" s="85"/>
      <c r="AJ331" s="85"/>
      <c r="AK331" s="85"/>
      <c r="AL331" s="85"/>
      <c r="AM331" s="85"/>
      <c r="AT331" s="54"/>
      <c r="AU331" s="54"/>
      <c r="AV331" s="54"/>
      <c r="AW331" s="146"/>
      <c r="AX331" s="54"/>
      <c r="AY331" s="54"/>
      <c r="AZ331" s="54"/>
      <c r="BA331" s="54"/>
    </row>
    <row r="332" spans="1:68" ht="13.5" thickBot="1" x14ac:dyDescent="0.25">
      <c r="A332" s="739" t="str">
        <f>B351&amp;" ref"</f>
        <v>Blitz14 Black ref</v>
      </c>
      <c r="B332" s="739"/>
      <c r="C332" s="739"/>
      <c r="D332" s="739"/>
      <c r="E332" s="752"/>
      <c r="F332" s="748" t="str">
        <f>IF(H357=1,B349,IF(H357=2,B350,IF(H357=3,B351,IF(H357=4,B352,"Winner Match 1"))))</f>
        <v>C1VB 14 Reg Black Grvl</v>
      </c>
      <c r="G332" s="749"/>
      <c r="H332" s="749"/>
      <c r="I332" s="749"/>
      <c r="J332" s="749"/>
      <c r="K332" s="749"/>
      <c r="L332" s="749"/>
      <c r="M332" s="749"/>
      <c r="N332" s="749"/>
      <c r="O332" s="88"/>
      <c r="Q332" s="96"/>
      <c r="R332" s="96"/>
      <c r="S332" s="87"/>
      <c r="T332" s="87"/>
      <c r="U332" s="87"/>
      <c r="V332" s="87"/>
      <c r="W332" s="87"/>
      <c r="X332" s="87"/>
      <c r="Y332" s="87"/>
      <c r="Z332" s="87"/>
      <c r="AA332" s="87"/>
      <c r="AB332" s="85"/>
      <c r="AC332" s="86"/>
      <c r="AD332" s="86"/>
      <c r="AE332" s="86"/>
      <c r="AF332" s="86"/>
      <c r="AG332" s="86"/>
      <c r="AH332" s="86"/>
      <c r="AI332" s="86"/>
      <c r="AJ332" s="85"/>
      <c r="AK332" s="85"/>
      <c r="AL332" s="85"/>
      <c r="AM332" s="85"/>
      <c r="AT332" s="54"/>
      <c r="AU332" s="54"/>
      <c r="AV332" s="54"/>
    </row>
    <row r="333" spans="1:68" x14ac:dyDescent="0.2">
      <c r="A333" s="746" t="s">
        <v>165</v>
      </c>
      <c r="B333" s="746"/>
      <c r="C333" s="746"/>
      <c r="D333" s="746"/>
      <c r="E333" s="746"/>
      <c r="F333" s="759"/>
      <c r="G333" s="760"/>
      <c r="H333" s="760"/>
      <c r="I333" s="761"/>
      <c r="J333" s="744"/>
      <c r="K333" s="745"/>
      <c r="L333" s="745"/>
      <c r="M333" s="745"/>
      <c r="N333" s="745"/>
      <c r="O333" s="88"/>
      <c r="P333" s="88"/>
      <c r="Q333" s="95"/>
      <c r="R333" s="10"/>
      <c r="S333" s="108"/>
      <c r="T333" s="108"/>
      <c r="U333" s="103"/>
      <c r="V333" s="103"/>
      <c r="W333" s="103"/>
      <c r="X333" s="103"/>
      <c r="Y333" s="103"/>
      <c r="Z333" s="103"/>
      <c r="AA333" s="103"/>
      <c r="AB333" s="85"/>
      <c r="AC333" s="87"/>
      <c r="AD333" s="87"/>
      <c r="AE333" s="87"/>
      <c r="AF333" s="87"/>
      <c r="AG333" s="87"/>
      <c r="AH333" s="87"/>
      <c r="AI333" s="87"/>
      <c r="AJ333" s="85"/>
      <c r="AK333" s="85"/>
      <c r="AL333" s="85"/>
      <c r="AM333" s="85"/>
      <c r="AT333" s="54"/>
      <c r="AU333" s="54"/>
      <c r="AV333" s="54"/>
      <c r="AW333" s="65"/>
      <c r="AX333" s="61"/>
      <c r="AY333" s="61"/>
      <c r="AZ333" s="61"/>
      <c r="BA333" s="61"/>
    </row>
    <row r="334" spans="1:68" ht="13.5" thickBot="1" x14ac:dyDescent="0.25">
      <c r="A334" s="736" t="str">
        <f>IF(D357=1,B349,IF(D357=2,B350,IF(D357=3,B351,IF(D357=4,B352,IF(OR(D357="B",D357="b"),"BYE","invalid")))))</f>
        <v>MOTO 14's</v>
      </c>
      <c r="B334" s="736"/>
      <c r="C334" s="736"/>
      <c r="D334" s="736"/>
      <c r="E334" s="737"/>
      <c r="F334" s="91"/>
      <c r="G334" s="88"/>
      <c r="H334" s="88"/>
      <c r="I334" s="88"/>
      <c r="J334" s="91"/>
      <c r="K334" s="88"/>
      <c r="L334" s="88"/>
      <c r="M334" s="88"/>
      <c r="N334" s="88"/>
      <c r="O334" s="88"/>
      <c r="P334" s="88"/>
      <c r="Q334" s="88"/>
      <c r="S334" s="85"/>
      <c r="T334" s="85"/>
      <c r="U334" s="85"/>
      <c r="V334" s="86"/>
      <c r="W334" s="86"/>
      <c r="X334" s="86"/>
      <c r="Y334" s="86"/>
      <c r="Z334" s="86"/>
      <c r="AA334" s="86"/>
      <c r="AB334" s="86"/>
      <c r="AC334" s="85"/>
      <c r="AD334" s="85"/>
      <c r="AE334" s="85"/>
      <c r="AF334" s="85"/>
      <c r="AG334" s="85"/>
      <c r="AH334" s="85"/>
      <c r="AI334" s="85"/>
      <c r="AJ334" s="85"/>
      <c r="AK334" s="85"/>
      <c r="AL334" s="85"/>
      <c r="AM334" s="85"/>
      <c r="AT334" s="54"/>
      <c r="AU334" s="54"/>
      <c r="AV334" s="54"/>
      <c r="AW334" s="65"/>
      <c r="AX334" s="61"/>
      <c r="AY334" s="61"/>
      <c r="AZ334" s="61"/>
      <c r="BA334" s="61"/>
    </row>
    <row r="335" spans="1:68" x14ac:dyDescent="0.2">
      <c r="A335" s="738" t="s">
        <v>169</v>
      </c>
      <c r="B335" s="738"/>
      <c r="C335" s="738"/>
      <c r="D335" s="738"/>
      <c r="E335" s="738"/>
      <c r="F335" s="88"/>
      <c r="G335" s="88"/>
      <c r="H335" s="88"/>
      <c r="I335" s="88"/>
      <c r="J335" s="91"/>
      <c r="K335" s="88"/>
      <c r="L335" s="88"/>
      <c r="M335" s="88"/>
      <c r="N335" s="88"/>
      <c r="O335" s="88"/>
      <c r="P335" s="88"/>
      <c r="Q335" s="88"/>
      <c r="S335" s="85"/>
      <c r="T335" s="85"/>
      <c r="U335" s="85"/>
      <c r="V335" s="94"/>
      <c r="W335" s="94"/>
      <c r="X335" s="94"/>
      <c r="Y335" s="94"/>
      <c r="Z335" s="94"/>
      <c r="AA335" s="94"/>
      <c r="AB335" s="94"/>
      <c r="AC335" s="85"/>
      <c r="AD335" s="85"/>
      <c r="AE335" s="85"/>
      <c r="AF335" s="85"/>
      <c r="AG335" s="85"/>
      <c r="AH335" s="85"/>
      <c r="AI335" s="85"/>
      <c r="AJ335" s="85"/>
      <c r="AK335" s="85"/>
      <c r="AL335" s="85"/>
      <c r="AM335" s="85"/>
      <c r="AR335" s="104"/>
      <c r="AS335" s="104"/>
      <c r="AT335" s="54"/>
      <c r="AU335" s="54"/>
      <c r="AV335" s="54"/>
      <c r="AW335" s="65"/>
      <c r="AX335" s="61"/>
      <c r="AY335" s="61"/>
      <c r="AZ335" s="61"/>
      <c r="BA335" s="61"/>
      <c r="BB335" s="104"/>
      <c r="BC335" s="104"/>
      <c r="BD335" s="104"/>
    </row>
    <row r="336" spans="1:68" x14ac:dyDescent="0.2">
      <c r="A336" s="88"/>
      <c r="B336" s="88"/>
      <c r="C336" s="88"/>
      <c r="D336" s="88"/>
      <c r="E336" s="88"/>
      <c r="F336" s="751" t="s">
        <v>113</v>
      </c>
      <c r="G336" s="751"/>
      <c r="H336" s="751"/>
      <c r="I336" s="758"/>
      <c r="J336" s="91"/>
      <c r="K336" s="88"/>
      <c r="L336" s="88"/>
      <c r="M336" s="88"/>
      <c r="N336" s="88"/>
      <c r="O336" s="88"/>
      <c r="P336" s="88"/>
      <c r="Q336" s="88"/>
      <c r="S336" s="85"/>
      <c r="T336" s="85"/>
      <c r="U336" s="85"/>
      <c r="V336" s="85"/>
      <c r="W336" s="85"/>
      <c r="X336" s="87"/>
      <c r="Y336" s="87"/>
      <c r="Z336" s="87"/>
      <c r="AA336" s="85"/>
      <c r="AB336" s="87"/>
      <c r="AC336" s="87"/>
      <c r="AD336" s="87"/>
      <c r="AE336" s="87"/>
      <c r="AF336" s="87"/>
      <c r="AG336" s="85"/>
      <c r="AH336" s="85"/>
      <c r="AI336" s="85"/>
      <c r="AJ336" s="85"/>
      <c r="AK336" s="85"/>
      <c r="AL336" s="85"/>
      <c r="AM336" s="85"/>
      <c r="AT336" s="54"/>
      <c r="AU336" s="54"/>
      <c r="AV336" s="54"/>
      <c r="AW336" s="65"/>
      <c r="AX336" s="61"/>
      <c r="AY336" s="61"/>
      <c r="AZ336" s="61"/>
      <c r="BA336" s="61"/>
    </row>
    <row r="337" spans="1:53" ht="13.5" thickBot="1" x14ac:dyDescent="0.25">
      <c r="A337" s="88"/>
      <c r="B337" s="88"/>
      <c r="C337" s="88"/>
      <c r="D337" s="88"/>
      <c r="E337" s="88"/>
      <c r="F337" s="88"/>
      <c r="G337" s="88"/>
      <c r="H337" s="88"/>
      <c r="I337" s="88"/>
      <c r="J337" s="753" t="str">
        <f>IF(K362=1,B349,IF(K362=2,B350,IF(K362=3,B351,IF(K362=4,B352,"Division Winner"))))</f>
        <v>C1VB 14 Reg Black Grvl</v>
      </c>
      <c r="K337" s="754"/>
      <c r="L337" s="754"/>
      <c r="M337" s="754"/>
      <c r="N337" s="754"/>
      <c r="O337" s="754"/>
      <c r="P337" s="754"/>
      <c r="Q337" s="754"/>
      <c r="R337" s="89"/>
      <c r="S337" s="85"/>
      <c r="T337" s="85"/>
      <c r="U337" s="85"/>
      <c r="V337" s="85"/>
      <c r="W337" s="85"/>
      <c r="X337" s="85"/>
      <c r="Y337" s="85"/>
      <c r="Z337" s="85"/>
      <c r="AA337" s="85"/>
      <c r="AB337" s="86"/>
      <c r="AC337" s="86"/>
      <c r="AD337" s="86"/>
      <c r="AE337" s="86"/>
      <c r="AF337" s="86"/>
      <c r="AG337" s="105"/>
      <c r="AH337" s="105"/>
      <c r="AI337" s="105"/>
      <c r="AJ337" s="105"/>
      <c r="AK337" s="105"/>
      <c r="AL337" s="86"/>
      <c r="AM337" s="85"/>
      <c r="AT337" s="54"/>
      <c r="AU337" s="54"/>
      <c r="AV337" s="54"/>
      <c r="AW337" s="65"/>
      <c r="AX337" s="61"/>
      <c r="AY337" s="61"/>
      <c r="AZ337" s="61"/>
      <c r="BA337" s="61"/>
    </row>
    <row r="338" spans="1:53" ht="13.5" thickBot="1" x14ac:dyDescent="0.25">
      <c r="A338" s="736" t="str">
        <f>IF(E357=1,B349,IF(E357=2,B350,IF(E357=3,B351,IF(E357=4,B352,IF(OR(E357="B",E357="b"),"BYE","invalid")))))</f>
        <v>Chas Jrs 14 White</v>
      </c>
      <c r="B338" s="736"/>
      <c r="C338" s="736"/>
      <c r="D338" s="736"/>
      <c r="E338" s="736"/>
      <c r="F338" s="746" t="s">
        <v>162</v>
      </c>
      <c r="G338" s="746"/>
      <c r="H338" s="746"/>
      <c r="I338" s="746"/>
      <c r="J338" s="750" t="s">
        <v>163</v>
      </c>
      <c r="K338" s="751"/>
      <c r="L338" s="751"/>
      <c r="M338" s="751"/>
      <c r="N338" s="751"/>
      <c r="O338" s="751"/>
      <c r="P338" s="751"/>
      <c r="Q338" s="751"/>
      <c r="S338" s="86"/>
      <c r="T338" s="86"/>
      <c r="U338" s="86"/>
      <c r="V338" s="86"/>
      <c r="W338" s="86"/>
      <c r="X338" s="86"/>
      <c r="Y338" s="86"/>
      <c r="Z338" s="86"/>
      <c r="AA338" s="86"/>
      <c r="AB338" s="86"/>
      <c r="AC338" s="108"/>
      <c r="AD338" s="108"/>
      <c r="AE338" s="108"/>
      <c r="AF338" s="108"/>
      <c r="AG338" s="87"/>
      <c r="AH338" s="87"/>
      <c r="AI338" s="87"/>
      <c r="AJ338" s="87"/>
      <c r="AK338" s="87"/>
      <c r="AL338" s="85"/>
      <c r="AM338" s="85"/>
      <c r="AT338" s="54"/>
      <c r="AU338" s="54"/>
      <c r="AV338" s="54"/>
      <c r="AW338" s="65"/>
      <c r="AX338" s="61"/>
      <c r="AY338" s="61"/>
      <c r="AZ338" s="61"/>
      <c r="BA338" s="61"/>
    </row>
    <row r="339" spans="1:53" x14ac:dyDescent="0.2">
      <c r="A339" s="738" t="s">
        <v>164</v>
      </c>
      <c r="B339" s="738"/>
      <c r="C339" s="738"/>
      <c r="D339" s="738"/>
      <c r="E339" s="738"/>
      <c r="F339" s="91"/>
      <c r="G339" s="88"/>
      <c r="H339" s="88"/>
      <c r="I339" s="88"/>
      <c r="J339" s="750"/>
      <c r="K339" s="751"/>
      <c r="L339" s="751"/>
      <c r="M339" s="751"/>
      <c r="N339" s="751"/>
      <c r="O339" s="751"/>
      <c r="P339" s="751"/>
      <c r="Q339" s="751"/>
      <c r="R339" s="88"/>
      <c r="S339" s="94"/>
      <c r="T339" s="94"/>
      <c r="U339" s="94"/>
      <c r="V339" s="94"/>
      <c r="W339" s="94"/>
      <c r="X339" s="94"/>
      <c r="Y339" s="94"/>
      <c r="Z339" s="94"/>
      <c r="AA339" s="94"/>
      <c r="AB339" s="94"/>
      <c r="AC339" s="85"/>
      <c r="AD339" s="85"/>
      <c r="AE339" s="85"/>
      <c r="AF339" s="85"/>
      <c r="AG339" s="85"/>
      <c r="AH339" s="85"/>
      <c r="AI339" s="85"/>
      <c r="AJ339" s="85"/>
      <c r="AK339" s="85"/>
      <c r="AL339" s="85"/>
      <c r="AM339" s="85"/>
      <c r="AT339" s="54"/>
      <c r="AU339" s="54"/>
      <c r="AV339" s="54"/>
      <c r="AW339" s="65"/>
      <c r="AX339" s="61"/>
      <c r="AY339" s="61"/>
      <c r="AZ339" s="61"/>
      <c r="BA339" s="61"/>
    </row>
    <row r="340" spans="1:53" x14ac:dyDescent="0.2">
      <c r="A340" s="88"/>
      <c r="B340" s="88"/>
      <c r="C340" s="88"/>
      <c r="D340" s="88"/>
      <c r="E340" s="88"/>
      <c r="F340" s="91"/>
      <c r="G340" s="88"/>
      <c r="H340" s="88"/>
      <c r="I340" s="88"/>
      <c r="J340" s="91"/>
      <c r="K340" s="88"/>
      <c r="L340" s="88"/>
      <c r="M340" s="88"/>
      <c r="N340" s="88"/>
      <c r="O340" s="88"/>
      <c r="Q340" s="88"/>
      <c r="R340" s="88"/>
      <c r="S340" s="85"/>
      <c r="T340" s="85"/>
      <c r="U340" s="85"/>
      <c r="V340" s="85"/>
      <c r="W340" s="85"/>
      <c r="X340" s="85"/>
      <c r="Y340" s="85"/>
      <c r="Z340" s="85"/>
      <c r="AA340" s="85"/>
      <c r="AB340" s="85"/>
      <c r="AC340" s="85"/>
      <c r="AD340" s="85"/>
      <c r="AE340" s="85"/>
      <c r="AF340" s="85"/>
      <c r="AG340" s="85"/>
      <c r="AH340" s="85"/>
      <c r="AI340" s="85"/>
      <c r="AJ340" s="85"/>
      <c r="AK340" s="85"/>
      <c r="AL340" s="85"/>
      <c r="AM340" s="85"/>
      <c r="AT340" s="54"/>
      <c r="AU340" s="54"/>
      <c r="AV340" s="54"/>
      <c r="AW340" s="65"/>
      <c r="AX340" s="61"/>
      <c r="AY340" s="61"/>
      <c r="AZ340" s="61"/>
      <c r="BA340" s="61"/>
    </row>
    <row r="341" spans="1:53" ht="13.5" thickBot="1" x14ac:dyDescent="0.25">
      <c r="A341" s="751" t="s">
        <v>120</v>
      </c>
      <c r="B341" s="751"/>
      <c r="C341" s="751"/>
      <c r="D341" s="751"/>
      <c r="E341" s="95"/>
      <c r="F341" s="741"/>
      <c r="G341" s="742"/>
      <c r="H341" s="742"/>
      <c r="I341" s="743"/>
      <c r="J341" s="744"/>
      <c r="K341" s="745"/>
      <c r="L341" s="745"/>
      <c r="M341" s="745"/>
      <c r="N341" s="745"/>
      <c r="O341" s="88"/>
      <c r="R341" s="96"/>
      <c r="S341" s="87"/>
      <c r="T341" s="87"/>
      <c r="U341" s="87"/>
      <c r="V341" s="87"/>
      <c r="W341" s="87"/>
      <c r="X341" s="87"/>
      <c r="Y341" s="87"/>
      <c r="Z341" s="87"/>
      <c r="AA341" s="87"/>
      <c r="AB341" s="85"/>
      <c r="AC341" s="87"/>
      <c r="AD341" s="87"/>
      <c r="AE341" s="87"/>
      <c r="AF341" s="87"/>
      <c r="AG341" s="87"/>
      <c r="AH341" s="87"/>
      <c r="AI341" s="87"/>
      <c r="AJ341" s="85"/>
      <c r="AK341" s="85"/>
      <c r="AL341" s="85"/>
      <c r="AM341" s="85"/>
      <c r="AT341" s="54"/>
      <c r="AU341" s="54"/>
      <c r="AV341" s="54"/>
      <c r="AW341" s="72"/>
      <c r="AX341" s="71"/>
      <c r="AY341" s="71"/>
      <c r="AZ341" s="71"/>
      <c r="BA341" s="71"/>
    </row>
    <row r="342" spans="1:53" x14ac:dyDescent="0.2">
      <c r="A342" s="746" t="s">
        <v>165</v>
      </c>
      <c r="B342" s="746"/>
      <c r="C342" s="746"/>
      <c r="D342" s="746"/>
      <c r="E342" s="747"/>
      <c r="F342" s="748" t="str">
        <f>IF(J357=1,B349,IF(J357=2,B350,IF(J357=3,B351,IF(J357=4,B352,"Winner Match 2"))))</f>
        <v>Chas Jrs 14 White</v>
      </c>
      <c r="G342" s="749"/>
      <c r="H342" s="749"/>
      <c r="I342" s="749"/>
      <c r="J342" s="749"/>
      <c r="K342" s="749"/>
      <c r="L342" s="749"/>
      <c r="M342" s="749"/>
      <c r="N342" s="749"/>
      <c r="O342" s="88"/>
      <c r="Q342" s="95"/>
      <c r="R342" s="95"/>
      <c r="S342" s="85"/>
      <c r="T342" s="108"/>
      <c r="U342" s="108"/>
      <c r="V342" s="108"/>
      <c r="W342" s="108"/>
      <c r="X342" s="108"/>
      <c r="Y342" s="108"/>
      <c r="Z342" s="108"/>
      <c r="AA342" s="108"/>
      <c r="AB342" s="85"/>
      <c r="AC342" s="86"/>
      <c r="AD342" s="86"/>
      <c r="AE342" s="86"/>
      <c r="AF342" s="86"/>
      <c r="AG342" s="86"/>
      <c r="AH342" s="86"/>
      <c r="AI342" s="86"/>
      <c r="AJ342" s="85"/>
      <c r="AK342" s="85"/>
      <c r="AL342" s="85"/>
      <c r="AM342" s="85"/>
      <c r="AT342" s="54"/>
      <c r="AU342" s="54"/>
      <c r="AV342" s="54"/>
      <c r="AW342" s="78"/>
      <c r="AX342" s="77"/>
      <c r="AY342" s="77"/>
      <c r="AZ342" s="77"/>
      <c r="BA342" s="77"/>
    </row>
    <row r="343" spans="1:53" ht="13.5" thickBot="1" x14ac:dyDescent="0.25">
      <c r="A343" s="736" t="str">
        <f>IF(G357=1,B349,IF(G357=2,B350,IF(G357=3,B351,IF(G357=4,B352,IF(OR(G357="B",G357="b"),"BYE","invalid")))))</f>
        <v>Blitz14 Black</v>
      </c>
      <c r="B343" s="736"/>
      <c r="C343" s="736"/>
      <c r="D343" s="736"/>
      <c r="E343" s="737"/>
      <c r="F343" s="91"/>
      <c r="G343" s="88"/>
      <c r="H343" s="88"/>
      <c r="I343" s="88"/>
      <c r="J343" s="184"/>
      <c r="K343" s="88"/>
      <c r="L343" s="88"/>
      <c r="M343" s="88"/>
      <c r="N343" s="88"/>
      <c r="O343" s="88"/>
      <c r="Q343" s="88"/>
      <c r="R343" s="88"/>
      <c r="S343" s="85"/>
      <c r="T343" s="86"/>
      <c r="U343" s="86"/>
      <c r="V343" s="86"/>
      <c r="W343" s="86"/>
      <c r="X343" s="86"/>
      <c r="Y343" s="86"/>
      <c r="Z343" s="86"/>
      <c r="AA343" s="86"/>
      <c r="AB343" s="86"/>
      <c r="AC343" s="85"/>
      <c r="AD343" s="85"/>
      <c r="AE343" s="85"/>
      <c r="AF343" s="85"/>
      <c r="AG343" s="85"/>
      <c r="AH343" s="85"/>
      <c r="AI343" s="85"/>
      <c r="AJ343" s="85"/>
      <c r="AK343" s="85"/>
      <c r="AL343" s="85"/>
      <c r="AM343" s="85"/>
      <c r="AT343" s="54"/>
      <c r="AU343" s="54"/>
      <c r="AV343" s="54"/>
      <c r="AW343" s="78"/>
      <c r="AX343" s="77"/>
      <c r="AY343" s="77"/>
      <c r="AZ343" s="77"/>
      <c r="BA343" s="77"/>
    </row>
    <row r="344" spans="1:53" x14ac:dyDescent="0.2">
      <c r="A344" s="738" t="s">
        <v>166</v>
      </c>
      <c r="B344" s="738"/>
      <c r="C344" s="738"/>
      <c r="D344" s="738"/>
      <c r="E344" s="738"/>
      <c r="S344" s="85"/>
      <c r="T344" s="94"/>
      <c r="U344" s="94"/>
      <c r="V344" s="94"/>
      <c r="W344" s="94"/>
      <c r="X344" s="94"/>
      <c r="Y344" s="94"/>
      <c r="Z344" s="94"/>
      <c r="AA344" s="94"/>
      <c r="AB344" s="94"/>
      <c r="AC344" s="85"/>
      <c r="AD344" s="85"/>
      <c r="AE344" s="85"/>
      <c r="AF344" s="85"/>
      <c r="AG344" s="85"/>
      <c r="AH344" s="85"/>
      <c r="AI344" s="85"/>
      <c r="AJ344" s="85"/>
      <c r="AK344" s="85"/>
      <c r="AL344" s="85"/>
      <c r="AM344" s="85"/>
      <c r="AT344" s="54"/>
      <c r="AU344" s="54"/>
      <c r="AV344" s="54"/>
      <c r="AW344" s="65"/>
      <c r="AX344" s="61"/>
      <c r="AY344" s="61"/>
      <c r="AZ344" s="61"/>
      <c r="BA344" s="61"/>
    </row>
    <row r="345" spans="1:53" x14ac:dyDescent="0.2">
      <c r="S345" s="85"/>
      <c r="T345" s="85"/>
      <c r="U345" s="85"/>
      <c r="V345" s="85"/>
      <c r="W345" s="85"/>
      <c r="X345" s="85"/>
      <c r="Y345" s="85"/>
      <c r="Z345" s="85"/>
      <c r="AA345" s="85"/>
      <c r="AB345" s="85"/>
      <c r="AC345" s="85"/>
      <c r="AD345" s="85"/>
      <c r="AE345" s="85"/>
      <c r="AF345" s="85"/>
      <c r="AG345" s="85"/>
      <c r="AH345" s="85"/>
      <c r="AI345" s="85"/>
      <c r="AJ345" s="85"/>
      <c r="AK345" s="85"/>
      <c r="AL345" s="85"/>
      <c r="AM345" s="85"/>
      <c r="AT345" s="54"/>
      <c r="AU345" s="54"/>
      <c r="AV345" s="54"/>
      <c r="AW345" s="65"/>
      <c r="AX345" s="61"/>
      <c r="AY345" s="61"/>
      <c r="AZ345" s="61"/>
      <c r="BA345" s="61"/>
    </row>
    <row r="346" spans="1:53" x14ac:dyDescent="0.2">
      <c r="S346" s="85"/>
      <c r="T346" s="85"/>
      <c r="U346" s="85"/>
      <c r="V346" s="85"/>
      <c r="W346" s="85"/>
      <c r="X346" s="85"/>
      <c r="Y346" s="85"/>
      <c r="Z346" s="85"/>
      <c r="AA346" s="85"/>
      <c r="AB346" s="85"/>
      <c r="AC346" s="85"/>
      <c r="AD346" s="85"/>
      <c r="AE346" s="85"/>
      <c r="AF346" s="85"/>
      <c r="AG346" s="85"/>
      <c r="AH346" s="85"/>
      <c r="AI346" s="85"/>
      <c r="AJ346" s="85"/>
      <c r="AK346" s="85"/>
      <c r="AL346" s="85"/>
      <c r="AM346" s="85"/>
      <c r="AT346" s="54"/>
      <c r="AU346" s="54"/>
      <c r="AV346" s="54"/>
    </row>
    <row r="347" spans="1:53" ht="16.5" thickBot="1" x14ac:dyDescent="0.3">
      <c r="A347" s="740" t="s">
        <v>167</v>
      </c>
      <c r="B347" s="740"/>
      <c r="C347" s="740"/>
      <c r="D347" s="740"/>
      <c r="E347" s="740"/>
      <c r="F347" s="740"/>
      <c r="G347" s="740"/>
      <c r="H347" s="740"/>
      <c r="I347" s="740"/>
      <c r="J347" s="740"/>
      <c r="K347" s="169"/>
      <c r="R347" s="82"/>
      <c r="S347" s="147"/>
      <c r="T347" s="147"/>
      <c r="U347" s="112"/>
      <c r="V347" s="112"/>
      <c r="W347" s="112"/>
      <c r="X347" s="112"/>
      <c r="Y347" s="112"/>
      <c r="Z347" s="112"/>
      <c r="AA347" s="112"/>
      <c r="AB347" s="112"/>
      <c r="AC347" s="112"/>
      <c r="AD347" s="112"/>
      <c r="AE347" s="112"/>
      <c r="AF347" s="112"/>
      <c r="AG347" s="85"/>
      <c r="AH347" s="85"/>
      <c r="AI347" s="85"/>
      <c r="AJ347" s="85"/>
      <c r="AK347" s="85"/>
      <c r="AL347" s="85"/>
      <c r="AM347" s="85"/>
      <c r="AT347" s="54"/>
      <c r="AU347" s="54"/>
      <c r="AV347" s="54"/>
    </row>
    <row r="348" spans="1:53" ht="13.5" thickBot="1" x14ac:dyDescent="0.25">
      <c r="A348" s="113" t="s">
        <v>125</v>
      </c>
      <c r="B348" s="730" t="s">
        <v>126</v>
      </c>
      <c r="C348" s="731"/>
      <c r="D348" s="731"/>
      <c r="E348" s="731"/>
      <c r="F348" s="731"/>
      <c r="G348" s="731"/>
      <c r="H348" s="731"/>
      <c r="I348" s="731"/>
      <c r="J348" s="732"/>
      <c r="K348" s="733" t="s">
        <v>127</v>
      </c>
      <c r="L348" s="734"/>
      <c r="M348" s="734"/>
      <c r="N348" s="734"/>
      <c r="O348" s="734"/>
      <c r="P348" s="734"/>
      <c r="Q348" s="735"/>
      <c r="R348" s="88"/>
      <c r="S348" s="85"/>
      <c r="T348" s="85"/>
      <c r="U348" s="86"/>
      <c r="V348" s="86"/>
      <c r="W348" s="86"/>
      <c r="X348" s="86"/>
      <c r="Y348" s="85"/>
      <c r="Z348" s="85"/>
      <c r="AA348" s="85"/>
      <c r="AB348" s="85"/>
      <c r="AC348" s="85"/>
      <c r="AD348" s="85"/>
      <c r="AE348" s="85"/>
      <c r="AF348" s="85"/>
      <c r="AG348" s="85"/>
      <c r="AH348" s="85"/>
      <c r="AI348" s="85"/>
      <c r="AJ348" s="85"/>
      <c r="AK348" s="85"/>
      <c r="AL348" s="85"/>
      <c r="AM348" s="85"/>
      <c r="AT348" s="54"/>
      <c r="AU348" s="54"/>
      <c r="AV348" s="54"/>
    </row>
    <row r="349" spans="1:53" ht="13.5" thickBot="1" x14ac:dyDescent="0.25">
      <c r="A349" s="113">
        <v>1</v>
      </c>
      <c r="B349" s="712" t="str">
        <f>X271</f>
        <v>C1VB 14 Reg Black Grvl</v>
      </c>
      <c r="C349" s="713"/>
      <c r="D349" s="713"/>
      <c r="E349" s="713"/>
      <c r="F349" s="713"/>
      <c r="G349" s="713"/>
      <c r="H349" s="713"/>
      <c r="I349" s="713"/>
      <c r="J349" s="714"/>
      <c r="K349" s="715" t="str">
        <f>AF271</f>
        <v>fj4crone4pm</v>
      </c>
      <c r="L349" s="716"/>
      <c r="M349" s="716"/>
      <c r="N349" s="716"/>
      <c r="O349" s="716"/>
      <c r="P349" s="716"/>
      <c r="Q349" s="717"/>
      <c r="R349" s="88"/>
      <c r="S349" s="85"/>
      <c r="T349" s="85"/>
      <c r="U349" s="86"/>
      <c r="V349" s="86"/>
      <c r="W349" s="86"/>
      <c r="X349" s="87"/>
      <c r="Y349" s="87"/>
      <c r="Z349" s="87"/>
      <c r="AA349" s="87"/>
      <c r="AB349" s="87"/>
      <c r="AC349" s="87"/>
      <c r="AD349" s="87"/>
      <c r="AE349" s="87"/>
      <c r="AF349" s="87"/>
      <c r="AG349" s="85"/>
      <c r="AH349" s="85"/>
      <c r="AI349" s="85"/>
      <c r="AJ349" s="85"/>
      <c r="AK349" s="85"/>
      <c r="AL349" s="85"/>
      <c r="AM349" s="85"/>
      <c r="AT349" s="54"/>
      <c r="AU349" s="54"/>
      <c r="AV349" s="54"/>
    </row>
    <row r="350" spans="1:53" ht="13.5" thickBot="1" x14ac:dyDescent="0.25">
      <c r="A350" s="113">
        <v>2</v>
      </c>
      <c r="B350" s="712" t="str">
        <f>AH264</f>
        <v>Chas Jrs 14 White</v>
      </c>
      <c r="C350" s="713"/>
      <c r="D350" s="713"/>
      <c r="E350" s="713"/>
      <c r="F350" s="713"/>
      <c r="G350" s="713"/>
      <c r="H350" s="713"/>
      <c r="I350" s="713"/>
      <c r="J350" s="714"/>
      <c r="K350" s="715" t="str">
        <f>AK264</f>
        <v>fj4charl3pm</v>
      </c>
      <c r="L350" s="716"/>
      <c r="M350" s="716"/>
      <c r="N350" s="716"/>
      <c r="O350" s="716"/>
      <c r="P350" s="716"/>
      <c r="Q350" s="717"/>
      <c r="R350" s="88"/>
      <c r="S350" s="85"/>
      <c r="T350" s="85"/>
      <c r="U350" s="86"/>
      <c r="V350" s="86"/>
      <c r="W350" s="86"/>
      <c r="X350" s="87"/>
      <c r="Y350" s="87"/>
      <c r="Z350" s="87"/>
      <c r="AA350" s="87"/>
      <c r="AB350" s="87"/>
      <c r="AC350" s="87"/>
      <c r="AD350" s="87"/>
      <c r="AE350" s="87"/>
      <c r="AF350" s="87"/>
      <c r="AG350" s="85"/>
      <c r="AH350" s="85"/>
      <c r="AI350" s="85"/>
      <c r="AJ350" s="85"/>
      <c r="AK350" s="85"/>
      <c r="AL350" s="85"/>
      <c r="AM350" s="85"/>
      <c r="AT350" s="54"/>
      <c r="AU350" s="54"/>
      <c r="AV350" s="54"/>
    </row>
    <row r="351" spans="1:53" ht="13.5" thickBot="1" x14ac:dyDescent="0.25">
      <c r="A351" s="113">
        <v>3</v>
      </c>
      <c r="B351" s="712" t="str">
        <f>AH265</f>
        <v>Blitz14 Black</v>
      </c>
      <c r="C351" s="713"/>
      <c r="D351" s="713"/>
      <c r="E351" s="713"/>
      <c r="F351" s="713"/>
      <c r="G351" s="713"/>
      <c r="H351" s="713"/>
      <c r="I351" s="713"/>
      <c r="J351" s="714"/>
      <c r="K351" s="715" t="str">
        <f>AK265</f>
        <v>fj4clebl1cr</v>
      </c>
      <c r="L351" s="716"/>
      <c r="M351" s="716"/>
      <c r="N351" s="716"/>
      <c r="O351" s="716"/>
      <c r="P351" s="716"/>
      <c r="Q351" s="717"/>
      <c r="R351" s="88"/>
      <c r="S351" s="85"/>
      <c r="T351" s="85"/>
      <c r="U351" s="86"/>
      <c r="V351" s="86"/>
      <c r="W351" s="86"/>
      <c r="X351" s="87"/>
      <c r="Y351" s="87"/>
      <c r="Z351" s="87"/>
      <c r="AA351" s="87"/>
      <c r="AB351" s="87"/>
      <c r="AC351" s="87"/>
      <c r="AD351" s="87"/>
      <c r="AE351" s="87"/>
      <c r="AF351" s="87"/>
      <c r="AG351" s="85"/>
      <c r="AH351" s="85"/>
      <c r="AI351" s="85"/>
      <c r="AJ351" s="85"/>
      <c r="AK351" s="85"/>
      <c r="AL351" s="85"/>
      <c r="AM351" s="85"/>
      <c r="AT351" s="54"/>
      <c r="AU351" s="54"/>
      <c r="AV351" s="54"/>
    </row>
    <row r="352" spans="1:53" ht="13.5" thickBot="1" x14ac:dyDescent="0.25">
      <c r="A352" s="113">
        <v>4</v>
      </c>
      <c r="B352" s="712" t="str">
        <f>AH266</f>
        <v>MOTO 14's</v>
      </c>
      <c r="C352" s="713"/>
      <c r="D352" s="713"/>
      <c r="E352" s="713"/>
      <c r="F352" s="713"/>
      <c r="G352" s="713"/>
      <c r="H352" s="713"/>
      <c r="I352" s="713"/>
      <c r="J352" s="714"/>
      <c r="K352" s="715" t="str">
        <f>AK266</f>
        <v>fj4motoj1pm</v>
      </c>
      <c r="L352" s="716"/>
      <c r="M352" s="716"/>
      <c r="N352" s="716"/>
      <c r="O352" s="716"/>
      <c r="P352" s="716"/>
      <c r="Q352" s="717"/>
      <c r="R352" s="88"/>
      <c r="S352" s="85"/>
      <c r="T352" s="85"/>
      <c r="U352" s="86"/>
      <c r="V352" s="86"/>
      <c r="W352" s="86"/>
      <c r="X352" s="87"/>
      <c r="Y352" s="87"/>
      <c r="Z352" s="87"/>
      <c r="AA352" s="87"/>
      <c r="AB352" s="87"/>
      <c r="AC352" s="87"/>
      <c r="AD352" s="87"/>
      <c r="AE352" s="87"/>
      <c r="AF352" s="87"/>
      <c r="AG352" s="85"/>
      <c r="AH352" s="85"/>
      <c r="AI352" s="85"/>
      <c r="AJ352" s="85"/>
      <c r="AK352" s="85"/>
      <c r="AL352" s="85"/>
      <c r="AM352" s="85"/>
      <c r="AT352" s="54"/>
      <c r="AU352" s="54"/>
      <c r="AV352" s="54"/>
    </row>
    <row r="353" spans="1:68" ht="13.5" thickBot="1" x14ac:dyDescent="0.25">
      <c r="S353" s="85"/>
      <c r="T353" s="85"/>
      <c r="U353" s="85"/>
      <c r="V353" s="85"/>
      <c r="W353" s="85"/>
      <c r="X353" s="85"/>
      <c r="Y353" s="85"/>
      <c r="Z353" s="85"/>
      <c r="AA353" s="85"/>
      <c r="AB353" s="85"/>
      <c r="AC353" s="85"/>
      <c r="AD353" s="85"/>
      <c r="AE353" s="85"/>
      <c r="AF353" s="85"/>
      <c r="AG353" s="85"/>
      <c r="AH353" s="85"/>
      <c r="AI353" s="85"/>
      <c r="AJ353" s="85"/>
      <c r="AK353" s="85"/>
      <c r="AL353" s="85"/>
      <c r="AM353" s="85"/>
      <c r="AT353" s="54"/>
      <c r="AU353" s="54"/>
      <c r="AV353" s="54"/>
    </row>
    <row r="354" spans="1:68" x14ac:dyDescent="0.2">
      <c r="B354" s="721" t="s">
        <v>128</v>
      </c>
      <c r="C354" s="693"/>
      <c r="D354" s="694"/>
      <c r="E354" s="692" t="s">
        <v>128</v>
      </c>
      <c r="F354" s="693"/>
      <c r="G354" s="694"/>
      <c r="H354" s="692" t="s">
        <v>11</v>
      </c>
      <c r="I354" s="693"/>
      <c r="J354" s="695"/>
      <c r="K354" s="696" t="s">
        <v>129</v>
      </c>
      <c r="L354" s="722"/>
      <c r="M354" s="722"/>
      <c r="N354" s="722"/>
      <c r="O354" s="722"/>
      <c r="P354" s="722"/>
      <c r="Q354" s="723"/>
      <c r="S354" s="85"/>
      <c r="T354" s="85"/>
      <c r="U354" s="85"/>
      <c r="V354" s="85"/>
      <c r="W354" s="85"/>
      <c r="X354" s="114"/>
      <c r="Y354" s="114"/>
      <c r="Z354" s="114"/>
      <c r="AA354" s="114"/>
      <c r="AB354" s="114"/>
      <c r="AC354" s="114"/>
      <c r="AD354" s="114"/>
      <c r="AE354" s="114"/>
      <c r="AF354" s="114"/>
      <c r="AG354" s="85"/>
      <c r="AH354" s="85"/>
      <c r="AI354" s="85"/>
      <c r="AJ354" s="85"/>
      <c r="AK354" s="85"/>
      <c r="AL354" s="85"/>
      <c r="AM354" s="85"/>
      <c r="AT354" s="54"/>
      <c r="AU354" s="54"/>
      <c r="AV354" s="54"/>
    </row>
    <row r="355" spans="1:68" x14ac:dyDescent="0.2">
      <c r="A355" s="41" t="s">
        <v>130</v>
      </c>
      <c r="B355" s="705">
        <v>3</v>
      </c>
      <c r="C355" s="706"/>
      <c r="D355" s="707"/>
      <c r="E355" s="708" t="s">
        <v>131</v>
      </c>
      <c r="F355" s="706"/>
      <c r="G355" s="707"/>
      <c r="H355" s="708" t="s">
        <v>132</v>
      </c>
      <c r="I355" s="706"/>
      <c r="J355" s="709"/>
      <c r="K355" s="724"/>
      <c r="L355" s="725"/>
      <c r="M355" s="725"/>
      <c r="N355" s="725"/>
      <c r="O355" s="725"/>
      <c r="P355" s="725"/>
      <c r="Q355" s="726"/>
      <c r="S355" s="85"/>
      <c r="T355" s="85"/>
      <c r="U355" s="85"/>
      <c r="V355" s="85"/>
      <c r="W355" s="185"/>
      <c r="X355" s="115"/>
      <c r="Y355" s="115"/>
      <c r="Z355" s="115"/>
      <c r="AA355" s="115"/>
      <c r="AB355" s="115"/>
      <c r="AC355" s="115"/>
      <c r="AD355" s="115"/>
      <c r="AE355" s="115"/>
      <c r="AF355" s="115"/>
      <c r="AG355" s="85"/>
      <c r="AH355" s="85"/>
      <c r="AI355" s="85"/>
      <c r="AJ355" s="85"/>
      <c r="AK355" s="85"/>
      <c r="AL355" s="85"/>
      <c r="AM355" s="85"/>
      <c r="AT355" s="61"/>
      <c r="AU355" s="61"/>
      <c r="AV355" s="61"/>
    </row>
    <row r="356" spans="1:68" ht="13.5" thickBot="1" x14ac:dyDescent="0.25">
      <c r="A356" s="11"/>
      <c r="B356" s="690" t="s">
        <v>43</v>
      </c>
      <c r="C356" s="685"/>
      <c r="D356" s="691"/>
      <c r="E356" s="684" t="s">
        <v>133</v>
      </c>
      <c r="F356" s="685"/>
      <c r="G356" s="691"/>
      <c r="H356" s="684" t="s">
        <v>134</v>
      </c>
      <c r="I356" s="685"/>
      <c r="J356" s="686"/>
      <c r="K356" s="727"/>
      <c r="L356" s="728"/>
      <c r="M356" s="728"/>
      <c r="N356" s="728"/>
      <c r="O356" s="728"/>
      <c r="P356" s="728"/>
      <c r="Q356" s="729"/>
      <c r="S356" s="85"/>
      <c r="T356" s="85"/>
      <c r="U356" s="86"/>
      <c r="V356" s="86"/>
      <c r="W356" s="86"/>
      <c r="X356" s="116"/>
      <c r="Y356" s="116"/>
      <c r="Z356" s="116"/>
      <c r="AA356" s="116"/>
      <c r="AB356" s="116"/>
      <c r="AC356" s="116"/>
      <c r="AD356" s="116"/>
      <c r="AE356" s="116"/>
      <c r="AF356" s="116"/>
      <c r="AG356" s="85"/>
      <c r="AH356" s="85"/>
      <c r="AI356" s="85"/>
      <c r="AJ356" s="85"/>
      <c r="AK356" s="85"/>
      <c r="AL356" s="85"/>
      <c r="AM356" s="85"/>
      <c r="AT356" s="61"/>
      <c r="AU356" s="61"/>
      <c r="AV356" s="61"/>
    </row>
    <row r="357" spans="1:68" ht="13.5" thickBot="1" x14ac:dyDescent="0.25">
      <c r="A357" s="11"/>
      <c r="B357" s="117">
        <v>1</v>
      </c>
      <c r="C357" s="118" t="s">
        <v>51</v>
      </c>
      <c r="D357" s="119">
        <v>4</v>
      </c>
      <c r="E357" s="120">
        <v>2</v>
      </c>
      <c r="F357" s="118" t="s">
        <v>51</v>
      </c>
      <c r="G357" s="119">
        <v>3</v>
      </c>
      <c r="H357" s="121">
        <f>IF(OR(AND(OR(B361&gt;0,D361&gt;0),B361&gt;D361),OR(D357="b",D357="B")),B357,IF(OR(AND(OR(B361&gt;0,D361&gt;0),D361&gt;B361),OR(B357="b",B357="B")),D357,"W1"))</f>
        <v>1</v>
      </c>
      <c r="I357" s="122" t="s">
        <v>51</v>
      </c>
      <c r="J357" s="123">
        <f>IF(OR(AND(OR(E361&gt;0,G361&gt;0),E361&gt;G361),OR(G357="b",G357="B")),E357,IF(OR(AND(OR(E361&gt;0,G361&gt;0),G361&gt;E361),OR(E357="b",E357="B")),G357,"W2"))</f>
        <v>2</v>
      </c>
      <c r="K357" s="687" t="s">
        <v>135</v>
      </c>
      <c r="L357" s="688"/>
      <c r="M357" s="688"/>
      <c r="N357" s="689"/>
      <c r="S357" s="85"/>
      <c r="T357" s="85"/>
      <c r="U357" s="86"/>
      <c r="V357" s="86"/>
      <c r="W357" s="86"/>
      <c r="X357" s="128"/>
      <c r="Y357" s="126"/>
      <c r="Z357" s="127"/>
      <c r="AA357" s="128"/>
      <c r="AB357" s="126"/>
      <c r="AC357" s="127"/>
      <c r="AD357" s="128"/>
      <c r="AE357" s="126"/>
      <c r="AF357" s="127"/>
      <c r="AG357" s="116"/>
      <c r="AH357" s="116"/>
      <c r="AI357" s="85"/>
      <c r="AJ357" s="85"/>
      <c r="AK357" s="85"/>
      <c r="AL357" s="85"/>
      <c r="AM357" s="85"/>
    </row>
    <row r="358" spans="1:68" ht="12.75" hidden="1" customHeight="1" thickBot="1" x14ac:dyDescent="0.25">
      <c r="A358" s="11"/>
      <c r="B358" s="129">
        <f>IF(B362&gt;D362,1,0)</f>
        <v>1</v>
      </c>
      <c r="C358" s="130"/>
      <c r="D358" s="131">
        <f>IF(D362&gt;B362,1,0)</f>
        <v>0</v>
      </c>
      <c r="E358" s="129">
        <f>IF(E362&gt;G362,1,0)</f>
        <v>1</v>
      </c>
      <c r="F358" s="130"/>
      <c r="G358" s="131">
        <f>IF(G362&gt;E362,1,0)</f>
        <v>0</v>
      </c>
      <c r="H358" s="129">
        <f>IF(H362&gt;J362,1,0)</f>
        <v>1</v>
      </c>
      <c r="I358" s="130"/>
      <c r="J358" s="131">
        <f>IF(J362&gt;H362,1,0)</f>
        <v>0</v>
      </c>
      <c r="K358" s="132"/>
      <c r="L358" s="133"/>
      <c r="M358" s="133"/>
      <c r="N358" s="134"/>
      <c r="S358" s="85"/>
      <c r="T358" s="85"/>
      <c r="U358" s="86"/>
      <c r="V358" s="86"/>
      <c r="W358" s="86"/>
      <c r="X358" s="139"/>
      <c r="Y358" s="90"/>
      <c r="Z358" s="140"/>
      <c r="AA358" s="139"/>
      <c r="AB358" s="90"/>
      <c r="AC358" s="140"/>
      <c r="AD358" s="139"/>
      <c r="AE358" s="90"/>
      <c r="AF358" s="140"/>
      <c r="AG358" s="186"/>
      <c r="AH358" s="186"/>
      <c r="AI358" s="85"/>
      <c r="AJ358" s="85"/>
      <c r="AK358" s="85"/>
      <c r="AL358" s="85"/>
      <c r="AM358" s="85"/>
    </row>
    <row r="359" spans="1:68" ht="12.75" hidden="1" customHeight="1" thickBot="1" x14ac:dyDescent="0.25">
      <c r="A359" s="11"/>
      <c r="B359" s="129">
        <f>IF(B363&gt;D363,1,0)</f>
        <v>0</v>
      </c>
      <c r="C359" s="130"/>
      <c r="D359" s="131">
        <f>IF(D363&gt;B363,1,0)</f>
        <v>0</v>
      </c>
      <c r="E359" s="129">
        <f>IF(E363&gt;G363,1,0)</f>
        <v>0</v>
      </c>
      <c r="F359" s="130"/>
      <c r="G359" s="131">
        <f>IF(G363&gt;E363,1,0)</f>
        <v>0</v>
      </c>
      <c r="H359" s="129">
        <f>IF(H363&gt;J363,1,0)</f>
        <v>1</v>
      </c>
      <c r="I359" s="130"/>
      <c r="J359" s="131">
        <f>IF(J363&gt;H363,1,0)</f>
        <v>0</v>
      </c>
      <c r="K359" s="132"/>
      <c r="L359" s="133"/>
      <c r="M359" s="133"/>
      <c r="N359" s="134"/>
      <c r="S359" s="85"/>
      <c r="T359" s="85"/>
      <c r="U359" s="86"/>
      <c r="V359" s="86"/>
      <c r="W359" s="86"/>
      <c r="X359" s="139"/>
      <c r="Y359" s="90"/>
      <c r="Z359" s="140"/>
      <c r="AA359" s="139"/>
      <c r="AB359" s="90"/>
      <c r="AC359" s="140"/>
      <c r="AD359" s="139"/>
      <c r="AE359" s="90"/>
      <c r="AF359" s="140"/>
      <c r="AG359" s="186"/>
      <c r="AH359" s="186"/>
      <c r="AI359" s="85"/>
      <c r="AJ359" s="85"/>
      <c r="AK359" s="85"/>
      <c r="AL359" s="85"/>
      <c r="AM359" s="85"/>
    </row>
    <row r="360" spans="1:68" ht="13.5" hidden="1" customHeight="1" thickBot="1" x14ac:dyDescent="0.25">
      <c r="A360" s="11"/>
      <c r="B360" s="129">
        <f>IF(B364&gt;D364,1,0)</f>
        <v>0</v>
      </c>
      <c r="C360" s="130"/>
      <c r="D360" s="131">
        <f>IF(D364&gt;B364,1,0)</f>
        <v>0</v>
      </c>
      <c r="E360" s="129">
        <f>IF(E364&gt;G364,1,0)</f>
        <v>0</v>
      </c>
      <c r="F360" s="130"/>
      <c r="G360" s="131">
        <f>IF(G364&gt;E364,1,0)</f>
        <v>0</v>
      </c>
      <c r="H360" s="129">
        <f>IF(H364&gt;J364,1,0)</f>
        <v>0</v>
      </c>
      <c r="I360" s="130"/>
      <c r="J360" s="131">
        <f>IF(J364&gt;H364,1,0)</f>
        <v>0</v>
      </c>
      <c r="K360" s="132"/>
      <c r="L360" s="133"/>
      <c r="M360" s="133"/>
      <c r="N360" s="134"/>
      <c r="S360" s="85"/>
      <c r="T360" s="85"/>
      <c r="U360" s="86"/>
      <c r="V360" s="86"/>
      <c r="W360" s="86"/>
      <c r="X360" s="139"/>
      <c r="Y360" s="90"/>
      <c r="Z360" s="140"/>
      <c r="AA360" s="139"/>
      <c r="AB360" s="90"/>
      <c r="AC360" s="140"/>
      <c r="AD360" s="139"/>
      <c r="AE360" s="90"/>
      <c r="AF360" s="140"/>
      <c r="AG360" s="186"/>
      <c r="AH360" s="186"/>
      <c r="AI360" s="85"/>
      <c r="AJ360" s="85"/>
      <c r="AK360" s="85"/>
      <c r="AL360" s="85"/>
      <c r="AM360" s="85"/>
    </row>
    <row r="361" spans="1:68" ht="13.5" hidden="1" thickBot="1" x14ac:dyDescent="0.25">
      <c r="A361" s="11"/>
      <c r="B361" s="129">
        <f>SUM(B358:B360)</f>
        <v>1</v>
      </c>
      <c r="C361" s="130"/>
      <c r="D361" s="129">
        <f>SUM(D358:D360)</f>
        <v>0</v>
      </c>
      <c r="E361" s="129">
        <f>SUM(E358:E360)</f>
        <v>1</v>
      </c>
      <c r="F361" s="130"/>
      <c r="G361" s="129">
        <f>SUM(G358:G360)</f>
        <v>0</v>
      </c>
      <c r="H361" s="129">
        <f>SUM(H358:H360)</f>
        <v>2</v>
      </c>
      <c r="I361" s="130"/>
      <c r="J361" s="129">
        <f>SUM(J358:J360)</f>
        <v>0</v>
      </c>
      <c r="K361" s="132"/>
      <c r="L361" s="133"/>
      <c r="M361" s="133"/>
      <c r="N361" s="134"/>
      <c r="S361" s="85"/>
      <c r="T361" s="85"/>
      <c r="U361" s="86"/>
      <c r="V361" s="86"/>
      <c r="W361" s="86"/>
      <c r="X361" s="86"/>
      <c r="Y361" s="86"/>
      <c r="Z361" s="86"/>
      <c r="AA361" s="86"/>
      <c r="AB361" s="86"/>
      <c r="AC361" s="86"/>
      <c r="AD361" s="86"/>
      <c r="AE361" s="86"/>
      <c r="AF361" s="86"/>
      <c r="AG361" s="86"/>
      <c r="AH361" s="86"/>
      <c r="AI361" s="85"/>
      <c r="AJ361" s="85"/>
      <c r="AK361" s="85"/>
      <c r="AL361" s="85"/>
      <c r="AM361" s="85"/>
    </row>
    <row r="362" spans="1:68" x14ac:dyDescent="0.2">
      <c r="A362" s="9" t="s">
        <v>52</v>
      </c>
      <c r="B362" s="135">
        <v>25</v>
      </c>
      <c r="C362" s="50" t="s">
        <v>53</v>
      </c>
      <c r="D362" s="136">
        <v>22</v>
      </c>
      <c r="E362" s="137">
        <v>25</v>
      </c>
      <c r="F362" s="50" t="s">
        <v>53</v>
      </c>
      <c r="G362" s="136">
        <v>22</v>
      </c>
      <c r="H362" s="137">
        <v>25</v>
      </c>
      <c r="I362" s="50" t="s">
        <v>53</v>
      </c>
      <c r="J362" s="138">
        <v>23</v>
      </c>
      <c r="K362" s="673">
        <f>IF(AND(OR(H361&gt;0,J361&gt;0),AND(1&lt;=H357,H357&lt;=4),AND(1&lt;=J357,J357&lt;=4)),IF(H361&gt;J361,H357,IF(J361&gt;H361,J357,"")),"")</f>
        <v>1</v>
      </c>
      <c r="L362" s="674"/>
      <c r="M362" s="674"/>
      <c r="N362" s="675"/>
    </row>
    <row r="363" spans="1:68" x14ac:dyDescent="0.2">
      <c r="A363" s="9" t="s">
        <v>136</v>
      </c>
      <c r="B363" s="135"/>
      <c r="C363" s="50" t="s">
        <v>53</v>
      </c>
      <c r="D363" s="136"/>
      <c r="E363" s="137"/>
      <c r="F363" s="50" t="s">
        <v>53</v>
      </c>
      <c r="G363" s="136"/>
      <c r="H363" s="137">
        <v>25</v>
      </c>
      <c r="I363" s="50" t="s">
        <v>53</v>
      </c>
      <c r="J363" s="138">
        <v>21</v>
      </c>
      <c r="K363" s="676"/>
      <c r="L363" s="677"/>
      <c r="M363" s="677"/>
      <c r="N363" s="678"/>
    </row>
    <row r="364" spans="1:68" ht="13.5" thickBot="1" x14ac:dyDescent="0.25">
      <c r="A364" s="9" t="s">
        <v>137</v>
      </c>
      <c r="B364" s="141"/>
      <c r="C364" s="142" t="s">
        <v>53</v>
      </c>
      <c r="D364" s="143"/>
      <c r="E364" s="144"/>
      <c r="F364" s="142" t="s">
        <v>53</v>
      </c>
      <c r="G364" s="143"/>
      <c r="H364" s="144"/>
      <c r="I364" s="142" t="s">
        <v>53</v>
      </c>
      <c r="J364" s="145"/>
      <c r="K364" s="679"/>
      <c r="L364" s="680"/>
      <c r="M364" s="680"/>
      <c r="N364" s="681"/>
    </row>
    <row r="365" spans="1:68" hidden="1" x14ac:dyDescent="0.2">
      <c r="B365" s="3"/>
      <c r="C365" s="90" t="s">
        <v>87</v>
      </c>
      <c r="D365" s="3" t="s">
        <v>138</v>
      </c>
      <c r="E365" s="3"/>
      <c r="F365" s="90"/>
      <c r="G365" s="4" t="s">
        <v>139</v>
      </c>
      <c r="J365" s="4" t="s">
        <v>140</v>
      </c>
      <c r="AT365" s="4" t="str">
        <f>B366</f>
        <v>C1VB 14 Reg Black Grvl</v>
      </c>
      <c r="AU365" s="4">
        <f>J366</f>
        <v>1900.4753549957709</v>
      </c>
      <c r="BB365" s="62"/>
      <c r="BE365" s="146"/>
      <c r="BF365" s="54"/>
      <c r="BG365" s="54"/>
      <c r="BH365" s="146"/>
      <c r="BI365" s="54"/>
      <c r="BJ365" s="54"/>
      <c r="BK365" s="146"/>
      <c r="BL365" s="54"/>
      <c r="BM365" s="54"/>
      <c r="BN365" s="146"/>
      <c r="BO365" s="54"/>
      <c r="BP365" s="54"/>
    </row>
    <row r="366" spans="1:68" hidden="1" x14ac:dyDescent="0.2">
      <c r="A366" s="4">
        <v>1</v>
      </c>
      <c r="B366" s="4" t="str">
        <f>B349</f>
        <v>C1VB 14 Reg Black Grvl</v>
      </c>
      <c r="C366" s="4">
        <f>VLOOKUP(B366,AU$2:AY$22,4,FALSE)</f>
        <v>1880.1553601396777</v>
      </c>
      <c r="D366" s="4">
        <f>IF(A366=B357,B372,IF(A366=D357,D372,C366))</f>
        <v>1887.4856590648146</v>
      </c>
      <c r="G366" s="4">
        <f>IF(A366=E357,E372,IF(A366=G357,G372,D366))</f>
        <v>1887.4856590648146</v>
      </c>
      <c r="J366" s="4">
        <f>IF(A366=H357,H372,IF(A366=J357,J372,G366))</f>
        <v>1900.4753549957709</v>
      </c>
      <c r="AT366" s="4" t="str">
        <f>B367</f>
        <v>Chas Jrs 14 White</v>
      </c>
      <c r="AU366" s="4">
        <f>J367</f>
        <v>1808.3399317636411</v>
      </c>
      <c r="BB366" s="62"/>
      <c r="BE366" s="146"/>
      <c r="BF366" s="54"/>
      <c r="BG366" s="54"/>
      <c r="BH366" s="146"/>
      <c r="BI366" s="54"/>
      <c r="BJ366" s="54"/>
      <c r="BK366" s="146"/>
      <c r="BL366" s="54"/>
      <c r="BM366" s="54"/>
      <c r="BN366" s="146"/>
      <c r="BO366" s="54"/>
      <c r="BP366" s="54"/>
    </row>
    <row r="367" spans="1:68" hidden="1" x14ac:dyDescent="0.2">
      <c r="A367" s="4">
        <v>2</v>
      </c>
      <c r="B367" s="4" t="str">
        <f>B350</f>
        <v>Chas Jrs 14 White</v>
      </c>
      <c r="C367" s="4">
        <f>VLOOKUP(B367,AU$2:AY$22,4,FALSE)</f>
        <v>1810.3339217466503</v>
      </c>
      <c r="D367" s="4">
        <f>IF(A367=B357,B372,IF(A367=D357,D372,C367))</f>
        <v>1810.3339217466503</v>
      </c>
      <c r="G367" s="4">
        <f>IF(A367=E357,E372,IF(A367=G357,G372,D367))</f>
        <v>1821.3296276945973</v>
      </c>
      <c r="J367" s="4">
        <f>IF(A367=H357,H372,IF(A367=J357,J372,G367))</f>
        <v>1808.3399317636411</v>
      </c>
      <c r="AT367" s="4" t="str">
        <f>B368</f>
        <v>Blitz14 Black</v>
      </c>
      <c r="AU367" s="4">
        <f>J368</f>
        <v>1936.0903343342557</v>
      </c>
      <c r="BB367" s="62"/>
      <c r="BE367" s="146"/>
      <c r="BF367" s="54"/>
      <c r="BG367" s="54"/>
      <c r="BH367" s="146"/>
      <c r="BI367" s="54"/>
      <c r="BJ367" s="54"/>
      <c r="BK367" s="146"/>
      <c r="BL367" s="54"/>
      <c r="BM367" s="54"/>
      <c r="BN367" s="146"/>
      <c r="BO367" s="54"/>
      <c r="BP367" s="54"/>
    </row>
    <row r="368" spans="1:68" hidden="1" x14ac:dyDescent="0.2">
      <c r="A368" s="4">
        <v>3</v>
      </c>
      <c r="B368" s="4" t="str">
        <f>B351</f>
        <v>Blitz14 Black</v>
      </c>
      <c r="C368" s="4">
        <f>VLOOKUP(B368,AU$2:AY$22,4,FALSE)</f>
        <v>1947.0860402822027</v>
      </c>
      <c r="D368" s="4">
        <f>IF(A368=B357,B372,IF(A368=D357,D372,C368))</f>
        <v>1947.0860402822027</v>
      </c>
      <c r="G368" s="4">
        <f>IF(A368=E357,E372,IF(A368=G357,G372,D368))</f>
        <v>1936.0903343342557</v>
      </c>
      <c r="J368" s="4">
        <f>IF(A368=H357,H372,IF(A368=J357,J372,G368))</f>
        <v>1936.0903343342557</v>
      </c>
      <c r="AT368" s="4" t="str">
        <f>B369</f>
        <v>MOTO 14's</v>
      </c>
      <c r="AU368" s="4">
        <f>J369</f>
        <v>1843.6720858938916</v>
      </c>
      <c r="BB368" s="62"/>
      <c r="BE368" s="146"/>
      <c r="BF368" s="54"/>
      <c r="BG368" s="54"/>
      <c r="BH368" s="146"/>
      <c r="BI368" s="54"/>
      <c r="BJ368" s="54"/>
      <c r="BK368" s="146"/>
      <c r="BL368" s="54"/>
      <c r="BM368" s="54"/>
      <c r="BN368" s="146"/>
      <c r="BO368" s="54"/>
      <c r="BP368" s="54"/>
    </row>
    <row r="369" spans="1:68" hidden="1" x14ac:dyDescent="0.2">
      <c r="A369" s="4">
        <v>4</v>
      </c>
      <c r="B369" s="4" t="str">
        <f>B352</f>
        <v>MOTO 14's</v>
      </c>
      <c r="C369" s="4">
        <f>VLOOKUP(B369,AU$2:AY$22,4,FALSE)</f>
        <v>1851.0023848190285</v>
      </c>
      <c r="D369" s="4">
        <f>IF(A369=B357,B372,IF(A369=D357,D372,C369))</f>
        <v>1843.6720858938916</v>
      </c>
      <c r="G369" s="4">
        <f>IF(A369=E357,E372,IF(A369=G357,G372,D369))</f>
        <v>1843.6720858938916</v>
      </c>
      <c r="J369" s="4">
        <f>IF(A369=H357,H372,IF(A369=J357,J372,G369))</f>
        <v>1843.6720858938916</v>
      </c>
      <c r="AT369" s="4">
        <f>W366</f>
        <v>0</v>
      </c>
      <c r="AU369" s="4">
        <f>AE366</f>
        <v>0</v>
      </c>
      <c r="BB369" s="62"/>
      <c r="BE369" s="146"/>
      <c r="BF369" s="54"/>
      <c r="BG369" s="54"/>
      <c r="BH369" s="146"/>
      <c r="BI369" s="54"/>
      <c r="BJ369" s="54"/>
      <c r="BK369" s="146"/>
      <c r="BL369" s="54"/>
      <c r="BM369" s="54"/>
      <c r="BN369" s="146"/>
      <c r="BO369" s="54"/>
      <c r="BP369" s="54"/>
    </row>
    <row r="370" spans="1:68" hidden="1" x14ac:dyDescent="0.2">
      <c r="A370" s="4" t="s">
        <v>89</v>
      </c>
      <c r="B370" s="4">
        <f>VLOOKUP(B357,$A366:$J369,3,FALSE)</f>
        <v>1880.1553601396777</v>
      </c>
      <c r="D370" s="4">
        <f>VLOOKUP(D357,$A366:$J369,3,FALSE)</f>
        <v>1851.0023848190285</v>
      </c>
      <c r="E370" s="4">
        <f>VLOOKUP(E357,$A366:$J369,4,FALSE)</f>
        <v>1810.3339217466503</v>
      </c>
      <c r="G370" s="4">
        <f>VLOOKUP(G357,$A366:$J369,4,FALSE)</f>
        <v>1947.0860402822027</v>
      </c>
      <c r="H370" s="4">
        <f>VLOOKUP(H357,$A366:$J369,7,FALSE)</f>
        <v>1887.4856590648146</v>
      </c>
      <c r="J370" s="4">
        <f>VLOOKUP(J357,$A366:$J369,7,FALSE)</f>
        <v>1821.3296276945973</v>
      </c>
      <c r="AT370" s="4">
        <f>W367</f>
        <v>0</v>
      </c>
      <c r="AU370" s="4">
        <f>AE367</f>
        <v>0</v>
      </c>
      <c r="BB370" s="62"/>
      <c r="BE370" s="146"/>
      <c r="BF370" s="54"/>
      <c r="BG370" s="54"/>
      <c r="BH370" s="146"/>
      <c r="BI370" s="54"/>
      <c r="BJ370" s="54"/>
      <c r="BK370" s="146"/>
      <c r="BL370" s="54"/>
      <c r="BM370" s="54"/>
      <c r="BN370" s="146"/>
      <c r="BO370" s="54"/>
      <c r="BP370" s="54"/>
    </row>
    <row r="371" spans="1:68" hidden="1" x14ac:dyDescent="0.2">
      <c r="A371" s="68" t="s">
        <v>90</v>
      </c>
      <c r="B371" s="68">
        <f>1/(1+(10^-((B370-D370)/400)))*(B361+D361)</f>
        <v>0.54185631717894289</v>
      </c>
      <c r="C371" s="68"/>
      <c r="D371" s="68">
        <f>1/(1+(10^-((D370-B370)/400)))*(B361+D361)</f>
        <v>0.458143682821057</v>
      </c>
      <c r="E371" s="68">
        <f>1/(1+(10^-((E370-G370)/400)))*(E361+G361)</f>
        <v>0.31276837825331494</v>
      </c>
      <c r="G371" s="68">
        <f>1/(1+(10^-((G370-E370)/400)))*(E361+G361)</f>
        <v>0.68723162174668506</v>
      </c>
      <c r="H371" s="68">
        <f>1/(1+(10^-((H370-J370)/400)))*(H361+J361)</f>
        <v>1.1881440043152358</v>
      </c>
      <c r="J371" s="68">
        <f>1/(1+(10^-((J370-H370)/400)))*(H361+J361)</f>
        <v>0.81185599568476419</v>
      </c>
      <c r="AT371" s="4">
        <f>W368</f>
        <v>0</v>
      </c>
      <c r="AU371" s="4">
        <f>AE368</f>
        <v>0</v>
      </c>
      <c r="AW371" s="146"/>
      <c r="AX371" s="54"/>
      <c r="AY371" s="54"/>
      <c r="AZ371" s="54"/>
      <c r="BA371" s="54"/>
      <c r="BB371" s="62"/>
      <c r="BE371" s="146"/>
      <c r="BF371" s="54"/>
      <c r="BG371" s="54"/>
      <c r="BH371" s="146"/>
      <c r="BI371" s="54"/>
      <c r="BJ371" s="54"/>
      <c r="BK371" s="146"/>
      <c r="BL371" s="54"/>
      <c r="BM371" s="54"/>
      <c r="BN371" s="146"/>
      <c r="BO371" s="54"/>
      <c r="BP371" s="54"/>
    </row>
    <row r="372" spans="1:68" hidden="1" x14ac:dyDescent="0.2">
      <c r="A372" s="74" t="s">
        <v>91</v>
      </c>
      <c r="B372" s="74">
        <f>B370+(B361-B371)*$BA$2</f>
        <v>1887.4856590648146</v>
      </c>
      <c r="C372" s="74"/>
      <c r="D372" s="74">
        <f>D370+(D361-D371)*$BA$2</f>
        <v>1843.6720858938916</v>
      </c>
      <c r="E372" s="74">
        <f>E370+(E361-E371)*$BA$2</f>
        <v>1821.3296276945973</v>
      </c>
      <c r="G372" s="74">
        <f>G370+(G361-G371)*$BA$2</f>
        <v>1936.0903343342557</v>
      </c>
      <c r="H372" s="74">
        <f>H370+(H361-H371)*$BA$2</f>
        <v>1900.4753549957709</v>
      </c>
      <c r="J372" s="74">
        <f>J370+(J361-J371)*$BA$2</f>
        <v>1808.3399317636411</v>
      </c>
      <c r="AT372" s="4">
        <f>W369</f>
        <v>0</v>
      </c>
      <c r="AU372" s="4">
        <f>AE369</f>
        <v>0</v>
      </c>
      <c r="AW372" s="146"/>
      <c r="AX372" s="54"/>
      <c r="AY372" s="54"/>
      <c r="AZ372" s="54"/>
      <c r="BA372" s="54"/>
      <c r="BB372" s="62"/>
      <c r="BE372" s="146"/>
      <c r="BF372" s="54"/>
      <c r="BG372" s="54"/>
      <c r="BH372" s="146"/>
      <c r="BI372" s="54"/>
      <c r="BJ372" s="54"/>
      <c r="BK372" s="146"/>
      <c r="BL372" s="54"/>
      <c r="BM372" s="54"/>
      <c r="BN372" s="146"/>
      <c r="BO372" s="54"/>
      <c r="BP372" s="54"/>
    </row>
    <row r="373" spans="1:68" x14ac:dyDescent="0.2">
      <c r="A373" s="670" t="s">
        <v>141</v>
      </c>
      <c r="B373" s="670"/>
      <c r="C373" s="670"/>
      <c r="D373" s="670"/>
      <c r="E373" s="670"/>
      <c r="F373" s="670"/>
      <c r="G373" s="670"/>
      <c r="H373" s="670"/>
      <c r="I373" s="670"/>
      <c r="J373" s="670"/>
      <c r="K373" s="670"/>
      <c r="L373" s="670"/>
      <c r="M373" s="670"/>
      <c r="AW373" s="146"/>
      <c r="AX373" s="54"/>
      <c r="AY373" s="54"/>
      <c r="AZ373" s="54"/>
      <c r="BA373" s="54"/>
    </row>
    <row r="374" spans="1:68" x14ac:dyDescent="0.2">
      <c r="AW374" s="146"/>
      <c r="AX374" s="54"/>
      <c r="AY374" s="54"/>
      <c r="AZ374" s="54"/>
      <c r="BA374" s="54"/>
    </row>
    <row r="375" spans="1:68" x14ac:dyDescent="0.2">
      <c r="AW375" s="146"/>
      <c r="AX375" s="54"/>
      <c r="AY375" s="54"/>
      <c r="AZ375" s="54"/>
      <c r="BA375" s="54"/>
    </row>
    <row r="376" spans="1:68" x14ac:dyDescent="0.2">
      <c r="AW376" s="146"/>
      <c r="AX376" s="54"/>
      <c r="AY376" s="54"/>
      <c r="AZ376" s="54"/>
      <c r="BA376" s="54"/>
    </row>
    <row r="377" spans="1:68" x14ac:dyDescent="0.2">
      <c r="AW377" s="146"/>
      <c r="AX377" s="54"/>
      <c r="AY377" s="54"/>
      <c r="AZ377" s="54"/>
      <c r="BA377" s="54"/>
    </row>
    <row r="378" spans="1:68" x14ac:dyDescent="0.2">
      <c r="AW378" s="146"/>
      <c r="AX378" s="54"/>
      <c r="AY378" s="54"/>
      <c r="AZ378" s="54"/>
      <c r="BA378" s="54"/>
    </row>
    <row r="379" spans="1:68" x14ac:dyDescent="0.2">
      <c r="AT379" s="104"/>
      <c r="AU379" s="104"/>
      <c r="AW379" s="146"/>
      <c r="AX379" s="54"/>
      <c r="AY379" s="54"/>
      <c r="AZ379" s="54"/>
      <c r="BA379" s="54"/>
    </row>
    <row r="380" spans="1:68" x14ac:dyDescent="0.2">
      <c r="AW380" s="146"/>
      <c r="AX380" s="54"/>
      <c r="AY380" s="54"/>
      <c r="AZ380" s="54"/>
      <c r="BA380" s="54"/>
    </row>
    <row r="381" spans="1:68" x14ac:dyDescent="0.2">
      <c r="AW381" s="146"/>
      <c r="AX381" s="54"/>
      <c r="AY381" s="54"/>
      <c r="AZ381" s="54"/>
      <c r="BA381" s="54"/>
    </row>
    <row r="382" spans="1:68" x14ac:dyDescent="0.2">
      <c r="AW382" s="146"/>
      <c r="AX382" s="54"/>
      <c r="AY382" s="54"/>
      <c r="AZ382" s="54"/>
      <c r="BA382" s="54"/>
    </row>
    <row r="383" spans="1:68" x14ac:dyDescent="0.2">
      <c r="AW383" s="146"/>
      <c r="AX383" s="54"/>
      <c r="AY383" s="54"/>
      <c r="AZ383" s="54"/>
      <c r="BA383" s="54"/>
    </row>
    <row r="384" spans="1:68" x14ac:dyDescent="0.2">
      <c r="AW384" s="146"/>
      <c r="AX384" s="54"/>
      <c r="AY384" s="54"/>
      <c r="AZ384" s="54"/>
      <c r="BA384" s="54"/>
    </row>
    <row r="385" spans="49:53" x14ac:dyDescent="0.2">
      <c r="AW385" s="146"/>
      <c r="AX385" s="54"/>
      <c r="AY385" s="54"/>
      <c r="AZ385" s="54"/>
      <c r="BA385" s="54"/>
    </row>
    <row r="386" spans="49:53" x14ac:dyDescent="0.2">
      <c r="AW386" s="146"/>
      <c r="AX386" s="54"/>
      <c r="AY386" s="54"/>
      <c r="AZ386" s="54"/>
      <c r="BA386" s="54"/>
    </row>
    <row r="387" spans="49:53" x14ac:dyDescent="0.2">
      <c r="AW387" s="146"/>
      <c r="AX387" s="54"/>
      <c r="AY387" s="54"/>
      <c r="AZ387" s="54"/>
      <c r="BA387" s="54"/>
    </row>
    <row r="388" spans="49:53" x14ac:dyDescent="0.2">
      <c r="AW388" s="146"/>
      <c r="AX388" s="54"/>
      <c r="AY388" s="54"/>
      <c r="AZ388" s="54"/>
      <c r="BA388" s="54"/>
    </row>
    <row r="389" spans="49:53" x14ac:dyDescent="0.2">
      <c r="AW389" s="146"/>
      <c r="AX389" s="54"/>
      <c r="AY389" s="54"/>
      <c r="AZ389" s="54"/>
      <c r="BA389" s="54"/>
    </row>
    <row r="390" spans="49:53" x14ac:dyDescent="0.2">
      <c r="AW390" s="146"/>
      <c r="AX390" s="54"/>
      <c r="AY390" s="54"/>
      <c r="AZ390" s="54"/>
      <c r="BA390" s="54"/>
    </row>
    <row r="391" spans="49:53" x14ac:dyDescent="0.2">
      <c r="AW391" s="146"/>
      <c r="AX391" s="54"/>
      <c r="AY391" s="54"/>
      <c r="AZ391" s="54"/>
      <c r="BA391" s="54"/>
    </row>
    <row r="392" spans="49:53" x14ac:dyDescent="0.2">
      <c r="AW392" s="146"/>
      <c r="AX392" s="54"/>
      <c r="AY392" s="54"/>
      <c r="AZ392" s="54"/>
      <c r="BA392" s="54"/>
    </row>
    <row r="393" spans="49:53" x14ac:dyDescent="0.2">
      <c r="AW393" s="146"/>
      <c r="AX393" s="54"/>
      <c r="AY393" s="54"/>
      <c r="AZ393" s="54"/>
      <c r="BA393" s="54"/>
    </row>
    <row r="394" spans="49:53" x14ac:dyDescent="0.2">
      <c r="AW394" s="146"/>
      <c r="AX394" s="54"/>
      <c r="AY394" s="54"/>
      <c r="AZ394" s="54"/>
      <c r="BA394" s="54"/>
    </row>
    <row r="395" spans="49:53" x14ac:dyDescent="0.2">
      <c r="AW395" s="146"/>
      <c r="AX395" s="54"/>
      <c r="AY395" s="54"/>
      <c r="AZ395" s="54"/>
      <c r="BA395" s="54"/>
    </row>
    <row r="396" spans="49:53" x14ac:dyDescent="0.2">
      <c r="AW396" s="146"/>
      <c r="AX396" s="54"/>
      <c r="AY396" s="54"/>
      <c r="AZ396" s="54"/>
      <c r="BA396" s="54"/>
    </row>
    <row r="397" spans="49:53" x14ac:dyDescent="0.2">
      <c r="AW397" s="146"/>
      <c r="AX397" s="54"/>
      <c r="AY397" s="54"/>
      <c r="AZ397" s="54"/>
      <c r="BA397" s="54"/>
    </row>
    <row r="398" spans="49:53" x14ac:dyDescent="0.2">
      <c r="AW398" s="146"/>
      <c r="AX398" s="54"/>
      <c r="AY398" s="54"/>
      <c r="AZ398" s="54"/>
      <c r="BA398" s="54"/>
    </row>
    <row r="399" spans="49:53" x14ac:dyDescent="0.2">
      <c r="AW399" s="146"/>
      <c r="AX399" s="54"/>
      <c r="AY399" s="54"/>
      <c r="AZ399" s="54"/>
      <c r="BA399" s="54"/>
    </row>
    <row r="400" spans="49:53" x14ac:dyDescent="0.2">
      <c r="AW400" s="146"/>
      <c r="AX400" s="54"/>
      <c r="AY400" s="54"/>
      <c r="AZ400" s="54"/>
      <c r="BA400" s="54"/>
    </row>
    <row r="401" spans="46:53" x14ac:dyDescent="0.2">
      <c r="AW401" s="146"/>
      <c r="AX401" s="54"/>
      <c r="AY401" s="54"/>
      <c r="AZ401" s="54"/>
      <c r="BA401" s="54"/>
    </row>
    <row r="402" spans="46:53" x14ac:dyDescent="0.2">
      <c r="AW402" s="146"/>
      <c r="AX402" s="54"/>
      <c r="AY402" s="54"/>
      <c r="AZ402" s="54"/>
      <c r="BA402" s="54"/>
    </row>
    <row r="403" spans="46:53" x14ac:dyDescent="0.2">
      <c r="AW403" s="146"/>
      <c r="AX403" s="54"/>
      <c r="AY403" s="54"/>
      <c r="AZ403" s="54"/>
      <c r="BA403" s="54"/>
    </row>
    <row r="404" spans="46:53" x14ac:dyDescent="0.2">
      <c r="AW404" s="146"/>
      <c r="AX404" s="54"/>
      <c r="AY404" s="54"/>
      <c r="AZ404" s="54"/>
      <c r="BA404" s="54"/>
    </row>
    <row r="405" spans="46:53" x14ac:dyDescent="0.2">
      <c r="AW405" s="146"/>
      <c r="AX405" s="54"/>
      <c r="AY405" s="54"/>
      <c r="AZ405" s="54"/>
      <c r="BA405" s="54"/>
    </row>
    <row r="406" spans="46:53" x14ac:dyDescent="0.2">
      <c r="AW406" s="146"/>
      <c r="AX406" s="54"/>
      <c r="AY406" s="54"/>
      <c r="AZ406" s="54"/>
      <c r="BA406" s="54"/>
    </row>
    <row r="407" spans="46:53" x14ac:dyDescent="0.2">
      <c r="AW407" s="146"/>
      <c r="AX407" s="54"/>
      <c r="AY407" s="54"/>
      <c r="AZ407" s="54"/>
      <c r="BA407" s="54"/>
    </row>
    <row r="408" spans="46:53" x14ac:dyDescent="0.2">
      <c r="AW408" s="146"/>
      <c r="AX408" s="54"/>
      <c r="AY408" s="54"/>
      <c r="AZ408" s="54"/>
      <c r="BA408" s="54"/>
    </row>
    <row r="409" spans="46:53" x14ac:dyDescent="0.2">
      <c r="AW409" s="146"/>
      <c r="AX409" s="54"/>
      <c r="AY409" s="54"/>
      <c r="AZ409" s="54"/>
      <c r="BA409" s="54"/>
    </row>
    <row r="410" spans="46:53" x14ac:dyDescent="0.2">
      <c r="AW410" s="146"/>
      <c r="AX410" s="54"/>
      <c r="AY410" s="54"/>
      <c r="AZ410" s="54"/>
      <c r="BA410" s="54"/>
    </row>
    <row r="411" spans="46:53" x14ac:dyDescent="0.2">
      <c r="AW411" s="146"/>
      <c r="AX411" s="54"/>
      <c r="AY411" s="54"/>
      <c r="AZ411" s="54"/>
      <c r="BA411" s="54"/>
    </row>
    <row r="412" spans="46:53" x14ac:dyDescent="0.2">
      <c r="AW412" s="146"/>
      <c r="AX412" s="54"/>
      <c r="AY412" s="54"/>
      <c r="AZ412" s="54"/>
      <c r="BA412" s="54"/>
    </row>
    <row r="413" spans="46:53" x14ac:dyDescent="0.2">
      <c r="AW413" s="146"/>
      <c r="AX413" s="54"/>
      <c r="AY413" s="54"/>
      <c r="AZ413" s="54"/>
      <c r="BA413" s="54"/>
    </row>
    <row r="414" spans="46:53" x14ac:dyDescent="0.2">
      <c r="AW414" s="146"/>
      <c r="AX414" s="54"/>
      <c r="AY414" s="54"/>
      <c r="AZ414" s="54"/>
      <c r="BA414" s="54"/>
    </row>
    <row r="415" spans="46:53" x14ac:dyDescent="0.2">
      <c r="AT415" s="104"/>
      <c r="AU415" s="104"/>
      <c r="AW415" s="146"/>
      <c r="AX415" s="54"/>
      <c r="AY415" s="54"/>
      <c r="AZ415" s="54"/>
      <c r="BA415" s="54"/>
    </row>
    <row r="416" spans="46:53" x14ac:dyDescent="0.2">
      <c r="AW416" s="146"/>
      <c r="AX416" s="54"/>
      <c r="AY416" s="54"/>
      <c r="AZ416" s="54"/>
      <c r="BA416" s="54"/>
    </row>
    <row r="418" spans="49:53" x14ac:dyDescent="0.2">
      <c r="AW418" s="65"/>
      <c r="AX418" s="61"/>
      <c r="AY418" s="61"/>
      <c r="AZ418" s="61"/>
      <c r="BA418" s="61"/>
    </row>
    <row r="419" spans="49:53" x14ac:dyDescent="0.2">
      <c r="AW419" s="65"/>
      <c r="AX419" s="61"/>
      <c r="AY419" s="61"/>
      <c r="AZ419" s="61"/>
      <c r="BA419" s="61"/>
    </row>
    <row r="420" spans="49:53" x14ac:dyDescent="0.2">
      <c r="AW420" s="65"/>
      <c r="AX420" s="61"/>
      <c r="AY420" s="61"/>
      <c r="AZ420" s="61"/>
      <c r="BA420" s="61"/>
    </row>
    <row r="421" spans="49:53" x14ac:dyDescent="0.2">
      <c r="AW421" s="65"/>
      <c r="AX421" s="61"/>
      <c r="AY421" s="61"/>
      <c r="AZ421" s="61"/>
      <c r="BA421" s="61"/>
    </row>
    <row r="422" spans="49:53" x14ac:dyDescent="0.2">
      <c r="AW422" s="65"/>
      <c r="AX422" s="61"/>
      <c r="AY422" s="61"/>
      <c r="AZ422" s="61"/>
      <c r="BA422" s="61"/>
    </row>
    <row r="423" spans="49:53" x14ac:dyDescent="0.2">
      <c r="AW423" s="65"/>
      <c r="AX423" s="61"/>
      <c r="AY423" s="61"/>
      <c r="AZ423" s="61"/>
      <c r="BA423" s="61"/>
    </row>
    <row r="424" spans="49:53" x14ac:dyDescent="0.2">
      <c r="AW424" s="65"/>
      <c r="AX424" s="61"/>
      <c r="AY424" s="61"/>
      <c r="AZ424" s="61"/>
      <c r="BA424" s="61"/>
    </row>
    <row r="425" spans="49:53" x14ac:dyDescent="0.2">
      <c r="AW425" s="65"/>
      <c r="AX425" s="61"/>
      <c r="AY425" s="61"/>
      <c r="AZ425" s="61"/>
      <c r="BA425" s="61"/>
    </row>
    <row r="426" spans="49:53" x14ac:dyDescent="0.2">
      <c r="AW426" s="72"/>
      <c r="AX426" s="71"/>
      <c r="AY426" s="71"/>
      <c r="AZ426" s="71"/>
      <c r="BA426" s="71"/>
    </row>
    <row r="427" spans="49:53" x14ac:dyDescent="0.2">
      <c r="AW427" s="78"/>
      <c r="AX427" s="77"/>
      <c r="AY427" s="77"/>
      <c r="AZ427" s="77"/>
      <c r="BA427" s="77"/>
    </row>
    <row r="428" spans="49:53" x14ac:dyDescent="0.2">
      <c r="AW428" s="78"/>
      <c r="AX428" s="77"/>
      <c r="AY428" s="77"/>
      <c r="AZ428" s="77"/>
      <c r="BA428" s="77"/>
    </row>
    <row r="429" spans="49:53" x14ac:dyDescent="0.2">
      <c r="AW429" s="65"/>
      <c r="AX429" s="61"/>
      <c r="AY429" s="61"/>
      <c r="AZ429" s="61"/>
      <c r="BA429" s="61"/>
    </row>
    <row r="430" spans="49:53" x14ac:dyDescent="0.2">
      <c r="AW430" s="65"/>
      <c r="AX430" s="61"/>
      <c r="AY430" s="61"/>
      <c r="AZ430" s="61"/>
      <c r="BA430" s="61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CalcPr fullCalcOnLoad="1"/>
  <sheetProtection formatCells="0" selectLockedCells="1"/>
  <mergeCells count="668">
    <mergeCell ref="A1:AI1"/>
    <mergeCell ref="AT1:AW1"/>
    <mergeCell ref="AX1:AY1"/>
    <mergeCell ref="A2:I2"/>
    <mergeCell ref="J2:X2"/>
    <mergeCell ref="Y2:AC2"/>
    <mergeCell ref="AD2:AI2"/>
    <mergeCell ref="B3:O3"/>
    <mergeCell ref="P3:R3"/>
    <mergeCell ref="S3:X3"/>
    <mergeCell ref="Y3:AD3"/>
    <mergeCell ref="AE3:AF3"/>
    <mergeCell ref="AG3:AI3"/>
    <mergeCell ref="A4:D4"/>
    <mergeCell ref="E4:M4"/>
    <mergeCell ref="N4:Q4"/>
    <mergeCell ref="R4:AA4"/>
    <mergeCell ref="AB4:AE4"/>
    <mergeCell ref="AF4:AI4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AC8:AE9"/>
    <mergeCell ref="AF8:AF9"/>
    <mergeCell ref="AG8:AG9"/>
    <mergeCell ref="AH8:AI9"/>
    <mergeCell ref="B9:D9"/>
    <mergeCell ref="E9:K9"/>
    <mergeCell ref="A10:A11"/>
    <mergeCell ref="B10:D10"/>
    <mergeCell ref="E10:K10"/>
    <mergeCell ref="L10:P11"/>
    <mergeCell ref="R10:V11"/>
    <mergeCell ref="W10:Y11"/>
    <mergeCell ref="Z10:AB11"/>
    <mergeCell ref="AC10:AE11"/>
    <mergeCell ref="AF10:AF11"/>
    <mergeCell ref="AG10:AG11"/>
    <mergeCell ref="AH10:AI11"/>
    <mergeCell ref="B11:D11"/>
    <mergeCell ref="E11:K11"/>
    <mergeCell ref="A12:A13"/>
    <mergeCell ref="B12:D12"/>
    <mergeCell ref="E12:K12"/>
    <mergeCell ref="L12:P13"/>
    <mergeCell ref="R12:V13"/>
    <mergeCell ref="W12:Y13"/>
    <mergeCell ref="Z12:AB13"/>
    <mergeCell ref="AC12:AE13"/>
    <mergeCell ref="AF12:AF13"/>
    <mergeCell ref="AG12:AG13"/>
    <mergeCell ref="AH12:AI13"/>
    <mergeCell ref="B13:D13"/>
    <mergeCell ref="E13:K13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AG14:AG15"/>
    <mergeCell ref="AH14:AI15"/>
    <mergeCell ref="B15:D15"/>
    <mergeCell ref="E15:K15"/>
    <mergeCell ref="A16:A17"/>
    <mergeCell ref="B16:D16"/>
    <mergeCell ref="E16:K16"/>
    <mergeCell ref="L16:P17"/>
    <mergeCell ref="R16:V17"/>
    <mergeCell ref="W16:Y17"/>
    <mergeCell ref="Z16:AB17"/>
    <mergeCell ref="AC16:AE17"/>
    <mergeCell ref="AF16:AF17"/>
    <mergeCell ref="AG16:AG17"/>
    <mergeCell ref="AH16:AI17"/>
    <mergeCell ref="B17:D17"/>
    <mergeCell ref="E17:K17"/>
    <mergeCell ref="B18:AI18"/>
    <mergeCell ref="AT18:AY19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3:AB23"/>
    <mergeCell ref="AC23:AE23"/>
    <mergeCell ref="AG57:AK57"/>
    <mergeCell ref="A89:AM89"/>
    <mergeCell ref="AN89:AQ89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Z95:AB96"/>
    <mergeCell ref="AC95:AE96"/>
    <mergeCell ref="AF95:AF96"/>
    <mergeCell ref="AG95:AG96"/>
    <mergeCell ref="AH95:AI96"/>
    <mergeCell ref="B96:D96"/>
    <mergeCell ref="E96:K96"/>
    <mergeCell ref="A97:A98"/>
    <mergeCell ref="B97:D97"/>
    <mergeCell ref="E97:K97"/>
    <mergeCell ref="L97:P98"/>
    <mergeCell ref="R97:V98"/>
    <mergeCell ref="W97:Y98"/>
    <mergeCell ref="Z97:AB98"/>
    <mergeCell ref="AC97:AE98"/>
    <mergeCell ref="AF97:AF98"/>
    <mergeCell ref="AG97:AG98"/>
    <mergeCell ref="AH97:AI98"/>
    <mergeCell ref="B98:D98"/>
    <mergeCell ref="E98:K98"/>
    <mergeCell ref="A99:A100"/>
    <mergeCell ref="B99:D99"/>
    <mergeCell ref="E99:K99"/>
    <mergeCell ref="L99:P100"/>
    <mergeCell ref="R99:V100"/>
    <mergeCell ref="W99:Y100"/>
    <mergeCell ref="Z99:AB100"/>
    <mergeCell ref="AC99:AE100"/>
    <mergeCell ref="AF99:AF100"/>
    <mergeCell ref="AG99:AG100"/>
    <mergeCell ref="AH99:AI100"/>
    <mergeCell ref="B100:D100"/>
    <mergeCell ref="E100:K100"/>
    <mergeCell ref="A101:A102"/>
    <mergeCell ref="B101:D101"/>
    <mergeCell ref="E101:K101"/>
    <mergeCell ref="L101:P102"/>
    <mergeCell ref="R101:V102"/>
    <mergeCell ref="W101:Y102"/>
    <mergeCell ref="Z101:AB102"/>
    <mergeCell ref="AC101:AE102"/>
    <mergeCell ref="AF101:AF102"/>
    <mergeCell ref="AG101:AG102"/>
    <mergeCell ref="AH101:AI102"/>
    <mergeCell ref="B102:D102"/>
    <mergeCell ref="E102:K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8:AB108"/>
    <mergeCell ref="AC108:AE108"/>
    <mergeCell ref="AG142:AK142"/>
    <mergeCell ref="A174:AM174"/>
    <mergeCell ref="AN174:AQ174"/>
    <mergeCell ref="A175:AQ175"/>
    <mergeCell ref="C176:H176"/>
    <mergeCell ref="I176:J176"/>
    <mergeCell ref="K176:AI176"/>
    <mergeCell ref="B177:K177"/>
    <mergeCell ref="L177:P177"/>
    <mergeCell ref="Q177:Q187"/>
    <mergeCell ref="R177:V177"/>
    <mergeCell ref="W177:Y177"/>
    <mergeCell ref="Z177:AB177"/>
    <mergeCell ref="AC177:AE177"/>
    <mergeCell ref="AH177:AI177"/>
    <mergeCell ref="A178:A179"/>
    <mergeCell ref="B178:D178"/>
    <mergeCell ref="E178:K178"/>
    <mergeCell ref="L178:P179"/>
    <mergeCell ref="R178:V179"/>
    <mergeCell ref="W178:Y179"/>
    <mergeCell ref="Z178:AB179"/>
    <mergeCell ref="AC178:AE179"/>
    <mergeCell ref="AF178:AF179"/>
    <mergeCell ref="AG178:AG179"/>
    <mergeCell ref="AH178:AI179"/>
    <mergeCell ref="B179:D179"/>
    <mergeCell ref="E179:K179"/>
    <mergeCell ref="A180:A181"/>
    <mergeCell ref="B180:D180"/>
    <mergeCell ref="E180:K180"/>
    <mergeCell ref="L180:P181"/>
    <mergeCell ref="R180:V181"/>
    <mergeCell ref="W180:Y181"/>
    <mergeCell ref="Z180:AB181"/>
    <mergeCell ref="AC180:AE181"/>
    <mergeCell ref="AF180:AF181"/>
    <mergeCell ref="AG180:AG181"/>
    <mergeCell ref="AH180:AI181"/>
    <mergeCell ref="B181:D181"/>
    <mergeCell ref="E181:K181"/>
    <mergeCell ref="A182:A183"/>
    <mergeCell ref="B182:D182"/>
    <mergeCell ref="E182:K182"/>
    <mergeCell ref="L182:P183"/>
    <mergeCell ref="R182:V183"/>
    <mergeCell ref="W182:Y183"/>
    <mergeCell ref="Z182:AB183"/>
    <mergeCell ref="AC182:AE183"/>
    <mergeCell ref="AF182:AF183"/>
    <mergeCell ref="AG182:AG183"/>
    <mergeCell ref="AH182:AI183"/>
    <mergeCell ref="B183:D183"/>
    <mergeCell ref="E183:K183"/>
    <mergeCell ref="A184:A185"/>
    <mergeCell ref="B184:D184"/>
    <mergeCell ref="E184:K184"/>
    <mergeCell ref="L184:P185"/>
    <mergeCell ref="R184:V185"/>
    <mergeCell ref="W184:Y185"/>
    <mergeCell ref="Z184:AB185"/>
    <mergeCell ref="AC184:AE185"/>
    <mergeCell ref="AF184:AF185"/>
    <mergeCell ref="AG184:AG185"/>
    <mergeCell ref="AH184:AI185"/>
    <mergeCell ref="B185:D185"/>
    <mergeCell ref="E185:K185"/>
    <mergeCell ref="A186:A187"/>
    <mergeCell ref="B186:D186"/>
    <mergeCell ref="E186:K186"/>
    <mergeCell ref="L186:P187"/>
    <mergeCell ref="R186:V187"/>
    <mergeCell ref="W186:Y187"/>
    <mergeCell ref="Z186:AB187"/>
    <mergeCell ref="AC186:AE187"/>
    <mergeCell ref="AF186:AF187"/>
    <mergeCell ref="AG186:AG187"/>
    <mergeCell ref="AH186:AI187"/>
    <mergeCell ref="B187:D187"/>
    <mergeCell ref="E187:K187"/>
    <mergeCell ref="B188:AI188"/>
    <mergeCell ref="B189:D189"/>
    <mergeCell ref="E189:G189"/>
    <mergeCell ref="H189:J189"/>
    <mergeCell ref="K189:M189"/>
    <mergeCell ref="N189:P189"/>
    <mergeCell ref="Q189:S189"/>
    <mergeCell ref="T189:V189"/>
    <mergeCell ref="W189:Y189"/>
    <mergeCell ref="Z189:AB189"/>
    <mergeCell ref="AC189:AE189"/>
    <mergeCell ref="AF189:AQ192"/>
    <mergeCell ref="B190:D190"/>
    <mergeCell ref="E190:G190"/>
    <mergeCell ref="H190:J190"/>
    <mergeCell ref="K190:M190"/>
    <mergeCell ref="N190:P190"/>
    <mergeCell ref="Q190:S190"/>
    <mergeCell ref="T190:V190"/>
    <mergeCell ref="W190:Y190"/>
    <mergeCell ref="Z190:AB190"/>
    <mergeCell ref="AC190:AE190"/>
    <mergeCell ref="B191:D191"/>
    <mergeCell ref="E191:G191"/>
    <mergeCell ref="H191:J191"/>
    <mergeCell ref="K191:M191"/>
    <mergeCell ref="N191:P191"/>
    <mergeCell ref="Q191:S191"/>
    <mergeCell ref="T191:V191"/>
    <mergeCell ref="W191:Y191"/>
    <mergeCell ref="Z191:AB191"/>
    <mergeCell ref="AC191:AE191"/>
    <mergeCell ref="B192:D192"/>
    <mergeCell ref="E192:G192"/>
    <mergeCell ref="H192:J192"/>
    <mergeCell ref="K192:M192"/>
    <mergeCell ref="N192:P192"/>
    <mergeCell ref="Q192:S192"/>
    <mergeCell ref="T192:V192"/>
    <mergeCell ref="W192:Y192"/>
    <mergeCell ref="Z192:AB192"/>
    <mergeCell ref="AC192:AE192"/>
    <mergeCell ref="B193:D193"/>
    <mergeCell ref="E193:G193"/>
    <mergeCell ref="H193:J193"/>
    <mergeCell ref="K193:M193"/>
    <mergeCell ref="N193:P193"/>
    <mergeCell ref="Q193:S193"/>
    <mergeCell ref="T193:V193"/>
    <mergeCell ref="W193:Y193"/>
    <mergeCell ref="Z193:AB193"/>
    <mergeCell ref="AC193:AE193"/>
    <mergeCell ref="AG227:AK227"/>
    <mergeCell ref="A259:AM259"/>
    <mergeCell ref="AN259:AQ259"/>
    <mergeCell ref="A260:AQ260"/>
    <mergeCell ref="A261:AQ261"/>
    <mergeCell ref="A262:A263"/>
    <mergeCell ref="B262:L262"/>
    <mergeCell ref="M262:W262"/>
    <mergeCell ref="X262:AG262"/>
    <mergeCell ref="AH262:AP262"/>
    <mergeCell ref="B263:E263"/>
    <mergeCell ref="F263:I263"/>
    <mergeCell ref="J263:K263"/>
    <mergeCell ref="M263:Q263"/>
    <mergeCell ref="R263:T263"/>
    <mergeCell ref="U263:V263"/>
    <mergeCell ref="X263:AB263"/>
    <mergeCell ref="AC263:AE263"/>
    <mergeCell ref="AH263:AJ263"/>
    <mergeCell ref="AK263:AM263"/>
    <mergeCell ref="AN263:AO263"/>
    <mergeCell ref="B264:E264"/>
    <mergeCell ref="F264:I264"/>
    <mergeCell ref="J264:K264"/>
    <mergeCell ref="M264:Q264"/>
    <mergeCell ref="R264:T264"/>
    <mergeCell ref="U264:V264"/>
    <mergeCell ref="X264:AB264"/>
    <mergeCell ref="AC264:AE264"/>
    <mergeCell ref="AH264:AJ264"/>
    <mergeCell ref="AK264:AM264"/>
    <mergeCell ref="AN264:AO264"/>
    <mergeCell ref="B265:E265"/>
    <mergeCell ref="F265:I265"/>
    <mergeCell ref="J265:K265"/>
    <mergeCell ref="M265:Q265"/>
    <mergeCell ref="R265:T265"/>
    <mergeCell ref="U265:V265"/>
    <mergeCell ref="X265:AB265"/>
    <mergeCell ref="AC265:AE265"/>
    <mergeCell ref="AH265:AJ265"/>
    <mergeCell ref="AK265:AM265"/>
    <mergeCell ref="AN265:AO265"/>
    <mergeCell ref="B266:E266"/>
    <mergeCell ref="F266:I266"/>
    <mergeCell ref="J266:K266"/>
    <mergeCell ref="M266:Q266"/>
    <mergeCell ref="R266:T266"/>
    <mergeCell ref="U266:V266"/>
    <mergeCell ref="X266:AB266"/>
    <mergeCell ref="AN266:AO266"/>
    <mergeCell ref="A267:A268"/>
    <mergeCell ref="B267:L267"/>
    <mergeCell ref="M267:W267"/>
    <mergeCell ref="X267:AG267"/>
    <mergeCell ref="AH267:AP267"/>
    <mergeCell ref="B268:H268"/>
    <mergeCell ref="M268:S268"/>
    <mergeCell ref="T268:W268"/>
    <mergeCell ref="X268:AE268"/>
    <mergeCell ref="AF268:AG268"/>
    <mergeCell ref="AH268:AM268"/>
    <mergeCell ref="AC266:AE266"/>
    <mergeCell ref="AH266:AJ266"/>
    <mergeCell ref="AK266:AM266"/>
    <mergeCell ref="AN268:AP268"/>
    <mergeCell ref="B269:H269"/>
    <mergeCell ref="I269:L269"/>
    <mergeCell ref="M269:S269"/>
    <mergeCell ref="T269:W269"/>
    <mergeCell ref="X269:AE269"/>
    <mergeCell ref="AF269:AG269"/>
    <mergeCell ref="AH269:AM269"/>
    <mergeCell ref="AN269:AP269"/>
    <mergeCell ref="I268:L268"/>
    <mergeCell ref="B270:H270"/>
    <mergeCell ref="I270:L270"/>
    <mergeCell ref="M270:S270"/>
    <mergeCell ref="T270:W270"/>
    <mergeCell ref="X270:AE270"/>
    <mergeCell ref="AF270:AG270"/>
    <mergeCell ref="AH270:AM270"/>
    <mergeCell ref="AN270:AP270"/>
    <mergeCell ref="B271:H271"/>
    <mergeCell ref="I271:L271"/>
    <mergeCell ref="M271:S271"/>
    <mergeCell ref="T271:W271"/>
    <mergeCell ref="X271:AE271"/>
    <mergeCell ref="AF271:AG271"/>
    <mergeCell ref="AH271:AM271"/>
    <mergeCell ref="AN271:AP271"/>
    <mergeCell ref="A273:AQ273"/>
    <mergeCell ref="A274:AQ274"/>
    <mergeCell ref="A275:AQ275"/>
    <mergeCell ref="A276:AQ276"/>
    <mergeCell ref="A277:K277"/>
    <mergeCell ref="A279:P279"/>
    <mergeCell ref="S279:AG279"/>
    <mergeCell ref="A281:E281"/>
    <mergeCell ref="V281:AB281"/>
    <mergeCell ref="A282:E282"/>
    <mergeCell ref="V282:AB282"/>
    <mergeCell ref="A284:E284"/>
    <mergeCell ref="F284:N284"/>
    <mergeCell ref="U284:AB284"/>
    <mergeCell ref="AC284:AI284"/>
    <mergeCell ref="A285:E285"/>
    <mergeCell ref="F285:I285"/>
    <mergeCell ref="J285:N285"/>
    <mergeCell ref="U285:AA285"/>
    <mergeCell ref="AC285:AF285"/>
    <mergeCell ref="AG285:AI285"/>
    <mergeCell ref="A286:E286"/>
    <mergeCell ref="V286:AB286"/>
    <mergeCell ref="A287:E287"/>
    <mergeCell ref="V287:AB287"/>
    <mergeCell ref="F288:I288"/>
    <mergeCell ref="AC288:AF288"/>
    <mergeCell ref="J289:Q289"/>
    <mergeCell ref="AG289:AL289"/>
    <mergeCell ref="A290:E290"/>
    <mergeCell ref="F290:I290"/>
    <mergeCell ref="J290:Q290"/>
    <mergeCell ref="V290:AB290"/>
    <mergeCell ref="AC290:AF290"/>
    <mergeCell ref="AG290:AL290"/>
    <mergeCell ref="A291:E291"/>
    <mergeCell ref="J291:Q291"/>
    <mergeCell ref="V291:AB291"/>
    <mergeCell ref="A293:D293"/>
    <mergeCell ref="F293:I293"/>
    <mergeCell ref="J293:N293"/>
    <mergeCell ref="U293:AA293"/>
    <mergeCell ref="AC293:AF293"/>
    <mergeCell ref="AG293:AI293"/>
    <mergeCell ref="A294:E294"/>
    <mergeCell ref="F294:N294"/>
    <mergeCell ref="U294:AA294"/>
    <mergeCell ref="AC294:AI294"/>
    <mergeCell ref="A295:E295"/>
    <mergeCell ref="V295:AB295"/>
    <mergeCell ref="A296:E296"/>
    <mergeCell ref="V296:AB296"/>
    <mergeCell ref="A299:J299"/>
    <mergeCell ref="U299:AF299"/>
    <mergeCell ref="B300:J300"/>
    <mergeCell ref="K300:Q300"/>
    <mergeCell ref="U300:W300"/>
    <mergeCell ref="X300:AF300"/>
    <mergeCell ref="AG300:AM300"/>
    <mergeCell ref="B301:J301"/>
    <mergeCell ref="K301:Q301"/>
    <mergeCell ref="U301:W301"/>
    <mergeCell ref="X301:AF301"/>
    <mergeCell ref="AG301:AM301"/>
    <mergeCell ref="B302:J302"/>
    <mergeCell ref="K302:Q302"/>
    <mergeCell ref="U302:W302"/>
    <mergeCell ref="X302:AF302"/>
    <mergeCell ref="AG302:AM302"/>
    <mergeCell ref="B303:J303"/>
    <mergeCell ref="K303:Q303"/>
    <mergeCell ref="U303:W303"/>
    <mergeCell ref="X303:AF303"/>
    <mergeCell ref="AG303:AM303"/>
    <mergeCell ref="B304:J304"/>
    <mergeCell ref="K304:Q304"/>
    <mergeCell ref="U304:W304"/>
    <mergeCell ref="X304:AF304"/>
    <mergeCell ref="AG304:AM304"/>
    <mergeCell ref="B306:D306"/>
    <mergeCell ref="E306:G306"/>
    <mergeCell ref="H306:J306"/>
    <mergeCell ref="K306:Q308"/>
    <mergeCell ref="W306:Y306"/>
    <mergeCell ref="Z306:AB306"/>
    <mergeCell ref="AC306:AE306"/>
    <mergeCell ref="AF306:AJ308"/>
    <mergeCell ref="B307:D307"/>
    <mergeCell ref="E307:G307"/>
    <mergeCell ref="H307:J307"/>
    <mergeCell ref="T307:V307"/>
    <mergeCell ref="W307:Y307"/>
    <mergeCell ref="Z307:AB307"/>
    <mergeCell ref="AC307:AE307"/>
    <mergeCell ref="B308:D308"/>
    <mergeCell ref="E308:G308"/>
    <mergeCell ref="H308:J308"/>
    <mergeCell ref="T308:V308"/>
    <mergeCell ref="W308:Y308"/>
    <mergeCell ref="Z308:AB308"/>
    <mergeCell ref="AC308:AE308"/>
    <mergeCell ref="K309:N309"/>
    <mergeCell ref="T309:V309"/>
    <mergeCell ref="AF309:AG309"/>
    <mergeCell ref="T310:V310"/>
    <mergeCell ref="T311:V311"/>
    <mergeCell ref="T312:V312"/>
    <mergeCell ref="T313:V313"/>
    <mergeCell ref="K314:N316"/>
    <mergeCell ref="AF314:AG316"/>
    <mergeCell ref="T322:V322"/>
    <mergeCell ref="T323:V323"/>
    <mergeCell ref="T324:V324"/>
    <mergeCell ref="A325:M325"/>
    <mergeCell ref="V325:AG325"/>
    <mergeCell ref="A327:P327"/>
    <mergeCell ref="A329:E329"/>
    <mergeCell ref="A330:E330"/>
    <mergeCell ref="A332:E332"/>
    <mergeCell ref="F332:N332"/>
    <mergeCell ref="A333:E333"/>
    <mergeCell ref="F333:I333"/>
    <mergeCell ref="J333:N333"/>
    <mergeCell ref="A334:E334"/>
    <mergeCell ref="A335:E335"/>
    <mergeCell ref="F336:I336"/>
    <mergeCell ref="J337:Q337"/>
    <mergeCell ref="A338:E338"/>
    <mergeCell ref="F338:I338"/>
    <mergeCell ref="J338:Q338"/>
    <mergeCell ref="A339:E339"/>
    <mergeCell ref="J339:Q339"/>
    <mergeCell ref="A341:D341"/>
    <mergeCell ref="F341:I341"/>
    <mergeCell ref="J341:N341"/>
    <mergeCell ref="A342:E342"/>
    <mergeCell ref="F342:N342"/>
    <mergeCell ref="A343:E343"/>
    <mergeCell ref="A344:E344"/>
    <mergeCell ref="A347:J347"/>
    <mergeCell ref="B348:J348"/>
    <mergeCell ref="K348:Q348"/>
    <mergeCell ref="B349:J349"/>
    <mergeCell ref="K349:Q349"/>
    <mergeCell ref="B356:D356"/>
    <mergeCell ref="E356:G356"/>
    <mergeCell ref="H356:J356"/>
    <mergeCell ref="B350:J350"/>
    <mergeCell ref="K350:Q350"/>
    <mergeCell ref="B351:J351"/>
    <mergeCell ref="K351:Q351"/>
    <mergeCell ref="B352:J352"/>
    <mergeCell ref="K352:Q352"/>
    <mergeCell ref="K357:N357"/>
    <mergeCell ref="K362:N364"/>
    <mergeCell ref="A373:M373"/>
    <mergeCell ref="B354:D354"/>
    <mergeCell ref="E354:G354"/>
    <mergeCell ref="H354:J354"/>
    <mergeCell ref="K354:Q356"/>
    <mergeCell ref="B355:D355"/>
    <mergeCell ref="E355:G355"/>
    <mergeCell ref="H355:J355"/>
  </mergeCells>
  <conditionalFormatting sqref="A8 A93 A178">
    <cfRule type="expression" dxfId="1893" priority="4" stopIfTrue="1">
      <formula>IF(AK9&gt;0,0,1)</formula>
    </cfRule>
  </conditionalFormatting>
  <conditionalFormatting sqref="A10:A11 A95:A96 A180:A181">
    <cfRule type="expression" dxfId="1892" priority="5" stopIfTrue="1">
      <formula>IF(#REF!&gt;1,0,1)</formula>
    </cfRule>
  </conditionalFormatting>
  <conditionalFormatting sqref="A12:A13 A97:A98 A182:A183">
    <cfRule type="expression" dxfId="1891" priority="6" stopIfTrue="1">
      <formula>IF(#REF!&gt;2,0,1)</formula>
    </cfRule>
  </conditionalFormatting>
  <conditionalFormatting sqref="A14:A15 A99:A100 A184:A185">
    <cfRule type="expression" dxfId="1890" priority="7" stopIfTrue="1">
      <formula>IF(#REF!&gt;3,0,1)</formula>
    </cfRule>
  </conditionalFormatting>
  <conditionalFormatting sqref="A16:A17 A101:A102 A186:A187">
    <cfRule type="expression" dxfId="1889" priority="8" stopIfTrue="1">
      <formula>IF(#REF!&gt;4,0,1)</formula>
    </cfRule>
  </conditionalFormatting>
  <conditionalFormatting sqref="B8 B93 B178">
    <cfRule type="expression" dxfId="1888" priority="9" stopIfTrue="1">
      <formula>IF(AK9&gt;0,0,1)</formula>
    </cfRule>
  </conditionalFormatting>
  <conditionalFormatting sqref="B9 B94 B179">
    <cfRule type="expression" dxfId="1887" priority="10" stopIfTrue="1">
      <formula>IF(AK9&gt;0,0,1)</formula>
    </cfRule>
  </conditionalFormatting>
  <conditionalFormatting sqref="B10 B95 B180">
    <cfRule type="expression" dxfId="1886" priority="11" stopIfTrue="1">
      <formula>IF(#REF!&gt;1,0,1)</formula>
    </cfRule>
  </conditionalFormatting>
  <conditionalFormatting sqref="B11:D11 B96:D96 B181:D181">
    <cfRule type="expression" dxfId="1885" priority="12" stopIfTrue="1">
      <formula>IF(#REF!&gt;1,0,1)</formula>
    </cfRule>
  </conditionalFormatting>
  <conditionalFormatting sqref="B12:D12 B97:D97 B182:D182">
    <cfRule type="expression" dxfId="1884" priority="13" stopIfTrue="1">
      <formula>IF(#REF!&gt;2,0,1)</formula>
    </cfRule>
  </conditionalFormatting>
  <conditionalFormatting sqref="B13:D13 B98:D98 B183:D183">
    <cfRule type="expression" dxfId="1883" priority="14" stopIfTrue="1">
      <formula>IF(#REF!&gt;2,0,1)</formula>
    </cfRule>
  </conditionalFormatting>
  <conditionalFormatting sqref="B14:D14 B99:D99 B184:D184">
    <cfRule type="expression" dxfId="1882" priority="15" stopIfTrue="1">
      <formula>IF(#REF!&gt;3,0,1)</formula>
    </cfRule>
  </conditionalFormatting>
  <conditionalFormatting sqref="B15:D15 B100:D100 B185:D185">
    <cfRule type="expression" dxfId="1881" priority="16" stopIfTrue="1">
      <formula>IF(#REF!&gt;3,0,1)</formula>
    </cfRule>
  </conditionalFormatting>
  <conditionalFormatting sqref="B16:D16 B101:D101 B186:D186">
    <cfRule type="expression" dxfId="1880" priority="17" stopIfTrue="1">
      <formula>IF(#REF!&gt;4,0,1)</formula>
    </cfRule>
  </conditionalFormatting>
  <conditionalFormatting sqref="B17:D17 B102:D102 B187:D187">
    <cfRule type="expression" dxfId="1879" priority="18" stopIfTrue="1">
      <formula>IF(#REF!&gt;4,0,1)</formula>
    </cfRule>
  </conditionalFormatting>
  <conditionalFormatting sqref="E8 E93 E178">
    <cfRule type="expression" dxfId="1878" priority="19" stopIfTrue="1">
      <formula>IF(AK9&gt;0,0,1)</formula>
    </cfRule>
  </conditionalFormatting>
  <conditionalFormatting sqref="E9 E94 E179">
    <cfRule type="expression" dxfId="1877" priority="20" stopIfTrue="1">
      <formula>IF(AK9&gt;0,0,1)</formula>
    </cfRule>
  </conditionalFormatting>
  <conditionalFormatting sqref="E10 E95 E180">
    <cfRule type="expression" dxfId="1876" priority="21" stopIfTrue="1">
      <formula>IF(#REF!&gt;1,0,1)</formula>
    </cfRule>
  </conditionalFormatting>
  <conditionalFormatting sqref="E11 E96 E181">
    <cfRule type="expression" dxfId="1875" priority="22" stopIfTrue="1">
      <formula>IF(#REF!&gt;1,0,1)</formula>
    </cfRule>
  </conditionalFormatting>
  <conditionalFormatting sqref="E12 E97 E182">
    <cfRule type="expression" dxfId="1874" priority="23" stopIfTrue="1">
      <formula>IF(#REF!&gt;2,0,1)</formula>
    </cfRule>
  </conditionalFormatting>
  <conditionalFormatting sqref="E13 E98 E183">
    <cfRule type="expression" dxfId="1873" priority="24" stopIfTrue="1">
      <formula>IF(#REF!&gt;2,0,1)</formula>
    </cfRule>
  </conditionalFormatting>
  <conditionalFormatting sqref="E14 E99 E184">
    <cfRule type="expression" dxfId="1872" priority="25" stopIfTrue="1">
      <formula>IF(#REF!&gt;3,0,1)</formula>
    </cfRule>
  </conditionalFormatting>
  <conditionalFormatting sqref="E15 E100 E185">
    <cfRule type="expression" dxfId="1871" priority="26" stopIfTrue="1">
      <formula>IF(#REF!&gt;3,0,1)</formula>
    </cfRule>
  </conditionalFormatting>
  <conditionalFormatting sqref="E16 E101 E186">
    <cfRule type="expression" dxfId="1870" priority="27" stopIfTrue="1">
      <formula>IF(#REF!&gt;4,0,1)</formula>
    </cfRule>
  </conditionalFormatting>
  <conditionalFormatting sqref="E17 E102 E187">
    <cfRule type="expression" dxfId="1869" priority="28" stopIfTrue="1">
      <formula>IF(#REF!&gt;4,0,1)</formula>
    </cfRule>
  </conditionalFormatting>
  <conditionalFormatting sqref="AC8 AC93 AC178">
    <cfRule type="expression" dxfId="1868" priority="29" stopIfTrue="1">
      <formula>IF(AK11=1,IF(AK9&gt;0,0,1),1)</formula>
    </cfRule>
  </conditionalFormatting>
  <conditionalFormatting sqref="AC10:AE11 AC95:AE96 AC180:AE181">
    <cfRule type="expression" dxfId="1867" priority="30" stopIfTrue="1">
      <formula>IF(AK11=1,IF(#REF!&gt;1,0,1),1)</formula>
    </cfRule>
  </conditionalFormatting>
  <conditionalFormatting sqref="AC12:AE13 AC97:AE98 AC182:AE183">
    <cfRule type="expression" dxfId="1866" priority="31" stopIfTrue="1">
      <formula>IF(#REF!=1,IF(#REF!&gt;2,0,1),1)</formula>
    </cfRule>
  </conditionalFormatting>
  <conditionalFormatting sqref="AC14:AE15 AC99:AE100 AC184:AE185">
    <cfRule type="expression" dxfId="1865" priority="32" stopIfTrue="1">
      <formula>IF(#REF!=1,IF(#REF!&gt;3,0,1),1)</formula>
    </cfRule>
  </conditionalFormatting>
  <conditionalFormatting sqref="AC16:AE17 AC101:AE102 AC186:AE187">
    <cfRule type="expression" dxfId="1864" priority="33" stopIfTrue="1">
      <formula>IF(#REF!=1,IF(#REF!&gt;4,0,1),1)</formula>
    </cfRule>
  </conditionalFormatting>
  <conditionalFormatting sqref="AH8 AH93 AH178">
    <cfRule type="expression" dxfId="1863" priority="34" stopIfTrue="1">
      <formula>IF(AK9&gt;0,0,1)</formula>
    </cfRule>
  </conditionalFormatting>
  <conditionalFormatting sqref="AH10:AI11 AH95:AI96 AH180:AI181">
    <cfRule type="expression" dxfId="1862" priority="35" stopIfTrue="1">
      <formula>IF(#REF!&gt;1,0,1)</formula>
    </cfRule>
  </conditionalFormatting>
  <conditionalFormatting sqref="AH12:AI13 AH97:AI98 AH182:AI183">
    <cfRule type="expression" dxfId="1861" priority="36" stopIfTrue="1">
      <formula>IF(#REF!&gt;2,0,1)</formula>
    </cfRule>
  </conditionalFormatting>
  <conditionalFormatting sqref="AH14:AI15 AH99:AI100 AH184:AI185">
    <cfRule type="expression" dxfId="1860" priority="37" stopIfTrue="1">
      <formula>IF(#REF!&gt;3,0,1)</formula>
    </cfRule>
  </conditionalFormatting>
  <conditionalFormatting sqref="AH16:AI17 AH101:AI102 AH186:AI187">
    <cfRule type="expression" dxfId="1859" priority="38" stopIfTrue="1">
      <formula>IF(#REF!&gt;4,0,1)</formula>
    </cfRule>
  </conditionalFormatting>
  <conditionalFormatting sqref="B104:D104 B19:D19 B189:D189">
    <cfRule type="expression" dxfId="1858" priority="39" stopIfTrue="1">
      <formula>IF(#REF!&gt;0,0,1)</formula>
    </cfRule>
  </conditionalFormatting>
  <conditionalFormatting sqref="E104:G104 E19:G19 E189:G189">
    <cfRule type="expression" dxfId="1857" priority="40" stopIfTrue="1">
      <formula>IF(#REF!&gt;1,0,1)</formula>
    </cfRule>
  </conditionalFormatting>
  <conditionalFormatting sqref="H104:J104 H19:J19 H189:J189">
    <cfRule type="expression" dxfId="1856" priority="41" stopIfTrue="1">
      <formula>IF(#REF!&gt;2,0,1)</formula>
    </cfRule>
  </conditionalFormatting>
  <conditionalFormatting sqref="K104:M104 K19:M19 K189:M189">
    <cfRule type="expression" dxfId="1855" priority="42" stopIfTrue="1">
      <formula>IF(#REF!&gt;3,0,1)</formula>
    </cfRule>
  </conditionalFormatting>
  <conditionalFormatting sqref="N104:P104 N19:P19 N189:P189">
    <cfRule type="expression" dxfId="1854" priority="43" stopIfTrue="1">
      <formula>IF(#REF!&gt;4,0,1)</formula>
    </cfRule>
  </conditionalFormatting>
  <conditionalFormatting sqref="Q104:S104 Q19:S19 Q189:S189">
    <cfRule type="expression" dxfId="1853" priority="44" stopIfTrue="1">
      <formula>IF(#REF!&gt;5,0,1)</formula>
    </cfRule>
  </conditionalFormatting>
  <conditionalFormatting sqref="T104:V104 T19:V19 T189:V189">
    <cfRule type="expression" dxfId="1852" priority="45" stopIfTrue="1">
      <formula>IF(#REF!&gt;6,0,1)</formula>
    </cfRule>
  </conditionalFormatting>
  <conditionalFormatting sqref="W104:Y104 W19:Y19 W189:Y189">
    <cfRule type="expression" dxfId="1851" priority="46" stopIfTrue="1">
      <formula>IF(#REF!&gt;7,0,1)</formula>
    </cfRule>
  </conditionalFormatting>
  <conditionalFormatting sqref="Z104:AB104 Z19:AB19 Z189:AB189">
    <cfRule type="expression" dxfId="1850" priority="47" stopIfTrue="1">
      <formula>IF(#REF!&gt;8,0,1)</formula>
    </cfRule>
  </conditionalFormatting>
  <conditionalFormatting sqref="AC104:AE104 AC19:AE19 AC189:AE189">
    <cfRule type="expression" dxfId="1849" priority="48" stopIfTrue="1">
      <formula>IF(#REF!&gt;9,0,1)</formula>
    </cfRule>
  </conditionalFormatting>
  <conditionalFormatting sqref="B20:D20 B105:D105 B190:D190">
    <cfRule type="expression" dxfId="1848" priority="49" stopIfTrue="1">
      <formula>IF(#REF!&gt;0,0,1)</formula>
    </cfRule>
  </conditionalFormatting>
  <conditionalFormatting sqref="E20:G20 E105:G105 E190:G190">
    <cfRule type="expression" dxfId="1847" priority="50" stopIfTrue="1">
      <formula>IF(#REF!&gt;1,0,1)</formula>
    </cfRule>
  </conditionalFormatting>
  <conditionalFormatting sqref="H20:J20 H105:J105 H190:J190">
    <cfRule type="expression" dxfId="1846" priority="51" stopIfTrue="1">
      <formula>IF(#REF!&gt;2,0,1)</formula>
    </cfRule>
  </conditionalFormatting>
  <conditionalFormatting sqref="K20:M20 K105:M105 K190:M190">
    <cfRule type="expression" dxfId="1845" priority="52" stopIfTrue="1">
      <formula>IF(#REF!&gt;3,0,1)</formula>
    </cfRule>
  </conditionalFormatting>
  <conditionalFormatting sqref="N20:P20 N105:P105 N190:P190">
    <cfRule type="expression" dxfId="1844" priority="53" stopIfTrue="1">
      <formula>IF(#REF!&gt;4,0,1)</formula>
    </cfRule>
  </conditionalFormatting>
  <conditionalFormatting sqref="Q20:S20 Q105:S105 Q190:S190">
    <cfRule type="expression" dxfId="1843" priority="54" stopIfTrue="1">
      <formula>IF(#REF!&gt;5,0,1)</formula>
    </cfRule>
  </conditionalFormatting>
  <conditionalFormatting sqref="T20:V20 T105:V105 T190:V190">
    <cfRule type="expression" dxfId="1842" priority="55" stopIfTrue="1">
      <formula>IF(#REF!&gt;6,0,1)</formula>
    </cfRule>
  </conditionalFormatting>
  <conditionalFormatting sqref="W20:Y20 W105:Y105 W190:Y190">
    <cfRule type="expression" dxfId="1841" priority="56" stopIfTrue="1">
      <formula>IF(#REF!&gt;7,0,1)</formula>
    </cfRule>
  </conditionalFormatting>
  <conditionalFormatting sqref="Z20:AB20 Z105:AB105 Z190:AB190">
    <cfRule type="expression" dxfId="1840" priority="57" stopIfTrue="1">
      <formula>IF(#REF!&gt;8,0,1)</formula>
    </cfRule>
  </conditionalFormatting>
  <conditionalFormatting sqref="AC20:AE20 AC105:AE105 AC190:AE190">
    <cfRule type="expression" dxfId="1839" priority="58" stopIfTrue="1">
      <formula>IF(#REF!&gt;9,0,1)</formula>
    </cfRule>
  </conditionalFormatting>
  <conditionalFormatting sqref="E22:G22 E107:G107 E192:G192">
    <cfRule type="expression" dxfId="1838" priority="59" stopIfTrue="1">
      <formula>IF(#REF!&gt;1,0,1)</formula>
    </cfRule>
  </conditionalFormatting>
  <conditionalFormatting sqref="H22:J22 H107:J107 H192:J192">
    <cfRule type="expression" dxfId="1837" priority="60" stopIfTrue="1">
      <formula>IF(#REF!&gt;2,0,1)</formula>
    </cfRule>
  </conditionalFormatting>
  <conditionalFormatting sqref="K22:M22 K107:M107 K192:M192">
    <cfRule type="expression" dxfId="1836" priority="61" stopIfTrue="1">
      <formula>IF(#REF!&gt;3,0,1)</formula>
    </cfRule>
  </conditionalFormatting>
  <conditionalFormatting sqref="N22:P22 N107:P107 N192:P192">
    <cfRule type="expression" dxfId="1835" priority="62" stopIfTrue="1">
      <formula>IF(#REF!&gt;4,0,1)</formula>
    </cfRule>
  </conditionalFormatting>
  <conditionalFormatting sqref="Q22:S22 Q107:S107 Q192:S192">
    <cfRule type="expression" dxfId="1834" priority="63" stopIfTrue="1">
      <formula>IF(#REF!&gt;5,0,1)</formula>
    </cfRule>
  </conditionalFormatting>
  <conditionalFormatting sqref="T22:V22 T107:V107 T192:V192">
    <cfRule type="expression" dxfId="1833" priority="64" stopIfTrue="1">
      <formula>IF(#REF!&gt;6,0,1)</formula>
    </cfRule>
  </conditionalFormatting>
  <conditionalFormatting sqref="W22:Y22 W107:Y107 W192:Y192">
    <cfRule type="expression" dxfId="1832" priority="65" stopIfTrue="1">
      <formula>IF(#REF!&gt;7,0,1)</formula>
    </cfRule>
  </conditionalFormatting>
  <conditionalFormatting sqref="Z22:AB22 Z107:AB107 Z192:AB192">
    <cfRule type="expression" dxfId="1831" priority="66" stopIfTrue="1">
      <formula>IF(#REF!&gt;8,0,1)</formula>
    </cfRule>
  </conditionalFormatting>
  <conditionalFormatting sqref="AC22:AE22 AC107:AE107 AC192:AE192">
    <cfRule type="expression" dxfId="1830" priority="67" stopIfTrue="1">
      <formula>IF(#REF!&gt;9,0,1)</formula>
    </cfRule>
  </conditionalFormatting>
  <conditionalFormatting sqref="B24 B109 B194">
    <cfRule type="expression" dxfId="1829" priority="68" stopIfTrue="1">
      <formula>IF(#REF!&gt;0,0,1)</formula>
    </cfRule>
  </conditionalFormatting>
  <conditionalFormatting sqref="C24 C109 C194">
    <cfRule type="expression" dxfId="1828" priority="69" stopIfTrue="1">
      <formula>IF(#REF!&gt;0,0,1)</formula>
    </cfRule>
  </conditionalFormatting>
  <conditionalFormatting sqref="D24 D109 D194">
    <cfRule type="expression" dxfId="1827" priority="70" stopIfTrue="1">
      <formula>IF(#REF!&gt;0,0,1)</formula>
    </cfRule>
  </conditionalFormatting>
  <conditionalFormatting sqref="E23:G23 E108:G108 E193:G193">
    <cfRule type="expression" dxfId="1826" priority="71" stopIfTrue="1">
      <formula>IF(#REF!&gt;1,0,1)</formula>
    </cfRule>
  </conditionalFormatting>
  <conditionalFormatting sqref="F24 F109 F194">
    <cfRule type="expression" dxfId="1825" priority="72" stopIfTrue="1">
      <formula>IF(#REF!&gt;1,0,1)</formula>
    </cfRule>
  </conditionalFormatting>
  <conditionalFormatting sqref="G24 G109 G194">
    <cfRule type="expression" dxfId="1824" priority="73" stopIfTrue="1">
      <formula>IF(#REF!&gt;1,0,1)</formula>
    </cfRule>
  </conditionalFormatting>
  <conditionalFormatting sqref="H23:J23 H108:J108 H193:J193">
    <cfRule type="expression" dxfId="1823" priority="74" stopIfTrue="1">
      <formula>IF(#REF!&gt;2,0,1)</formula>
    </cfRule>
  </conditionalFormatting>
  <conditionalFormatting sqref="I24 I109 I194">
    <cfRule type="expression" dxfId="1822" priority="75" stopIfTrue="1">
      <formula>IF(#REF!&gt;2,0,1)</formula>
    </cfRule>
  </conditionalFormatting>
  <conditionalFormatting sqref="J24 J109 J194">
    <cfRule type="expression" dxfId="1821" priority="76" stopIfTrue="1">
      <formula>IF(#REF!&gt;2,0,1)</formula>
    </cfRule>
  </conditionalFormatting>
  <conditionalFormatting sqref="K23:M23 K108:M108 K193:M193">
    <cfRule type="expression" dxfId="1820" priority="77" stopIfTrue="1">
      <formula>IF(#REF!&gt;3,0,1)</formula>
    </cfRule>
  </conditionalFormatting>
  <conditionalFormatting sqref="L24 L109 L194">
    <cfRule type="expression" dxfId="1819" priority="78" stopIfTrue="1">
      <formula>IF(#REF!&gt;3,0,1)</formula>
    </cfRule>
  </conditionalFormatting>
  <conditionalFormatting sqref="M24 M109 M194">
    <cfRule type="expression" dxfId="1818" priority="79" stopIfTrue="1">
      <formula>IF(#REF!&gt;3,0,1)</formula>
    </cfRule>
  </conditionalFormatting>
  <conditionalFormatting sqref="N23:P23 N108:P108 N193:P193">
    <cfRule type="expression" dxfId="1817" priority="80" stopIfTrue="1">
      <formula>IF(#REF!&gt;4,0,1)</formula>
    </cfRule>
  </conditionalFormatting>
  <conditionalFormatting sqref="O24 O109 O194">
    <cfRule type="expression" dxfId="1816" priority="81" stopIfTrue="1">
      <formula>IF(#REF!&gt;4,0,1)</formula>
    </cfRule>
  </conditionalFormatting>
  <conditionalFormatting sqref="P24 P109 P194">
    <cfRule type="expression" dxfId="1815" priority="82" stopIfTrue="1">
      <formula>IF(#REF!&gt;4,0,1)</formula>
    </cfRule>
  </conditionalFormatting>
  <conditionalFormatting sqref="Q23:S23 Q108:S108 Q193:S193">
    <cfRule type="expression" dxfId="1814" priority="83" stopIfTrue="1">
      <formula>IF(#REF!&gt;5,0,1)</formula>
    </cfRule>
  </conditionalFormatting>
  <conditionalFormatting sqref="R24 R109 R194">
    <cfRule type="expression" dxfId="1813" priority="84" stopIfTrue="1">
      <formula>IF(#REF!&gt;5,0,1)</formula>
    </cfRule>
  </conditionalFormatting>
  <conditionalFormatting sqref="S24 S109 S194">
    <cfRule type="expression" dxfId="1812" priority="85" stopIfTrue="1">
      <formula>IF(#REF!&gt;5,0,1)</formula>
    </cfRule>
  </conditionalFormatting>
  <conditionalFormatting sqref="T23:V23 T108:V108 T193:V193">
    <cfRule type="expression" dxfId="1811" priority="86" stopIfTrue="1">
      <formula>IF(#REF!&gt;6,0,1)</formula>
    </cfRule>
  </conditionalFormatting>
  <conditionalFormatting sqref="U24 U109 U194">
    <cfRule type="expression" dxfId="1810" priority="87" stopIfTrue="1">
      <formula>IF(#REF!&gt;6,0,1)</formula>
    </cfRule>
  </conditionalFormatting>
  <conditionalFormatting sqref="V24 V109 V194">
    <cfRule type="expression" dxfId="1809" priority="88" stopIfTrue="1">
      <formula>IF(#REF!&gt;6,0,1)</formula>
    </cfRule>
  </conditionalFormatting>
  <conditionalFormatting sqref="W23:Y23 W108:Y108 W193:Y193">
    <cfRule type="expression" dxfId="1808" priority="89" stopIfTrue="1">
      <formula>IF(#REF!&gt;7,0,1)</formula>
    </cfRule>
  </conditionalFormatting>
  <conditionalFormatting sqref="X24 X109 X194">
    <cfRule type="expression" dxfId="1807" priority="90" stopIfTrue="1">
      <formula>IF(#REF!&gt;7,0,1)</formula>
    </cfRule>
  </conditionalFormatting>
  <conditionalFormatting sqref="Y24 Y109 Y194">
    <cfRule type="expression" dxfId="1806" priority="91" stopIfTrue="1">
      <formula>IF(#REF!&gt;7,0,1)</formula>
    </cfRule>
  </conditionalFormatting>
  <conditionalFormatting sqref="Z23:AB23 Z108:AB108 Z193:AB193">
    <cfRule type="expression" dxfId="1805" priority="92" stopIfTrue="1">
      <formula>IF(#REF!&gt;8,0,1)</formula>
    </cfRule>
  </conditionalFormatting>
  <conditionalFormatting sqref="AA24 AA109 AA194">
    <cfRule type="expression" dxfId="1804" priority="93" stopIfTrue="1">
      <formula>IF(#REF!&gt;8,0,1)</formula>
    </cfRule>
  </conditionalFormatting>
  <conditionalFormatting sqref="AB24 AB109 AB194">
    <cfRule type="expression" dxfId="1803" priority="94" stopIfTrue="1">
      <formula>IF(#REF!&gt;8,0,1)</formula>
    </cfRule>
  </conditionalFormatting>
  <conditionalFormatting sqref="AC23:AE23 AC108:AE108 AC193:AE193">
    <cfRule type="expression" dxfId="1802" priority="95" stopIfTrue="1">
      <formula>IF(#REF!&gt;9,0,1)</formula>
    </cfRule>
  </conditionalFormatting>
  <conditionalFormatting sqref="AD24 AD109 AD194">
    <cfRule type="expression" dxfId="1801" priority="96" stopIfTrue="1">
      <formula>IF(#REF!&gt;9,0,1)</formula>
    </cfRule>
  </conditionalFormatting>
  <conditionalFormatting sqref="AE24 AE109 AE194">
    <cfRule type="expression" dxfId="1800" priority="97" stopIfTrue="1">
      <formula>IF(#REF!&gt;9,0,1)</formula>
    </cfRule>
  </conditionalFormatting>
  <conditionalFormatting sqref="A26 A111 A196">
    <cfRule type="expression" dxfId="1799" priority="98" stopIfTrue="1">
      <formula>IF(#REF!&gt;1,0,1)</formula>
    </cfRule>
  </conditionalFormatting>
  <conditionalFormatting sqref="A27 A112 A197">
    <cfRule type="expression" dxfId="1798" priority="99" stopIfTrue="1">
      <formula>IF(#REF!&gt;2,0,1)</formula>
    </cfRule>
  </conditionalFormatting>
  <conditionalFormatting sqref="A28 A113 A198">
    <cfRule type="expression" dxfId="1797" priority="100" stopIfTrue="1">
      <formula>IF(#REF!&gt;3,0,1)</formula>
    </cfRule>
  </conditionalFormatting>
  <conditionalFormatting sqref="A29 A114 A199">
    <cfRule type="expression" dxfId="1796" priority="101" stopIfTrue="1">
      <formula>IF(#REF!&gt;4,0,1)</formula>
    </cfRule>
  </conditionalFormatting>
  <conditionalFormatting sqref="B25:D25 B110:D110 B195:D195">
    <cfRule type="expression" dxfId="1795" priority="102" stopIfTrue="1">
      <formula>IF(#REF!&gt;0,0,1)</formula>
    </cfRule>
  </conditionalFormatting>
  <conditionalFormatting sqref="B26:D26 B111:D111 B196:D196">
    <cfRule type="expression" dxfId="1794" priority="103" stopIfTrue="1">
      <formula>IF(#REF!&lt;1,1,IF(#REF!&lt;2,1,0))</formula>
    </cfRule>
  </conditionalFormatting>
  <conditionalFormatting sqref="B27:D27 B112:D112 B197:D197">
    <cfRule type="expression" dxfId="1793" priority="104" stopIfTrue="1">
      <formula>IF(#REF!&lt;1,1,IF(#REF!&lt;3,1,0))</formula>
    </cfRule>
  </conditionalFormatting>
  <conditionalFormatting sqref="B28:D28 B113:D113 B198:D198">
    <cfRule type="expression" dxfId="1792" priority="105" stopIfTrue="1">
      <formula>IF(#REF!&lt;1,1,IF(#REF!&lt;4,1,0))</formula>
    </cfRule>
  </conditionalFormatting>
  <conditionalFormatting sqref="B29:D29 B114:D114 B199:D199">
    <cfRule type="expression" dxfId="1791" priority="106" stopIfTrue="1">
      <formula>IF(#REF!&lt;1,1,IF(#REF!&lt;5,1,0))</formula>
    </cfRule>
  </conditionalFormatting>
  <conditionalFormatting sqref="AG23 AG108 AG193">
    <cfRule type="expression" dxfId="1790" priority="107" stopIfTrue="1">
      <formula>IF(#REF!&lt;1,1,0)</formula>
    </cfRule>
  </conditionalFormatting>
  <conditionalFormatting sqref="AH23 AH108 AH193">
    <cfRule type="expression" dxfId="1789" priority="108" stopIfTrue="1">
      <formula>IF(#REF!&lt;2,1,0)</formula>
    </cfRule>
  </conditionalFormatting>
  <conditionalFormatting sqref="AI23 AI108 AI193">
    <cfRule type="expression" dxfId="1788" priority="109" stopIfTrue="1">
      <formula>IF(#REF!&lt;3,1,0)</formula>
    </cfRule>
  </conditionalFormatting>
  <conditionalFormatting sqref="AJ23 AJ108 AJ193">
    <cfRule type="expression" dxfId="1787" priority="110" stopIfTrue="1">
      <formula>IF(#REF!&lt;4,1,0)</formula>
    </cfRule>
  </conditionalFormatting>
  <conditionalFormatting sqref="AK23 AK108 AK193">
    <cfRule type="expression" dxfId="1786" priority="111" stopIfTrue="1">
      <formula>IF(#REF!&lt;5,1,0)</formula>
    </cfRule>
  </conditionalFormatting>
  <conditionalFormatting sqref="AL23 AL108 AL193">
    <cfRule type="expression" dxfId="1785" priority="112" stopIfTrue="1">
      <formula>IF(#REF!&lt;6,1,0)</formula>
    </cfRule>
  </conditionalFormatting>
  <conditionalFormatting sqref="AM23 AM108 AM193">
    <cfRule type="expression" dxfId="1784" priority="113" stopIfTrue="1">
      <formula>IF(#REF!&lt;7,1,0)</formula>
    </cfRule>
  </conditionalFormatting>
  <conditionalFormatting sqref="AN23 AN108 AN193">
    <cfRule type="expression" dxfId="1783" priority="114" stopIfTrue="1">
      <formula>IF(#REF!&lt;8,1,0)</formula>
    </cfRule>
  </conditionalFormatting>
  <conditionalFormatting sqref="AO23 AO108 AO193">
    <cfRule type="expression" dxfId="1782" priority="115" stopIfTrue="1">
      <formula>IF(#REF!&lt;9,1,0)</formula>
    </cfRule>
  </conditionalFormatting>
  <conditionalFormatting sqref="AP23 AP108 AP193">
    <cfRule type="expression" dxfId="1781" priority="116" stopIfTrue="1">
      <formula>IF(#REF!&lt;10,1,0)</formula>
    </cfRule>
  </conditionalFormatting>
  <conditionalFormatting sqref="AQ24 AQ109 AQ194">
    <cfRule type="expression" dxfId="1780" priority="117" stopIfTrue="1">
      <formula>IF(#REF!&gt;0,0,1)</formula>
    </cfRule>
  </conditionalFormatting>
  <conditionalFormatting sqref="AQ25 AQ110 AQ195">
    <cfRule type="expression" dxfId="1779" priority="118" stopIfTrue="1">
      <formula>IF(#REF!&gt;1,0,1)</formula>
    </cfRule>
  </conditionalFormatting>
  <conditionalFormatting sqref="AQ26 H25:J25 AQ111 H110:J110 AQ196 H195:J195">
    <cfRule type="expression" dxfId="1778" priority="119" stopIfTrue="1">
      <formula>IF(#REF!&gt;2,0,1)</formula>
    </cfRule>
  </conditionalFormatting>
  <conditionalFormatting sqref="K110:M110 K25:M25 K195:M195">
    <cfRule type="expression" dxfId="1777" priority="120" stopIfTrue="1">
      <formula>IF(#REF!&gt;3,0,1)</formula>
    </cfRule>
  </conditionalFormatting>
  <conditionalFormatting sqref="AQ28 AQ113 AQ198">
    <cfRule type="expression" dxfId="1776" priority="121" stopIfTrue="1">
      <formula>IF(#REF!&gt;4,0,1)</formula>
    </cfRule>
  </conditionalFormatting>
  <conditionalFormatting sqref="E26:G26 E111:G111 E196:G196">
    <cfRule type="expression" dxfId="1775" priority="122" stopIfTrue="1">
      <formula>IF(#REF!&lt;2,1,IF(#REF!&lt;2,1,0))</formula>
    </cfRule>
  </conditionalFormatting>
  <conditionalFormatting sqref="E27:G27 E112:G112 E197:G197">
    <cfRule type="expression" dxfId="1774" priority="123" stopIfTrue="1">
      <formula>IF(#REF!&lt;2,1,IF(#REF!&lt;3,1,0))</formula>
    </cfRule>
  </conditionalFormatting>
  <conditionalFormatting sqref="E28:G28 E113:G113 E198:G198">
    <cfRule type="expression" dxfId="1773" priority="124" stopIfTrue="1">
      <formula>IF(#REF!&lt;2,1,IF(#REF!&lt;4,1,0))</formula>
    </cfRule>
  </conditionalFormatting>
  <conditionalFormatting sqref="E29:G29 E114:G114 E199:G199">
    <cfRule type="expression" dxfId="1772" priority="125" stopIfTrue="1">
      <formula>IF(#REF!&lt;2,1,IF(#REF!&lt;5,1,0))</formula>
    </cfRule>
  </conditionalFormatting>
  <conditionalFormatting sqref="N25:P25 N110:P110 N195:P195">
    <cfRule type="expression" dxfId="1771" priority="126" stopIfTrue="1">
      <formula>IF(#REF!&gt;4,0,1)</formula>
    </cfRule>
  </conditionalFormatting>
  <conditionalFormatting sqref="Q25:S25 Q110:S110 Q195:S195">
    <cfRule type="expression" dxfId="1770" priority="127" stopIfTrue="1">
      <formula>IF(#REF!&gt;5,0,1)</formula>
    </cfRule>
  </conditionalFormatting>
  <conditionalFormatting sqref="T25:V25 T110:V110 T195:V195">
    <cfRule type="expression" dxfId="1769" priority="128" stopIfTrue="1">
      <formula>IF(#REF!&gt;6,0,1)</formula>
    </cfRule>
  </conditionalFormatting>
  <conditionalFormatting sqref="W25:Y25 W110:Y110 W195:Y195">
    <cfRule type="expression" dxfId="1768" priority="129" stopIfTrue="1">
      <formula>IF(#REF!&gt;7,0,1)</formula>
    </cfRule>
  </conditionalFormatting>
  <conditionalFormatting sqref="Z25:AB25 Z110:AB110 Z195:AB195">
    <cfRule type="expression" dxfId="1767" priority="130" stopIfTrue="1">
      <formula>IF(#REF!&gt;8,0,1)</formula>
    </cfRule>
  </conditionalFormatting>
  <conditionalFormatting sqref="AC25:AE25 AC110:AE110 AC195:AE195">
    <cfRule type="expression" dxfId="1766" priority="131" stopIfTrue="1">
      <formula>IF(#REF!&gt;9,0,1)</formula>
    </cfRule>
  </conditionalFormatting>
  <conditionalFormatting sqref="H26:J26 H111:J111 H196:J196">
    <cfRule type="expression" dxfId="1765" priority="132" stopIfTrue="1">
      <formula>IF(#REF!&lt;3,1,IF(#REF!&lt;2,1,0))</formula>
    </cfRule>
  </conditionalFormatting>
  <conditionalFormatting sqref="K26:M26 K111:M111 K196:M196">
    <cfRule type="expression" dxfId="1764" priority="133" stopIfTrue="1">
      <formula>IF(#REF!&lt;4,1,IF(#REF!&lt;2,1,0))</formula>
    </cfRule>
  </conditionalFormatting>
  <conditionalFormatting sqref="N26:P26 N111:P111 N196:P196">
    <cfRule type="expression" dxfId="1763" priority="134" stopIfTrue="1">
      <formula>IF(#REF!&lt;5,1,IF(#REF!&lt;2,1,0))</formula>
    </cfRule>
  </conditionalFormatting>
  <conditionalFormatting sqref="Q26:S26 Q111:S111 Q196:S196">
    <cfRule type="expression" dxfId="1762" priority="135" stopIfTrue="1">
      <formula>IF(#REF!&lt;6,1,IF(#REF!&lt;2,1,0))</formula>
    </cfRule>
  </conditionalFormatting>
  <conditionalFormatting sqref="T26:V26 T111:V111 T196:V196">
    <cfRule type="expression" dxfId="1761" priority="136" stopIfTrue="1">
      <formula>IF(#REF!&lt;7,1,IF(#REF!&lt;2,1,0))</formula>
    </cfRule>
  </conditionalFormatting>
  <conditionalFormatting sqref="W26:Y26 W111:Y111 W196:Y196">
    <cfRule type="expression" dxfId="1760" priority="137" stopIfTrue="1">
      <formula>IF(#REF!&lt;8,1,IF(#REF!&lt;2,1,0))</formula>
    </cfRule>
  </conditionalFormatting>
  <conditionalFormatting sqref="Z26:AB26 Z111:AB111 Z196:AB196">
    <cfRule type="expression" dxfId="1759" priority="138" stopIfTrue="1">
      <formula>IF(#REF!&lt;9,1,IF(#REF!&lt;2,1,0))</formula>
    </cfRule>
  </conditionalFormatting>
  <conditionalFormatting sqref="AC26:AE26 AC111:AE111 AC196:AE196">
    <cfRule type="expression" dxfId="1758" priority="139" stopIfTrue="1">
      <formula>IF(#REF!&lt;10,1,IF(#REF!&lt;2,1,0))</formula>
    </cfRule>
  </conditionalFormatting>
  <conditionalFormatting sqref="H27:J27 H112:J112 H197:J197">
    <cfRule type="expression" dxfId="1757" priority="140" stopIfTrue="1">
      <formula>IF(#REF!&lt;3,1,IF(#REF!&lt;3,1,0))</formula>
    </cfRule>
  </conditionalFormatting>
  <conditionalFormatting sqref="K27:M27 K112:M112 K197:M197">
    <cfRule type="expression" dxfId="1756" priority="141" stopIfTrue="1">
      <formula>IF(#REF!&lt;4,1,IF(#REF!&lt;3,1,0))</formula>
    </cfRule>
  </conditionalFormatting>
  <conditionalFormatting sqref="N27:P27 N112:P112 N197:P197">
    <cfRule type="expression" dxfId="1755" priority="142" stopIfTrue="1">
      <formula>IF(#REF!&lt;5,1,IF(#REF!&lt;3,1,0))</formula>
    </cfRule>
  </conditionalFormatting>
  <conditionalFormatting sqref="Q27:S27 Q112:S112 Q197:S197">
    <cfRule type="expression" dxfId="1754" priority="143" stopIfTrue="1">
      <formula>IF(#REF!&lt;6,1,IF(#REF!&lt;3,1,0))</formula>
    </cfRule>
  </conditionalFormatting>
  <conditionalFormatting sqref="T27:V27 T112:V112 T197:V197">
    <cfRule type="expression" dxfId="1753" priority="144" stopIfTrue="1">
      <formula>IF(#REF!&lt;7,1,IF(#REF!&lt;3,1,0))</formula>
    </cfRule>
  </conditionalFormatting>
  <conditionalFormatting sqref="W27:Y27 W112:Y112 W197:Y197">
    <cfRule type="expression" dxfId="1752" priority="145" stopIfTrue="1">
      <formula>IF(#REF!&lt;8,1,IF(#REF!&lt;3,1,0))</formula>
    </cfRule>
  </conditionalFormatting>
  <conditionalFormatting sqref="Z27:AB27 Z112:AB112 Z197:AB197">
    <cfRule type="expression" dxfId="1751" priority="146" stopIfTrue="1">
      <formula>IF(#REF!&lt;9,1,IF(#REF!&lt;3,1,0))</formula>
    </cfRule>
  </conditionalFormatting>
  <conditionalFormatting sqref="AC27:AE27 AC112:AE112 AC197:AE197">
    <cfRule type="expression" dxfId="1750" priority="147" stopIfTrue="1">
      <formula>IF(#REF!&lt;10,1,IF(#REF!&lt;3,1,0))</formula>
    </cfRule>
  </conditionalFormatting>
  <conditionalFormatting sqref="H28:J28 H113:J113 H198:J198">
    <cfRule type="expression" dxfId="1749" priority="148" stopIfTrue="1">
      <formula>IF(#REF!&lt;3,1,IF(#REF!&lt;4,1,0))</formula>
    </cfRule>
  </conditionalFormatting>
  <conditionalFormatting sqref="K28:M28 K113:M113 K198:M198">
    <cfRule type="expression" dxfId="1748" priority="149" stopIfTrue="1">
      <formula>IF(#REF!&lt;4,1,IF(#REF!&lt;4,1,0))</formula>
    </cfRule>
  </conditionalFormatting>
  <conditionalFormatting sqref="N28:P28 N113:P113 N198:P198">
    <cfRule type="expression" dxfId="1747" priority="150" stopIfTrue="1">
      <formula>IF(#REF!&lt;5,1,IF(#REF!&lt;4,1,0))</formula>
    </cfRule>
  </conditionalFormatting>
  <conditionalFormatting sqref="Q28:S28 Q113:S113 Q198:S198">
    <cfRule type="expression" dxfId="1746" priority="151" stopIfTrue="1">
      <formula>IF(#REF!&lt;6,1,IF(#REF!&lt;4,1,0))</formula>
    </cfRule>
  </conditionalFormatting>
  <conditionalFormatting sqref="T28:V28 T113:V113 T198:V198">
    <cfRule type="expression" dxfId="1745" priority="152" stopIfTrue="1">
      <formula>IF(#REF!&lt;7,1,IF(#REF!&lt;4,1,0))</formula>
    </cfRule>
  </conditionalFormatting>
  <conditionalFormatting sqref="W28:Y28 W113:Y113 W198:Y198">
    <cfRule type="expression" dxfId="1744" priority="153" stopIfTrue="1">
      <formula>IF(#REF!&lt;8,1,IF(#REF!&lt;4,1,0))</formula>
    </cfRule>
  </conditionalFormatting>
  <conditionalFormatting sqref="Z28:AB28 Z113:AB113 Z198:AB198">
    <cfRule type="expression" dxfId="1743" priority="154" stopIfTrue="1">
      <formula>IF(#REF!&lt;9,1,IF(#REF!&lt;4,1,0))</formula>
    </cfRule>
  </conditionalFormatting>
  <conditionalFormatting sqref="AC28:AE28 AC113:AE113 AC198:AE198">
    <cfRule type="expression" dxfId="1742" priority="155" stopIfTrue="1">
      <formula>IF(#REF!&lt;10,1,IF(#REF!&lt;4,1,0))</formula>
    </cfRule>
  </conditionalFormatting>
  <conditionalFormatting sqref="H29:J29 H114:J114 H199:J199">
    <cfRule type="expression" dxfId="1741" priority="156" stopIfTrue="1">
      <formula>IF(#REF!&lt;3,1,IF(#REF!&lt;5,1,0))</formula>
    </cfRule>
  </conditionalFormatting>
  <conditionalFormatting sqref="K29:M29 K114:M114 K199:M199">
    <cfRule type="expression" dxfId="1740" priority="157" stopIfTrue="1">
      <formula>IF(#REF!&lt;4,1,IF(#REF!&lt;5,1,0))</formula>
    </cfRule>
  </conditionalFormatting>
  <conditionalFormatting sqref="N29:P29 N114:P114 N199:P199">
    <cfRule type="expression" dxfId="1739" priority="158" stopIfTrue="1">
      <formula>IF(#REF!&lt;5,1,IF(#REF!&lt;5,1,0))</formula>
    </cfRule>
  </conditionalFormatting>
  <conditionalFormatting sqref="Q29:S29 Q114:S114 Q199:S199">
    <cfRule type="expression" dxfId="1738" priority="159" stopIfTrue="1">
      <formula>IF(#REF!&lt;6,1,IF(#REF!&lt;5,1,0))</formula>
    </cfRule>
  </conditionalFormatting>
  <conditionalFormatting sqref="T29:V29 T114:V114 T199:V199">
    <cfRule type="expression" dxfId="1737" priority="160" stopIfTrue="1">
      <formula>IF(#REF!&lt;7,1,IF(#REF!&lt;5,1,0))</formula>
    </cfRule>
  </conditionalFormatting>
  <conditionalFormatting sqref="W29:Y29 W114:Y114 W199:Y199">
    <cfRule type="expression" dxfId="1736" priority="161" stopIfTrue="1">
      <formula>IF(#REF!&lt;8,1,IF(#REF!&lt;5,1,0))</formula>
    </cfRule>
  </conditionalFormatting>
  <conditionalFormatting sqref="Z29:AB29 Z114:AB114 Z199:AB199">
    <cfRule type="expression" dxfId="1735" priority="162" stopIfTrue="1">
      <formula>IF(#REF!&lt;9,1,IF(#REF!&lt;5,1,0))</formula>
    </cfRule>
  </conditionalFormatting>
  <conditionalFormatting sqref="AC29:AE29 AC114:AE114 AC199:AE199">
    <cfRule type="expression" dxfId="1734" priority="163" stopIfTrue="1">
      <formula>IF(#REF!&lt;10,1,IF(#REF!&lt;5,1,0))</formula>
    </cfRule>
  </conditionalFormatting>
  <conditionalFormatting sqref="R99:AB100 AF99:AF100 L99:P100 R14:AB15 AF14:AF15 L14:P15 R184:AB185 AF184:AF185 L184:P185 AG14 AG99 AG184">
    <cfRule type="expression" dxfId="1733" priority="164" stopIfTrue="1">
      <formula>IF(#REF!&gt;3,0,1)</formula>
    </cfRule>
  </conditionalFormatting>
  <conditionalFormatting sqref="R101:AB102 AF101:AF102 L101:P102 R16:AB17 AF16:AF17 L16:P17 R186:AB187 AF186:AF187 L186:P187 AG16 AG101 AG186">
    <cfRule type="expression" dxfId="1732" priority="165" stopIfTrue="1">
      <formula>IF(#REF!&gt;4,0,1)</formula>
    </cfRule>
  </conditionalFormatting>
  <conditionalFormatting sqref="R93:AB94 AF93:AF94 L93:P94 R8:AB9 AF8:AF9 L8:P9 R178:AB179 AF178:AF179 L178:P179 AG8 AG93 AG178">
    <cfRule type="expression" dxfId="1731" priority="166" stopIfTrue="1">
      <formula>IF($AK9&gt;0,0,1)</formula>
    </cfRule>
  </conditionalFormatting>
  <conditionalFormatting sqref="R95:AB96 AF95:AF96 L95:P96 R10:AB11 AF10:AF11 L10:P11 R180:AB181 AF180:AF181 L180:P181 AG10 AG95 AG180">
    <cfRule type="expression" dxfId="1730" priority="167" stopIfTrue="1">
      <formula>IF(#REF!&gt;1,0,1)</formula>
    </cfRule>
  </conditionalFormatting>
  <conditionalFormatting sqref="R97:AB98 AF97:AF98 L97:P98 R12:AB13 AF12:AF13 L12:P13 R182:AB183 AF182:AF183 L182:P183 AG12 AG97 AG182">
    <cfRule type="expression" dxfId="1729" priority="168" stopIfTrue="1">
      <formula>IF(#REF!&gt;2,0,1)</formula>
    </cfRule>
  </conditionalFormatting>
  <conditionalFormatting sqref="E109 E24 E194">
    <cfRule type="expression" dxfId="1728" priority="169" stopIfTrue="1">
      <formula>IF(#REF!&gt;1,0,1)</formula>
    </cfRule>
  </conditionalFormatting>
  <conditionalFormatting sqref="H109 H24 H194">
    <cfRule type="expression" dxfId="1727" priority="170" stopIfTrue="1">
      <formula>IF(#REF!&gt;2,0,1)</formula>
    </cfRule>
  </conditionalFormatting>
  <conditionalFormatting sqref="K109 K24 K194">
    <cfRule type="expression" dxfId="1726" priority="171" stopIfTrue="1">
      <formula>IF(#REF!&gt;3,0,1)</formula>
    </cfRule>
  </conditionalFormatting>
  <conditionalFormatting sqref="N109 N24 N194">
    <cfRule type="expression" dxfId="1725" priority="172" stopIfTrue="1">
      <formula>IF(#REF!&gt;4,0,1)</formula>
    </cfRule>
  </conditionalFormatting>
  <conditionalFormatting sqref="Q109 Q24 Q194">
    <cfRule type="expression" dxfId="1724" priority="173" stopIfTrue="1">
      <formula>IF(#REF!&gt;5,0,1)</formula>
    </cfRule>
  </conditionalFormatting>
  <conditionalFormatting sqref="T109 T24 T194">
    <cfRule type="expression" dxfId="1723" priority="174" stopIfTrue="1">
      <formula>IF(#REF!&gt;6,0,1)</formula>
    </cfRule>
  </conditionalFormatting>
  <conditionalFormatting sqref="W109 W24 W194">
    <cfRule type="expression" dxfId="1722" priority="175" stopIfTrue="1">
      <formula>IF(#REF!&gt;7,0,1)</formula>
    </cfRule>
  </conditionalFormatting>
  <conditionalFormatting sqref="Z109 Z24 Z194">
    <cfRule type="expression" dxfId="1721" priority="176" stopIfTrue="1">
      <formula>IF(#REF!&gt;8,0,1)</formula>
    </cfRule>
  </conditionalFormatting>
  <conditionalFormatting sqref="AC109 AC24 AC194">
    <cfRule type="expression" dxfId="1720" priority="177" stopIfTrue="1">
      <formula>IF(#REF!&gt;9,0,1)</formula>
    </cfRule>
  </conditionalFormatting>
  <conditionalFormatting sqref="AQ112 AQ27 AQ197">
    <cfRule type="expression" dxfId="1719" priority="178" stopIfTrue="1">
      <formula>IF(#REF!&gt;3,0,1)</formula>
    </cfRule>
  </conditionalFormatting>
  <conditionalFormatting sqref="E110:G110 E25:G25 E195:G195">
    <cfRule type="expression" dxfId="1718" priority="179" stopIfTrue="1">
      <formula>IF(#REF!&gt;1,0,1)</formula>
    </cfRule>
  </conditionalFormatting>
  <conditionalFormatting sqref="B106:D106 B21:D21 B191:D191">
    <cfRule type="expression" dxfId="1717" priority="180" stopIfTrue="1">
      <formula>IF(#REF!&gt;0,0,1)</formula>
    </cfRule>
  </conditionalFormatting>
  <conditionalFormatting sqref="E106:G106 E21:G21 E191:G191">
    <cfRule type="expression" dxfId="1716" priority="181" stopIfTrue="1">
      <formula>IF(#REF!&gt;1,0,1)</formula>
    </cfRule>
  </conditionalFormatting>
  <conditionalFormatting sqref="H106:J106 H21:J21 H191:J191">
    <cfRule type="expression" dxfId="1715" priority="182" stopIfTrue="1">
      <formula>IF(#REF!&gt;2,0,1)</formula>
    </cfRule>
  </conditionalFormatting>
  <conditionalFormatting sqref="K106:M106 K21:M21 K191:M191">
    <cfRule type="expression" dxfId="1714" priority="183" stopIfTrue="1">
      <formula>IF(#REF!&gt;3,0,1)</formula>
    </cfRule>
  </conditionalFormatting>
  <conditionalFormatting sqref="N106:P106 N21:P21 N191:P191">
    <cfRule type="expression" dxfId="1713" priority="184" stopIfTrue="1">
      <formula>IF(#REF!&gt;4,0,1)</formula>
    </cfRule>
  </conditionalFormatting>
  <conditionalFormatting sqref="Q106:S106 Q21:S21 Q191:S191">
    <cfRule type="expression" dxfId="1712" priority="185" stopIfTrue="1">
      <formula>IF(#REF!&gt;5,0,1)</formula>
    </cfRule>
  </conditionalFormatting>
  <conditionalFormatting sqref="T106:V106 T21:V21 T191:V191">
    <cfRule type="expression" dxfId="1711" priority="186" stopIfTrue="1">
      <formula>IF(#REF!&gt;6,0,1)</formula>
    </cfRule>
  </conditionalFormatting>
  <conditionalFormatting sqref="W106:Y106 W21:Y21 W191:Y191">
    <cfRule type="expression" dxfId="1710" priority="187" stopIfTrue="1">
      <formula>IF(#REF!&gt;7,0,1)</formula>
    </cfRule>
  </conditionalFormatting>
  <conditionalFormatting sqref="Z106:AB106 Z21:AB21 Z191:AB191">
    <cfRule type="expression" dxfId="1709" priority="188" stopIfTrue="1">
      <formula>IF(#REF!&gt;8,0,1)</formula>
    </cfRule>
  </conditionalFormatting>
  <conditionalFormatting sqref="AC106:AE106 AC21:AE21 AC191:AE191">
    <cfRule type="expression" dxfId="1708" priority="189" stopIfTrue="1">
      <formula>IF(#REF!&gt;9,0,1)</formula>
    </cfRule>
  </conditionalFormatting>
  <conditionalFormatting sqref="X315:X316 W306:W307 X306:Y306 X357:Z358 Y359:Y360 AB358:AB360 X354:X355 AE358:AE360 W309:Y314 Z310:AE313 AA314:AA316 I314:I316 C315:C316 B306:B307 C306:D306 B309:D314 E310:J313 F314:F316 I362:I364 C363:C364 B354:B355 C354:D354 B357:D362 E358:J361 AD314:AD316 F362:F364">
    <cfRule type="expression" dxfId="1707" priority="190" stopIfTrue="1">
      <formula>IF(#REF!&gt;0,0,1)</formula>
    </cfRule>
  </conditionalFormatting>
  <conditionalFormatting sqref="AA306:AB306 AA354:AA358 AC357:AC358 AB357 AB314 AA309:AB309 Z314 Z306:Z309 F306:G306 G314 F309:G309 E314 E306:E309 F354:G354 G362 F357:G357 E362 E354:E357">
    <cfRule type="expression" dxfId="1706" priority="191" stopIfTrue="1">
      <formula>IF(#REF!&gt;1,0,1)</formula>
    </cfRule>
  </conditionalFormatting>
  <conditionalFormatting sqref="AD354:AD358 AF357:AF358 AE357 AC306:AC309 AG358 AD306:AE306 AE314 AD309:AE309 AC314 H314 H306:H309 I306:J306 J314 I309:J309 H354:H357 I354:J354 J362 I357:J357 H362">
    <cfRule type="expression" dxfId="1705" priority="192" stopIfTrue="1">
      <formula>IF(#REF!&gt;2,0,1)</formula>
    </cfRule>
  </conditionalFormatting>
  <conditionalFormatting sqref="X359 Z359 W315 Y315 B315 D315 B363 D363">
    <cfRule type="expression" dxfId="1704" priority="193" stopIfTrue="1">
      <formula>IF(#REF!&lt;1,1,IF(#REF!&lt;2,1,0))</formula>
    </cfRule>
  </conditionalFormatting>
  <conditionalFormatting sqref="AA359 AC359 Z315 AB315 E315 G315 E363 G363">
    <cfRule type="expression" dxfId="1703" priority="194" stopIfTrue="1">
      <formula>IF(#REF!&lt;2,1,IF(#REF!&lt;2,1,0))</formula>
    </cfRule>
  </conditionalFormatting>
  <conditionalFormatting sqref="AD359 AF359 AC315 AE315 H315 J315 H363 J363">
    <cfRule type="expression" dxfId="1702" priority="195" stopIfTrue="1">
      <formula>IF(#REF!&lt;3,1,IF(#REF!&lt;2,1,0))</formula>
    </cfRule>
  </conditionalFormatting>
  <conditionalFormatting sqref="X360 Z360 Y316 B316 D316 B364 W316 D364">
    <cfRule type="expression" dxfId="1701" priority="196" stopIfTrue="1">
      <formula>IF(#REF!&lt;1,1,IF(#REF!&lt;3,1,0))</formula>
    </cfRule>
  </conditionalFormatting>
  <conditionalFormatting sqref="AA360 AC360 AB316 E316 G316 E364 Z316 G364">
    <cfRule type="expression" dxfId="1700" priority="197" stopIfTrue="1">
      <formula>IF(#REF!&lt;2,1,IF(#REF!&lt;3,1,0))</formula>
    </cfRule>
  </conditionalFormatting>
  <conditionalFormatting sqref="AD360 AF360 AE316 H316 J316 H364 AC316 J364">
    <cfRule type="expression" dxfId="1699" priority="198" stopIfTrue="1">
      <formula>IF(#REF!&lt;3,1,IF(#REF!&lt;3,1,0))</formula>
    </cfRule>
  </conditionalFormatting>
  <conditionalFormatting sqref="AG109:AP113 AG24:AP28 AG194:AP198">
    <cfRule type="cellIs" dxfId="1698" priority="199" stopIfTrue="1" operator="notBetween">
      <formula>-9999</formula>
      <formula>9999</formula>
    </cfRule>
  </conditionalFormatting>
  <conditionalFormatting sqref="AC7 AC92 AC177">
    <cfRule type="expression" dxfId="1697" priority="200" stopIfTrue="1">
      <formula>IF($AK$11=0,1,0)</formula>
    </cfRule>
  </conditionalFormatting>
  <conditionalFormatting sqref="B103 B18 B188">
    <cfRule type="expression" dxfId="1696" priority="201" stopIfTrue="1">
      <formula>IF($AK$9&gt;0,0,1)</formula>
    </cfRule>
  </conditionalFormatting>
  <conditionalFormatting sqref="B22:D23 B107:D108 B192:D193">
    <cfRule type="cellIs" dxfId="1695" priority="202" stopIfTrue="1" operator="equal">
      <formula>99</formula>
    </cfRule>
  </conditionalFormatting>
  <conditionalFormatting sqref="C317 F317 X317 AA317 C365 F365">
    <cfRule type="expression" dxfId="1694" priority="203" stopIfTrue="1">
      <formula>IF(#REF!&gt;0,0,1)</formula>
    </cfRule>
  </conditionalFormatting>
  <conditionalFormatting sqref="K306">
    <cfRule type="expression" dxfId="1693" priority="3" stopIfTrue="1">
      <formula>IF(ISNUMBER(K314),0,1)</formula>
    </cfRule>
  </conditionalFormatting>
  <conditionalFormatting sqref="K354">
    <cfRule type="expression" dxfId="1692" priority="2" stopIfTrue="1">
      <formula>IF(ISNUMBER(K362),0,1)</formula>
    </cfRule>
  </conditionalFormatting>
  <conditionalFormatting sqref="AF306">
    <cfRule type="expression" dxfId="1691" priority="1" stopIfTrue="1">
      <formula>IF(ISNUMBER(AF314),0,1)</formula>
    </cfRule>
  </conditionalFormatting>
  <pageMargins left="0.25" right="0.25" top="0.25" bottom="0.25" header="0" footer="0"/>
  <pageSetup scale="56" orientation="portrait" horizontalDpi="4294967293" verticalDpi="4294967293"/>
  <headerFooter alignWithMargins="0"/>
  <rowBreaks count="4" manualBreakCount="4">
    <brk id="90" max="42" man="1"/>
    <brk id="175" max="42" man="1"/>
    <brk id="260" max="42" man="1"/>
    <brk id="325" max="42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 enableFormatConditionsCalculation="0">
    <tabColor rgb="FFFFFF00"/>
    <pageSetUpPr fitToPage="1"/>
  </sheetPr>
  <dimension ref="A1:BS658"/>
  <sheetViews>
    <sheetView topLeftCell="Z1" zoomScale="70" zoomScaleNormal="70" workbookViewId="0">
      <selection activeCell="AV89" sqref="AV89"/>
    </sheetView>
  </sheetViews>
  <sheetFormatPr defaultColWidth="8.85546875" defaultRowHeight="12.75" x14ac:dyDescent="0.2"/>
  <cols>
    <col min="1" max="1" width="8.85546875" style="188"/>
    <col min="2" max="2" width="3.85546875" style="188" customWidth="1"/>
    <col min="3" max="3" width="2.140625" style="188" customWidth="1"/>
    <col min="4" max="5" width="3.85546875" style="188" customWidth="1"/>
    <col min="6" max="6" width="2.140625" style="188" customWidth="1"/>
    <col min="7" max="8" width="3.85546875" style="188" customWidth="1"/>
    <col min="9" max="9" width="2.140625" style="188" customWidth="1"/>
    <col min="10" max="11" width="3.85546875" style="188" customWidth="1"/>
    <col min="12" max="12" width="2.140625" style="188" customWidth="1"/>
    <col min="13" max="14" width="3.85546875" style="188" customWidth="1"/>
    <col min="15" max="15" width="2.140625" style="188" customWidth="1"/>
    <col min="16" max="17" width="3.85546875" style="188" customWidth="1"/>
    <col min="18" max="18" width="2.140625" style="188" customWidth="1"/>
    <col min="19" max="20" width="3.85546875" style="188" customWidth="1"/>
    <col min="21" max="21" width="2.140625" style="188" customWidth="1"/>
    <col min="22" max="23" width="3.85546875" style="188" customWidth="1"/>
    <col min="24" max="24" width="2.140625" style="188" customWidth="1"/>
    <col min="25" max="26" width="3.85546875" style="188" customWidth="1"/>
    <col min="27" max="27" width="2.140625" style="188" customWidth="1"/>
    <col min="28" max="29" width="3.85546875" style="188" customWidth="1"/>
    <col min="30" max="30" width="2.140625" style="188" customWidth="1"/>
    <col min="31" max="31" width="3.85546875" style="188" customWidth="1"/>
    <col min="32" max="32" width="9.85546875" style="188" customWidth="1"/>
    <col min="33" max="42" width="3.85546875" style="188" customWidth="1"/>
    <col min="43" max="43" width="11" style="188" customWidth="1"/>
    <col min="44" max="46" width="8.85546875" style="188"/>
    <col min="47" max="47" width="21" style="188" customWidth="1"/>
    <col min="48" max="48" width="24.42578125" style="188" customWidth="1"/>
    <col min="49" max="49" width="15.140625" style="234" customWidth="1"/>
    <col min="50" max="50" width="10.42578125" style="188" customWidth="1"/>
    <col min="51" max="51" width="11.140625" style="188" customWidth="1"/>
    <col min="52" max="52" width="25" style="188" customWidth="1"/>
    <col min="53" max="53" width="6" style="188" customWidth="1"/>
    <col min="54" max="16384" width="8.85546875" style="188"/>
  </cols>
  <sheetData>
    <row r="1" spans="1:53" ht="13.5" thickBot="1" x14ac:dyDescent="0.25">
      <c r="A1" s="654" t="s">
        <v>0</v>
      </c>
      <c r="B1" s="654"/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654"/>
      <c r="P1" s="654"/>
      <c r="Q1" s="654"/>
      <c r="R1" s="654"/>
      <c r="S1" s="654"/>
      <c r="T1" s="654"/>
      <c r="U1" s="654"/>
      <c r="V1" s="654"/>
      <c r="W1" s="654"/>
      <c r="X1" s="654"/>
      <c r="Y1" s="654"/>
      <c r="Z1" s="654"/>
      <c r="AA1" s="654"/>
      <c r="AB1" s="654"/>
      <c r="AC1" s="654"/>
      <c r="AD1" s="654"/>
      <c r="AE1" s="654"/>
      <c r="AF1" s="654"/>
      <c r="AG1" s="654"/>
      <c r="AH1" s="654"/>
      <c r="AI1" s="654"/>
      <c r="AJ1" s="189"/>
      <c r="AK1" s="189"/>
      <c r="AL1" s="189"/>
      <c r="AM1" s="189"/>
      <c r="AN1" s="189"/>
      <c r="AO1" s="189"/>
      <c r="AP1" s="189"/>
      <c r="AQ1" s="190" t="s">
        <v>1166</v>
      </c>
      <c r="AR1" s="191"/>
      <c r="AT1" s="655" t="s">
        <v>1</v>
      </c>
      <c r="AU1" s="656"/>
      <c r="AV1" s="656"/>
      <c r="AW1" s="657"/>
      <c r="AX1" s="658" t="s">
        <v>2</v>
      </c>
      <c r="AY1" s="659"/>
      <c r="AZ1" s="193" t="s">
        <v>3</v>
      </c>
      <c r="BA1" s="194">
        <v>32</v>
      </c>
    </row>
    <row r="2" spans="1:53" ht="18.75" customHeight="1" thickBot="1" x14ac:dyDescent="0.3">
      <c r="A2" s="660" t="s">
        <v>4</v>
      </c>
      <c r="B2" s="661"/>
      <c r="C2" s="661"/>
      <c r="D2" s="661"/>
      <c r="E2" s="661"/>
      <c r="F2" s="661"/>
      <c r="G2" s="661"/>
      <c r="H2" s="661"/>
      <c r="I2" s="662"/>
      <c r="J2" s="663" t="s">
        <v>351</v>
      </c>
      <c r="K2" s="664"/>
      <c r="L2" s="664"/>
      <c r="M2" s="664"/>
      <c r="N2" s="664"/>
      <c r="O2" s="664"/>
      <c r="P2" s="664"/>
      <c r="Q2" s="664"/>
      <c r="R2" s="664"/>
      <c r="S2" s="664"/>
      <c r="T2" s="664"/>
      <c r="U2" s="664"/>
      <c r="V2" s="664"/>
      <c r="W2" s="664"/>
      <c r="X2" s="665"/>
      <c r="Y2" s="666" t="s">
        <v>5</v>
      </c>
      <c r="Z2" s="667"/>
      <c r="AA2" s="667"/>
      <c r="AB2" s="667"/>
      <c r="AC2" s="668"/>
      <c r="AD2" s="637" t="s">
        <v>362</v>
      </c>
      <c r="AE2" s="637"/>
      <c r="AF2" s="637"/>
      <c r="AG2" s="637"/>
      <c r="AH2" s="637"/>
      <c r="AI2" s="638"/>
      <c r="AJ2" s="195"/>
      <c r="AK2" s="195"/>
      <c r="AL2" s="195"/>
      <c r="AM2" s="195"/>
      <c r="AN2" s="195"/>
      <c r="AO2" s="195"/>
      <c r="AP2" s="195"/>
      <c r="AQ2" s="195"/>
      <c r="AR2" s="191"/>
      <c r="AT2" s="196" t="s">
        <v>6</v>
      </c>
      <c r="AU2" s="197" t="s">
        <v>7</v>
      </c>
      <c r="AV2" s="198" t="s">
        <v>8</v>
      </c>
      <c r="AW2" s="192" t="s">
        <v>9</v>
      </c>
      <c r="AX2" s="199" t="s">
        <v>10</v>
      </c>
      <c r="AY2" s="192" t="s">
        <v>11</v>
      </c>
      <c r="AZ2" s="193" t="s">
        <v>12</v>
      </c>
      <c r="BA2" s="194">
        <v>16</v>
      </c>
    </row>
    <row r="3" spans="1:53" ht="18.75" customHeight="1" thickBot="1" x14ac:dyDescent="0.3">
      <c r="A3" s="200" t="s">
        <v>13</v>
      </c>
      <c r="B3" s="639" t="s">
        <v>1187</v>
      </c>
      <c r="C3" s="640"/>
      <c r="D3" s="640"/>
      <c r="E3" s="640"/>
      <c r="F3" s="640"/>
      <c r="G3" s="640"/>
      <c r="H3" s="640"/>
      <c r="I3" s="640"/>
      <c r="J3" s="640"/>
      <c r="K3" s="640"/>
      <c r="L3" s="640"/>
      <c r="M3" s="640"/>
      <c r="N3" s="640"/>
      <c r="O3" s="641"/>
      <c r="P3" s="642" t="s">
        <v>14</v>
      </c>
      <c r="Q3" s="643"/>
      <c r="R3" s="643"/>
      <c r="S3" s="644" t="s">
        <v>1188</v>
      </c>
      <c r="T3" s="645"/>
      <c r="U3" s="645"/>
      <c r="V3" s="645"/>
      <c r="W3" s="645"/>
      <c r="X3" s="646"/>
      <c r="Y3" s="647" t="s">
        <v>15</v>
      </c>
      <c r="Z3" s="648"/>
      <c r="AA3" s="648"/>
      <c r="AB3" s="648"/>
      <c r="AC3" s="648"/>
      <c r="AD3" s="649"/>
      <c r="AE3" s="650" t="s">
        <v>16</v>
      </c>
      <c r="AF3" s="651"/>
      <c r="AG3" s="652" t="s">
        <v>17</v>
      </c>
      <c r="AH3" s="652"/>
      <c r="AI3" s="653"/>
      <c r="AJ3" s="195"/>
      <c r="AK3" s="195"/>
      <c r="AL3" s="195"/>
      <c r="AM3" s="195"/>
      <c r="AN3" s="195"/>
      <c r="AO3" s="195"/>
      <c r="AP3" s="195"/>
      <c r="AQ3" s="195"/>
      <c r="AR3" s="191"/>
      <c r="AT3" s="201">
        <v>1</v>
      </c>
      <c r="AU3" s="167" t="s">
        <v>310</v>
      </c>
      <c r="AV3" s="167" t="s">
        <v>311</v>
      </c>
      <c r="AW3" s="16">
        <f>VLOOKUP(AV3,Initial!G:K,5,FALSE)</f>
        <v>1811.1441592697583</v>
      </c>
      <c r="AX3" s="202">
        <f t="shared" ref="AX3:AX16" si="0">VLOOKUP(AU3,AT$79:AU$259,2,FALSE)</f>
        <v>1813.3875911750119</v>
      </c>
      <c r="AY3" s="203">
        <f t="shared" ref="AY3:AY16" si="1">IF(ISNA(VLOOKUP(AU3,AT$273:AU$373,2,FALSE)),AX3,VLOOKUP(AU3,AT$273:AU$373,2,FALSE))</f>
        <v>1832.4676561060883</v>
      </c>
    </row>
    <row r="4" spans="1:53" ht="24" customHeight="1" thickBot="1" x14ac:dyDescent="0.25">
      <c r="A4" s="630" t="s">
        <v>18</v>
      </c>
      <c r="B4" s="631"/>
      <c r="C4" s="631"/>
      <c r="D4" s="632"/>
      <c r="E4" s="633" t="s">
        <v>1171</v>
      </c>
      <c r="F4" s="634"/>
      <c r="G4" s="634"/>
      <c r="H4" s="634"/>
      <c r="I4" s="634"/>
      <c r="J4" s="634"/>
      <c r="K4" s="634"/>
      <c r="L4" s="634"/>
      <c r="M4" s="635"/>
      <c r="N4" s="630" t="s">
        <v>19</v>
      </c>
      <c r="O4" s="631"/>
      <c r="P4" s="631"/>
      <c r="Q4" s="632"/>
      <c r="R4" s="636"/>
      <c r="S4" s="637"/>
      <c r="T4" s="637"/>
      <c r="U4" s="637"/>
      <c r="V4" s="637"/>
      <c r="W4" s="637"/>
      <c r="X4" s="637"/>
      <c r="Y4" s="637"/>
      <c r="Z4" s="637"/>
      <c r="AA4" s="638"/>
      <c r="AB4" s="630" t="s">
        <v>20</v>
      </c>
      <c r="AC4" s="631"/>
      <c r="AD4" s="631"/>
      <c r="AE4" s="632"/>
      <c r="AF4" s="636"/>
      <c r="AG4" s="637"/>
      <c r="AH4" s="637"/>
      <c r="AI4" s="638"/>
      <c r="AJ4" s="195"/>
      <c r="AK4" s="195"/>
      <c r="AL4" s="195"/>
      <c r="AM4" s="195"/>
      <c r="AN4" s="195"/>
      <c r="AO4" s="195"/>
      <c r="AP4" s="195"/>
      <c r="AQ4" s="195"/>
      <c r="AR4" s="191"/>
      <c r="AT4" s="204">
        <v>2</v>
      </c>
      <c r="AU4" s="167" t="s">
        <v>497</v>
      </c>
      <c r="AV4" s="167" t="s">
        <v>498</v>
      </c>
      <c r="AW4" s="16">
        <f>VLOOKUP(AV4,Initial!G:K,5,FALSE)</f>
        <v>1741.8911152621556</v>
      </c>
      <c r="AX4" s="205">
        <f t="shared" si="0"/>
        <v>1800.7490095963151</v>
      </c>
      <c r="AY4" s="206">
        <f t="shared" si="1"/>
        <v>1799.434316797571</v>
      </c>
    </row>
    <row r="5" spans="1:53" ht="15.75" thickBot="1" x14ac:dyDescent="0.25">
      <c r="A5" s="189" t="s">
        <v>21</v>
      </c>
      <c r="B5" s="627" t="s">
        <v>21</v>
      </c>
      <c r="C5" s="628"/>
      <c r="D5" s="628"/>
      <c r="E5" s="628"/>
      <c r="F5" s="628"/>
      <c r="G5" s="628"/>
      <c r="H5" s="628"/>
      <c r="I5" s="628"/>
      <c r="J5" s="628"/>
      <c r="K5" s="629" t="s">
        <v>21</v>
      </c>
      <c r="L5" s="629"/>
      <c r="M5" s="629"/>
      <c r="N5" s="629"/>
      <c r="O5" s="629"/>
      <c r="P5" s="629"/>
      <c r="Q5" s="629"/>
      <c r="R5" s="629"/>
      <c r="S5" s="629"/>
      <c r="T5" s="629"/>
      <c r="U5" s="629"/>
      <c r="V5" s="629"/>
      <c r="W5" s="629"/>
      <c r="X5" s="629"/>
      <c r="Y5" s="629"/>
      <c r="Z5" s="629"/>
      <c r="AA5" s="629"/>
      <c r="AB5" s="629"/>
      <c r="AC5" s="629"/>
      <c r="AD5" s="629"/>
      <c r="AE5" s="629"/>
      <c r="AF5" s="189"/>
      <c r="AG5" s="189"/>
      <c r="AH5" s="189"/>
      <c r="AI5" s="189"/>
      <c r="AJ5" s="189"/>
      <c r="AK5" s="189"/>
      <c r="AL5" s="189"/>
      <c r="AM5" s="189"/>
      <c r="AN5" s="189"/>
      <c r="AO5" s="189"/>
      <c r="AP5" s="189"/>
      <c r="AQ5" s="189"/>
      <c r="AR5" s="191"/>
      <c r="AT5" s="204">
        <v>3</v>
      </c>
      <c r="AU5" s="167" t="s">
        <v>186</v>
      </c>
      <c r="AV5" s="167" t="s">
        <v>515</v>
      </c>
      <c r="AW5" s="16">
        <f>VLOOKUP(AV5,Initial!G:K,5,FALSE)</f>
        <v>1838.133719846739</v>
      </c>
      <c r="AX5" s="205">
        <f t="shared" si="0"/>
        <v>1911.7845303285756</v>
      </c>
      <c r="AY5" s="206">
        <f t="shared" si="1"/>
        <v>1920.2615501216155</v>
      </c>
    </row>
    <row r="6" spans="1:53" ht="24" customHeight="1" thickBot="1" x14ac:dyDescent="0.25">
      <c r="A6" s="207" t="s">
        <v>22</v>
      </c>
      <c r="B6" s="208" t="s">
        <v>23</v>
      </c>
      <c r="C6" s="600" t="s">
        <v>24</v>
      </c>
      <c r="D6" s="601"/>
      <c r="E6" s="601"/>
      <c r="F6" s="601"/>
      <c r="G6" s="601"/>
      <c r="H6" s="602"/>
      <c r="I6" s="603">
        <v>4</v>
      </c>
      <c r="J6" s="604"/>
      <c r="K6" s="605" t="str">
        <f>"Pool "&amp;B6&amp;" - Round 1 - Court "&amp;I6</f>
        <v>Pool A - Round 1 - Court 4</v>
      </c>
      <c r="L6" s="606"/>
      <c r="M6" s="606"/>
      <c r="N6" s="606"/>
      <c r="O6" s="606"/>
      <c r="P6" s="606"/>
      <c r="Q6" s="606"/>
      <c r="R6" s="606"/>
      <c r="S6" s="606"/>
      <c r="T6" s="606"/>
      <c r="U6" s="606"/>
      <c r="V6" s="606"/>
      <c r="W6" s="606"/>
      <c r="X6" s="606"/>
      <c r="Y6" s="606"/>
      <c r="Z6" s="606"/>
      <c r="AA6" s="606"/>
      <c r="AB6" s="606"/>
      <c r="AC6" s="606"/>
      <c r="AD6" s="606"/>
      <c r="AE6" s="606"/>
      <c r="AF6" s="606"/>
      <c r="AG6" s="606"/>
      <c r="AH6" s="606"/>
      <c r="AI6" s="607"/>
      <c r="AJ6" s="195"/>
      <c r="AK6" s="195"/>
      <c r="AL6" s="195"/>
      <c r="AM6" s="195"/>
      <c r="AN6" s="195"/>
      <c r="AO6" s="195"/>
      <c r="AP6" s="195"/>
      <c r="AQ6" s="195"/>
      <c r="AT6" s="204">
        <v>4</v>
      </c>
      <c r="AU6" s="167" t="s">
        <v>432</v>
      </c>
      <c r="AV6" s="167" t="s">
        <v>433</v>
      </c>
      <c r="AW6" s="1035">
        <v>1847.2848952463767</v>
      </c>
      <c r="AX6" s="205">
        <f t="shared" si="0"/>
        <v>1854.2214179244468</v>
      </c>
      <c r="AY6" s="206">
        <f t="shared" si="1"/>
        <v>1847.4634591582353</v>
      </c>
      <c r="AZ6" s="249">
        <f>AY6-AW6</f>
        <v>0.17856391185864595</v>
      </c>
    </row>
    <row r="7" spans="1:53" ht="27" customHeight="1" thickBot="1" x14ac:dyDescent="0.25">
      <c r="A7" s="209" t="s">
        <v>25</v>
      </c>
      <c r="B7" s="608" t="s">
        <v>7</v>
      </c>
      <c r="C7" s="609"/>
      <c r="D7" s="609"/>
      <c r="E7" s="609"/>
      <c r="F7" s="609"/>
      <c r="G7" s="609"/>
      <c r="H7" s="609"/>
      <c r="I7" s="609"/>
      <c r="J7" s="609"/>
      <c r="K7" s="609"/>
      <c r="L7" s="608" t="str">
        <f>IF($AK10=0,"Games Won","Matches Won")</f>
        <v>Games Won</v>
      </c>
      <c r="M7" s="609"/>
      <c r="N7" s="609"/>
      <c r="O7" s="609"/>
      <c r="P7" s="609"/>
      <c r="Q7" s="610"/>
      <c r="R7" s="608" t="str">
        <f>IF($AK10=0,"Games Lost","Matches Lost")</f>
        <v>Games Lost</v>
      </c>
      <c r="S7" s="611"/>
      <c r="T7" s="611"/>
      <c r="U7" s="611"/>
      <c r="V7" s="612"/>
      <c r="W7" s="613" t="s">
        <v>26</v>
      </c>
      <c r="X7" s="614"/>
      <c r="Y7" s="615"/>
      <c r="Z7" s="613" t="s">
        <v>27</v>
      </c>
      <c r="AA7" s="614"/>
      <c r="AB7" s="615"/>
      <c r="AC7" s="616" t="s">
        <v>28</v>
      </c>
      <c r="AD7" s="617"/>
      <c r="AE7" s="618"/>
      <c r="AF7" s="210" t="s">
        <v>29</v>
      </c>
      <c r="AG7" s="211" t="s">
        <v>6</v>
      </c>
      <c r="AH7" s="598" t="s">
        <v>30</v>
      </c>
      <c r="AI7" s="599"/>
      <c r="AJ7" s="212"/>
      <c r="AK7" s="213">
        <v>2</v>
      </c>
      <c r="AL7" s="214" t="s">
        <v>31</v>
      </c>
      <c r="AM7" s="214"/>
      <c r="AN7" s="214"/>
      <c r="AO7" s="214"/>
      <c r="AP7" s="214"/>
      <c r="AQ7" s="214"/>
      <c r="AR7" s="215"/>
      <c r="AT7" s="204">
        <v>5</v>
      </c>
      <c r="AU7" s="167" t="s">
        <v>1178</v>
      </c>
      <c r="AV7" s="167" t="s">
        <v>439</v>
      </c>
      <c r="AW7" s="1035">
        <v>2183.1579628857221</v>
      </c>
      <c r="AX7" s="205">
        <f t="shared" si="0"/>
        <v>2196.7281517451793</v>
      </c>
      <c r="AY7" s="206">
        <f t="shared" si="1"/>
        <v>2183.3270107723647</v>
      </c>
      <c r="AZ7" s="249">
        <f t="shared" ref="AZ7:AZ8" si="2">AY7-AW7</f>
        <v>0.16904788664260195</v>
      </c>
    </row>
    <row r="8" spans="1:53" ht="18.75" customHeight="1" thickBot="1" x14ac:dyDescent="0.25">
      <c r="A8" s="564" t="str">
        <f>IF($AK9&gt;0,"1","")</f>
        <v>1</v>
      </c>
      <c r="B8" s="595" t="s">
        <v>7</v>
      </c>
      <c r="C8" s="596"/>
      <c r="D8" s="597"/>
      <c r="E8" s="587" t="str">
        <f>AU3</f>
        <v>BVA 14W</v>
      </c>
      <c r="F8" s="588"/>
      <c r="G8" s="588"/>
      <c r="H8" s="588"/>
      <c r="I8" s="588"/>
      <c r="J8" s="588"/>
      <c r="K8" s="589"/>
      <c r="L8" s="571">
        <f>IF($AK10=0,AF64,AF46)</f>
        <v>4</v>
      </c>
      <c r="M8" s="572"/>
      <c r="N8" s="572"/>
      <c r="O8" s="572"/>
      <c r="P8" s="572"/>
      <c r="Q8" s="610"/>
      <c r="R8" s="571">
        <f>IF($AK10=0,AG64,AG46)</f>
        <v>4</v>
      </c>
      <c r="S8" s="572"/>
      <c r="T8" s="572"/>
      <c r="U8" s="572"/>
      <c r="V8" s="572"/>
      <c r="W8" s="571">
        <f>AQ24</f>
        <v>-4</v>
      </c>
      <c r="X8" s="572"/>
      <c r="Y8" s="572"/>
      <c r="Z8" s="544">
        <f>IF(AF58&gt;0,(AQ24/AF58),0)</f>
        <v>-1.9607843137254902E-2</v>
      </c>
      <c r="AA8" s="545"/>
      <c r="AB8" s="545"/>
      <c r="AC8" s="548">
        <f>IF(AF72=0,0,(AF64/AF72))</f>
        <v>0.5</v>
      </c>
      <c r="AD8" s="549"/>
      <c r="AE8" s="550"/>
      <c r="AF8" s="554">
        <v>3</v>
      </c>
      <c r="AG8" s="554">
        <v>1</v>
      </c>
      <c r="AH8" s="556">
        <v>5</v>
      </c>
      <c r="AI8" s="557"/>
      <c r="AJ8" s="212"/>
      <c r="AK8" s="213">
        <v>10</v>
      </c>
      <c r="AL8" s="214" t="s">
        <v>32</v>
      </c>
      <c r="AM8" s="214"/>
      <c r="AN8" s="214"/>
      <c r="AO8" s="214"/>
      <c r="AP8" s="214"/>
      <c r="AQ8" s="214"/>
      <c r="AR8" s="215"/>
      <c r="AT8" s="204">
        <v>6</v>
      </c>
      <c r="AU8" s="167" t="s">
        <v>455</v>
      </c>
      <c r="AV8" s="167" t="s">
        <v>456</v>
      </c>
      <c r="AW8" s="1035">
        <v>2200</v>
      </c>
      <c r="AX8" s="205">
        <f t="shared" si="0"/>
        <v>2219.9725103389865</v>
      </c>
      <c r="AY8" s="206">
        <f t="shared" si="1"/>
        <v>2226.2113243175049</v>
      </c>
      <c r="AZ8" s="249">
        <f t="shared" si="2"/>
        <v>26.211324317504932</v>
      </c>
    </row>
    <row r="9" spans="1:53" ht="18.75" customHeight="1" thickBot="1" x14ac:dyDescent="0.25">
      <c r="A9" s="565"/>
      <c r="B9" s="592" t="s">
        <v>8</v>
      </c>
      <c r="C9" s="593"/>
      <c r="D9" s="594"/>
      <c r="E9" s="585" t="str">
        <f>AV3</f>
        <v>fj4biltm3cr</v>
      </c>
      <c r="F9" s="586"/>
      <c r="G9" s="586"/>
      <c r="H9" s="586"/>
      <c r="I9" s="586"/>
      <c r="J9" s="586"/>
      <c r="K9" s="586"/>
      <c r="L9" s="590"/>
      <c r="M9" s="591"/>
      <c r="N9" s="591"/>
      <c r="O9" s="591"/>
      <c r="P9" s="591"/>
      <c r="Q9" s="610"/>
      <c r="R9" s="590"/>
      <c r="S9" s="591"/>
      <c r="T9" s="591"/>
      <c r="U9" s="591"/>
      <c r="V9" s="591"/>
      <c r="W9" s="590"/>
      <c r="X9" s="591"/>
      <c r="Y9" s="591"/>
      <c r="Z9" s="575"/>
      <c r="AA9" s="576"/>
      <c r="AB9" s="576"/>
      <c r="AC9" s="577"/>
      <c r="AD9" s="578"/>
      <c r="AE9" s="579"/>
      <c r="AF9" s="580"/>
      <c r="AG9" s="580"/>
      <c r="AH9" s="581"/>
      <c r="AI9" s="582"/>
      <c r="AJ9" s="212"/>
      <c r="AK9" s="213">
        <v>5</v>
      </c>
      <c r="AL9" s="214" t="s">
        <v>33</v>
      </c>
      <c r="AM9" s="212"/>
      <c r="AN9" s="212"/>
      <c r="AO9" s="212"/>
      <c r="AP9" s="212"/>
      <c r="AQ9" s="212"/>
      <c r="AR9" s="191"/>
      <c r="AT9" s="204">
        <v>7</v>
      </c>
      <c r="AU9" s="167" t="s">
        <v>382</v>
      </c>
      <c r="AV9" s="167" t="s">
        <v>383</v>
      </c>
      <c r="AW9" s="16">
        <f>VLOOKUP(AV9,Initial!G:K,5,FALSE)</f>
        <v>1805.1071930791211</v>
      </c>
      <c r="AX9" s="205">
        <f t="shared" si="0"/>
        <v>1839.7546501288846</v>
      </c>
      <c r="AY9" s="206">
        <f t="shared" si="1"/>
        <v>1831.1486890310628</v>
      </c>
    </row>
    <row r="10" spans="1:53" ht="18.75" customHeight="1" thickBot="1" x14ac:dyDescent="0.25">
      <c r="A10" s="564" t="str">
        <f>IF($AK9&gt;1,"2","")</f>
        <v>2</v>
      </c>
      <c r="B10" s="595" t="s">
        <v>7</v>
      </c>
      <c r="C10" s="596"/>
      <c r="D10" s="597"/>
      <c r="E10" s="587" t="str">
        <f>AU8</f>
        <v>NETVC 14AMy</v>
      </c>
      <c r="F10" s="588"/>
      <c r="G10" s="588"/>
      <c r="H10" s="588"/>
      <c r="I10" s="588"/>
      <c r="J10" s="588"/>
      <c r="K10" s="589"/>
      <c r="L10" s="571">
        <f>IF($AK10=0,AF65,AF47)</f>
        <v>8</v>
      </c>
      <c r="M10" s="572"/>
      <c r="N10" s="572"/>
      <c r="O10" s="572"/>
      <c r="P10" s="572"/>
      <c r="Q10" s="610"/>
      <c r="R10" s="571">
        <f>IF($AK10=0,AG65,AG47)</f>
        <v>0</v>
      </c>
      <c r="S10" s="572"/>
      <c r="T10" s="572"/>
      <c r="U10" s="572"/>
      <c r="V10" s="572"/>
      <c r="W10" s="571">
        <f>AQ25</f>
        <v>49</v>
      </c>
      <c r="X10" s="572"/>
      <c r="Y10" s="572"/>
      <c r="Z10" s="544">
        <f>IF(AF59&gt;0,(AQ25/AF59),0)</f>
        <v>0.24378109452736318</v>
      </c>
      <c r="AA10" s="545"/>
      <c r="AB10" s="545"/>
      <c r="AC10" s="548">
        <f>IF(AF73=0,0,(AF65/AF73))</f>
        <v>1</v>
      </c>
      <c r="AD10" s="549"/>
      <c r="AE10" s="550"/>
      <c r="AF10" s="554">
        <v>1</v>
      </c>
      <c r="AG10" s="554">
        <v>1</v>
      </c>
      <c r="AH10" s="556">
        <v>1</v>
      </c>
      <c r="AI10" s="557"/>
      <c r="AJ10" s="212"/>
      <c r="AK10" s="213">
        <v>0</v>
      </c>
      <c r="AL10" s="214" t="s">
        <v>34</v>
      </c>
      <c r="AM10" s="214"/>
      <c r="AN10" s="214"/>
      <c r="AO10" s="214"/>
      <c r="AP10" s="214"/>
      <c r="AQ10" s="214"/>
      <c r="AR10" s="215"/>
      <c r="AT10" s="204">
        <v>8</v>
      </c>
      <c r="AU10" s="167" t="s">
        <v>452</v>
      </c>
      <c r="AV10" s="167" t="s">
        <v>322</v>
      </c>
      <c r="AW10" s="1035">
        <v>1642.7424569844798</v>
      </c>
      <c r="AX10" s="205">
        <f t="shared" si="0"/>
        <v>1646.5246100135871</v>
      </c>
      <c r="AY10" s="206">
        <f t="shared" si="1"/>
        <v>1642.8084649465441</v>
      </c>
      <c r="AZ10" s="249">
        <f>AY10-AW10</f>
        <v>6.6007962064304593E-2</v>
      </c>
    </row>
    <row r="11" spans="1:53" ht="18.75" customHeight="1" thickBot="1" x14ac:dyDescent="0.25">
      <c r="A11" s="565"/>
      <c r="B11" s="583" t="s">
        <v>8</v>
      </c>
      <c r="C11" s="584"/>
      <c r="D11" s="584"/>
      <c r="E11" s="585" t="str">
        <f>AV8</f>
        <v>fj4netvc3so</v>
      </c>
      <c r="F11" s="586"/>
      <c r="G11" s="586"/>
      <c r="H11" s="586"/>
      <c r="I11" s="586"/>
      <c r="J11" s="586"/>
      <c r="K11" s="586"/>
      <c r="L11" s="590"/>
      <c r="M11" s="591"/>
      <c r="N11" s="591"/>
      <c r="O11" s="591"/>
      <c r="P11" s="591"/>
      <c r="Q11" s="610"/>
      <c r="R11" s="590"/>
      <c r="S11" s="591"/>
      <c r="T11" s="591"/>
      <c r="U11" s="591"/>
      <c r="V11" s="591"/>
      <c r="W11" s="590"/>
      <c r="X11" s="591"/>
      <c r="Y11" s="591"/>
      <c r="Z11" s="575"/>
      <c r="AA11" s="576"/>
      <c r="AB11" s="576"/>
      <c r="AC11" s="577"/>
      <c r="AD11" s="578"/>
      <c r="AE11" s="579"/>
      <c r="AF11" s="580"/>
      <c r="AG11" s="580"/>
      <c r="AH11" s="581"/>
      <c r="AI11" s="582"/>
      <c r="AJ11" s="212"/>
      <c r="AK11" s="213">
        <v>1</v>
      </c>
      <c r="AL11" s="214" t="s">
        <v>35</v>
      </c>
      <c r="AM11" s="212"/>
      <c r="AN11" s="212"/>
      <c r="AO11" s="212"/>
      <c r="AP11" s="212"/>
      <c r="AQ11" s="212"/>
      <c r="AR11" s="191"/>
      <c r="AT11" s="204">
        <v>9</v>
      </c>
      <c r="AU11" s="167" t="s">
        <v>506</v>
      </c>
      <c r="AV11" s="167" t="s">
        <v>507</v>
      </c>
      <c r="AW11" s="16">
        <f>VLOOKUP(AV11,Initial!G:K,5,FALSE)</f>
        <v>1741.3689204677482</v>
      </c>
      <c r="AX11" s="205">
        <f t="shared" si="0"/>
        <v>1729.1507888646631</v>
      </c>
      <c r="AY11" s="206">
        <f t="shared" si="1"/>
        <v>1745.7532376061822</v>
      </c>
    </row>
    <row r="12" spans="1:53" ht="18.75" customHeight="1" thickBot="1" x14ac:dyDescent="0.25">
      <c r="A12" s="564" t="str">
        <f>IF($AK9&gt;2,"3","")</f>
        <v>3</v>
      </c>
      <c r="B12" s="566" t="s">
        <v>7</v>
      </c>
      <c r="C12" s="567"/>
      <c r="D12" s="567"/>
      <c r="E12" s="587" t="str">
        <f>AU9</f>
        <v>Sumter VBC 14</v>
      </c>
      <c r="F12" s="588"/>
      <c r="G12" s="588"/>
      <c r="H12" s="588"/>
      <c r="I12" s="588"/>
      <c r="J12" s="588"/>
      <c r="K12" s="589"/>
      <c r="L12" s="571">
        <f>IF($AK10=0,AF66,AF48)</f>
        <v>5</v>
      </c>
      <c r="M12" s="572"/>
      <c r="N12" s="572"/>
      <c r="O12" s="572"/>
      <c r="P12" s="572"/>
      <c r="Q12" s="610"/>
      <c r="R12" s="571">
        <f>IF($AK10=0,AG66,AG48)</f>
        <v>3</v>
      </c>
      <c r="S12" s="572"/>
      <c r="T12" s="572"/>
      <c r="U12" s="572"/>
      <c r="V12" s="572"/>
      <c r="W12" s="571">
        <f>AQ26</f>
        <v>13</v>
      </c>
      <c r="X12" s="572"/>
      <c r="Y12" s="572"/>
      <c r="Z12" s="544">
        <f>IF(AF60&gt;0,(AQ26/AF60),0)</f>
        <v>6.4676616915422883E-2</v>
      </c>
      <c r="AA12" s="545"/>
      <c r="AB12" s="545"/>
      <c r="AC12" s="548">
        <f>IF(AF74=0,0,(AF66/AF74))</f>
        <v>0.625</v>
      </c>
      <c r="AD12" s="549"/>
      <c r="AE12" s="550"/>
      <c r="AF12" s="554">
        <v>2</v>
      </c>
      <c r="AG12" s="554">
        <v>1</v>
      </c>
      <c r="AH12" s="556">
        <v>7</v>
      </c>
      <c r="AI12" s="557"/>
      <c r="AJ12" s="216"/>
      <c r="AK12" s="213">
        <v>8</v>
      </c>
      <c r="AL12" s="217" t="s">
        <v>36</v>
      </c>
      <c r="AM12" s="214"/>
      <c r="AN12" s="214"/>
      <c r="AO12" s="214"/>
      <c r="AP12" s="214"/>
      <c r="AQ12" s="214"/>
      <c r="AR12" s="215"/>
      <c r="AT12" s="204">
        <v>10</v>
      </c>
      <c r="AU12" s="167" t="s">
        <v>416</v>
      </c>
      <c r="AV12" s="167" t="s">
        <v>417</v>
      </c>
      <c r="AW12" s="16">
        <f>VLOOKUP(AV12,Initial!G:K,5,FALSE)</f>
        <v>1716.1266950832369</v>
      </c>
      <c r="AX12" s="205">
        <f t="shared" si="0"/>
        <v>1647.7574935264154</v>
      </c>
      <c r="AY12" s="206">
        <f t="shared" si="1"/>
        <v>1641.5980941199523</v>
      </c>
    </row>
    <row r="13" spans="1:53" ht="18.75" customHeight="1" thickBot="1" x14ac:dyDescent="0.25">
      <c r="A13" s="565"/>
      <c r="B13" s="583" t="s">
        <v>8</v>
      </c>
      <c r="C13" s="584"/>
      <c r="D13" s="584"/>
      <c r="E13" s="585" t="str">
        <f>AV9</f>
        <v>fj4sumtr1pm</v>
      </c>
      <c r="F13" s="586"/>
      <c r="G13" s="586"/>
      <c r="H13" s="586"/>
      <c r="I13" s="586"/>
      <c r="J13" s="586"/>
      <c r="K13" s="586"/>
      <c r="L13" s="590"/>
      <c r="M13" s="591"/>
      <c r="N13" s="591"/>
      <c r="O13" s="591"/>
      <c r="P13" s="591"/>
      <c r="Q13" s="610"/>
      <c r="R13" s="590"/>
      <c r="S13" s="591"/>
      <c r="T13" s="591"/>
      <c r="U13" s="591"/>
      <c r="V13" s="591"/>
      <c r="W13" s="590"/>
      <c r="X13" s="591"/>
      <c r="Y13" s="591"/>
      <c r="Z13" s="575"/>
      <c r="AA13" s="576"/>
      <c r="AB13" s="576"/>
      <c r="AC13" s="577"/>
      <c r="AD13" s="578"/>
      <c r="AE13" s="579"/>
      <c r="AF13" s="580"/>
      <c r="AG13" s="580"/>
      <c r="AH13" s="581"/>
      <c r="AI13" s="582"/>
      <c r="AJ13" s="216"/>
      <c r="AK13" s="218"/>
      <c r="AL13" s="219"/>
      <c r="AM13" s="219"/>
      <c r="AN13" s="219"/>
      <c r="AO13" s="219"/>
      <c r="AP13" s="219"/>
      <c r="AQ13" s="212"/>
      <c r="AR13" s="191"/>
      <c r="AT13" s="204">
        <v>11</v>
      </c>
      <c r="AU13" s="167" t="s">
        <v>434</v>
      </c>
      <c r="AV13" s="167" t="s">
        <v>241</v>
      </c>
      <c r="AW13" s="16">
        <f>VLOOKUP(AV13,Initial!G:K,5,FALSE)</f>
        <v>1695.6949666343532</v>
      </c>
      <c r="AX13" s="205">
        <f t="shared" si="0"/>
        <v>1591.7374264549485</v>
      </c>
      <c r="AY13" s="206">
        <f t="shared" si="1"/>
        <v>1591.7374264549485</v>
      </c>
    </row>
    <row r="14" spans="1:53" ht="18.75" customHeight="1" thickBot="1" x14ac:dyDescent="0.25">
      <c r="A14" s="564" t="str">
        <f>IF($AK9&gt;3,"4","")</f>
        <v>4</v>
      </c>
      <c r="B14" s="566" t="s">
        <v>7</v>
      </c>
      <c r="C14" s="567"/>
      <c r="D14" s="567"/>
      <c r="E14" s="587" t="str">
        <f>AU14</f>
        <v>SC Midlands 14 Garnet</v>
      </c>
      <c r="F14" s="588"/>
      <c r="G14" s="588"/>
      <c r="H14" s="588"/>
      <c r="I14" s="588"/>
      <c r="J14" s="588"/>
      <c r="K14" s="589"/>
      <c r="L14" s="571">
        <f>IF($AK10=0,AF67,AF49)</f>
        <v>3</v>
      </c>
      <c r="M14" s="572"/>
      <c r="N14" s="572"/>
      <c r="O14" s="572"/>
      <c r="P14" s="572"/>
      <c r="Q14" s="610"/>
      <c r="R14" s="571">
        <f>IF($AK10=0,AG67,AG49)</f>
        <v>5</v>
      </c>
      <c r="S14" s="572"/>
      <c r="T14" s="572"/>
      <c r="U14" s="572"/>
      <c r="V14" s="572"/>
      <c r="W14" s="571">
        <f>AQ27</f>
        <v>0</v>
      </c>
      <c r="X14" s="572"/>
      <c r="Y14" s="572"/>
      <c r="Z14" s="544">
        <f>IF(AF61&gt;0,(AQ27/AF61),0)</f>
        <v>0</v>
      </c>
      <c r="AA14" s="545"/>
      <c r="AB14" s="545"/>
      <c r="AC14" s="548">
        <f>IF(AF75=0,0,(AF67/AF75))</f>
        <v>0.375</v>
      </c>
      <c r="AD14" s="549"/>
      <c r="AE14" s="550"/>
      <c r="AF14" s="554">
        <v>4</v>
      </c>
      <c r="AG14" s="554">
        <v>1</v>
      </c>
      <c r="AH14" s="556">
        <v>11</v>
      </c>
      <c r="AI14" s="557"/>
      <c r="AJ14" s="195"/>
      <c r="AK14" s="219"/>
      <c r="AL14" s="219"/>
      <c r="AM14" s="219"/>
      <c r="AN14" s="219"/>
      <c r="AO14" s="219"/>
      <c r="AP14" s="219"/>
      <c r="AQ14" s="214"/>
      <c r="AR14" s="215"/>
      <c r="AT14" s="204">
        <v>12</v>
      </c>
      <c r="AU14" s="167" t="s">
        <v>313</v>
      </c>
      <c r="AV14" s="167" t="s">
        <v>257</v>
      </c>
      <c r="AW14" s="16">
        <f>VLOOKUP(AV14,Initial!G:K,5,FALSE)</f>
        <v>1720.2289335203257</v>
      </c>
      <c r="AX14" s="205">
        <f t="shared" si="0"/>
        <v>1733.2566986071022</v>
      </c>
      <c r="AY14" s="206">
        <f t="shared" si="1"/>
        <v>1722.2995681426601</v>
      </c>
    </row>
    <row r="15" spans="1:53" ht="18.75" customHeight="1" thickBot="1" x14ac:dyDescent="0.25">
      <c r="A15" s="565"/>
      <c r="B15" s="583" t="s">
        <v>8</v>
      </c>
      <c r="C15" s="584"/>
      <c r="D15" s="584"/>
      <c r="E15" s="585" t="str">
        <f>AV14</f>
        <v>fj4scmid4pm</v>
      </c>
      <c r="F15" s="586"/>
      <c r="G15" s="586"/>
      <c r="H15" s="586"/>
      <c r="I15" s="586"/>
      <c r="J15" s="586"/>
      <c r="K15" s="586"/>
      <c r="L15" s="590"/>
      <c r="M15" s="591"/>
      <c r="N15" s="591"/>
      <c r="O15" s="591"/>
      <c r="P15" s="591"/>
      <c r="Q15" s="610"/>
      <c r="R15" s="590"/>
      <c r="S15" s="591"/>
      <c r="T15" s="591"/>
      <c r="U15" s="591"/>
      <c r="V15" s="591"/>
      <c r="W15" s="590"/>
      <c r="X15" s="591"/>
      <c r="Y15" s="591"/>
      <c r="Z15" s="575"/>
      <c r="AA15" s="576"/>
      <c r="AB15" s="576"/>
      <c r="AC15" s="577"/>
      <c r="AD15" s="578"/>
      <c r="AE15" s="579"/>
      <c r="AF15" s="580"/>
      <c r="AG15" s="580"/>
      <c r="AH15" s="581"/>
      <c r="AI15" s="582"/>
      <c r="AJ15" s="195"/>
      <c r="AK15" s="219"/>
      <c r="AL15" s="219"/>
      <c r="AM15" s="219"/>
      <c r="AN15" s="219"/>
      <c r="AO15" s="219"/>
      <c r="AP15" s="219"/>
      <c r="AQ15" s="195"/>
      <c r="AR15" s="191"/>
      <c r="AT15" s="204">
        <v>13</v>
      </c>
      <c r="AU15" s="167" t="s">
        <v>435</v>
      </c>
      <c r="AV15" s="167" t="s">
        <v>436</v>
      </c>
      <c r="AW15" s="16">
        <f>VLOOKUP(AV15,Initial!G:K,5,FALSE)</f>
        <v>1681.5214943555018</v>
      </c>
      <c r="AX15" s="205">
        <f t="shared" si="0"/>
        <v>1611.6303299747217</v>
      </c>
      <c r="AY15" s="206">
        <f t="shared" si="1"/>
        <v>1611.6303299747217</v>
      </c>
    </row>
    <row r="16" spans="1:53" ht="18.75" customHeight="1" thickBot="1" x14ac:dyDescent="0.25">
      <c r="A16" s="564" t="str">
        <f>IF($AK9&gt;4,"5","")</f>
        <v>5</v>
      </c>
      <c r="B16" s="566" t="s">
        <v>7</v>
      </c>
      <c r="C16" s="567"/>
      <c r="D16" s="567"/>
      <c r="E16" s="587" t="str">
        <f>AU15</f>
        <v>Kershaw 14 White</v>
      </c>
      <c r="F16" s="588"/>
      <c r="G16" s="588"/>
      <c r="H16" s="588"/>
      <c r="I16" s="588"/>
      <c r="J16" s="588"/>
      <c r="K16" s="589"/>
      <c r="L16" s="571">
        <f>IF($AK10=0,AF68,AF50)</f>
        <v>0</v>
      </c>
      <c r="M16" s="572"/>
      <c r="N16" s="572"/>
      <c r="O16" s="572"/>
      <c r="P16" s="572"/>
      <c r="Q16" s="610"/>
      <c r="R16" s="571">
        <f>IF($AK10=0,AG68,AG50)</f>
        <v>8</v>
      </c>
      <c r="S16" s="572"/>
      <c r="T16" s="572"/>
      <c r="U16" s="572"/>
      <c r="V16" s="572"/>
      <c r="W16" s="571">
        <f>AQ28</f>
        <v>-58</v>
      </c>
      <c r="X16" s="572"/>
      <c r="Y16" s="572"/>
      <c r="Z16" s="544">
        <f>IF(AF62&gt;0,(AQ28/AF62),0)</f>
        <v>-0.28855721393034828</v>
      </c>
      <c r="AA16" s="545"/>
      <c r="AB16" s="545"/>
      <c r="AC16" s="548">
        <f>IF(AF76=0,0,(AF68/AF76))</f>
        <v>0</v>
      </c>
      <c r="AD16" s="549"/>
      <c r="AE16" s="550"/>
      <c r="AF16" s="554">
        <v>5</v>
      </c>
      <c r="AG16" s="554">
        <v>1</v>
      </c>
      <c r="AH16" s="556">
        <v>13</v>
      </c>
      <c r="AI16" s="557"/>
      <c r="AJ16" s="195"/>
      <c r="AK16" s="219"/>
      <c r="AL16" s="219"/>
      <c r="AM16" s="219"/>
      <c r="AN16" s="219"/>
      <c r="AO16" s="219"/>
      <c r="AP16" s="219"/>
      <c r="AQ16" s="195"/>
      <c r="AR16" s="191"/>
      <c r="AT16" s="204">
        <v>14</v>
      </c>
      <c r="AU16" s="167" t="s">
        <v>184</v>
      </c>
      <c r="AV16" s="167" t="s">
        <v>312</v>
      </c>
      <c r="AW16" s="16">
        <f>VLOOKUP(AV16,Initial!G:K,5,FALSE)</f>
        <v>1570.7017546104134</v>
      </c>
      <c r="AX16" s="205">
        <f t="shared" si="0"/>
        <v>1598.449058567094</v>
      </c>
      <c r="AY16" s="206">
        <f t="shared" si="1"/>
        <v>1598.9631396964801</v>
      </c>
    </row>
    <row r="17" spans="1:52" ht="18.75" customHeight="1" thickBot="1" x14ac:dyDescent="0.25">
      <c r="A17" s="565"/>
      <c r="B17" s="560" t="s">
        <v>8</v>
      </c>
      <c r="C17" s="561"/>
      <c r="D17" s="561"/>
      <c r="E17" s="619" t="str">
        <f>AV15</f>
        <v>fj4kersh2pm</v>
      </c>
      <c r="F17" s="620"/>
      <c r="G17" s="620"/>
      <c r="H17" s="620"/>
      <c r="I17" s="620"/>
      <c r="J17" s="620"/>
      <c r="K17" s="620"/>
      <c r="L17" s="573"/>
      <c r="M17" s="574"/>
      <c r="N17" s="574"/>
      <c r="O17" s="574"/>
      <c r="P17" s="574"/>
      <c r="Q17" s="610"/>
      <c r="R17" s="573"/>
      <c r="S17" s="574"/>
      <c r="T17" s="574"/>
      <c r="U17" s="574"/>
      <c r="V17" s="574"/>
      <c r="W17" s="573"/>
      <c r="X17" s="574"/>
      <c r="Y17" s="574"/>
      <c r="Z17" s="546"/>
      <c r="AA17" s="547"/>
      <c r="AB17" s="547"/>
      <c r="AC17" s="551"/>
      <c r="AD17" s="552"/>
      <c r="AE17" s="553"/>
      <c r="AF17" s="555"/>
      <c r="AG17" s="555"/>
      <c r="AH17" s="558"/>
      <c r="AI17" s="559"/>
      <c r="AJ17" s="195"/>
      <c r="AK17" s="219"/>
      <c r="AL17" s="219"/>
      <c r="AM17" s="219"/>
      <c r="AN17" s="219"/>
      <c r="AO17" s="219"/>
      <c r="AP17" s="219"/>
      <c r="AQ17" s="195"/>
      <c r="AR17" s="191"/>
      <c r="AT17" s="315"/>
      <c r="AU17" s="316"/>
      <c r="AV17" s="317"/>
      <c r="AW17" s="318"/>
      <c r="AX17" s="319"/>
      <c r="AY17" s="320"/>
    </row>
    <row r="18" spans="1:52" ht="21" customHeight="1" thickTop="1" thickBot="1" x14ac:dyDescent="0.25">
      <c r="A18" s="220"/>
      <c r="B18" s="541" t="s">
        <v>168</v>
      </c>
      <c r="C18" s="542"/>
      <c r="D18" s="542"/>
      <c r="E18" s="542"/>
      <c r="F18" s="542"/>
      <c r="G18" s="542"/>
      <c r="H18" s="542"/>
      <c r="I18" s="542"/>
      <c r="J18" s="542"/>
      <c r="K18" s="542"/>
      <c r="L18" s="542"/>
      <c r="M18" s="542"/>
      <c r="N18" s="542"/>
      <c r="O18" s="542"/>
      <c r="P18" s="542"/>
      <c r="Q18" s="542"/>
      <c r="R18" s="542"/>
      <c r="S18" s="542"/>
      <c r="T18" s="542"/>
      <c r="U18" s="542"/>
      <c r="V18" s="542"/>
      <c r="W18" s="542"/>
      <c r="X18" s="542"/>
      <c r="Y18" s="542"/>
      <c r="Z18" s="542"/>
      <c r="AA18" s="542"/>
      <c r="AB18" s="542"/>
      <c r="AC18" s="542"/>
      <c r="AD18" s="542"/>
      <c r="AE18" s="542"/>
      <c r="AF18" s="542"/>
      <c r="AG18" s="542"/>
      <c r="AH18" s="542"/>
      <c r="AI18" s="543"/>
      <c r="AJ18" s="195"/>
      <c r="AK18" s="219"/>
      <c r="AL18" s="219"/>
      <c r="AM18" s="219"/>
      <c r="AN18" s="219"/>
      <c r="AO18" s="219"/>
      <c r="AP18" s="219"/>
      <c r="AQ18" s="195"/>
      <c r="AR18" s="191"/>
      <c r="AT18" s="621" t="s">
        <v>37</v>
      </c>
      <c r="AU18" s="622"/>
      <c r="AV18" s="622"/>
      <c r="AW18" s="622"/>
      <c r="AX18" s="622"/>
      <c r="AY18" s="623"/>
    </row>
    <row r="19" spans="1:52" ht="14.25" thickTop="1" thickBot="1" x14ac:dyDescent="0.25">
      <c r="A19" s="188" t="s">
        <v>39</v>
      </c>
      <c r="B19" s="530">
        <v>0.35416666666666669</v>
      </c>
      <c r="C19" s="531"/>
      <c r="D19" s="532"/>
      <c r="E19" s="530">
        <v>0.38194444444444442</v>
      </c>
      <c r="F19" s="531"/>
      <c r="G19" s="532"/>
      <c r="H19" s="530">
        <v>0.40972222222222227</v>
      </c>
      <c r="I19" s="531"/>
      <c r="J19" s="532"/>
      <c r="K19" s="530">
        <v>0.4375</v>
      </c>
      <c r="L19" s="531"/>
      <c r="M19" s="532"/>
      <c r="N19" s="530">
        <v>0.46527777777777773</v>
      </c>
      <c r="O19" s="531"/>
      <c r="P19" s="532"/>
      <c r="Q19" s="530">
        <v>0.49305555555555558</v>
      </c>
      <c r="R19" s="531"/>
      <c r="S19" s="532"/>
      <c r="T19" s="530">
        <v>0.52083333333333337</v>
      </c>
      <c r="U19" s="531"/>
      <c r="V19" s="532"/>
      <c r="W19" s="530">
        <v>4.8611111111111112E-2</v>
      </c>
      <c r="X19" s="531"/>
      <c r="Y19" s="532"/>
      <c r="Z19" s="530">
        <v>7.6388888888888895E-2</v>
      </c>
      <c r="AA19" s="531"/>
      <c r="AB19" s="532"/>
      <c r="AC19" s="530">
        <v>0.10416666666666667</v>
      </c>
      <c r="AD19" s="531"/>
      <c r="AE19" s="532"/>
      <c r="AF19" s="533" t="s">
        <v>40</v>
      </c>
      <c r="AG19" s="534"/>
      <c r="AH19" s="534"/>
      <c r="AI19" s="534"/>
      <c r="AJ19" s="535"/>
      <c r="AK19" s="535"/>
      <c r="AL19" s="535"/>
      <c r="AM19" s="535"/>
      <c r="AN19" s="535"/>
      <c r="AO19" s="535"/>
      <c r="AP19" s="535"/>
      <c r="AQ19" s="536"/>
      <c r="AT19" s="624"/>
      <c r="AU19" s="625"/>
      <c r="AV19" s="625"/>
      <c r="AW19" s="625"/>
      <c r="AX19" s="625"/>
      <c r="AY19" s="626"/>
    </row>
    <row r="20" spans="1:52" x14ac:dyDescent="0.2">
      <c r="A20" s="221" t="s">
        <v>41</v>
      </c>
      <c r="B20" s="527"/>
      <c r="C20" s="528"/>
      <c r="D20" s="529"/>
      <c r="E20" s="527"/>
      <c r="F20" s="528"/>
      <c r="G20" s="529"/>
      <c r="H20" s="527"/>
      <c r="I20" s="528"/>
      <c r="J20" s="529"/>
      <c r="K20" s="527"/>
      <c r="L20" s="528"/>
      <c r="M20" s="529"/>
      <c r="N20" s="527"/>
      <c r="O20" s="528"/>
      <c r="P20" s="529"/>
      <c r="Q20" s="527"/>
      <c r="R20" s="528"/>
      <c r="S20" s="529"/>
      <c r="T20" s="527"/>
      <c r="U20" s="528"/>
      <c r="V20" s="529"/>
      <c r="W20" s="527"/>
      <c r="X20" s="528"/>
      <c r="Y20" s="529"/>
      <c r="Z20" s="527"/>
      <c r="AA20" s="528"/>
      <c r="AB20" s="529"/>
      <c r="AC20" s="527"/>
      <c r="AD20" s="528"/>
      <c r="AE20" s="529"/>
      <c r="AF20" s="533"/>
      <c r="AG20" s="534"/>
      <c r="AH20" s="534"/>
      <c r="AI20" s="534"/>
      <c r="AJ20" s="534"/>
      <c r="AK20" s="534"/>
      <c r="AL20" s="534"/>
      <c r="AM20" s="534"/>
      <c r="AN20" s="534"/>
      <c r="AO20" s="534"/>
      <c r="AP20" s="534"/>
      <c r="AQ20" s="537"/>
      <c r="AW20" s="188"/>
    </row>
    <row r="21" spans="1:52" ht="13.5" thickBot="1" x14ac:dyDescent="0.25">
      <c r="A21" s="221" t="s">
        <v>42</v>
      </c>
      <c r="B21" s="527"/>
      <c r="C21" s="528"/>
      <c r="D21" s="529"/>
      <c r="E21" s="527"/>
      <c r="F21" s="528"/>
      <c r="G21" s="529"/>
      <c r="H21" s="527"/>
      <c r="I21" s="528"/>
      <c r="J21" s="529"/>
      <c r="K21" s="527"/>
      <c r="L21" s="528"/>
      <c r="M21" s="529"/>
      <c r="N21" s="527"/>
      <c r="O21" s="528"/>
      <c r="P21" s="529"/>
      <c r="Q21" s="527"/>
      <c r="R21" s="528"/>
      <c r="S21" s="529"/>
      <c r="T21" s="527"/>
      <c r="U21" s="528"/>
      <c r="V21" s="529"/>
      <c r="W21" s="527"/>
      <c r="X21" s="528"/>
      <c r="Y21" s="529"/>
      <c r="Z21" s="527"/>
      <c r="AA21" s="528"/>
      <c r="AB21" s="529"/>
      <c r="AC21" s="527"/>
      <c r="AD21" s="528"/>
      <c r="AE21" s="529"/>
      <c r="AF21" s="533"/>
      <c r="AG21" s="534"/>
      <c r="AH21" s="534"/>
      <c r="AI21" s="534"/>
      <c r="AJ21" s="534"/>
      <c r="AK21" s="534"/>
      <c r="AL21" s="534"/>
      <c r="AM21" s="534"/>
      <c r="AN21" s="534"/>
      <c r="AO21" s="534"/>
      <c r="AP21" s="534"/>
      <c r="AQ21" s="537"/>
      <c r="AT21" s="194"/>
      <c r="AU21" s="194"/>
      <c r="AV21" s="194"/>
      <c r="AW21" s="188"/>
      <c r="AZ21" s="188">
        <f>SUMSQ(AZ6:AZ11)</f>
        <v>687.09834178707786</v>
      </c>
    </row>
    <row r="22" spans="1:52" ht="13.5" thickBot="1" x14ac:dyDescent="0.25">
      <c r="A22" s="195"/>
      <c r="B22" s="394" t="s">
        <v>43</v>
      </c>
      <c r="C22" s="392"/>
      <c r="D22" s="393"/>
      <c r="E22" s="394" t="str">
        <f>IF($AK8&gt;1,"Match 2","")</f>
        <v>Match 2</v>
      </c>
      <c r="F22" s="392"/>
      <c r="G22" s="393"/>
      <c r="H22" s="394" t="str">
        <f>IF($AK8&gt;2,"Match 3","")</f>
        <v>Match 3</v>
      </c>
      <c r="I22" s="392"/>
      <c r="J22" s="393"/>
      <c r="K22" s="394" t="str">
        <f>IF($AK8&gt;3,"Match 4","")</f>
        <v>Match 4</v>
      </c>
      <c r="L22" s="392"/>
      <c r="M22" s="393"/>
      <c r="N22" s="394" t="str">
        <f>IF($AK8&gt;4,"Match 5","")</f>
        <v>Match 5</v>
      </c>
      <c r="O22" s="392"/>
      <c r="P22" s="393"/>
      <c r="Q22" s="394" t="str">
        <f>IF($AK8&gt;5,"Match 6","")</f>
        <v>Match 6</v>
      </c>
      <c r="R22" s="392"/>
      <c r="S22" s="393"/>
      <c r="T22" s="394" t="str">
        <f>IF($AK8&gt;6,"Match 7","")</f>
        <v>Match 7</v>
      </c>
      <c r="U22" s="392"/>
      <c r="V22" s="393"/>
      <c r="W22" s="394" t="str">
        <f>IF($AK8&gt;7,"Match 8","")</f>
        <v>Match 8</v>
      </c>
      <c r="X22" s="392"/>
      <c r="Y22" s="393"/>
      <c r="Z22" s="394" t="str">
        <f>IF($AK8&gt;8,"Match 9","")</f>
        <v>Match 9</v>
      </c>
      <c r="AA22" s="392"/>
      <c r="AB22" s="393"/>
      <c r="AC22" s="394" t="str">
        <f>IF($AK8&gt;9,"Match 10","")</f>
        <v>Match 10</v>
      </c>
      <c r="AD22" s="392"/>
      <c r="AE22" s="393"/>
      <c r="AF22" s="538"/>
      <c r="AG22" s="539"/>
      <c r="AH22" s="539"/>
      <c r="AI22" s="539"/>
      <c r="AJ22" s="539"/>
      <c r="AK22" s="539"/>
      <c r="AL22" s="539"/>
      <c r="AM22" s="539"/>
      <c r="AN22" s="539"/>
      <c r="AO22" s="539"/>
      <c r="AP22" s="539"/>
      <c r="AQ22" s="540"/>
      <c r="AT22" s="312"/>
      <c r="AU22" s="167"/>
      <c r="AV22" s="167"/>
      <c r="AW22" s="188"/>
    </row>
    <row r="23" spans="1:52" ht="15.75" x14ac:dyDescent="0.25">
      <c r="A23" s="195"/>
      <c r="B23" s="521" t="s">
        <v>44</v>
      </c>
      <c r="C23" s="522"/>
      <c r="D23" s="523"/>
      <c r="E23" s="521" t="s">
        <v>45</v>
      </c>
      <c r="F23" s="522"/>
      <c r="G23" s="523"/>
      <c r="H23" s="521" t="s">
        <v>46</v>
      </c>
      <c r="I23" s="522"/>
      <c r="J23" s="523"/>
      <c r="K23" s="521" t="s">
        <v>47</v>
      </c>
      <c r="L23" s="522"/>
      <c r="M23" s="523"/>
      <c r="N23" s="521" t="s">
        <v>48</v>
      </c>
      <c r="O23" s="522"/>
      <c r="P23" s="523"/>
      <c r="Q23" s="521" t="s">
        <v>46</v>
      </c>
      <c r="R23" s="522"/>
      <c r="S23" s="523"/>
      <c r="T23" s="521" t="s">
        <v>44</v>
      </c>
      <c r="U23" s="522"/>
      <c r="V23" s="523"/>
      <c r="W23" s="521" t="s">
        <v>48</v>
      </c>
      <c r="X23" s="522"/>
      <c r="Y23" s="523"/>
      <c r="Z23" s="521" t="s">
        <v>47</v>
      </c>
      <c r="AA23" s="522"/>
      <c r="AB23" s="523"/>
      <c r="AC23" s="521" t="s">
        <v>45</v>
      </c>
      <c r="AD23" s="522"/>
      <c r="AE23" s="523"/>
      <c r="AF23" s="222" t="s">
        <v>49</v>
      </c>
      <c r="AG23" s="223">
        <v>1</v>
      </c>
      <c r="AH23" s="223">
        <v>2</v>
      </c>
      <c r="AI23" s="223">
        <v>3</v>
      </c>
      <c r="AJ23" s="223">
        <v>4</v>
      </c>
      <c r="AK23" s="223">
        <v>5</v>
      </c>
      <c r="AL23" s="223">
        <v>6</v>
      </c>
      <c r="AM23" s="223">
        <v>7</v>
      </c>
      <c r="AN23" s="223">
        <v>8</v>
      </c>
      <c r="AO23" s="223">
        <v>9</v>
      </c>
      <c r="AP23" s="223">
        <v>10</v>
      </c>
      <c r="AQ23" s="224" t="s">
        <v>50</v>
      </c>
      <c r="AT23" s="312"/>
      <c r="AU23" s="274"/>
      <c r="AV23" s="274"/>
      <c r="AW23" s="274"/>
      <c r="AX23" s="274"/>
      <c r="AY23" s="274"/>
    </row>
    <row r="24" spans="1:52" ht="15.75" x14ac:dyDescent="0.25">
      <c r="A24" s="195"/>
      <c r="B24" s="225">
        <v>2</v>
      </c>
      <c r="C24" s="226" t="s">
        <v>51</v>
      </c>
      <c r="D24" s="227">
        <v>5</v>
      </c>
      <c r="E24" s="225">
        <v>1</v>
      </c>
      <c r="F24" s="226" t="str">
        <f>IF($AK8&gt;1,"v","")</f>
        <v>v</v>
      </c>
      <c r="G24" s="227">
        <v>4</v>
      </c>
      <c r="H24" s="225">
        <v>3</v>
      </c>
      <c r="I24" s="226" t="str">
        <f>IF($AK8&gt;2,"v","")</f>
        <v>v</v>
      </c>
      <c r="J24" s="227">
        <v>5</v>
      </c>
      <c r="K24" s="225">
        <v>2</v>
      </c>
      <c r="L24" s="226" t="str">
        <f>IF($AK8&gt;3,"v","")</f>
        <v>v</v>
      </c>
      <c r="M24" s="227">
        <v>4</v>
      </c>
      <c r="N24" s="225">
        <v>1</v>
      </c>
      <c r="O24" s="226" t="str">
        <f>IF($AK8&gt;4,"v","")</f>
        <v>v</v>
      </c>
      <c r="P24" s="227">
        <v>3</v>
      </c>
      <c r="Q24" s="225">
        <v>4</v>
      </c>
      <c r="R24" s="226" t="str">
        <f>IF($AK8&gt;5,"v","")</f>
        <v>v</v>
      </c>
      <c r="S24" s="227">
        <v>5</v>
      </c>
      <c r="T24" s="225">
        <v>2</v>
      </c>
      <c r="U24" s="226" t="str">
        <f>IF($AK8&gt;6,"v","")</f>
        <v>v</v>
      </c>
      <c r="V24" s="227">
        <v>3</v>
      </c>
      <c r="W24" s="225">
        <v>1</v>
      </c>
      <c r="X24" s="226" t="str">
        <f>IF($AK8&gt;7,"v","")</f>
        <v>v</v>
      </c>
      <c r="Y24" s="227">
        <v>5</v>
      </c>
      <c r="Z24" s="225">
        <v>3</v>
      </c>
      <c r="AA24" s="226" t="str">
        <f>IF($AK8&gt;8,"v","")</f>
        <v>v</v>
      </c>
      <c r="AB24" s="227">
        <v>4</v>
      </c>
      <c r="AC24" s="225">
        <v>1</v>
      </c>
      <c r="AD24" s="226" t="str">
        <f>IF($AK8&gt;9,"v","")</f>
        <v>v</v>
      </c>
      <c r="AE24" s="227">
        <v>2</v>
      </c>
      <c r="AF24" s="222" t="str">
        <f>IF($AK9&gt;0,"Team 1","")</f>
        <v>Team 1</v>
      </c>
      <c r="AG24" s="228" t="str">
        <f>IF($AK9&lt;1,"",IF($AK8&lt;1,"",IF(B24=1,B30-D30,IF(D24=1,D30-B30,""))))</f>
        <v/>
      </c>
      <c r="AH24" s="228">
        <f>IF($AK9&lt;1,"",IF($AK8&lt;2,"",IF(E24=1,E30-G30,IF(G24=1,G30-E30,""))))</f>
        <v>4</v>
      </c>
      <c r="AI24" s="228" t="str">
        <f>IF($AK9&lt;1,"",IF($AK8&lt;3,"",IF(H24=1,H30-J30,IF(J24=1,J30-H30,""))))</f>
        <v/>
      </c>
      <c r="AJ24" s="228" t="str">
        <f>IF($AK9&lt;1,"",IF($AK8&lt;4,"",IF(K24=1,K30-M30,IF(M24=1,M30-K30,""))))</f>
        <v/>
      </c>
      <c r="AK24" s="228">
        <f>IF($AK9&lt;1,"",IF($AK8&lt;5,"",IF(N24=1,N30-P30,IF(P24=1,P30-N30,""))))</f>
        <v>-10</v>
      </c>
      <c r="AL24" s="228" t="str">
        <f>IF($AK9&lt;1,"",IF($AK8&lt;6,"",IF(Q24=1,Q30-S30,IF(S24=1,S30-Q30,""))))</f>
        <v/>
      </c>
      <c r="AM24" s="228" t="str">
        <f>IF($AK9&lt;1,"",IF($AK8&lt;7,"",IF(T24=1,T30-V30,IF(V24=1,V30-T30,""))))</f>
        <v/>
      </c>
      <c r="AN24" s="228">
        <f>IF($AK9&lt;1,"",IF($AK8&lt;8,"",IF(W24=1,W30-Y30,IF(Y24=1,Y30-W30,""))))</f>
        <v>17</v>
      </c>
      <c r="AO24" s="228" t="str">
        <f>IF($AK9&lt;1,"",IF($AK8&lt;9,"",IF(Z24=1,Z30-AB30,IF(AB24=1,AB30-Z30,""))))</f>
        <v/>
      </c>
      <c r="AP24" s="228">
        <f>IF($AK9&lt;1,"",IF($AK8&lt;10,"",IF(AC24=1,AC30-AE30,IF(AE24=1,AE30-AC30,""))))</f>
        <v>-15</v>
      </c>
      <c r="AQ24" s="224">
        <f>SUM(AG24:AP24)</f>
        <v>-4</v>
      </c>
      <c r="AT24" s="312"/>
      <c r="AU24" s="274"/>
      <c r="AV24" s="274"/>
      <c r="AW24" s="274"/>
      <c r="AX24" s="274"/>
      <c r="AY24" s="274"/>
    </row>
    <row r="25" spans="1:52" ht="15" x14ac:dyDescent="0.2">
      <c r="A25" s="188" t="s">
        <v>52</v>
      </c>
      <c r="B25" s="229">
        <v>25</v>
      </c>
      <c r="C25" s="230" t="s">
        <v>53</v>
      </c>
      <c r="D25" s="231">
        <v>19</v>
      </c>
      <c r="E25" s="229">
        <v>27</v>
      </c>
      <c r="F25" s="230" t="str">
        <f>IF($AK8&gt;1,"/","")</f>
        <v>/</v>
      </c>
      <c r="G25" s="231">
        <v>25</v>
      </c>
      <c r="H25" s="229">
        <v>25</v>
      </c>
      <c r="I25" s="230" t="str">
        <f>IF($AK8&gt;2,"/","")</f>
        <v>/</v>
      </c>
      <c r="J25" s="231">
        <v>14</v>
      </c>
      <c r="K25" s="229">
        <v>25</v>
      </c>
      <c r="L25" s="230" t="str">
        <f>IF($AK8&gt;3,"/","")</f>
        <v>/</v>
      </c>
      <c r="M25" s="231">
        <v>23</v>
      </c>
      <c r="N25" s="229">
        <v>23</v>
      </c>
      <c r="O25" s="230" t="str">
        <f>IF($AK8&gt;4,"/","")</f>
        <v>/</v>
      </c>
      <c r="P25" s="231">
        <v>25</v>
      </c>
      <c r="Q25" s="229">
        <v>25</v>
      </c>
      <c r="R25" s="230" t="str">
        <f>IF($AK8&gt;5,"/","")</f>
        <v>/</v>
      </c>
      <c r="S25" s="231">
        <v>22</v>
      </c>
      <c r="T25" s="229">
        <v>26</v>
      </c>
      <c r="U25" s="230" t="str">
        <f>IF($AK8&gt;6,"/","")</f>
        <v>/</v>
      </c>
      <c r="V25" s="231">
        <v>24</v>
      </c>
      <c r="W25" s="229">
        <v>25</v>
      </c>
      <c r="X25" s="230" t="str">
        <f>IF($AK8&gt;7,"/","")</f>
        <v>/</v>
      </c>
      <c r="Y25" s="231">
        <v>10</v>
      </c>
      <c r="Z25" s="229">
        <v>19</v>
      </c>
      <c r="AA25" s="230" t="str">
        <f>IF($AK8&gt;8,"/","")</f>
        <v>/</v>
      </c>
      <c r="AB25" s="231">
        <v>25</v>
      </c>
      <c r="AC25" s="229">
        <v>17</v>
      </c>
      <c r="AD25" s="230" t="str">
        <f>IF($AK8&gt;9,"/","")</f>
        <v>/</v>
      </c>
      <c r="AE25" s="231">
        <v>25</v>
      </c>
      <c r="AF25" s="222" t="str">
        <f>IF($AK9&gt;1,"Team 2","")</f>
        <v>Team 2</v>
      </c>
      <c r="AG25" s="228">
        <f>IF($AK9&lt;2,"",IF($AK8&lt;1,"",IF(B24=2,B30-D30,IF(D24=2,D30-B30,""))))</f>
        <v>11</v>
      </c>
      <c r="AH25" s="228" t="str">
        <f>IF($AK9&lt;2,"",IF($AK8&lt;2,"",IF(E24=2,E30-G30,IF(G24=2,G30-E30,""))))</f>
        <v/>
      </c>
      <c r="AI25" s="228" t="str">
        <f>IF($AK9&lt;2,"",IF($AK8&lt;3,"",IF(H24=2,H30-J30,IF(J24=2,J30-H30,""))))</f>
        <v/>
      </c>
      <c r="AJ25" s="228">
        <f>IF($AK9&lt;2,"",IF($AK8&lt;4,"",IF(K24=2,K30-M30,IF(M24=2,M30-K30,""))))</f>
        <v>13</v>
      </c>
      <c r="AK25" s="228" t="str">
        <f>IF($AK9&lt;2,"",IF($AK8&lt;5,"",IF(N24=2,N30-P30,IF(P24=2,P30-N30,""))))</f>
        <v/>
      </c>
      <c r="AL25" s="228" t="str">
        <f>IF($AK9&lt;2,"",IF($AK8&lt;6,"",IF(Q24=2,Q30-S30,IF(S24=2,S30-Q30,""))))</f>
        <v/>
      </c>
      <c r="AM25" s="228">
        <f>IF($AK9&lt;2,"",IF($AK8&lt;7,"",IF(T24=2,T30-V30,IF(V24=2,V30-T30,""))))</f>
        <v>10</v>
      </c>
      <c r="AN25" s="228" t="str">
        <f>IF($AK9&lt;2,"",IF($AK8&lt;8,"",IF(W24=2,W30-Y30,IF(Y24=2,Y30-W30,""))))</f>
        <v/>
      </c>
      <c r="AO25" s="228" t="str">
        <f>IF($AK9&lt;2,"",IF($AK8&lt;9,"",IF(Z24=2,Z30-AB30,IF(AB24=2,AB30-Z30,""))))</f>
        <v/>
      </c>
      <c r="AP25" s="228">
        <f>IF($AK9&lt;2,"",IF($AK8&lt;10,"",IF(AC24=2,AC30-AE30,IF(AE24=2,AE30-AC30,""))))</f>
        <v>15</v>
      </c>
      <c r="AQ25" s="224">
        <f>SUM(AG25:AP25)</f>
        <v>49</v>
      </c>
      <c r="AT25" s="194"/>
      <c r="AU25" s="194"/>
      <c r="AV25" s="194"/>
      <c r="AW25" s="188"/>
    </row>
    <row r="26" spans="1:52" ht="15" x14ac:dyDescent="0.2">
      <c r="A26" s="191" t="str">
        <f>IF($AK7&gt;1,"Game 2","")</f>
        <v>Game 2</v>
      </c>
      <c r="B26" s="229">
        <v>25</v>
      </c>
      <c r="C26" s="230" t="s">
        <v>53</v>
      </c>
      <c r="D26" s="231">
        <v>20</v>
      </c>
      <c r="E26" s="229">
        <v>26</v>
      </c>
      <c r="F26" s="230" t="str">
        <f>IF($AK8&gt;1,IF($AK7&gt;1,"/",""),"")</f>
        <v>/</v>
      </c>
      <c r="G26" s="231">
        <v>24</v>
      </c>
      <c r="H26" s="229">
        <v>25</v>
      </c>
      <c r="I26" s="230" t="str">
        <f>IF($AK8&gt;2,IF($AK7&gt;1,"/",""),"")</f>
        <v>/</v>
      </c>
      <c r="J26" s="231">
        <v>22</v>
      </c>
      <c r="K26" s="229">
        <v>25</v>
      </c>
      <c r="L26" s="230" t="str">
        <f>IF($AK8&gt;3,IF($AK7&gt;1,"/",""),"")</f>
        <v>/</v>
      </c>
      <c r="M26" s="231">
        <v>14</v>
      </c>
      <c r="N26" s="229">
        <v>17</v>
      </c>
      <c r="O26" s="230" t="str">
        <f>IF($AK8&gt;4,IF($AK7&gt;1,"/",""),"")</f>
        <v>/</v>
      </c>
      <c r="P26" s="231">
        <v>25</v>
      </c>
      <c r="Q26" s="229">
        <v>25</v>
      </c>
      <c r="R26" s="230" t="str">
        <f>IF($AK8&gt;5,IF($AK7&gt;1,"/",""),"")</f>
        <v>/</v>
      </c>
      <c r="S26" s="231">
        <v>12</v>
      </c>
      <c r="T26" s="229">
        <v>25</v>
      </c>
      <c r="U26" s="230" t="str">
        <f>IF($AK8&gt;6,IF($AK7&gt;1,"/",""),"")</f>
        <v>/</v>
      </c>
      <c r="V26" s="231">
        <v>17</v>
      </c>
      <c r="W26" s="229">
        <v>26</v>
      </c>
      <c r="X26" s="230" t="str">
        <f>IF($AK8&gt;7,IF($AK7&gt;1,"/",""),"")</f>
        <v>/</v>
      </c>
      <c r="Y26" s="231">
        <v>24</v>
      </c>
      <c r="Z26" s="229">
        <v>25</v>
      </c>
      <c r="AA26" s="230" t="str">
        <f>IF($AK8&gt;8,IF($AK7&gt;1,"/",""),"")</f>
        <v>/</v>
      </c>
      <c r="AB26" s="231">
        <v>20</v>
      </c>
      <c r="AC26" s="229">
        <v>18</v>
      </c>
      <c r="AD26" s="230" t="str">
        <f>IF($AK8&gt;9,IF($AK7&gt;1,"/",""),"")</f>
        <v>/</v>
      </c>
      <c r="AE26" s="231">
        <v>25</v>
      </c>
      <c r="AF26" s="222" t="str">
        <f>IF($AK9&gt;2,"Team 3","")</f>
        <v>Team 3</v>
      </c>
      <c r="AG26" s="228" t="str">
        <f>IF($AK9&lt;3,"",IF($AK8&lt;1,"",IF(B24=3,B30-D30,IF(D24=3,D30-B30,""))))</f>
        <v/>
      </c>
      <c r="AH26" s="228" t="str">
        <f>IF($AK9&lt;3,"",IF($AK8&lt;2,"",IF(E24=3,E30-G30,IF(G24=3,G30-E30,""))))</f>
        <v/>
      </c>
      <c r="AI26" s="228">
        <f>IF($AK9&lt;3,"",IF($AK8&lt;3,"",IF(H24=3,H30-J30,IF(J24=3,J30-H30,""))))</f>
        <v>14</v>
      </c>
      <c r="AJ26" s="228" t="str">
        <f>IF($AK9&lt;3,"",IF($AK8&lt;4,"",IF(K24=3,K30-M30,IF(M24=3,M30-K30,""))))</f>
        <v/>
      </c>
      <c r="AK26" s="228">
        <f>IF($AK9&lt;3,"",IF($AK8&lt;5,"",IF(N24=3,N30-P30,IF(P24=3,P30-N30,""))))</f>
        <v>10</v>
      </c>
      <c r="AL26" s="228" t="str">
        <f>IF($AK9&lt;3,"",IF($AK8&lt;6,"",IF(Q24=3,Q30-S30,IF(S24=3,S30-Q30,""))))</f>
        <v/>
      </c>
      <c r="AM26" s="228">
        <f>IF($AK9&lt;3,"",IF($AK8&lt;7,"",IF(T24=3,T30-V30,IF(V24=3,V30-T30,""))))</f>
        <v>-10</v>
      </c>
      <c r="AN26" s="228" t="str">
        <f>IF($AK9&lt;3,"",IF($AK8&lt;8,"",IF(W24=3,W30-Y30,IF(Y24=3,Y30-W30,""))))</f>
        <v/>
      </c>
      <c r="AO26" s="228">
        <f>IF($AK9&lt;3,"",IF($AK8&lt;9,"",IF(Z24=3,Z30-AB30,IF(AB24=3,AB30-Z30,""))))</f>
        <v>-1</v>
      </c>
      <c r="AP26" s="228" t="str">
        <f>IF($AK9&lt;3,"",IF($AK8&lt;9,"",IF(AC24=3,AC30-AE30,IF(AE24=3,AE30-AC30,""))))</f>
        <v/>
      </c>
      <c r="AQ26" s="224">
        <f>SUM(AG26:AP26)</f>
        <v>13</v>
      </c>
      <c r="AT26" s="194"/>
      <c r="AU26" s="194"/>
      <c r="AV26" s="194"/>
      <c r="AW26" s="188"/>
    </row>
    <row r="27" spans="1:52" ht="15" x14ac:dyDescent="0.2">
      <c r="A27" s="191" t="str">
        <f>IF($AK7&gt;2,"Game 3","")</f>
        <v/>
      </c>
      <c r="B27" s="229"/>
      <c r="C27" s="230" t="s">
        <v>53</v>
      </c>
      <c r="D27" s="231"/>
      <c r="E27" s="229"/>
      <c r="F27" s="230" t="str">
        <f>IF($AK8&gt;1,IF($AK7&gt;2,"/",""),"")</f>
        <v/>
      </c>
      <c r="G27" s="231"/>
      <c r="H27" s="229"/>
      <c r="I27" s="230" t="str">
        <f>IF($AK8&gt;2,IF($AK7&gt;2,"/",""),"")</f>
        <v/>
      </c>
      <c r="J27" s="231"/>
      <c r="K27" s="229"/>
      <c r="L27" s="230" t="str">
        <f>IF($AK8&gt;3,IF($AK7&gt;2,"/",""),"")</f>
        <v/>
      </c>
      <c r="M27" s="231"/>
      <c r="N27" s="229"/>
      <c r="O27" s="230" t="str">
        <f>IF($AK8&gt;4,IF($AK7&gt;2,"/",""),"")</f>
        <v/>
      </c>
      <c r="P27" s="231"/>
      <c r="Q27" s="229"/>
      <c r="R27" s="230" t="str">
        <f>IF($AK8&gt;5,IF($AK7&gt;2,"/",""),"")</f>
        <v/>
      </c>
      <c r="S27" s="231"/>
      <c r="T27" s="229"/>
      <c r="U27" s="230" t="str">
        <f>IF($AK8&gt;6,IF($AK7&gt;2,"/",""),"")</f>
        <v/>
      </c>
      <c r="V27" s="231"/>
      <c r="W27" s="229"/>
      <c r="X27" s="230" t="str">
        <f>IF($AK8&gt;7,IF($AK7&gt;2,"/",""),"")</f>
        <v/>
      </c>
      <c r="Y27" s="231"/>
      <c r="Z27" s="229"/>
      <c r="AA27" s="230" t="str">
        <f>IF($AK8&gt;8,IF($AK7&gt;2,"/",""),"")</f>
        <v/>
      </c>
      <c r="AB27" s="231"/>
      <c r="AC27" s="229"/>
      <c r="AD27" s="230" t="str">
        <f>IF($AK8&gt;9,IF($AK7&gt;2,"/",""),"")</f>
        <v/>
      </c>
      <c r="AE27" s="231"/>
      <c r="AF27" s="222" t="str">
        <f>IF($AK9&gt;3,"Team 4","")</f>
        <v>Team 4</v>
      </c>
      <c r="AG27" s="228" t="str">
        <f>IF($AK9&lt;4,"",IF($AK8&lt;1,"",IF(B24=4,B30-D30,IF(D24=4,D30-B30,""))))</f>
        <v/>
      </c>
      <c r="AH27" s="228">
        <f>IF($AK9&lt;4,"",IF($AK8&lt;2,"",IF(E24=4,E30-G30,IF(G24=4,G30-E30,""))))</f>
        <v>-4</v>
      </c>
      <c r="AI27" s="228" t="str">
        <f>IF($AK9&lt;4,"",IF($AK8&lt;3,"",IF(H24=4,H30-J30,IF(J24=4,J30-H30,""))))</f>
        <v/>
      </c>
      <c r="AJ27" s="228">
        <f>IF($AK9&lt;4,"",IF($AK8&lt;4,"",IF(K24=4,K30-M30,IF(M24=4,M30-K30,""))))</f>
        <v>-13</v>
      </c>
      <c r="AK27" s="228" t="str">
        <f>IF($AK9&lt;4,"",IF($AK8&lt;5,"",IF(N24=4,N30-P30,IF(P24=4,P30-N30,""))))</f>
        <v/>
      </c>
      <c r="AL27" s="228">
        <f>IF($AK9&lt;4,"",IF($AK8&lt;6,"",IF(Q24=4,Q30-S30,IF(S24=4,S30-Q30,""))))</f>
        <v>16</v>
      </c>
      <c r="AM27" s="228" t="str">
        <f>IF($AK9&lt;4,"",IF($AK8&lt;7,"",IF(T24=4,T30-V30,IF(V24=4,V30-T30,""))))</f>
        <v/>
      </c>
      <c r="AN27" s="228" t="str">
        <f>IF($AK9&lt;4,"",IF($AK8&lt;8,"",IF(W24=4,W30-Y30,IF(Y24=4,Y30-W30,""))))</f>
        <v/>
      </c>
      <c r="AO27" s="228">
        <f>IF($AK9&lt;4,"",IF($AK8&lt;9,"",IF(Z24=4,Z30-AB30,IF(AB24=4,AB30-Z30,""))))</f>
        <v>1</v>
      </c>
      <c r="AP27" s="228" t="str">
        <f>IF($AK9&lt;4,"",IF($AK8&lt;10,"",IF(AC24=4,AC30-AE30,IF(AE24=4,AE30-AC30,""))))</f>
        <v/>
      </c>
      <c r="AQ27" s="224">
        <f>SUM(AG27:AP27)</f>
        <v>0</v>
      </c>
      <c r="AW27" s="188"/>
    </row>
    <row r="28" spans="1:52" ht="15" x14ac:dyDescent="0.2">
      <c r="A28" s="191" t="str">
        <f>IF($AK7&gt;3,"Game 4","")</f>
        <v/>
      </c>
      <c r="B28" s="229"/>
      <c r="C28" s="230" t="s">
        <v>53</v>
      </c>
      <c r="D28" s="231"/>
      <c r="E28" s="229"/>
      <c r="F28" s="230" t="str">
        <f>IF($AK8&gt;1,IF($AK7&gt;3,"/",""),"")</f>
        <v/>
      </c>
      <c r="G28" s="231"/>
      <c r="H28" s="229"/>
      <c r="I28" s="230" t="str">
        <f>IF($AK8&gt;2,IF($AK7&gt;3,"/",""),"")</f>
        <v/>
      </c>
      <c r="J28" s="231"/>
      <c r="K28" s="229"/>
      <c r="L28" s="230" t="str">
        <f>IF($AK8&gt;3,IF($AK7&gt;3,"/",""),"")</f>
        <v/>
      </c>
      <c r="M28" s="231"/>
      <c r="N28" s="229"/>
      <c r="O28" s="230" t="str">
        <f>IF($AK8&gt;4,IF($AK7&gt;3,"/",""),"")</f>
        <v/>
      </c>
      <c r="P28" s="231"/>
      <c r="Q28" s="229"/>
      <c r="R28" s="230" t="str">
        <f>IF($AK8&gt;5,IF($AK7&gt;3,"/",""),"")</f>
        <v/>
      </c>
      <c r="S28" s="231"/>
      <c r="T28" s="229"/>
      <c r="U28" s="230" t="str">
        <f>IF($AK8&gt;6,IF($AK7&gt;3,"/",""),"")</f>
        <v/>
      </c>
      <c r="V28" s="231"/>
      <c r="W28" s="229"/>
      <c r="X28" s="230" t="str">
        <f>IF($AK8&gt;7,IF($AK7&gt;3,"/",""),"")</f>
        <v/>
      </c>
      <c r="Y28" s="231"/>
      <c r="Z28" s="229"/>
      <c r="AA28" s="230" t="str">
        <f>IF($AK8&gt;8,IF($AK7&gt;3,"/",""),"")</f>
        <v/>
      </c>
      <c r="AB28" s="231"/>
      <c r="AC28" s="229"/>
      <c r="AD28" s="230" t="str">
        <f>IF($AK8&gt;9,IF($AK7&gt;3,"/",""),"")</f>
        <v/>
      </c>
      <c r="AE28" s="231"/>
      <c r="AF28" s="222" t="str">
        <f>IF($AK9&gt;4,"Team 5","")</f>
        <v>Team 5</v>
      </c>
      <c r="AG28" s="232">
        <f>IF($AK9&lt;5,"",IF($AK8&lt;1,"",IF(B24=5,B30-D30,IF(D24=5,D30-B30,""))))</f>
        <v>-11</v>
      </c>
      <c r="AH28" s="228" t="str">
        <f>IF($AK9&lt;5,"",IF($AK8&lt;2,"",IF(E24=5,E30-G30,IF(G24=5,G30-E30,""))))</f>
        <v/>
      </c>
      <c r="AI28" s="228">
        <f>IF($AK9&lt;5,"",IF($AK8&lt;3,"",IF(H24=5,H30-J30,IF(J24=5,J30-H30,""))))</f>
        <v>-14</v>
      </c>
      <c r="AJ28" s="228" t="str">
        <f>IF($AK9&lt;5,"",IF($AK8&lt;4,"",IF(K24=5,K30-M30,IF(M24=5,M30-K30,""))))</f>
        <v/>
      </c>
      <c r="AK28" s="228" t="str">
        <f>IF($AK9&lt;5,"",IF($AK8&lt;5,"",IF(N24=5,N30-P30,IF(P24=5,P30-N30,""))))</f>
        <v/>
      </c>
      <c r="AL28" s="228">
        <f>IF($AK9&lt;5,"",IF($AK8&lt;6,"",IF(Q24=5,Q30-S30,IF(S24=5,S30-Q30,""))))</f>
        <v>-16</v>
      </c>
      <c r="AM28" s="228" t="str">
        <f>IF($AK9&lt;5,"",IF($AK8&lt;7,"",IF(T24=5,T30-V30,IF(V24=5,V30-T30,""))))</f>
        <v/>
      </c>
      <c r="AN28" s="228">
        <f>IF($AK9&lt;5,"",IF($AK8&lt;8,"",IF(W24=5,W30-Y30,IF(Y24=5,Y30-W30,""))))</f>
        <v>-17</v>
      </c>
      <c r="AO28" s="228" t="str">
        <f>IF($AK9&lt;5,"",IF($AK8&lt;9,"",IF(Z24=5,Z30-AB30,IF(AB24=5,AB30-Z30,""))))</f>
        <v/>
      </c>
      <c r="AP28" s="228" t="str">
        <f>IF($AK9&lt;5,"",IF($AK8&lt;10,"",IF(AC24=5,AC30-AE30,IF(AE24=5,AE30-AC30,""))))</f>
        <v/>
      </c>
      <c r="AQ28" s="224">
        <f>SUM(AG28:AP28)</f>
        <v>-58</v>
      </c>
      <c r="AW28" s="194"/>
      <c r="AX28" s="194"/>
      <c r="AY28" s="194"/>
    </row>
    <row r="29" spans="1:52" ht="15" x14ac:dyDescent="0.2">
      <c r="A29" s="191" t="str">
        <f>IF($AK7&gt;4,"Game 5","")</f>
        <v/>
      </c>
      <c r="B29" s="229"/>
      <c r="C29" s="230" t="s">
        <v>53</v>
      </c>
      <c r="D29" s="231"/>
      <c r="E29" s="229"/>
      <c r="F29" s="230" t="str">
        <f>IF($AK8&gt;1,IF($AK7&gt;4,"/",""),"")</f>
        <v/>
      </c>
      <c r="G29" s="231"/>
      <c r="H29" s="229"/>
      <c r="I29" s="230" t="str">
        <f>IF($AK8&gt;2,IF($AK7&gt;4,"/",""),"")</f>
        <v/>
      </c>
      <c r="J29" s="231"/>
      <c r="K29" s="229"/>
      <c r="L29" s="230" t="str">
        <f>IF($AK8&gt;3,IF($AK7&gt;4,"/",""),"")</f>
        <v/>
      </c>
      <c r="M29" s="231"/>
      <c r="N29" s="229"/>
      <c r="O29" s="230" t="str">
        <f>IF($AK8&gt;4,IF($AK7&gt;4,"/",""),"")</f>
        <v/>
      </c>
      <c r="P29" s="231"/>
      <c r="Q29" s="229"/>
      <c r="R29" s="230" t="str">
        <f>IF($AK8&gt;5,IF($AK7&gt;4,"/",""),"")</f>
        <v/>
      </c>
      <c r="S29" s="231"/>
      <c r="T29" s="229"/>
      <c r="U29" s="230" t="str">
        <f>IF($AK8&gt;6,IF($AK7&gt;4,"/",""),"")</f>
        <v/>
      </c>
      <c r="V29" s="231"/>
      <c r="W29" s="229"/>
      <c r="X29" s="230" t="str">
        <f>IF($AK8&gt;7,IF($AK7&gt;4,"/",""),"")</f>
        <v/>
      </c>
      <c r="Y29" s="231"/>
      <c r="Z29" s="229"/>
      <c r="AA29" s="230" t="str">
        <f>IF($AK8&gt;8,IF($AK7&gt;4,"/",""),"")</f>
        <v/>
      </c>
      <c r="AB29" s="231"/>
      <c r="AC29" s="229"/>
      <c r="AD29" s="230" t="str">
        <f>IF($AK8&gt;9,IF($AK7&gt;4,"/",""),"")</f>
        <v/>
      </c>
      <c r="AE29" s="231"/>
      <c r="AF29" s="195"/>
      <c r="AG29" s="195"/>
      <c r="AH29" s="195"/>
      <c r="AI29" s="195"/>
      <c r="AJ29" s="195"/>
      <c r="AK29" s="195"/>
      <c r="AL29" s="195"/>
      <c r="AM29" s="195"/>
      <c r="AN29" s="195"/>
      <c r="AO29" s="195"/>
      <c r="AP29" s="195"/>
      <c r="AQ29" s="195"/>
      <c r="AW29" s="194"/>
      <c r="AX29" s="194"/>
      <c r="AY29" s="194"/>
    </row>
    <row r="30" spans="1:52" hidden="1" x14ac:dyDescent="0.2">
      <c r="A30" s="233"/>
      <c r="B30" s="233">
        <f>IF($AK7=5,SUM(B25:B29),IF($AK7=4,SUM(B25:B28),IF($AK7=3,SUM(B25:B27),IF($AK7=2,SUM(B25:B26),B25))))</f>
        <v>50</v>
      </c>
      <c r="C30" s="233"/>
      <c r="D30" s="233">
        <f>IF($AK7=5,SUM(D25:D29),IF($AK7=4,SUM(D25:D28),IF($AK7=3,SUM(D25:D27),IF($AK7=2,SUM(D25:D26),D25))))</f>
        <v>39</v>
      </c>
      <c r="E30" s="233">
        <f>IF($AK7=5,SUM(E25:E29),IF($AK7=4,SUM(E25:E28),IF($AK7=3,SUM(E25:E27),IF($AK7=2,SUM(E25:E26),E25))))</f>
        <v>53</v>
      </c>
      <c r="F30" s="233"/>
      <c r="G30" s="233">
        <f>IF($AK7=5,SUM(G25:G29),IF($AK7=4,SUM(G25:G28),IF($AK7=3,SUM(G25:G27),IF($AK7=2,SUM(G25:G26),G25))))</f>
        <v>49</v>
      </c>
      <c r="H30" s="233">
        <f>IF($AK7=5,SUM(H25:H29),IF($AK7=4,SUM(H25:H28),IF($AK7=3,SUM(H25:H27),IF($AK7=2,SUM(H25:H26),H25))))</f>
        <v>50</v>
      </c>
      <c r="I30" s="233"/>
      <c r="J30" s="233">
        <f>IF($AK7=5,SUM(J25:J29),IF($AK7=4,SUM(J25:J28),IF($AK7=3,SUM(J25:J27),IF($AK7=2,SUM(J25:J26),J25))))</f>
        <v>36</v>
      </c>
      <c r="K30" s="233">
        <f>IF($AK7=5,SUM(K25:K29),IF($AK7=4,SUM(K25:K28),IF($AK7=3,SUM(K25:K27),IF($AK7=2,SUM(K25:K26),K25))))</f>
        <v>50</v>
      </c>
      <c r="L30" s="233"/>
      <c r="M30" s="233">
        <f>IF($AK7=5,SUM(M25:M29),IF($AK7=4,SUM(M25:M28),IF($AK7=3,SUM(M25:M27),IF($AK7=2,SUM(M25:M26),M25))))</f>
        <v>37</v>
      </c>
      <c r="N30" s="233">
        <f>IF($AK7=5,SUM(N25:N29),IF($AK7=4,SUM(N25:N28),IF($AK7=3,SUM(N25:N27),IF($AK7=2,SUM(N25:N26),N25))))</f>
        <v>40</v>
      </c>
      <c r="O30" s="233"/>
      <c r="P30" s="233">
        <f>IF($AK7=5,SUM(P25:P29),IF($AK7=4,SUM(P25:P28),IF($AK7=3,SUM(P25:P27),IF($AK7=2,SUM(P25:P26),P25))))</f>
        <v>50</v>
      </c>
      <c r="Q30" s="233">
        <f>IF($AK7=5,SUM(Q25:Q29),IF($AK7=4,SUM(Q25:Q28),IF($AK7=3,SUM(Q25:Q27),IF($AK7=2,SUM(Q25:Q26),Q25))))</f>
        <v>50</v>
      </c>
      <c r="R30" s="233"/>
      <c r="S30" s="233">
        <f>IF($AK7=5,SUM(S25:S29),IF($AK7=4,SUM(S25:S28),IF($AK7=3,SUM(S25:S27),IF($AK7=2,SUM(S25:S26),S25))))</f>
        <v>34</v>
      </c>
      <c r="T30" s="233">
        <f>IF($AK7=5,SUM(T25:T29),IF($AK7=4,SUM(T25:T28),IF($AK7=3,SUM(T25:T27),IF($AK7=2,SUM(T25:T26),T25))))</f>
        <v>51</v>
      </c>
      <c r="U30" s="233"/>
      <c r="V30" s="233">
        <f>IF($AK7=5,SUM(V25:V29),IF($AK7=4,SUM(V25:V28),IF($AK7=3,SUM(V25:V27),IF($AK7=2,SUM(V25:V26),V25))))</f>
        <v>41</v>
      </c>
      <c r="W30" s="233">
        <f>IF($AK7=5,SUM(W25:W29),IF($AK7=4,SUM(W25:W28),IF($AK7=3,SUM(W25:W27),IF($AK7=2,SUM(W25:W26),W25))))</f>
        <v>51</v>
      </c>
      <c r="X30" s="233"/>
      <c r="Y30" s="233">
        <f>IF($AK7=5,SUM(Y25:Y29),IF($AK7=4,SUM(Y25:Y28),IF($AK7=3,SUM(Y25:Y27),IF($AK7=2,SUM(Y25:Y26),Y25))))</f>
        <v>34</v>
      </c>
      <c r="Z30" s="233">
        <f>IF($AK7=5,SUM(Z25:Z29),IF($AK7=4,SUM(Z25:Z28),IF($AK7=3,SUM(Z25:Z27),IF($AK7=2,SUM(Z25:Z26),Z25))))</f>
        <v>44</v>
      </c>
      <c r="AA30" s="233"/>
      <c r="AB30" s="233">
        <f>IF($AK7=5,SUM(AB25:AB29),IF($AK7=4,SUM(AB25:AB28),IF($AK7=3,SUM(AB25:AB27),IF($AK7=2,SUM(AB25:AB26),AB25))))</f>
        <v>45</v>
      </c>
      <c r="AC30" s="233">
        <f>IF($AK7=5,SUM(AC25:AC29),IF($AK7=4,SUM(AC25:AC28),IF($AK7=3,SUM(AC25:AC27),IF($AK7=2,SUM(AC25:AC26),AC25))))</f>
        <v>35</v>
      </c>
      <c r="AD30" s="233"/>
      <c r="AE30" s="233">
        <f>IF($AK7=5,SUM(AE25:AE29),IF($AK7=4,SUM(AE25:AE28),IF($AK7=3,SUM(AE25:AE27),IF($AK7=2,SUM(AE25:AE26),AE25))))</f>
        <v>50</v>
      </c>
      <c r="AF30" s="195"/>
      <c r="AG30" s="195"/>
      <c r="AH30" s="195"/>
      <c r="AI30" s="195"/>
      <c r="AJ30" s="195"/>
      <c r="AK30" s="195"/>
      <c r="AL30" s="195"/>
      <c r="AM30" s="195"/>
      <c r="AN30" s="195"/>
      <c r="AO30" s="195"/>
      <c r="AP30" s="195"/>
      <c r="AQ30" s="195"/>
    </row>
    <row r="31" spans="1:52" s="235" customFormat="1" ht="12.75" hidden="1" customHeight="1" x14ac:dyDescent="0.2">
      <c r="A31" s="235" t="s">
        <v>54</v>
      </c>
      <c r="B31" s="236">
        <f>IF(AND(B25&gt;D25,$AK8&gt;0,ISNUMBER(B25),ISNUMBER(D25)),1,0)</f>
        <v>1</v>
      </c>
      <c r="C31" s="236"/>
      <c r="D31" s="237">
        <f>IF(AND(D25&gt;B25,$AK8&gt;0,ISNUMBER(B25),ISNUMBER(D25)),1,0)</f>
        <v>0</v>
      </c>
      <c r="E31" s="236">
        <f>IF(AND(E25&gt;G25,$AK8&gt;1,ISNUMBER(E25),ISNUMBER(G25)),1,0)</f>
        <v>1</v>
      </c>
      <c r="F31" s="236"/>
      <c r="G31" s="237">
        <f>IF(AND(G25&gt;E25,$AK8&gt;1,ISNUMBER(E25),ISNUMBER(G25)),1,0)</f>
        <v>0</v>
      </c>
      <c r="H31" s="236">
        <f>IF(AND(H25&gt;J25,$AK8&gt;2,ISNUMBER(H25),ISNUMBER(J25)),1,0)</f>
        <v>1</v>
      </c>
      <c r="I31" s="236"/>
      <c r="J31" s="237">
        <f>IF(AND(J25&gt;H25,$AK8&gt;2,ISNUMBER(H25),ISNUMBER(J25)),1,0)</f>
        <v>0</v>
      </c>
      <c r="K31" s="236">
        <f>IF(AND(K25&gt;M25,$AK8&gt;3,ISNUMBER(K25),ISNUMBER(M25)),1,0)</f>
        <v>1</v>
      </c>
      <c r="L31" s="236"/>
      <c r="M31" s="237">
        <f>IF(AND(M25&gt;K25,$AK8&gt;3,ISNUMBER(K25),ISNUMBER(M25)),1,0)</f>
        <v>0</v>
      </c>
      <c r="N31" s="236">
        <f>IF(AND(N25&gt;P25,$AK8&gt;4,ISNUMBER(N25),ISNUMBER(P25)),1,0)</f>
        <v>0</v>
      </c>
      <c r="O31" s="236"/>
      <c r="P31" s="237">
        <f>IF(AND(P25&gt;N25,$AK8&gt;4,ISNUMBER(N25),ISNUMBER(P25)),1,0)</f>
        <v>1</v>
      </c>
      <c r="Q31" s="236">
        <f>IF(AND(Q25&gt;S25,$AK8&gt;5,ISNUMBER(Q25),ISNUMBER(S25)),1,0)</f>
        <v>1</v>
      </c>
      <c r="R31" s="236"/>
      <c r="S31" s="237">
        <f>IF(AND(S25&gt;Q25,$AK8&gt;5,ISNUMBER(Q25),ISNUMBER(S25)),1,0)</f>
        <v>0</v>
      </c>
      <c r="T31" s="236">
        <f>IF(AND(T25&gt;V25,$AK8&gt;6,ISNUMBER(T25),ISNUMBER(V25)),1,0)</f>
        <v>1</v>
      </c>
      <c r="U31" s="236"/>
      <c r="V31" s="237">
        <f>IF(AND(V25&gt;T25,$AK8&gt;6,ISNUMBER(T25),ISNUMBER(V25)),1,0)</f>
        <v>0</v>
      </c>
      <c r="W31" s="236">
        <f>IF(AND(W25&gt;Y25,$AK8&gt;7,ISNUMBER(W25),ISNUMBER(Y25)),1,0)</f>
        <v>1</v>
      </c>
      <c r="X31" s="236"/>
      <c r="Y31" s="237">
        <f>IF(AND(Y25&gt;W25,$AK8&gt;7,ISNUMBER(W25),ISNUMBER(Y25)),1,0)</f>
        <v>0</v>
      </c>
      <c r="Z31" s="236">
        <f>IF(AND(Z25&gt;AB25,$AK8&gt;8,ISNUMBER(Z25),ISNUMBER(AB25)),1,0)</f>
        <v>0</v>
      </c>
      <c r="AA31" s="236"/>
      <c r="AB31" s="237">
        <f>IF(AND(AB25&gt;Z25,$AK8&gt;8,ISNUMBER(Z25),ISNUMBER(AB25)),1,0)</f>
        <v>1</v>
      </c>
      <c r="AC31" s="236">
        <f>IF(AND(AC25&gt;AE25,$AK8&gt;9,ISNUMBER(AC25),ISNUMBER(AE25)),1,0)</f>
        <v>0</v>
      </c>
      <c r="AD31" s="236"/>
      <c r="AE31" s="237">
        <f>IF(AND(AE25&gt;AC25,$AK8&gt;9,ISNUMBER(AC25),ISNUMBER(AE25)),1,0)</f>
        <v>1</v>
      </c>
      <c r="AW31" s="238"/>
    </row>
    <row r="32" spans="1:52" s="235" customFormat="1" ht="12.75" hidden="1" customHeight="1" x14ac:dyDescent="0.2">
      <c r="A32" s="235" t="s">
        <v>55</v>
      </c>
      <c r="B32" s="236">
        <f>IF(AND(B26&gt;D26,$AK8&gt;0,$AK7&gt;1,ISNUMBER(B26),ISNUMBER(D26)),1,0)</f>
        <v>1</v>
      </c>
      <c r="C32" s="236"/>
      <c r="D32" s="237">
        <f>IF(AND(D26&gt;B26,$AK8&gt;0,$AK7&gt;1,ISNUMBER(B26),ISNUMBER(D26)),1,0)</f>
        <v>0</v>
      </c>
      <c r="E32" s="236">
        <f>IF(AND(E26&gt;G26,$AK8&gt;1,$AK7&gt;1,ISNUMBER(E26),ISNUMBER(G26)),1,0)</f>
        <v>1</v>
      </c>
      <c r="F32" s="236"/>
      <c r="G32" s="237">
        <f>IF(AND(G26&gt;E26,$AK8&gt;1,$AK7&gt;1,ISNUMBER(E26),ISNUMBER(G26)),1,0)</f>
        <v>0</v>
      </c>
      <c r="H32" s="236">
        <f>IF(AND(H26&gt;J26,$AK8&gt;2,$AK7&gt;1,ISNUMBER(H26),ISNUMBER(J26)),1,0)</f>
        <v>1</v>
      </c>
      <c r="I32" s="236"/>
      <c r="J32" s="237">
        <f>IF(AND(J26&gt;H26,$AK8&gt;2,$AK7&gt;1,ISNUMBER(H26),ISNUMBER(J26)),1,0)</f>
        <v>0</v>
      </c>
      <c r="K32" s="236">
        <f>IF(AND(K26&gt;M26,$AK8&gt;3,$AK7&gt;1,ISNUMBER(K26),ISNUMBER(M26)),1,0)</f>
        <v>1</v>
      </c>
      <c r="L32" s="236"/>
      <c r="M32" s="237">
        <f>IF(AND(M26&gt;K26,$AK8&gt;3,$AK7&gt;1,ISNUMBER(K26),ISNUMBER(M26)),1,0)</f>
        <v>0</v>
      </c>
      <c r="N32" s="236">
        <f>IF(AND(N26&gt;P26,$AK8&gt;4,$AK7&gt;1,ISNUMBER(N26),ISNUMBER(P26)),1,0)</f>
        <v>0</v>
      </c>
      <c r="O32" s="236"/>
      <c r="P32" s="237">
        <f>IF(AND(P26&gt;N26,$AK8&gt;4,$AK7&gt;1,ISNUMBER(N26),ISNUMBER(P26)),1,0)</f>
        <v>1</v>
      </c>
      <c r="Q32" s="236">
        <f>IF(AND(Q26&gt;S26,$AK8&gt;5,$AK7&gt;1,ISNUMBER(Q26),ISNUMBER(S26)),1,0)</f>
        <v>1</v>
      </c>
      <c r="R32" s="236"/>
      <c r="S32" s="237">
        <f>IF(AND(S26&gt;Q26,$AK8&gt;5,$AK7&gt;1,ISNUMBER(Q26),ISNUMBER(S26)),1,0)</f>
        <v>0</v>
      </c>
      <c r="T32" s="236">
        <f>IF(AND(T26&gt;V26,$AK8&gt;6,$AK7&gt;1,ISNUMBER(T26),ISNUMBER(V26)),1,0)</f>
        <v>1</v>
      </c>
      <c r="U32" s="236"/>
      <c r="V32" s="237">
        <f>IF(AND(V26&gt;T26,$AK8&gt;6,$AK7&gt;1,ISNUMBER(T26),ISNUMBER(V26)),1,0)</f>
        <v>0</v>
      </c>
      <c r="W32" s="236">
        <f>IF(AND(W26&gt;Y26,$AK8&gt;7,$AK7&gt;1,ISNUMBER(W26),ISNUMBER(Y26)),1,0)</f>
        <v>1</v>
      </c>
      <c r="X32" s="236"/>
      <c r="Y32" s="237">
        <f>IF(AND(Y26&gt;W26,$AK8&gt;7,$AK7&gt;1,ISNUMBER(W26),ISNUMBER(Y26)),1,0)</f>
        <v>0</v>
      </c>
      <c r="Z32" s="236">
        <f>IF(AND(Z26&gt;AB26,$AK8&gt;8,$AK7&gt;1,ISNUMBER(Z26),ISNUMBER(AB26)),1,0)</f>
        <v>1</v>
      </c>
      <c r="AA32" s="236"/>
      <c r="AB32" s="237">
        <f>IF(AND(AB26&gt;Z26,$AK8&gt;8,$AK7&gt;1,ISNUMBER(Z26),ISNUMBER(AB26)),1,0)</f>
        <v>0</v>
      </c>
      <c r="AC32" s="236">
        <f>IF(AND(AC26&gt;AE26,$AK8&gt;9,$AK7&gt;1,ISNUMBER(AC26),ISNUMBER(AE26)),1,0)</f>
        <v>0</v>
      </c>
      <c r="AD32" s="236"/>
      <c r="AE32" s="237">
        <f>IF(AND(AE26&gt;AC26,$AK8&gt;9,$AK7&gt;1,ISNUMBER(AC26),ISNUMBER(AE26)),1,0)</f>
        <v>1</v>
      </c>
      <c r="AW32" s="238"/>
    </row>
    <row r="33" spans="1:49" s="235" customFormat="1" ht="12.75" hidden="1" customHeight="1" x14ac:dyDescent="0.2">
      <c r="A33" s="235" t="s">
        <v>56</v>
      </c>
      <c r="B33" s="236">
        <f>IF(AND(B27&gt;D27,$AK8&gt;0,$AK7&gt;2,ISNUMBER(B27),ISNUMBER(D27)),1,0)</f>
        <v>0</v>
      </c>
      <c r="C33" s="236"/>
      <c r="D33" s="237">
        <f>IF(AND(D27&gt;B27,$AK8&gt;0,$AK7&gt;2,ISNUMBER(B27),ISNUMBER(D27)),1,0)</f>
        <v>0</v>
      </c>
      <c r="E33" s="236">
        <f>IF(AND(E27&gt;G27,$AK8&gt;1,$AK7&gt;2,ISNUMBER(E27),ISNUMBER(G27)),1,0)</f>
        <v>0</v>
      </c>
      <c r="F33" s="236"/>
      <c r="G33" s="237">
        <f>IF(AND(G27&gt;E27,$AK8&gt;1,$AK7&gt;2,ISNUMBER(E27),ISNUMBER(G27)),1,0)</f>
        <v>0</v>
      </c>
      <c r="H33" s="236">
        <f>IF(AND(H27&gt;J27,$AK8&gt;2,$AK7&gt;2,ISNUMBER(H27),ISNUMBER(J27)),1,0)</f>
        <v>0</v>
      </c>
      <c r="I33" s="236"/>
      <c r="J33" s="237">
        <f>IF(AND(J27&gt;H27,$AK8&gt;2,$AK7&gt;2,ISNUMBER(H27),ISNUMBER(J27)),1,0)</f>
        <v>0</v>
      </c>
      <c r="K33" s="236">
        <f>IF(AND(K27&gt;M27,$AK8&gt;3,$AK7&gt;2,ISNUMBER(K27),ISNUMBER(M27)),1,0)</f>
        <v>0</v>
      </c>
      <c r="L33" s="236"/>
      <c r="M33" s="237">
        <f>IF(AND(M27&gt;K27,$AK8&gt;3,$AK7&gt;2,ISNUMBER(K27),ISNUMBER(M27)),1,0)</f>
        <v>0</v>
      </c>
      <c r="N33" s="236">
        <f>IF(AND(N27&gt;P27,$AK8&gt;4,$AK7&gt;2,ISNUMBER(N27),ISNUMBER(P27)),1,0)</f>
        <v>0</v>
      </c>
      <c r="O33" s="236"/>
      <c r="P33" s="237">
        <f>IF(AND(P27&gt;N27,$AK8&gt;4,$AK7&gt;2,ISNUMBER(N27),ISNUMBER(P27)),1,0)</f>
        <v>0</v>
      </c>
      <c r="Q33" s="236">
        <f>IF(AND(Q27&gt;S27,$AK8&gt;5,$AK7&gt;2,ISNUMBER(Q27),ISNUMBER(S27)),1,0)</f>
        <v>0</v>
      </c>
      <c r="R33" s="236"/>
      <c r="S33" s="237">
        <f>IF(AND(S27&gt;Q27,$AK8&gt;5,$AK7&gt;2,ISNUMBER(Q27),ISNUMBER(S27)),1,0)</f>
        <v>0</v>
      </c>
      <c r="T33" s="236">
        <f>IF(AND(T27&gt;V27,$AK8&gt;6,$AK7&gt;2,ISNUMBER(T27),ISNUMBER(V27)),1,0)</f>
        <v>0</v>
      </c>
      <c r="U33" s="236"/>
      <c r="V33" s="237">
        <f>IF(AND(V27&gt;T27,$AK8&gt;6,$AK7&gt;2,ISNUMBER(T27),ISNUMBER(V27)),1,0)</f>
        <v>0</v>
      </c>
      <c r="W33" s="236">
        <f>IF(AND(W27&gt;Y27,$AK8&gt;7,$AK7&gt;2,ISNUMBER(W27),ISNUMBER(Y27)),1,0)</f>
        <v>0</v>
      </c>
      <c r="X33" s="236"/>
      <c r="Y33" s="237">
        <f>IF(AND(Y27&gt;W27,$AK8&gt;7,$AK7&gt;2,ISNUMBER(W27),ISNUMBER(Y27)),1,0)</f>
        <v>0</v>
      </c>
      <c r="Z33" s="236">
        <f>IF(AND(Z27&gt;AB27,$AK8&gt;8,$AK7&gt;2,ISNUMBER(Z27),ISNUMBER(AB27)),1,0)</f>
        <v>0</v>
      </c>
      <c r="AA33" s="236"/>
      <c r="AB33" s="237">
        <f>IF(AND(AB27&gt;Z27,$AK8&gt;8,$AK7&gt;2,ISNUMBER(Z27),ISNUMBER(AB27)),1,0)</f>
        <v>0</v>
      </c>
      <c r="AC33" s="236">
        <f>IF(AND(AC27&gt;AE27,$AK8&gt;9,$AK7&gt;2,ISNUMBER(AC27),ISNUMBER(AE27)),1,0)</f>
        <v>0</v>
      </c>
      <c r="AD33" s="236"/>
      <c r="AE33" s="237">
        <f>IF(AND(AE27&gt;AC27,$AK8&gt;9,$AK7&gt;2,ISNUMBER(AC27),ISNUMBER(AE27)),1,0)</f>
        <v>0</v>
      </c>
      <c r="AW33" s="238"/>
    </row>
    <row r="34" spans="1:49" s="235" customFormat="1" ht="12.75" hidden="1" customHeight="1" x14ac:dyDescent="0.2">
      <c r="A34" s="235" t="s">
        <v>57</v>
      </c>
      <c r="B34" s="236">
        <f>IF(AND(B28&gt;D28,$AK8&gt;0,$AK7&gt;3,ISNUMBER(B28),ISNUMBER(D28)),1,0)</f>
        <v>0</v>
      </c>
      <c r="C34" s="236"/>
      <c r="D34" s="237">
        <f>IF(AND(D28&gt;B28,$AK8&gt;0,$AK7&gt;3,ISNUMBER(B28),ISNUMBER(D28)),1,0)</f>
        <v>0</v>
      </c>
      <c r="E34" s="236">
        <f>IF(AND(E28&gt;G28,$AK8&gt;1,$AK7&gt;3,ISNUMBER(E28),ISNUMBER(G28)),1,0)</f>
        <v>0</v>
      </c>
      <c r="F34" s="236"/>
      <c r="G34" s="237">
        <f>IF(AND(G28&gt;E28,$AK8&gt;1,$AK7&gt;3,ISNUMBER(E28),ISNUMBER(G28)),1,0)</f>
        <v>0</v>
      </c>
      <c r="H34" s="236">
        <f>IF(AND(H28&gt;J28,$AK8&gt;2,$AK7&gt;3,ISNUMBER(H28),ISNUMBER(J28)),1,0)</f>
        <v>0</v>
      </c>
      <c r="I34" s="236"/>
      <c r="J34" s="237">
        <f>IF(AND(J28&gt;H28,$AK8&gt;2,$AK7&gt;3,ISNUMBER(H28),ISNUMBER(J28)),1,0)</f>
        <v>0</v>
      </c>
      <c r="K34" s="236">
        <f>IF(AND(K28&gt;M28,$AK8&gt;3,$AK7&gt;3,ISNUMBER(K28),ISNUMBER(M28)),1,0)</f>
        <v>0</v>
      </c>
      <c r="L34" s="236"/>
      <c r="M34" s="237">
        <f>IF(AND(M28&gt;K28,$AK8&gt;3,$AK7&gt;3,ISNUMBER(K28),ISNUMBER(M28)),1,0)</f>
        <v>0</v>
      </c>
      <c r="N34" s="236">
        <f>IF(AND(N28&gt;P28,$AK8&gt;4,$AK7&gt;3,ISNUMBER(N28),ISNUMBER(P28)),1,0)</f>
        <v>0</v>
      </c>
      <c r="O34" s="236"/>
      <c r="P34" s="237">
        <f>IF(AND(P28&gt;N28,$AK8&gt;4,$AK7&gt;3,ISNUMBER(N28),ISNUMBER(P28)),1,0)</f>
        <v>0</v>
      </c>
      <c r="Q34" s="236">
        <f>IF(AND(Q28&gt;S28,$AK8&gt;5,$AK7&gt;3,ISNUMBER(Q28),ISNUMBER(S28)),1,0)</f>
        <v>0</v>
      </c>
      <c r="R34" s="236"/>
      <c r="S34" s="237">
        <f>IF(AND(S28&gt;Q28,$AK8&gt;5,$AK7&gt;3,ISNUMBER(Q28),ISNUMBER(S28)),1,0)</f>
        <v>0</v>
      </c>
      <c r="T34" s="236">
        <f>IF(AND(T28&gt;V28,$AK8&gt;6,$AK7&gt;3,ISNUMBER(T28),ISNUMBER(V28)),1,0)</f>
        <v>0</v>
      </c>
      <c r="U34" s="236"/>
      <c r="V34" s="237">
        <f>IF(AND(V28&gt;T28,$AK8&gt;6,$AK7&gt;3,ISNUMBER(T28),ISNUMBER(V28)),1,0)</f>
        <v>0</v>
      </c>
      <c r="W34" s="236">
        <f>IF(AND(W28&gt;Y28,$AK8&gt;7,$AK7&gt;3,ISNUMBER(W28),ISNUMBER(Y28)),1,0)</f>
        <v>0</v>
      </c>
      <c r="X34" s="236"/>
      <c r="Y34" s="237">
        <f>IF(AND(Y28&gt;W28,$AK8&gt;7,$AK7&gt;3,ISNUMBER(W28),ISNUMBER(Y28)),1,0)</f>
        <v>0</v>
      </c>
      <c r="Z34" s="236">
        <f>IF(AND(Z28&gt;AB28,$AK8&gt;8,$AK7&gt;3,ISNUMBER(Z28),ISNUMBER(AB28)),1,0)</f>
        <v>0</v>
      </c>
      <c r="AA34" s="236"/>
      <c r="AB34" s="237">
        <f>IF(AND(AB28&gt;Z28,$AK8&gt;8,$AK7&gt;3,ISNUMBER(Z28),ISNUMBER(AB28)),1,0)</f>
        <v>0</v>
      </c>
      <c r="AC34" s="236">
        <f>IF(AND(AC28&gt;AE28,$AK8&gt;9,$AK7&gt;3,ISNUMBER(AC28),ISNUMBER(AE28)),1,0)</f>
        <v>0</v>
      </c>
      <c r="AD34" s="236"/>
      <c r="AE34" s="237">
        <f>IF(AND(AE28&gt;AC28,$AK8&gt;9,$AK7&gt;3,ISNUMBER(AC28),ISNUMBER(AE28)),1,0)</f>
        <v>0</v>
      </c>
      <c r="AW34" s="238"/>
    </row>
    <row r="35" spans="1:49" s="235" customFormat="1" ht="12.75" hidden="1" customHeight="1" x14ac:dyDescent="0.2">
      <c r="A35" s="235" t="s">
        <v>58</v>
      </c>
      <c r="B35" s="236">
        <f>IF(AND(B29&gt;D29,$AK8&gt;0,$AK7&gt;4,ISNUMBER(B29),ISNUMBER(D29)),1,0)</f>
        <v>0</v>
      </c>
      <c r="C35" s="236"/>
      <c r="D35" s="237">
        <f>IF(AND(D29&gt;B29,$AK8&gt;0,$AK7&gt;4,ISNUMBER(B29),ISNUMBER(D29)),1,0)</f>
        <v>0</v>
      </c>
      <c r="E35" s="236">
        <f>IF(AND(E29&gt;G29,$AK8&gt;1,$AK7&gt;4,ISNUMBER(E29),ISNUMBER(G29)),1,0)</f>
        <v>0</v>
      </c>
      <c r="F35" s="236"/>
      <c r="G35" s="237">
        <f>IF(AND(G29&gt;E29,$AK8&gt;1,$AK7&gt;4,ISNUMBER(E29),ISNUMBER(G29)),1,0)</f>
        <v>0</v>
      </c>
      <c r="H35" s="236">
        <f>IF(AND(H29&gt;J29,$AK8&gt;2,$AK7&gt;4,ISNUMBER(H29),ISNUMBER(J29)),1,0)</f>
        <v>0</v>
      </c>
      <c r="I35" s="236"/>
      <c r="J35" s="237">
        <f>IF(AND(J29&gt;H29,$AK8&gt;2,$AK7&gt;4,ISNUMBER(H29),ISNUMBER(J29)),1,0)</f>
        <v>0</v>
      </c>
      <c r="K35" s="236">
        <f>IF(AND(K29&gt;M29,$AK8&gt;3,$AK7&gt;4,ISNUMBER(K29),ISNUMBER(M29)),1,0)</f>
        <v>0</v>
      </c>
      <c r="L35" s="236"/>
      <c r="M35" s="237">
        <f>IF(AND(M29&gt;K29,$AK8&gt;3,$AK7&gt;4,ISNUMBER(K29),ISNUMBER(M29)),1,0)</f>
        <v>0</v>
      </c>
      <c r="N35" s="236">
        <f>IF(AND(N29&gt;P29,$AK8&gt;4,$AK7&gt;4,ISNUMBER(N29),ISNUMBER(P29)),1,0)</f>
        <v>0</v>
      </c>
      <c r="O35" s="236"/>
      <c r="P35" s="237">
        <f>IF(AND(P29&gt;N29,$AK8&gt;4,$AK7&gt;4,ISNUMBER(N29),ISNUMBER(P29)),1,0)</f>
        <v>0</v>
      </c>
      <c r="Q35" s="236">
        <f>IF(AND(Q29&gt;S29,$AK8&gt;5,$AK7&gt;4,ISNUMBER(Q29),ISNUMBER(S29)),1,0)</f>
        <v>0</v>
      </c>
      <c r="R35" s="236"/>
      <c r="S35" s="237">
        <f>IF(AND(S29&gt;Q29,$AK8&gt;5,$AK7&gt;4,ISNUMBER(Q29),ISNUMBER(S29)),1,0)</f>
        <v>0</v>
      </c>
      <c r="T35" s="236">
        <f>IF(AND(T29&gt;V29,$AK8&gt;6,$AK7&gt;4,ISNUMBER(T29),ISNUMBER(V29)),1,0)</f>
        <v>0</v>
      </c>
      <c r="U35" s="236"/>
      <c r="V35" s="237">
        <f>IF(AND(V29&gt;T29,$AK8&gt;6,$AK7&gt;4,ISNUMBER(T29),ISNUMBER(V29)),1,0)</f>
        <v>0</v>
      </c>
      <c r="W35" s="236">
        <f>IF(AND(W29&gt;Y29,$AK8&gt;7,$AK7&gt;4,ISNUMBER(W29),ISNUMBER(Y29)),1,0)</f>
        <v>0</v>
      </c>
      <c r="X35" s="236"/>
      <c r="Y35" s="237">
        <f>IF(AND(Y29&gt;W29,$AK8&gt;7,$AK7&gt;4,ISNUMBER(W29),ISNUMBER(Y29)),1,0)</f>
        <v>0</v>
      </c>
      <c r="Z35" s="236">
        <f>IF(AND(Z29&gt;AB29,$AK8&gt;8,$AK7&gt;4,ISNUMBER(Z29),ISNUMBER(AB29)),1,0)</f>
        <v>0</v>
      </c>
      <c r="AA35" s="236"/>
      <c r="AB35" s="237">
        <f>IF(AND(AB29&gt;Z29,$AK8&gt;8,$AK7&gt;4,ISNUMBER(Z29),ISNUMBER(AB29)),1,0)</f>
        <v>0</v>
      </c>
      <c r="AC35" s="236">
        <f>IF(AND(AC29&gt;AE29,$AK8&gt;9,$AK7&gt;4,ISNUMBER(AC29),ISNUMBER(AE29)),1,0)</f>
        <v>0</v>
      </c>
      <c r="AD35" s="236"/>
      <c r="AE35" s="237">
        <f>IF(AND(AE29&gt;AC29,$AK8&gt;9,$AK7&gt;4,ISNUMBER(AC29),ISNUMBER(AE29)),1,0)</f>
        <v>0</v>
      </c>
      <c r="AW35" s="238"/>
    </row>
    <row r="36" spans="1:49" s="235" customFormat="1" ht="38.25" hidden="1" customHeight="1" x14ac:dyDescent="0.2">
      <c r="A36" s="239" t="s">
        <v>59</v>
      </c>
      <c r="B36" s="235">
        <f>SUM(B31:B35)</f>
        <v>2</v>
      </c>
      <c r="D36" s="240">
        <f>SUM(D31:D35)</f>
        <v>0</v>
      </c>
      <c r="E36" s="235">
        <f>SUM(E31:E35)</f>
        <v>2</v>
      </c>
      <c r="G36" s="240">
        <f>SUM(G31:G35)</f>
        <v>0</v>
      </c>
      <c r="H36" s="235">
        <f>SUM(H31:H35)</f>
        <v>2</v>
      </c>
      <c r="J36" s="240">
        <f>SUM(J31:J35)</f>
        <v>0</v>
      </c>
      <c r="K36" s="235">
        <f>SUM(K31:K35)</f>
        <v>2</v>
      </c>
      <c r="M36" s="240">
        <f>SUM(M31:M35)</f>
        <v>0</v>
      </c>
      <c r="N36" s="235">
        <f>SUM(N31:N35)</f>
        <v>0</v>
      </c>
      <c r="P36" s="240">
        <f>SUM(P31:P35)</f>
        <v>2</v>
      </c>
      <c r="Q36" s="235">
        <f>SUM(Q31:Q35)</f>
        <v>2</v>
      </c>
      <c r="S36" s="240">
        <f>SUM(S31:S35)</f>
        <v>0</v>
      </c>
      <c r="T36" s="235">
        <f>SUM(T31:T35)</f>
        <v>2</v>
      </c>
      <c r="V36" s="240">
        <f>SUM(V31:V35)</f>
        <v>0</v>
      </c>
      <c r="W36" s="235">
        <f>SUM(W31:W35)</f>
        <v>2</v>
      </c>
      <c r="Y36" s="240">
        <f>SUM(Y31:Y35)</f>
        <v>0</v>
      </c>
      <c r="Z36" s="235">
        <f>SUM(Z31:Z35)</f>
        <v>1</v>
      </c>
      <c r="AB36" s="240">
        <f>SUM(AB31:AB35)</f>
        <v>1</v>
      </c>
      <c r="AC36" s="235">
        <f>SUM(AC31:AC35)</f>
        <v>0</v>
      </c>
      <c r="AE36" s="240">
        <f>SUM(AE31:AE35)</f>
        <v>2</v>
      </c>
      <c r="AW36" s="238"/>
    </row>
    <row r="37" spans="1:49" s="235" customFormat="1" ht="25.5" hidden="1" customHeight="1" x14ac:dyDescent="0.2">
      <c r="A37" s="239" t="s">
        <v>60</v>
      </c>
      <c r="B37" s="235">
        <f>IF(B36&gt;D36,IF(C71=AK7,1,IF(C71=AK7-1,1,0)),0)</f>
        <v>1</v>
      </c>
      <c r="C37" s="235">
        <f>B37+D37</f>
        <v>1</v>
      </c>
      <c r="D37" s="240">
        <f>IF(D36&gt;B36,IF(C71=AK7,1,IF(C71=AK7-1,1,0)),0)</f>
        <v>0</v>
      </c>
      <c r="E37" s="235">
        <f>IF(E36&gt;G36,IF(F71=AK7,1,IF(F71=AK7-1,1,0)),0)</f>
        <v>1</v>
      </c>
      <c r="F37" s="235">
        <f>E37+G37</f>
        <v>1</v>
      </c>
      <c r="G37" s="240">
        <f>IF(G36&gt;E36,IF(F71=AK7,1,IF(F71=AK7-1,1,0)),0)</f>
        <v>0</v>
      </c>
      <c r="H37" s="235">
        <f>IF(H36&gt;J36,IF(I71=AK7,1,IF(I71=AK7-1,1,0)),0)</f>
        <v>1</v>
      </c>
      <c r="I37" s="235">
        <f>H37+J37</f>
        <v>1</v>
      </c>
      <c r="J37" s="240">
        <f>IF(J36&gt;H36,IF(I71=AK7,1,IF(I71=AK7-1,1,0)),0)</f>
        <v>0</v>
      </c>
      <c r="K37" s="235">
        <f>IF(K36&gt;M36,IF(L71=AK7,1,IF(L71=AK7-1,1,0)),0)</f>
        <v>1</v>
      </c>
      <c r="L37" s="235">
        <f>K37+M37</f>
        <v>1</v>
      </c>
      <c r="M37" s="240">
        <f>IF(M36&gt;K36,IF(L71=AK7,1,IF(L71=AK7-1,1,0)),0)</f>
        <v>0</v>
      </c>
      <c r="N37" s="235">
        <f>IF(N36&gt;P36,IF(O71=AK7,1,IF(O71=AK7-1,1,0)),0)</f>
        <v>0</v>
      </c>
      <c r="O37" s="235">
        <f>N37+P37</f>
        <v>1</v>
      </c>
      <c r="P37" s="240">
        <f>IF(P36&gt;N36,IF(O71=AK7,1,IF(O71=AK7-1,1,0)),0)</f>
        <v>1</v>
      </c>
      <c r="Q37" s="235">
        <f>IF(Q36&gt;S36,IF(R71=AK7,1,IF(R71=AK7-1,1,0)),0)</f>
        <v>1</v>
      </c>
      <c r="R37" s="235">
        <f>Q37+S37</f>
        <v>1</v>
      </c>
      <c r="S37" s="240">
        <f>IF(S36&gt;Q36,IF(R71=AK7,1,IF(R71=AK7-1,1,0)),0)</f>
        <v>0</v>
      </c>
      <c r="T37" s="235">
        <f>IF(T36&gt;V36,IF(U71=AK7,1,IF(U71=AK7-1,1,0)),0)</f>
        <v>1</v>
      </c>
      <c r="U37" s="235">
        <f>T37+V37</f>
        <v>1</v>
      </c>
      <c r="V37" s="240">
        <f>IF(V36&gt;T36,IF(U71=AK7,1,IF(U71=AK7-1,1,0)),0)</f>
        <v>0</v>
      </c>
      <c r="W37" s="235">
        <f>IF(W36&gt;Y36,IF(X71=AK7,1,IF(X71=AK7-1,1,0)),0)</f>
        <v>1</v>
      </c>
      <c r="X37" s="235">
        <f>W37+Y37</f>
        <v>1</v>
      </c>
      <c r="Y37" s="240">
        <f>IF(Y36&gt;W36,IF(X71=AK7,1,IF(X71=AK7-1,1,0)),0)</f>
        <v>0</v>
      </c>
      <c r="Z37" s="235">
        <f>IF(Z36&gt;AB36,IF(AA71=AK7,1,IF(AA71=AK7-1,1,0)),0)</f>
        <v>0</v>
      </c>
      <c r="AA37" s="235">
        <f>Z37+AB37</f>
        <v>0</v>
      </c>
      <c r="AB37" s="240">
        <f>IF(AB36&gt;Z36,IF(AA71=AK7,1,IF(AA71=AK7-1,1,0)),0)</f>
        <v>0</v>
      </c>
      <c r="AC37" s="235">
        <f>IF(AC36&gt;AE36,IF(AD71=AK7,1,IF(AD71=AK7-1,1,0)),0)</f>
        <v>0</v>
      </c>
      <c r="AD37" s="235">
        <f>AC37+AE37</f>
        <v>1</v>
      </c>
      <c r="AE37" s="240">
        <f>IF(AE36&gt;AC36,IF(AD71=AK7,1,IF(AD71=AK7-1,1,0)),0)</f>
        <v>1</v>
      </c>
      <c r="AW37" s="238"/>
    </row>
    <row r="38" spans="1:49" s="235" customFormat="1" ht="25.5" hidden="1" customHeight="1" x14ac:dyDescent="0.2">
      <c r="A38" s="239"/>
      <c r="D38" s="240"/>
      <c r="G38" s="240"/>
      <c r="J38" s="240"/>
      <c r="M38" s="240"/>
      <c r="P38" s="240"/>
      <c r="S38" s="240"/>
      <c r="V38" s="240"/>
      <c r="Y38" s="240"/>
      <c r="AB38" s="240"/>
      <c r="AE38" s="240"/>
      <c r="AW38" s="238"/>
    </row>
    <row r="39" spans="1:49" s="235" customFormat="1" ht="12.75" hidden="1" customHeight="1" x14ac:dyDescent="0.2">
      <c r="A39" s="235" t="s">
        <v>61</v>
      </c>
      <c r="B39" s="235">
        <f>IF(B31=1,B25,0)</f>
        <v>25</v>
      </c>
      <c r="D39" s="240">
        <f t="shared" ref="D39:E43" si="3">IF(D31=1,D25,0)</f>
        <v>0</v>
      </c>
      <c r="E39" s="235">
        <f t="shared" si="3"/>
        <v>27</v>
      </c>
      <c r="G39" s="240">
        <f t="shared" ref="G39:H43" si="4">IF(G31=1,G25,0)</f>
        <v>0</v>
      </c>
      <c r="H39" s="235">
        <f t="shared" si="4"/>
        <v>25</v>
      </c>
      <c r="J39" s="240">
        <f t="shared" ref="J39:K43" si="5">IF(J31=1,J25,0)</f>
        <v>0</v>
      </c>
      <c r="K39" s="235">
        <f t="shared" si="5"/>
        <v>25</v>
      </c>
      <c r="M39" s="240">
        <f t="shared" ref="M39:N43" si="6">IF(M31=1,M25,0)</f>
        <v>0</v>
      </c>
      <c r="N39" s="235">
        <f t="shared" si="6"/>
        <v>0</v>
      </c>
      <c r="P39" s="240">
        <f t="shared" ref="P39:Q43" si="7">IF(P31=1,P25,0)</f>
        <v>25</v>
      </c>
      <c r="Q39" s="235">
        <f t="shared" si="7"/>
        <v>25</v>
      </c>
      <c r="S39" s="240">
        <f t="shared" ref="S39:T43" si="8">IF(S31=1,S25,0)</f>
        <v>0</v>
      </c>
      <c r="T39" s="235">
        <f t="shared" si="8"/>
        <v>26</v>
      </c>
      <c r="V39" s="240">
        <f t="shared" ref="V39:W43" si="9">IF(V31=1,V25,0)</f>
        <v>0</v>
      </c>
      <c r="W39" s="235">
        <f t="shared" si="9"/>
        <v>25</v>
      </c>
      <c r="Y39" s="240">
        <f t="shared" ref="Y39:Z43" si="10">IF(Y31=1,Y25,0)</f>
        <v>0</v>
      </c>
      <c r="Z39" s="235">
        <f t="shared" si="10"/>
        <v>0</v>
      </c>
      <c r="AB39" s="240">
        <f t="shared" ref="AB39:AC43" si="11">IF(AB31=1,AB25,0)</f>
        <v>25</v>
      </c>
      <c r="AC39" s="235">
        <f t="shared" si="11"/>
        <v>0</v>
      </c>
      <c r="AE39" s="240">
        <f>IF(AE31=1,AE25,0)</f>
        <v>25</v>
      </c>
      <c r="AW39" s="238"/>
    </row>
    <row r="40" spans="1:49" s="235" customFormat="1" ht="12.75" hidden="1" customHeight="1" x14ac:dyDescent="0.2">
      <c r="A40" s="235" t="s">
        <v>62</v>
      </c>
      <c r="B40" s="235">
        <f>IF(B32=1,B26,0)</f>
        <v>25</v>
      </c>
      <c r="D40" s="240">
        <f t="shared" si="3"/>
        <v>0</v>
      </c>
      <c r="E40" s="235">
        <f t="shared" si="3"/>
        <v>26</v>
      </c>
      <c r="G40" s="240">
        <f t="shared" si="4"/>
        <v>0</v>
      </c>
      <c r="H40" s="235">
        <f t="shared" si="4"/>
        <v>25</v>
      </c>
      <c r="J40" s="240">
        <f t="shared" si="5"/>
        <v>0</v>
      </c>
      <c r="K40" s="235">
        <f t="shared" si="5"/>
        <v>25</v>
      </c>
      <c r="M40" s="240">
        <f t="shared" si="6"/>
        <v>0</v>
      </c>
      <c r="N40" s="235">
        <f t="shared" si="6"/>
        <v>0</v>
      </c>
      <c r="P40" s="240">
        <f t="shared" si="7"/>
        <v>25</v>
      </c>
      <c r="Q40" s="235">
        <f t="shared" si="7"/>
        <v>25</v>
      </c>
      <c r="S40" s="240">
        <f t="shared" si="8"/>
        <v>0</v>
      </c>
      <c r="T40" s="235">
        <f t="shared" si="8"/>
        <v>25</v>
      </c>
      <c r="V40" s="240">
        <f t="shared" si="9"/>
        <v>0</v>
      </c>
      <c r="W40" s="235">
        <f t="shared" si="9"/>
        <v>26</v>
      </c>
      <c r="Y40" s="240">
        <f t="shared" si="10"/>
        <v>0</v>
      </c>
      <c r="Z40" s="235">
        <f t="shared" si="10"/>
        <v>25</v>
      </c>
      <c r="AB40" s="240">
        <f t="shared" si="11"/>
        <v>0</v>
      </c>
      <c r="AC40" s="235">
        <f t="shared" si="11"/>
        <v>0</v>
      </c>
      <c r="AE40" s="240">
        <f>IF(AE32=1,AE26,0)</f>
        <v>25</v>
      </c>
      <c r="AW40" s="238"/>
    </row>
    <row r="41" spans="1:49" s="235" customFormat="1" ht="12.75" hidden="1" customHeight="1" x14ac:dyDescent="0.2">
      <c r="A41" s="235" t="s">
        <v>63</v>
      </c>
      <c r="B41" s="235">
        <f>IF(B33=1,B27,0)</f>
        <v>0</v>
      </c>
      <c r="D41" s="240">
        <f t="shared" si="3"/>
        <v>0</v>
      </c>
      <c r="E41" s="235">
        <f t="shared" si="3"/>
        <v>0</v>
      </c>
      <c r="G41" s="240">
        <f t="shared" si="4"/>
        <v>0</v>
      </c>
      <c r="H41" s="235">
        <f t="shared" si="4"/>
        <v>0</v>
      </c>
      <c r="J41" s="240">
        <f t="shared" si="5"/>
        <v>0</v>
      </c>
      <c r="K41" s="235">
        <f t="shared" si="5"/>
        <v>0</v>
      </c>
      <c r="M41" s="240">
        <f t="shared" si="6"/>
        <v>0</v>
      </c>
      <c r="N41" s="235">
        <f t="shared" si="6"/>
        <v>0</v>
      </c>
      <c r="P41" s="240">
        <f t="shared" si="7"/>
        <v>0</v>
      </c>
      <c r="Q41" s="235">
        <f t="shared" si="7"/>
        <v>0</v>
      </c>
      <c r="S41" s="240">
        <f t="shared" si="8"/>
        <v>0</v>
      </c>
      <c r="T41" s="235">
        <f t="shared" si="8"/>
        <v>0</v>
      </c>
      <c r="V41" s="240">
        <f t="shared" si="9"/>
        <v>0</v>
      </c>
      <c r="W41" s="235">
        <f t="shared" si="9"/>
        <v>0</v>
      </c>
      <c r="Y41" s="240">
        <f t="shared" si="10"/>
        <v>0</v>
      </c>
      <c r="Z41" s="235">
        <f t="shared" si="10"/>
        <v>0</v>
      </c>
      <c r="AB41" s="240">
        <f t="shared" si="11"/>
        <v>0</v>
      </c>
      <c r="AC41" s="235">
        <f t="shared" si="11"/>
        <v>0</v>
      </c>
      <c r="AE41" s="240">
        <f>IF(AE33=1,AE27,0)</f>
        <v>0</v>
      </c>
      <c r="AW41" s="238"/>
    </row>
    <row r="42" spans="1:49" s="235" customFormat="1" ht="12.75" hidden="1" customHeight="1" x14ac:dyDescent="0.2">
      <c r="A42" s="235" t="s">
        <v>64</v>
      </c>
      <c r="B42" s="235">
        <f>IF(B34=1,B28,0)</f>
        <v>0</v>
      </c>
      <c r="D42" s="240">
        <f t="shared" si="3"/>
        <v>0</v>
      </c>
      <c r="E42" s="235">
        <f t="shared" si="3"/>
        <v>0</v>
      </c>
      <c r="G42" s="240">
        <f t="shared" si="4"/>
        <v>0</v>
      </c>
      <c r="H42" s="235">
        <f t="shared" si="4"/>
        <v>0</v>
      </c>
      <c r="J42" s="240">
        <f t="shared" si="5"/>
        <v>0</v>
      </c>
      <c r="K42" s="235">
        <f t="shared" si="5"/>
        <v>0</v>
      </c>
      <c r="M42" s="240">
        <f t="shared" si="6"/>
        <v>0</v>
      </c>
      <c r="N42" s="235">
        <f t="shared" si="6"/>
        <v>0</v>
      </c>
      <c r="P42" s="240">
        <f t="shared" si="7"/>
        <v>0</v>
      </c>
      <c r="Q42" s="235">
        <f t="shared" si="7"/>
        <v>0</v>
      </c>
      <c r="S42" s="240">
        <f t="shared" si="8"/>
        <v>0</v>
      </c>
      <c r="T42" s="235">
        <f t="shared" si="8"/>
        <v>0</v>
      </c>
      <c r="V42" s="240">
        <f t="shared" si="9"/>
        <v>0</v>
      </c>
      <c r="W42" s="235">
        <f t="shared" si="9"/>
        <v>0</v>
      </c>
      <c r="Y42" s="240">
        <f t="shared" si="10"/>
        <v>0</v>
      </c>
      <c r="Z42" s="235">
        <f t="shared" si="10"/>
        <v>0</v>
      </c>
      <c r="AB42" s="240">
        <f t="shared" si="11"/>
        <v>0</v>
      </c>
      <c r="AC42" s="235">
        <f t="shared" si="11"/>
        <v>0</v>
      </c>
      <c r="AE42" s="240">
        <f>IF(AE34=1,AE28,0)</f>
        <v>0</v>
      </c>
      <c r="AW42" s="238"/>
    </row>
    <row r="43" spans="1:49" s="235" customFormat="1" ht="12.75" hidden="1" customHeight="1" x14ac:dyDescent="0.2">
      <c r="A43" s="235" t="s">
        <v>65</v>
      </c>
      <c r="B43" s="235">
        <f>IF(B35=1,B29,0)</f>
        <v>0</v>
      </c>
      <c r="D43" s="240">
        <f t="shared" si="3"/>
        <v>0</v>
      </c>
      <c r="E43" s="235">
        <f t="shared" si="3"/>
        <v>0</v>
      </c>
      <c r="G43" s="240">
        <f t="shared" si="4"/>
        <v>0</v>
      </c>
      <c r="H43" s="235">
        <f t="shared" si="4"/>
        <v>0</v>
      </c>
      <c r="J43" s="240">
        <f t="shared" si="5"/>
        <v>0</v>
      </c>
      <c r="K43" s="235">
        <f t="shared" si="5"/>
        <v>0</v>
      </c>
      <c r="M43" s="240">
        <f t="shared" si="6"/>
        <v>0</v>
      </c>
      <c r="N43" s="235">
        <f t="shared" si="6"/>
        <v>0</v>
      </c>
      <c r="P43" s="240">
        <f t="shared" si="7"/>
        <v>0</v>
      </c>
      <c r="Q43" s="235">
        <f t="shared" si="7"/>
        <v>0</v>
      </c>
      <c r="S43" s="240">
        <f t="shared" si="8"/>
        <v>0</v>
      </c>
      <c r="T43" s="235">
        <f t="shared" si="8"/>
        <v>0</v>
      </c>
      <c r="V43" s="240">
        <f t="shared" si="9"/>
        <v>0</v>
      </c>
      <c r="W43" s="235">
        <f t="shared" si="9"/>
        <v>0</v>
      </c>
      <c r="Y43" s="240">
        <f t="shared" si="10"/>
        <v>0</v>
      </c>
      <c r="Z43" s="235">
        <f t="shared" si="10"/>
        <v>0</v>
      </c>
      <c r="AB43" s="240">
        <f t="shared" si="11"/>
        <v>0</v>
      </c>
      <c r="AC43" s="235">
        <f t="shared" si="11"/>
        <v>0</v>
      </c>
      <c r="AE43" s="240">
        <f>IF(AE35=1,AE29,0)</f>
        <v>0</v>
      </c>
      <c r="AW43" s="238"/>
    </row>
    <row r="44" spans="1:49" s="235" customFormat="1" ht="38.25" hidden="1" customHeight="1" x14ac:dyDescent="0.2">
      <c r="A44" s="239" t="s">
        <v>66</v>
      </c>
      <c r="B44" s="235">
        <f>SUM(B39:D43)</f>
        <v>50</v>
      </c>
      <c r="D44" s="240"/>
      <c r="E44" s="235">
        <f>SUM(E39:G43)</f>
        <v>53</v>
      </c>
      <c r="G44" s="240"/>
      <c r="H44" s="235">
        <f>SUM(H39:J43)</f>
        <v>50</v>
      </c>
      <c r="J44" s="240"/>
      <c r="K44" s="235">
        <f>SUM(K39:M43)</f>
        <v>50</v>
      </c>
      <c r="M44" s="240"/>
      <c r="N44" s="235">
        <f>SUM(N39:P43)</f>
        <v>50</v>
      </c>
      <c r="P44" s="240"/>
      <c r="Q44" s="235">
        <f>SUM(Q39:S43)</f>
        <v>50</v>
      </c>
      <c r="S44" s="240"/>
      <c r="T44" s="235">
        <f>SUM(T39:V43)</f>
        <v>51</v>
      </c>
      <c r="V44" s="240"/>
      <c r="W44" s="235">
        <f>SUM(W39:Y43)</f>
        <v>51</v>
      </c>
      <c r="Y44" s="240"/>
      <c r="Z44" s="235">
        <f>SUM(Z39:AB43)</f>
        <v>50</v>
      </c>
      <c r="AB44" s="240"/>
      <c r="AC44" s="235">
        <f>SUM(AC39:AE43)</f>
        <v>50</v>
      </c>
      <c r="AE44" s="240"/>
      <c r="AW44" s="238"/>
    </row>
    <row r="45" spans="1:49" s="235" customFormat="1" ht="38.25" hidden="1" customHeight="1" x14ac:dyDescent="0.2">
      <c r="A45" s="235" t="s">
        <v>67</v>
      </c>
      <c r="D45" s="240"/>
      <c r="G45" s="240"/>
      <c r="J45" s="240"/>
      <c r="M45" s="240"/>
      <c r="P45" s="240"/>
      <c r="S45" s="240"/>
      <c r="V45" s="240"/>
      <c r="Y45" s="240"/>
      <c r="AB45" s="240"/>
      <c r="AE45" s="240"/>
      <c r="AF45" s="239" t="s">
        <v>68</v>
      </c>
      <c r="AG45" s="235" t="s">
        <v>69</v>
      </c>
      <c r="AW45" s="238"/>
    </row>
    <row r="46" spans="1:49" s="235" customFormat="1" ht="12.75" hidden="1" customHeight="1" x14ac:dyDescent="0.2">
      <c r="A46" s="235" t="s">
        <v>70</v>
      </c>
      <c r="B46" s="235">
        <f>IF(B24=1,IF(B37=1,1,0),0)</f>
        <v>0</v>
      </c>
      <c r="D46" s="240">
        <f>IF(D24=1,IF(D37=1,1,0),0)</f>
        <v>0</v>
      </c>
      <c r="E46" s="235">
        <f>IF(E24=1,IF(E37=1,1,0),0)</f>
        <v>1</v>
      </c>
      <c r="G46" s="240">
        <f>IF(G24=1,IF(G37=1,1,0),0)</f>
        <v>0</v>
      </c>
      <c r="H46" s="235">
        <f>IF(H24=1,IF(H37=1,1,0),0)</f>
        <v>0</v>
      </c>
      <c r="J46" s="240">
        <f>IF(J24=1,IF(J37=1,1,0),0)</f>
        <v>0</v>
      </c>
      <c r="K46" s="235">
        <f>IF(K24=1,IF(K37=1,1,0),0)</f>
        <v>0</v>
      </c>
      <c r="M46" s="240">
        <f>IF(M24=1,IF(M37=1,1,0),0)</f>
        <v>0</v>
      </c>
      <c r="N46" s="235">
        <f>IF(N24=1,IF(N37=1,1,0),0)</f>
        <v>0</v>
      </c>
      <c r="P46" s="240">
        <f>IF(P24=1,IF(P37=1,1,0),0)</f>
        <v>0</v>
      </c>
      <c r="Q46" s="235">
        <f>IF(Q24=1,IF(Q37=1,1,0),0)</f>
        <v>0</v>
      </c>
      <c r="S46" s="240">
        <f>IF(S24=1,IF(S37=1,1,0),0)</f>
        <v>0</v>
      </c>
      <c r="T46" s="235">
        <f>IF(T24=1,IF(T37=1,1,0),0)</f>
        <v>0</v>
      </c>
      <c r="V46" s="240">
        <f>IF(V24=1,IF(V37=1,1,0),0)</f>
        <v>0</v>
      </c>
      <c r="W46" s="235">
        <f>IF(W24=1,IF(W37=1,1,0),0)</f>
        <v>1</v>
      </c>
      <c r="Y46" s="240">
        <f>IF(Y24=1,IF(Y37=1,1,0),0)</f>
        <v>0</v>
      </c>
      <c r="Z46" s="235">
        <f>IF(Z24=1,IF(Z37=1,1,0),0)</f>
        <v>0</v>
      </c>
      <c r="AB46" s="240">
        <f>IF(AB24=1,IF(AB37=1,1,0),0)</f>
        <v>0</v>
      </c>
      <c r="AC46" s="235">
        <f>IF(AC24=1,IF(AC37=1,1,0),0)</f>
        <v>0</v>
      </c>
      <c r="AE46" s="240">
        <f>IF(AE24=1,IF(AE37=1,1,0),0)</f>
        <v>0</v>
      </c>
      <c r="AF46" s="235">
        <f>SUM(B46:AE46)</f>
        <v>2</v>
      </c>
      <c r="AG46" s="235">
        <f>AF52-AF46</f>
        <v>2</v>
      </c>
      <c r="AW46" s="238"/>
    </row>
    <row r="47" spans="1:49" s="235" customFormat="1" ht="12.75" hidden="1" customHeight="1" x14ac:dyDescent="0.2">
      <c r="A47" s="235" t="s">
        <v>71</v>
      </c>
      <c r="B47" s="235">
        <f>IF(B24=2,IF(B37=1,1,0),0)</f>
        <v>1</v>
      </c>
      <c r="D47" s="240">
        <f>IF(D24=2,IF(D37=1,1,0),0)</f>
        <v>0</v>
      </c>
      <c r="E47" s="235">
        <f>IF(E24=2,IF(E37=1,1,0),0)</f>
        <v>0</v>
      </c>
      <c r="G47" s="240">
        <f>IF(G24=2,IF(G37=1,1,0),0)</f>
        <v>0</v>
      </c>
      <c r="H47" s="235">
        <f>IF(H24=2,IF(H37=1,1,0),0)</f>
        <v>0</v>
      </c>
      <c r="J47" s="240">
        <f>IF(J24=2,IF(J37=1,1,0),0)</f>
        <v>0</v>
      </c>
      <c r="K47" s="235">
        <f>IF(K24=2,IF(K37=1,1,0),0)</f>
        <v>1</v>
      </c>
      <c r="M47" s="240">
        <f>IF(M24=2,IF(M37=1,1,0),0)</f>
        <v>0</v>
      </c>
      <c r="N47" s="235">
        <f>IF(N24=2,IF(N37=1,1,0),0)</f>
        <v>0</v>
      </c>
      <c r="P47" s="240">
        <f>IF(P24=2,IF(P37=1,1,0),0)</f>
        <v>0</v>
      </c>
      <c r="Q47" s="235">
        <f>IF(Q24=2,IF(Q37=1,1,0),0)</f>
        <v>0</v>
      </c>
      <c r="S47" s="240">
        <f>IF(S24=2,IF(S37=1,1,0),0)</f>
        <v>0</v>
      </c>
      <c r="T47" s="235">
        <f>IF(T24=2,IF(T37=1,1,0),0)</f>
        <v>1</v>
      </c>
      <c r="V47" s="240">
        <f>IF(V24=2,IF(V37=1,1,0),0)</f>
        <v>0</v>
      </c>
      <c r="W47" s="235">
        <f>IF(W24=2,IF(W37=1,1,0),0)</f>
        <v>0</v>
      </c>
      <c r="Y47" s="240">
        <f>IF(Y24=2,IF(Y37=1,1,0),0)</f>
        <v>0</v>
      </c>
      <c r="Z47" s="235">
        <f>IF(Z24=2,IF(Z37=1,1,0),0)</f>
        <v>0</v>
      </c>
      <c r="AB47" s="240">
        <f>IF(AB24=2,IF(AB37=1,1,0),0)</f>
        <v>0</v>
      </c>
      <c r="AC47" s="235">
        <f>IF(AC24=2,IF(AC37=1,1,0),0)</f>
        <v>0</v>
      </c>
      <c r="AE47" s="240">
        <f>IF(AE24=2,IF(AE37=1,1,0),0)</f>
        <v>1</v>
      </c>
      <c r="AF47" s="235">
        <f>SUM(B47:AE47)</f>
        <v>4</v>
      </c>
      <c r="AG47" s="235">
        <f>AF53-AF47</f>
        <v>0</v>
      </c>
      <c r="AW47" s="238"/>
    </row>
    <row r="48" spans="1:49" s="235" customFormat="1" ht="12.75" hidden="1" customHeight="1" x14ac:dyDescent="0.2">
      <c r="A48" s="235" t="s">
        <v>72</v>
      </c>
      <c r="B48" s="235">
        <f>IF(B24=3,IF(B37=1,1,0),0)</f>
        <v>0</v>
      </c>
      <c r="D48" s="240">
        <f>IF(D24=3,IF(D37=1,1,0),0)</f>
        <v>0</v>
      </c>
      <c r="E48" s="235">
        <f>IF(E24=3,IF(E37=1,1,0),0)</f>
        <v>0</v>
      </c>
      <c r="G48" s="240">
        <f>IF(G24=3,IF(G37=1,1,0),0)</f>
        <v>0</v>
      </c>
      <c r="H48" s="235">
        <f>IF(H24=3,IF(H37=1,1,0),0)</f>
        <v>1</v>
      </c>
      <c r="J48" s="240">
        <f>IF(J24=3,IF(J37=1,1,0),0)</f>
        <v>0</v>
      </c>
      <c r="K48" s="235">
        <f>IF(K24=3,IF(K37=1,1,0),0)</f>
        <v>0</v>
      </c>
      <c r="M48" s="240">
        <f>IF(M24=3,IF(M37=1,1,0),0)</f>
        <v>0</v>
      </c>
      <c r="N48" s="235">
        <f>IF(N24=3,IF(N37=1,1,0),0)</f>
        <v>0</v>
      </c>
      <c r="P48" s="240">
        <f>IF(P24=3,IF(P37=1,1,0),0)</f>
        <v>1</v>
      </c>
      <c r="Q48" s="235">
        <f>IF(Q24=3,IF(Q37=1,1,0),0)</f>
        <v>0</v>
      </c>
      <c r="S48" s="240">
        <f>IF(S24=3,IF(S37=1,1,0),0)</f>
        <v>0</v>
      </c>
      <c r="T48" s="235">
        <f>IF(T24=3,IF(T37=1,1,0),0)</f>
        <v>0</v>
      </c>
      <c r="V48" s="240">
        <f>IF(V24=3,IF(V37=1,1,0),0)</f>
        <v>0</v>
      </c>
      <c r="W48" s="235">
        <f>IF(W24=3,IF(W37=1,1,0),0)</f>
        <v>0</v>
      </c>
      <c r="Y48" s="240">
        <f>IF(Y24=3,IF(Y37=1,1,0),0)</f>
        <v>0</v>
      </c>
      <c r="Z48" s="235">
        <f>IF(Z24=3,IF(Z37=1,1,0),0)</f>
        <v>0</v>
      </c>
      <c r="AB48" s="240">
        <f>IF(AB24=3,IF(AB37=1,1,0),0)</f>
        <v>0</v>
      </c>
      <c r="AC48" s="235">
        <f>IF(AC24=3,IF(AC37=1,1,0),0)</f>
        <v>0</v>
      </c>
      <c r="AE48" s="240">
        <f>IF(AE24=3,IF(AE37=1,1,0),0)</f>
        <v>0</v>
      </c>
      <c r="AF48" s="235">
        <f>SUM(B48:AE48)</f>
        <v>2</v>
      </c>
      <c r="AG48" s="235">
        <f>AF54-AF48</f>
        <v>1</v>
      </c>
      <c r="AW48" s="238"/>
    </row>
    <row r="49" spans="1:49" s="235" customFormat="1" ht="12.75" hidden="1" customHeight="1" x14ac:dyDescent="0.2">
      <c r="A49" s="235" t="s">
        <v>73</v>
      </c>
      <c r="B49" s="235">
        <f>IF(B24=4,IF(B37=1,1,0),0)</f>
        <v>0</v>
      </c>
      <c r="D49" s="240">
        <f>IF(D24=4,IF(D37=1,1,0),0)</f>
        <v>0</v>
      </c>
      <c r="E49" s="235">
        <f>IF(E24=4,IF(E37=1,1,0),0)</f>
        <v>0</v>
      </c>
      <c r="G49" s="240">
        <f>IF(G24=4,IF(G37=1,1,0),0)</f>
        <v>0</v>
      </c>
      <c r="H49" s="235">
        <f>IF(H24=4,IF(H37=1,1,0),0)</f>
        <v>0</v>
      </c>
      <c r="J49" s="240">
        <f>IF(J24=4,IF(J37=1,1,0),0)</f>
        <v>0</v>
      </c>
      <c r="K49" s="235">
        <f>IF(K24=4,IF(K37=1,1,0),0)</f>
        <v>0</v>
      </c>
      <c r="M49" s="240">
        <f>IF(M24=4,IF(M37=1,1,0),0)</f>
        <v>0</v>
      </c>
      <c r="N49" s="235">
        <f>IF(N24=4,IF(N37=1,1,0),0)</f>
        <v>0</v>
      </c>
      <c r="P49" s="240">
        <f>IF(P24=4,IF(P37=1,1,0),0)</f>
        <v>0</v>
      </c>
      <c r="Q49" s="235">
        <f>IF(Q24=4,IF(Q37=1,1,0),0)</f>
        <v>1</v>
      </c>
      <c r="S49" s="240">
        <f>IF(S24=4,IF(S37=1,1,0),0)</f>
        <v>0</v>
      </c>
      <c r="T49" s="235">
        <f>IF(T24=4,IF(T37=1,1,0),0)</f>
        <v>0</v>
      </c>
      <c r="V49" s="240">
        <f>IF(V24=4,IF(V37=1,1,0),0)</f>
        <v>0</v>
      </c>
      <c r="W49" s="235">
        <f>IF(W24=4,IF(W37=1,1,0),0)</f>
        <v>0</v>
      </c>
      <c r="Y49" s="240">
        <f>IF(Y24=4,IF(Y37=1,1,0),0)</f>
        <v>0</v>
      </c>
      <c r="Z49" s="235">
        <f>IF(Z24=4,IF(Z37=1,1,0),0)</f>
        <v>0</v>
      </c>
      <c r="AB49" s="240">
        <f>IF(AB24=4,IF(AB37=1,1,0),0)</f>
        <v>0</v>
      </c>
      <c r="AC49" s="235">
        <f>IF(AC24=4,IF(AC37=1,1,0),0)</f>
        <v>0</v>
      </c>
      <c r="AE49" s="240">
        <f>IF(AE24=4,IF(AE37=1,1,0),0)</f>
        <v>0</v>
      </c>
      <c r="AF49" s="235">
        <f>SUM(B49:AE49)</f>
        <v>1</v>
      </c>
      <c r="AG49" s="235">
        <f>AF55-AF49</f>
        <v>2</v>
      </c>
      <c r="AW49" s="238"/>
    </row>
    <row r="50" spans="1:49" s="235" customFormat="1" ht="12.75" hidden="1" customHeight="1" x14ac:dyDescent="0.2">
      <c r="A50" s="235" t="s">
        <v>74</v>
      </c>
      <c r="B50" s="235">
        <f>IF(B24=5,IF(B37=1,1,0),0)</f>
        <v>0</v>
      </c>
      <c r="D50" s="240">
        <f>IF(D24=5,IF(D37=1,1,0),0)</f>
        <v>0</v>
      </c>
      <c r="E50" s="235">
        <f>IF(E24=5,IF(E37=1,1,0),0)</f>
        <v>0</v>
      </c>
      <c r="G50" s="240">
        <f>IF(G24=5,IF(G37=1,1,0),0)</f>
        <v>0</v>
      </c>
      <c r="H50" s="235">
        <f>IF(H24=5,IF(H37=1,1,0),0)</f>
        <v>0</v>
      </c>
      <c r="J50" s="240">
        <f>IF(J24=5,IF(J37=1,1,0),0)</f>
        <v>0</v>
      </c>
      <c r="K50" s="235">
        <f>IF(K24=5,IF(K37=1,1,0),0)</f>
        <v>0</v>
      </c>
      <c r="M50" s="240">
        <f>IF(M24=5,IF(M37=1,1,0),0)</f>
        <v>0</v>
      </c>
      <c r="N50" s="235">
        <f>IF(N24=5,IF(N37=1,1,0),0)</f>
        <v>0</v>
      </c>
      <c r="P50" s="240">
        <f>IF(P24=5,IF(P37=1,1,0),0)</f>
        <v>0</v>
      </c>
      <c r="Q50" s="235">
        <f>IF(Q24=5,IF(Q37=1,1,0),0)</f>
        <v>0</v>
      </c>
      <c r="S50" s="240">
        <f>IF(S24=5,IF(S37=1,1,0),0)</f>
        <v>0</v>
      </c>
      <c r="T50" s="235">
        <f>IF(T24=5,IF(T37=1,1,0),0)</f>
        <v>0</v>
      </c>
      <c r="V50" s="240">
        <f>IF(V24=5,IF(V37=1,1,0),0)</f>
        <v>0</v>
      </c>
      <c r="W50" s="235">
        <f>IF(W24=5,IF(W37=1,1,0),0)</f>
        <v>0</v>
      </c>
      <c r="Y50" s="240">
        <f>IF(Y24=5,IF(Y37=1,1,0),0)</f>
        <v>0</v>
      </c>
      <c r="Z50" s="235">
        <f>IF(Z24=5,IF(Z37=1,1,0),0)</f>
        <v>0</v>
      </c>
      <c r="AB50" s="240">
        <f>IF(AB24=5,IF(AB37=1,1,0),0)</f>
        <v>0</v>
      </c>
      <c r="AC50" s="235">
        <f>IF(AC24=5,IF(AC37=1,1,0),0)</f>
        <v>0</v>
      </c>
      <c r="AE50" s="240">
        <f>IF(AE24=5,IF(AE37=1,1,0),0)</f>
        <v>0</v>
      </c>
      <c r="AF50" s="235">
        <f>SUM(B50:AE50)</f>
        <v>0</v>
      </c>
      <c r="AG50" s="235">
        <f>AF56-AF50</f>
        <v>4</v>
      </c>
      <c r="AW50" s="238"/>
    </row>
    <row r="51" spans="1:49" s="235" customFormat="1" ht="38.25" hidden="1" customHeight="1" x14ac:dyDescent="0.2">
      <c r="A51" s="239"/>
      <c r="D51" s="240"/>
      <c r="G51" s="240"/>
      <c r="J51" s="240"/>
      <c r="M51" s="240"/>
      <c r="P51" s="240"/>
      <c r="S51" s="240"/>
      <c r="V51" s="240"/>
      <c r="Y51" s="240"/>
      <c r="AB51" s="240"/>
      <c r="AE51" s="240"/>
      <c r="AF51" s="239" t="s">
        <v>75</v>
      </c>
      <c r="AW51" s="238"/>
    </row>
    <row r="52" spans="1:49" s="235" customFormat="1" ht="12.75" hidden="1" customHeight="1" x14ac:dyDescent="0.2">
      <c r="A52" s="235" t="s">
        <v>76</v>
      </c>
      <c r="B52" s="235">
        <f>IF(B24=1,IF(C37=1,1,0),0)</f>
        <v>0</v>
      </c>
      <c r="D52" s="240">
        <f>IF(D24=1,IF(C37=1,1,0),0)</f>
        <v>0</v>
      </c>
      <c r="E52" s="235">
        <f>IF(E24=1,IF(F37=1,1,0),0)</f>
        <v>1</v>
      </c>
      <c r="G52" s="240">
        <f>IF(G24=1,IF(F37=1,1,0),0)</f>
        <v>0</v>
      </c>
      <c r="H52" s="235">
        <f>IF(H24=1,IF(I37=1,1,0),0)</f>
        <v>0</v>
      </c>
      <c r="J52" s="240">
        <f>IF(J24=1,IF(I37=1,1,0),0)</f>
        <v>0</v>
      </c>
      <c r="K52" s="235">
        <f>IF(K24=1,IF(L37=1,1,0),0)</f>
        <v>0</v>
      </c>
      <c r="M52" s="240">
        <f>IF(M24=1,IF(L37=1,1,0),0)</f>
        <v>0</v>
      </c>
      <c r="N52" s="235">
        <f>IF(N24=1,IF(O37=1,1,0),0)</f>
        <v>1</v>
      </c>
      <c r="P52" s="240">
        <f>IF(P24=1,IF(O37=1,1,0),0)</f>
        <v>0</v>
      </c>
      <c r="Q52" s="235">
        <f>IF(Q24=1,IF(R37=1,1,0),0)</f>
        <v>0</v>
      </c>
      <c r="S52" s="240">
        <f>IF(S24=1,IF(R37=1,1,0),0)</f>
        <v>0</v>
      </c>
      <c r="T52" s="235">
        <f>IF(T24=1,IF(U37=1,1,0),0)</f>
        <v>0</v>
      </c>
      <c r="V52" s="240">
        <f>IF(V24=1,IF(U37=1,1,0),0)</f>
        <v>0</v>
      </c>
      <c r="W52" s="235">
        <f>IF(W24=1,IF(X37=1,1,0),0)</f>
        <v>1</v>
      </c>
      <c r="Y52" s="240">
        <f>IF(Y24=1,IF(X37=1,1,0),0)</f>
        <v>0</v>
      </c>
      <c r="Z52" s="235">
        <f>IF(Z24=1,IF(AA37=1,1,0),0)</f>
        <v>0</v>
      </c>
      <c r="AB52" s="240">
        <f>IF(AB24=1,IF(AA37=1,1,0),0)</f>
        <v>0</v>
      </c>
      <c r="AC52" s="235">
        <f>IF(AC24=1,IF(AD37=1,1,0),0)</f>
        <v>1</v>
      </c>
      <c r="AE52" s="240">
        <f>IF(AE24=1,IF(AD37=1,1,0),0)</f>
        <v>0</v>
      </c>
      <c r="AF52" s="235">
        <f>SUM(B52:AE52)</f>
        <v>4</v>
      </c>
      <c r="AW52" s="238"/>
    </row>
    <row r="53" spans="1:49" s="235" customFormat="1" ht="12.75" hidden="1" customHeight="1" x14ac:dyDescent="0.2">
      <c r="A53" s="235" t="s">
        <v>77</v>
      </c>
      <c r="B53" s="235">
        <f>IF(B24=2,IF(C37=1,1,0),0)</f>
        <v>1</v>
      </c>
      <c r="D53" s="240">
        <f>IF(D24=2,IF(C37=1,1,0),0)</f>
        <v>0</v>
      </c>
      <c r="E53" s="235">
        <f>IF(E24=2,IF(F37=1,1,0),0)</f>
        <v>0</v>
      </c>
      <c r="G53" s="240">
        <f>IF(G24=2,IF(F37=1,1,0),0)</f>
        <v>0</v>
      </c>
      <c r="H53" s="235">
        <f>IF(H24=2,IF(I37=1,1,0),0)</f>
        <v>0</v>
      </c>
      <c r="J53" s="240">
        <f>IF(J24=2,IF(I37=1,1,0),0)</f>
        <v>0</v>
      </c>
      <c r="K53" s="235">
        <f>IF(K24=2,IF(L37=1,1,0),0)</f>
        <v>1</v>
      </c>
      <c r="M53" s="240">
        <f>IF(M24=2,IF(L37=1,1,0),0)</f>
        <v>0</v>
      </c>
      <c r="N53" s="235">
        <f>IF(N24=2,IF(O37=1,1,0),0)</f>
        <v>0</v>
      </c>
      <c r="P53" s="240">
        <f>IF(P24=2,IF(O37=1,1,0),0)</f>
        <v>0</v>
      </c>
      <c r="Q53" s="235">
        <f>IF(Q24=2,IF(R37=1,1,0),0)</f>
        <v>0</v>
      </c>
      <c r="S53" s="240">
        <f>IF(S24=2,IF(R37=1,1,0),0)</f>
        <v>0</v>
      </c>
      <c r="T53" s="235">
        <f>IF(T24=2,IF(U37=1,1,0),0)</f>
        <v>1</v>
      </c>
      <c r="V53" s="240">
        <f>IF(V24=2,IF(U37=1,1,0),0)</f>
        <v>0</v>
      </c>
      <c r="W53" s="235">
        <f>IF(W24=2,IF(X37=1,1,0),0)</f>
        <v>0</v>
      </c>
      <c r="Y53" s="240">
        <f>IF(Y24=2,IF(X37=1,1,0),0)</f>
        <v>0</v>
      </c>
      <c r="Z53" s="235">
        <f>IF(Z24=2,IF(AA37=1,1,0),0)</f>
        <v>0</v>
      </c>
      <c r="AB53" s="240">
        <f>IF(AB24=2,IF(AA37=1,1,0),0)</f>
        <v>0</v>
      </c>
      <c r="AC53" s="235">
        <f>IF(AC24=2,IF(AD37=1,1,0),0)</f>
        <v>0</v>
      </c>
      <c r="AE53" s="240">
        <f>IF(AE24=2,IF(AD37=1,1,0),0)</f>
        <v>1</v>
      </c>
      <c r="AF53" s="235">
        <f>SUM(B53:AE53)</f>
        <v>4</v>
      </c>
      <c r="AW53" s="238"/>
    </row>
    <row r="54" spans="1:49" s="235" customFormat="1" ht="12.75" hidden="1" customHeight="1" x14ac:dyDescent="0.2">
      <c r="A54" s="235" t="s">
        <v>78</v>
      </c>
      <c r="B54" s="235">
        <f>IF(B24=3,IF(C37=1,1,0),0)</f>
        <v>0</v>
      </c>
      <c r="D54" s="240">
        <f>IF(D24=3,IF(C37=1,1,0),0)</f>
        <v>0</v>
      </c>
      <c r="E54" s="235">
        <f>IF(E24=3,IF(F37=1,1,0),0)</f>
        <v>0</v>
      </c>
      <c r="G54" s="240">
        <f>IF(G24=3,IF(F37=1,1,0),0)</f>
        <v>0</v>
      </c>
      <c r="H54" s="235">
        <f>IF(H24=3,IF(I37=1,1,0),0)</f>
        <v>1</v>
      </c>
      <c r="J54" s="240">
        <f>IF(J24=3,IF(I37=1,1,0),0)</f>
        <v>0</v>
      </c>
      <c r="K54" s="235">
        <f>IF(K24=3,IF(L37=1,1,0),0)</f>
        <v>0</v>
      </c>
      <c r="M54" s="240">
        <f>IF(M24=3,IF(L37=1,1,0),0)</f>
        <v>0</v>
      </c>
      <c r="N54" s="235">
        <f>IF(N24=3,IF(O37=1,1,0),0)</f>
        <v>0</v>
      </c>
      <c r="P54" s="240">
        <f>IF(P24=3,IF(O37=1,1,0),0)</f>
        <v>1</v>
      </c>
      <c r="Q54" s="235">
        <f>IF(Q24=3,IF(R37=1,1,0),0)</f>
        <v>0</v>
      </c>
      <c r="S54" s="240">
        <f>IF(S24=3,IF(R37=1,1,0),0)</f>
        <v>0</v>
      </c>
      <c r="T54" s="235">
        <f>IF(T24=3,IF(U37=1,1,0),0)</f>
        <v>0</v>
      </c>
      <c r="V54" s="240">
        <f>IF(V24=3,IF(U37=1,1,0),0)</f>
        <v>1</v>
      </c>
      <c r="W54" s="235">
        <f>IF(W24=3,IF(X37=1,1,0),0)</f>
        <v>0</v>
      </c>
      <c r="Y54" s="240">
        <f>IF(Y24=3,IF(X37=1,1,0),0)</f>
        <v>0</v>
      </c>
      <c r="Z54" s="235">
        <f>IF(Z24=3,IF(AA37=1,1,0),0)</f>
        <v>0</v>
      </c>
      <c r="AB54" s="240">
        <f>IF(AB24=3,IF(AA37=1,1,0),0)</f>
        <v>0</v>
      </c>
      <c r="AC54" s="235">
        <f>IF(AC24=3,IF(AD37=1,1,0),0)</f>
        <v>0</v>
      </c>
      <c r="AE54" s="240">
        <f>IF(AE24=3,IF(AD37=1,1,0),0)</f>
        <v>0</v>
      </c>
      <c r="AF54" s="235">
        <f>SUM(B54:AE54)</f>
        <v>3</v>
      </c>
      <c r="AW54" s="238"/>
    </row>
    <row r="55" spans="1:49" s="235" customFormat="1" ht="12.75" hidden="1" customHeight="1" x14ac:dyDescent="0.2">
      <c r="A55" s="235" t="s">
        <v>79</v>
      </c>
      <c r="B55" s="235">
        <f>IF(B24=4,IF(C37=1,1,0),0)</f>
        <v>0</v>
      </c>
      <c r="D55" s="240">
        <f>IF(D24=4,IF(C37=1,1,0),0)</f>
        <v>0</v>
      </c>
      <c r="E55" s="235">
        <f>IF(E24=4,IF(F37=1,1,0),0)</f>
        <v>0</v>
      </c>
      <c r="G55" s="240">
        <f>IF(G24=4,IF(F37=1,1,0),0)</f>
        <v>1</v>
      </c>
      <c r="H55" s="235">
        <f>IF(H24=4,IF(I37=1,1,0),0)</f>
        <v>0</v>
      </c>
      <c r="J55" s="240">
        <f>IF(J24=4,IF(I37=1,1,0),0)</f>
        <v>0</v>
      </c>
      <c r="K55" s="235">
        <f>IF(K24=4,IF(L37=1,1,0),0)</f>
        <v>0</v>
      </c>
      <c r="M55" s="240">
        <f>IF(M24=4,IF(L37=1,1,0),0)</f>
        <v>1</v>
      </c>
      <c r="N55" s="235">
        <f>IF(N24=4,IF(O37=1,1,0),0)</f>
        <v>0</v>
      </c>
      <c r="P55" s="240">
        <f>IF(P24=4,IF(O37=1,1,0),0)</f>
        <v>0</v>
      </c>
      <c r="Q55" s="235">
        <f>IF(Q24=4,IF(R37=1,1,0),0)</f>
        <v>1</v>
      </c>
      <c r="S55" s="240">
        <f>IF(S24=4,IF(R37=1,1,0),0)</f>
        <v>0</v>
      </c>
      <c r="T55" s="235">
        <f>IF(T24=4,IF(U37=1,1,0),0)</f>
        <v>0</v>
      </c>
      <c r="V55" s="240">
        <f>IF(V24=4,IF(U37=1,1,0),0)</f>
        <v>0</v>
      </c>
      <c r="W55" s="235">
        <f>IF(W24=4,IF(X37=1,1,0),0)</f>
        <v>0</v>
      </c>
      <c r="Y55" s="240">
        <f>IF(Y24=4,IF(X37=1,1,0),0)</f>
        <v>0</v>
      </c>
      <c r="Z55" s="235">
        <f>IF(Z24=4,IF(AA37=1,1,0),0)</f>
        <v>0</v>
      </c>
      <c r="AB55" s="240">
        <f>IF(AB24=4,IF(AA37=1,1,0),0)</f>
        <v>0</v>
      </c>
      <c r="AC55" s="235">
        <f>IF(AC24=4,IF(AD37=1,1,0),0)</f>
        <v>0</v>
      </c>
      <c r="AE55" s="240">
        <f>IF(AE24=4,IF(AD37=1,1,0),0)</f>
        <v>0</v>
      </c>
      <c r="AF55" s="235">
        <f>SUM(B55:AE55)</f>
        <v>3</v>
      </c>
      <c r="AW55" s="238"/>
    </row>
    <row r="56" spans="1:49" s="235" customFormat="1" ht="12.75" hidden="1" customHeight="1" x14ac:dyDescent="0.2">
      <c r="A56" s="235" t="s">
        <v>80</v>
      </c>
      <c r="B56" s="235">
        <f>IF(B24=5,IF(C37=1,1,0),0)</f>
        <v>0</v>
      </c>
      <c r="D56" s="240">
        <f>IF(D24=5,IF(C37=1,1,0),0)</f>
        <v>1</v>
      </c>
      <c r="E56" s="235">
        <f>IF(E24=5,IF(F37=1,1,0),0)</f>
        <v>0</v>
      </c>
      <c r="G56" s="240">
        <f>IF(G24=5,IF(F37=1,1,0),0)</f>
        <v>0</v>
      </c>
      <c r="H56" s="235">
        <f>IF(H24=5,IF(I37=1,1,0),0)</f>
        <v>0</v>
      </c>
      <c r="J56" s="240">
        <f>IF(J24=5,IF(I37=1,1,0),0)</f>
        <v>1</v>
      </c>
      <c r="K56" s="235">
        <f>IF(K24=5,IF(L37=1,1,0),0)</f>
        <v>0</v>
      </c>
      <c r="M56" s="240">
        <f>IF(M24=5,IF(L37=1,1,0),0)</f>
        <v>0</v>
      </c>
      <c r="N56" s="235">
        <f>IF(N24=5,IF(O37=1,1,0),0)</f>
        <v>0</v>
      </c>
      <c r="P56" s="240">
        <f>IF(P24=5,IF(O37=1,1,0),0)</f>
        <v>0</v>
      </c>
      <c r="Q56" s="235">
        <f>IF(Q24=5,IF(R37=1,1,0),0)</f>
        <v>0</v>
      </c>
      <c r="S56" s="240">
        <f>IF(S24=5,IF(R37=1,1,0),0)</f>
        <v>1</v>
      </c>
      <c r="T56" s="235">
        <f>IF(T24=5,IF(U37=1,1,0),0)</f>
        <v>0</v>
      </c>
      <c r="V56" s="240">
        <f>IF(V24=5,IF(U37=1,1,0),0)</f>
        <v>0</v>
      </c>
      <c r="W56" s="235">
        <f>IF(W24=5,IF(X37=1,1,0),0)</f>
        <v>0</v>
      </c>
      <c r="Y56" s="240">
        <f>IF(Y24=5,IF(X37=1,1,0),0)</f>
        <v>1</v>
      </c>
      <c r="Z56" s="235">
        <f>IF(Z24=5,IF(AA37=1,1,0),0)</f>
        <v>0</v>
      </c>
      <c r="AB56" s="240">
        <f>IF(AB24=5,IF(AA37=1,1,0),0)</f>
        <v>0</v>
      </c>
      <c r="AC56" s="235">
        <f>IF(AC24=5,IF(AD37=1,1,0),0)</f>
        <v>0</v>
      </c>
      <c r="AE56" s="240">
        <f>IF(AE24=5,IF(AD37=1,1,0),0)</f>
        <v>0</v>
      </c>
      <c r="AF56" s="235">
        <f>SUM(B56:AE56)</f>
        <v>4</v>
      </c>
      <c r="AW56" s="238"/>
    </row>
    <row r="57" spans="1:49" s="235" customFormat="1" ht="38.25" hidden="1" customHeight="1" x14ac:dyDescent="0.2">
      <c r="A57" s="239"/>
      <c r="D57" s="240"/>
      <c r="G57" s="240"/>
      <c r="J57" s="240"/>
      <c r="M57" s="240"/>
      <c r="P57" s="240"/>
      <c r="S57" s="240"/>
      <c r="V57" s="240"/>
      <c r="Y57" s="240"/>
      <c r="AB57" s="240"/>
      <c r="AE57" s="240"/>
      <c r="AF57" s="239" t="s">
        <v>81</v>
      </c>
      <c r="AG57" s="524"/>
      <c r="AH57" s="524"/>
      <c r="AI57" s="524"/>
      <c r="AJ57" s="524"/>
      <c r="AK57" s="524"/>
      <c r="AW57" s="238"/>
    </row>
    <row r="58" spans="1:49" s="235" customFormat="1" ht="12.75" hidden="1" customHeight="1" x14ac:dyDescent="0.2">
      <c r="A58" s="235" t="s">
        <v>76</v>
      </c>
      <c r="B58" s="235">
        <f>IF(B24=1,B44,0)</f>
        <v>0</v>
      </c>
      <c r="D58" s="240">
        <f>IF(D24=1,B44,0)</f>
        <v>0</v>
      </c>
      <c r="E58" s="235">
        <f>IF(E24=1,E44,0)</f>
        <v>53</v>
      </c>
      <c r="G58" s="240">
        <f>IF(G24=1,E44,0)</f>
        <v>0</v>
      </c>
      <c r="H58" s="235">
        <f>IF(H24=1,H44,0)</f>
        <v>0</v>
      </c>
      <c r="J58" s="240">
        <f>IF(J24=1,H44,0)</f>
        <v>0</v>
      </c>
      <c r="K58" s="235">
        <f>IF(K24=1,K44,0)</f>
        <v>0</v>
      </c>
      <c r="M58" s="240">
        <f>IF(M24=1,K44,0)</f>
        <v>0</v>
      </c>
      <c r="N58" s="235">
        <f>IF(N24=1,N44,0)</f>
        <v>50</v>
      </c>
      <c r="P58" s="240">
        <f>IF(P24=1,N44,0)</f>
        <v>0</v>
      </c>
      <c r="Q58" s="235">
        <f>IF(Q24=1,Q44,0)</f>
        <v>0</v>
      </c>
      <c r="S58" s="240">
        <f>IF(S24=1,Q44,0)</f>
        <v>0</v>
      </c>
      <c r="T58" s="235">
        <f>IF(T24=1,T44,0)</f>
        <v>0</v>
      </c>
      <c r="V58" s="240">
        <f>IF(V24=1,T44,0)</f>
        <v>0</v>
      </c>
      <c r="W58" s="235">
        <f>IF(W24=1,W44,0)</f>
        <v>51</v>
      </c>
      <c r="Y58" s="240">
        <f>IF(Y24=1,W44,0)</f>
        <v>0</v>
      </c>
      <c r="Z58" s="235">
        <f>IF(Z24=1,Z44,0)</f>
        <v>0</v>
      </c>
      <c r="AB58" s="240">
        <f>IF(AB24=1,Z44,0)</f>
        <v>0</v>
      </c>
      <c r="AC58" s="235">
        <f>IF(AC24=1,AC44,0)</f>
        <v>50</v>
      </c>
      <c r="AE58" s="240">
        <f>IF(AE24=1,AC44,0)</f>
        <v>0</v>
      </c>
      <c r="AF58" s="235">
        <f>SUM(B58:AE58)</f>
        <v>204</v>
      </c>
      <c r="AW58" s="238"/>
    </row>
    <row r="59" spans="1:49" s="235" customFormat="1" ht="12.75" hidden="1" customHeight="1" x14ac:dyDescent="0.2">
      <c r="A59" s="235" t="s">
        <v>77</v>
      </c>
      <c r="B59" s="235">
        <f>IF(B24=2,B44,0)</f>
        <v>50</v>
      </c>
      <c r="D59" s="240">
        <f>IF(D24=2,B44,0)</f>
        <v>0</v>
      </c>
      <c r="E59" s="235">
        <f>IF(E24=2,E44,0)</f>
        <v>0</v>
      </c>
      <c r="G59" s="240">
        <f>IF(G24=2,E44,0)</f>
        <v>0</v>
      </c>
      <c r="H59" s="235">
        <f>IF(H24=2,H44,0)</f>
        <v>0</v>
      </c>
      <c r="J59" s="240">
        <f>IF(J24=2,H44,0)</f>
        <v>0</v>
      </c>
      <c r="K59" s="235">
        <f>IF(K24=2,K44,0)</f>
        <v>50</v>
      </c>
      <c r="M59" s="240">
        <f>IF(M24=2,K44,0)</f>
        <v>0</v>
      </c>
      <c r="N59" s="235">
        <f>IF(N24=2,N44,0)</f>
        <v>0</v>
      </c>
      <c r="P59" s="240">
        <f>IF(P24=2,N44,0)</f>
        <v>0</v>
      </c>
      <c r="Q59" s="235">
        <f>IF(Q24=2,Q44,0)</f>
        <v>0</v>
      </c>
      <c r="S59" s="240">
        <f>IF(S24=2,Q44,0)</f>
        <v>0</v>
      </c>
      <c r="T59" s="235">
        <f>IF(T24=2,T44,0)</f>
        <v>51</v>
      </c>
      <c r="V59" s="240">
        <f>IF(V24=2,T44,0)</f>
        <v>0</v>
      </c>
      <c r="W59" s="235">
        <f>IF(W24=2,W44,0)</f>
        <v>0</v>
      </c>
      <c r="Y59" s="240">
        <f>IF(Y24=2,W44,0)</f>
        <v>0</v>
      </c>
      <c r="Z59" s="235">
        <f>IF(Z24=2,Z44,0)</f>
        <v>0</v>
      </c>
      <c r="AB59" s="240">
        <f>IF(AB24=2,Z44,0)</f>
        <v>0</v>
      </c>
      <c r="AC59" s="235">
        <f>IF(AC24=2,AC44,0)</f>
        <v>0</v>
      </c>
      <c r="AE59" s="240">
        <f>IF(AE24=2,AC44,0)</f>
        <v>50</v>
      </c>
      <c r="AF59" s="235">
        <f>SUM(B59:AE59)</f>
        <v>201</v>
      </c>
      <c r="AW59" s="238"/>
    </row>
    <row r="60" spans="1:49" s="235" customFormat="1" ht="12.75" hidden="1" customHeight="1" x14ac:dyDescent="0.2">
      <c r="A60" s="235" t="s">
        <v>78</v>
      </c>
      <c r="B60" s="235">
        <f>IF(B24=3,B44,0)</f>
        <v>0</v>
      </c>
      <c r="D60" s="240">
        <f>IF(D24=3,B44,0)</f>
        <v>0</v>
      </c>
      <c r="E60" s="235">
        <f>IF(E24=3,E44,0)</f>
        <v>0</v>
      </c>
      <c r="G60" s="240">
        <f>IF(G24=3,E44,0)</f>
        <v>0</v>
      </c>
      <c r="H60" s="235">
        <f>IF(H24=3,H44,0)</f>
        <v>50</v>
      </c>
      <c r="J60" s="240">
        <f>IF(J24=3,H44,0)</f>
        <v>0</v>
      </c>
      <c r="K60" s="235">
        <f>IF(K24=3,K44,0)</f>
        <v>0</v>
      </c>
      <c r="M60" s="240">
        <f>IF(M24=3,K44,0)</f>
        <v>0</v>
      </c>
      <c r="N60" s="235">
        <f>IF(N24=3,N44,0)</f>
        <v>0</v>
      </c>
      <c r="P60" s="240">
        <f>IF(P24=3,N44,0)</f>
        <v>50</v>
      </c>
      <c r="Q60" s="235">
        <f>IF(Q24=3,Q44,0)</f>
        <v>0</v>
      </c>
      <c r="S60" s="240">
        <f>IF(S24=3,Q44,0)</f>
        <v>0</v>
      </c>
      <c r="T60" s="235">
        <f>IF(T24=3,T44,0)</f>
        <v>0</v>
      </c>
      <c r="V60" s="240">
        <f>IF(V24=3,T44,0)</f>
        <v>51</v>
      </c>
      <c r="W60" s="235">
        <f>IF(W24=3,W44,0)</f>
        <v>0</v>
      </c>
      <c r="Y60" s="240">
        <f>IF(Y24=3,W44,0)</f>
        <v>0</v>
      </c>
      <c r="Z60" s="235">
        <f>IF(Z24=3,Z44,0)</f>
        <v>50</v>
      </c>
      <c r="AB60" s="240">
        <f>IF(AB24=3,Z44,0)</f>
        <v>0</v>
      </c>
      <c r="AC60" s="235">
        <f>IF(AC24=3,AC44,0)</f>
        <v>0</v>
      </c>
      <c r="AE60" s="240">
        <f>IF(AE24=3,AC44,0)</f>
        <v>0</v>
      </c>
      <c r="AF60" s="235">
        <f>SUM(B60:AE60)</f>
        <v>201</v>
      </c>
      <c r="AW60" s="238"/>
    </row>
    <row r="61" spans="1:49" s="235" customFormat="1" ht="12.75" hidden="1" customHeight="1" x14ac:dyDescent="0.2">
      <c r="A61" s="235" t="s">
        <v>79</v>
      </c>
      <c r="B61" s="235">
        <f>IF(B24=4,B44,0)</f>
        <v>0</v>
      </c>
      <c r="D61" s="240">
        <f>IF(D24=4,B44,0)</f>
        <v>0</v>
      </c>
      <c r="E61" s="235">
        <f>IF(E24=4,E44,0)</f>
        <v>0</v>
      </c>
      <c r="G61" s="240">
        <f>IF(G24=4,E44,0)</f>
        <v>53</v>
      </c>
      <c r="H61" s="235">
        <f>IF(H24=4,H44,0)</f>
        <v>0</v>
      </c>
      <c r="J61" s="240">
        <f>IF(J24=4,H44,0)</f>
        <v>0</v>
      </c>
      <c r="K61" s="235">
        <f>IF(K24=4,K44,0)</f>
        <v>0</v>
      </c>
      <c r="M61" s="240">
        <f>IF(M24=4,K44,0)</f>
        <v>50</v>
      </c>
      <c r="N61" s="235">
        <f>IF(N24=4,N44,0)</f>
        <v>0</v>
      </c>
      <c r="P61" s="240">
        <f>IF(P24=4,N44,0)</f>
        <v>0</v>
      </c>
      <c r="Q61" s="235">
        <f>IF(Q24=4,Q44,0)</f>
        <v>50</v>
      </c>
      <c r="S61" s="240">
        <f>IF(S24=4,Q44,0)</f>
        <v>0</v>
      </c>
      <c r="T61" s="235">
        <f>IF(T24=4,T44,0)</f>
        <v>0</v>
      </c>
      <c r="V61" s="240">
        <f>IF(V24=4,T44,0)</f>
        <v>0</v>
      </c>
      <c r="W61" s="235">
        <f>IF(W24=4,W44,0)</f>
        <v>0</v>
      </c>
      <c r="Y61" s="240">
        <f>IF(Y24=4,W44,0)</f>
        <v>0</v>
      </c>
      <c r="Z61" s="235">
        <f>IF(Z24=4,Z44,0)</f>
        <v>0</v>
      </c>
      <c r="AB61" s="240">
        <f>IF(AB24=4,Z44,0)</f>
        <v>50</v>
      </c>
      <c r="AC61" s="235">
        <f>IF(AC24=4,AC44,0)</f>
        <v>0</v>
      </c>
      <c r="AE61" s="240">
        <f>IF(AE24=4,AC44,0)</f>
        <v>0</v>
      </c>
      <c r="AF61" s="235">
        <f>SUM(B61:AE61)</f>
        <v>203</v>
      </c>
      <c r="AW61" s="238"/>
    </row>
    <row r="62" spans="1:49" s="235" customFormat="1" ht="12.75" hidden="1" customHeight="1" x14ac:dyDescent="0.2">
      <c r="A62" s="235" t="s">
        <v>80</v>
      </c>
      <c r="B62" s="235">
        <f>IF(B24=5,B44,0)</f>
        <v>0</v>
      </c>
      <c r="D62" s="240">
        <f>IF(D24=5,B44,0)</f>
        <v>50</v>
      </c>
      <c r="E62" s="235">
        <f>IF(E24=5,E44,0)</f>
        <v>0</v>
      </c>
      <c r="G62" s="240">
        <f>IF(G24=5,E44,0)</f>
        <v>0</v>
      </c>
      <c r="H62" s="235">
        <f>IF(H24=5,H44,0)</f>
        <v>0</v>
      </c>
      <c r="J62" s="240">
        <f>IF(J24=5,H44,0)</f>
        <v>50</v>
      </c>
      <c r="K62" s="235">
        <f>IF(K24=5,K44,0)</f>
        <v>0</v>
      </c>
      <c r="M62" s="240">
        <f>IF(M24=5,K44,0)</f>
        <v>0</v>
      </c>
      <c r="N62" s="235">
        <f>IF(N24=5,N44,0)</f>
        <v>0</v>
      </c>
      <c r="P62" s="240">
        <f>IF(P24=5,N44,0)</f>
        <v>0</v>
      </c>
      <c r="Q62" s="235">
        <f>IF(Q24=5,Q44,0)</f>
        <v>0</v>
      </c>
      <c r="S62" s="240">
        <f>IF(S24=5,Q44,0)</f>
        <v>50</v>
      </c>
      <c r="T62" s="235">
        <f>IF(T24=5,T44,0)</f>
        <v>0</v>
      </c>
      <c r="V62" s="240">
        <f>IF(V24=5,T44,0)</f>
        <v>0</v>
      </c>
      <c r="W62" s="235">
        <f>IF(W24=5,W44,0)</f>
        <v>0</v>
      </c>
      <c r="Y62" s="240">
        <f>IF(Y24=5,W44,0)</f>
        <v>51</v>
      </c>
      <c r="Z62" s="235">
        <f>IF(Z24=5,Z44,0)</f>
        <v>0</v>
      </c>
      <c r="AB62" s="240">
        <f>IF(AB24=5,Z44,0)</f>
        <v>0</v>
      </c>
      <c r="AC62" s="235">
        <f>IF(AC24=5,AC44,0)</f>
        <v>0</v>
      </c>
      <c r="AE62" s="240">
        <f>IF(AE24=5,AC44,0)</f>
        <v>0</v>
      </c>
      <c r="AF62" s="235">
        <f>SUM(B62:AE62)</f>
        <v>201</v>
      </c>
      <c r="AW62" s="238"/>
    </row>
    <row r="63" spans="1:49" s="235" customFormat="1" ht="38.25" hidden="1" customHeight="1" x14ac:dyDescent="0.2">
      <c r="A63" s="235" t="s">
        <v>82</v>
      </c>
      <c r="D63" s="240"/>
      <c r="G63" s="240"/>
      <c r="J63" s="240"/>
      <c r="M63" s="240"/>
      <c r="P63" s="240"/>
      <c r="S63" s="240"/>
      <c r="V63" s="240"/>
      <c r="Y63" s="240"/>
      <c r="AB63" s="240"/>
      <c r="AE63" s="240"/>
      <c r="AF63" s="239" t="s">
        <v>83</v>
      </c>
      <c r="AG63" s="235" t="s">
        <v>84</v>
      </c>
      <c r="AW63" s="238"/>
    </row>
    <row r="64" spans="1:49" s="235" customFormat="1" ht="12.75" hidden="1" customHeight="1" x14ac:dyDescent="0.2">
      <c r="A64" s="235" t="s">
        <v>70</v>
      </c>
      <c r="B64" s="235">
        <f>IF(B24=1,SUMIF(B31:B35,"&gt;0"),0)</f>
        <v>0</v>
      </c>
      <c r="D64" s="240">
        <f>IF(D24=1,SUMIF(D31:D35,"&gt;0"),0)</f>
        <v>0</v>
      </c>
      <c r="E64" s="235">
        <f>IF(E24=1,SUMIF(E31:E35,"&gt;0"),0)</f>
        <v>2</v>
      </c>
      <c r="G64" s="240">
        <f>IF(G24=1,SUMIF(G31:G35,"&gt;0"),0)</f>
        <v>0</v>
      </c>
      <c r="H64" s="235">
        <f>IF(H24=1,SUMIF(H31:H35,"&gt;0"),0)</f>
        <v>0</v>
      </c>
      <c r="J64" s="240">
        <f>IF(J24=1,SUMIF(J31:J35,"&gt;0"),0)</f>
        <v>0</v>
      </c>
      <c r="K64" s="235">
        <f>IF(K24=1,SUMIF(K31:K35,"&gt;0"),0)</f>
        <v>0</v>
      </c>
      <c r="M64" s="240">
        <f>IF(M24=1,SUMIF(M31:M35,"&gt;0"),0)</f>
        <v>0</v>
      </c>
      <c r="N64" s="235">
        <f>IF(N24=1,SUMIF(N31:N35,"&gt;0"),0)</f>
        <v>0</v>
      </c>
      <c r="P64" s="240">
        <f>IF(P24=1,SUMIF(P31:P35,"&gt;0"),0)</f>
        <v>0</v>
      </c>
      <c r="Q64" s="235">
        <f>IF(Q24=1,SUMIF(Q31:Q35,"&gt;0"),0)</f>
        <v>0</v>
      </c>
      <c r="S64" s="240">
        <f>IF(S24=1,SUMIF(S31:S35,"&gt;0"),0)</f>
        <v>0</v>
      </c>
      <c r="T64" s="235">
        <f>IF(T24=1,SUMIF(T31:T35,"&gt;0"),0)</f>
        <v>0</v>
      </c>
      <c r="V64" s="240">
        <f>IF(V24=1,SUMIF(V31:V35,"&gt;0"),0)</f>
        <v>0</v>
      </c>
      <c r="W64" s="235">
        <f>IF(W24=1,SUMIF(W31:W35,"&gt;0"),0)</f>
        <v>2</v>
      </c>
      <c r="Y64" s="240">
        <f>IF(Y24=1,SUMIF(Y31:Y35,"&gt;0"),0)</f>
        <v>0</v>
      </c>
      <c r="Z64" s="235">
        <f>IF(Z24=1,SUMIF(Z31:Z35,"&gt;0"),0)</f>
        <v>0</v>
      </c>
      <c r="AB64" s="240">
        <f>IF(AB24=1,SUMIF(AB31:AB35,"&gt;0"),0)</f>
        <v>0</v>
      </c>
      <c r="AC64" s="235">
        <f>IF(AC24=1,SUMIF(AC31:AC35,"&gt;0"),0)</f>
        <v>0</v>
      </c>
      <c r="AE64" s="240">
        <f>IF(AE24=1,SUMIF(AE31:AE35,"&gt;0"),0)</f>
        <v>0</v>
      </c>
      <c r="AF64" s="235">
        <f>SUM(B64:AE64)</f>
        <v>4</v>
      </c>
      <c r="AG64" s="235">
        <f>AF72-AF64</f>
        <v>4</v>
      </c>
      <c r="AW64" s="238"/>
    </row>
    <row r="65" spans="1:54" s="235" customFormat="1" ht="12.75" hidden="1" customHeight="1" x14ac:dyDescent="0.2">
      <c r="A65" s="235" t="s">
        <v>71</v>
      </c>
      <c r="B65" s="235">
        <f>IF(B24=2,SUMIF(B31:B35,"&gt;0"),0)</f>
        <v>2</v>
      </c>
      <c r="D65" s="240">
        <f>IF(D24=2,SUMIF(D31:D35,"&gt;0"),0)</f>
        <v>0</v>
      </c>
      <c r="E65" s="235">
        <f>IF(E24=2,SUMIF(E31:E35,"&gt;0"),0)</f>
        <v>0</v>
      </c>
      <c r="G65" s="240">
        <f>IF(G24=2,SUMIF(G31:G35,"&gt;0"),0)</f>
        <v>0</v>
      </c>
      <c r="H65" s="235">
        <f>IF(H24=2,SUMIF(H31:H35,"&gt;0"),0)</f>
        <v>0</v>
      </c>
      <c r="J65" s="240">
        <f>IF(J24=2,SUMIF(J31:J35,"&gt;0"),0)</f>
        <v>0</v>
      </c>
      <c r="K65" s="235">
        <f>IF(K24=2,SUMIF(K31:K35,"&gt;0"),0)</f>
        <v>2</v>
      </c>
      <c r="M65" s="240">
        <f>IF(M24=2,SUMIF(M31:M35,"&gt;0"),0)</f>
        <v>0</v>
      </c>
      <c r="N65" s="235">
        <f>IF(N24=2,SUMIF(N31:N35,"&gt;0"),0)</f>
        <v>0</v>
      </c>
      <c r="P65" s="240">
        <f>IF(P24=2,SUMIF(P31:P35,"&gt;0"),0)</f>
        <v>0</v>
      </c>
      <c r="Q65" s="235">
        <f>IF(Q24=2,SUMIF(Q31:Q35,"&gt;0"),0)</f>
        <v>0</v>
      </c>
      <c r="S65" s="240">
        <f>IF(S24=2,SUMIF(S31:S35,"&gt;0"),0)</f>
        <v>0</v>
      </c>
      <c r="T65" s="235">
        <f>IF(T24=2,SUMIF(T31:T35,"&gt;0"),0)</f>
        <v>2</v>
      </c>
      <c r="V65" s="240">
        <f>IF(V24=2,SUMIF(V31:V35,"&gt;0"),0)</f>
        <v>0</v>
      </c>
      <c r="W65" s="235">
        <f>IF(W24=2,SUMIF(W31:W35,"&gt;0"),0)</f>
        <v>0</v>
      </c>
      <c r="Y65" s="240">
        <f>IF(Y24=2,SUMIF(Y31:Y35,"&gt;0"),0)</f>
        <v>0</v>
      </c>
      <c r="Z65" s="235">
        <f>IF(Z24=2,SUMIF(Z31:Z35,"&gt;0"),0)</f>
        <v>0</v>
      </c>
      <c r="AB65" s="240">
        <f>IF(AB24=2,SUMIF(AB31:AB35,"&gt;0"),0)</f>
        <v>0</v>
      </c>
      <c r="AC65" s="235">
        <f>IF(AC24=2,SUMIF(AC31:AC35,"&gt;0"),0)</f>
        <v>0</v>
      </c>
      <c r="AE65" s="240">
        <f>IF(AE24=2,SUMIF(AE31:AE35,"&gt;0"),0)</f>
        <v>2</v>
      </c>
      <c r="AF65" s="235">
        <f>SUM(B65:AE65)</f>
        <v>8</v>
      </c>
      <c r="AG65" s="235">
        <f>AF73-AF65</f>
        <v>0</v>
      </c>
      <c r="AW65" s="238"/>
    </row>
    <row r="66" spans="1:54" s="235" customFormat="1" ht="12.75" hidden="1" customHeight="1" x14ac:dyDescent="0.2">
      <c r="A66" s="235" t="s">
        <v>72</v>
      </c>
      <c r="B66" s="235">
        <f>IF(B24=3,SUMIF(B31:B35,"&gt;0"),0)</f>
        <v>0</v>
      </c>
      <c r="D66" s="240">
        <f>IF(D24=3,SUMIF(D31:D35,"&gt;0"),0)</f>
        <v>0</v>
      </c>
      <c r="E66" s="235">
        <f>IF(E24=3,SUMIF(E31:E35,"&gt;0"),0)</f>
        <v>0</v>
      </c>
      <c r="G66" s="240">
        <f>IF(G24=3,SUMIF(G31:G35,"&gt;0"),0)</f>
        <v>0</v>
      </c>
      <c r="H66" s="235">
        <f>IF(H24=3,SUMIF(H31:H35,"&gt;0"),0)</f>
        <v>2</v>
      </c>
      <c r="J66" s="240">
        <f>IF(J24=3,SUMIF(J31:J35,"&gt;0"),0)</f>
        <v>0</v>
      </c>
      <c r="K66" s="235">
        <f>IF(K24=3,SUMIF(K31:K35,"&gt;0"),0)</f>
        <v>0</v>
      </c>
      <c r="M66" s="240">
        <f>IF(M24=3,SUMIF(M31:M35,"&gt;0"),0)</f>
        <v>0</v>
      </c>
      <c r="N66" s="235">
        <f>IF(N24=3,SUMIF(N31:N35,"&gt;0"),0)</f>
        <v>0</v>
      </c>
      <c r="P66" s="240">
        <f>IF(P24=3,SUMIF(P31:P35,"&gt;0"),0)</f>
        <v>2</v>
      </c>
      <c r="Q66" s="235">
        <f>IF(Q24=3,SUMIF(Q31:Q35,"&gt;0"),0)</f>
        <v>0</v>
      </c>
      <c r="S66" s="240">
        <f>IF(S24=3,SUMIF(S31:S35,"&gt;0"),0)</f>
        <v>0</v>
      </c>
      <c r="T66" s="235">
        <f>IF(T24=3,SUMIF(T31:T35,"&gt;0"),0)</f>
        <v>0</v>
      </c>
      <c r="V66" s="240">
        <f>IF(V24=3,SUMIF(V31:V35,"&gt;0"),0)</f>
        <v>0</v>
      </c>
      <c r="W66" s="235">
        <f>IF(W24=3,SUMIF(W31:W35,"&gt;0"),0)</f>
        <v>0</v>
      </c>
      <c r="Y66" s="240">
        <f>IF(Y24=3,SUMIF(Y31:Y35,"&gt;0"),0)</f>
        <v>0</v>
      </c>
      <c r="Z66" s="235">
        <f>IF(Z24=3,SUMIF(Z31:Z35,"&gt;0"),0)</f>
        <v>1</v>
      </c>
      <c r="AB66" s="240">
        <f>IF(AB24=3,SUMIF(AB31:AB35,"&gt;0"),0)</f>
        <v>0</v>
      </c>
      <c r="AC66" s="235">
        <f>IF(AC24=3,SUMIF(AC31:AC35,"&gt;0"),0)</f>
        <v>0</v>
      </c>
      <c r="AE66" s="240">
        <f>IF(AE24=3,SUMIF(AE31:AE35,"&gt;0"),0)</f>
        <v>0</v>
      </c>
      <c r="AF66" s="235">
        <f>SUM(B66:AE66)</f>
        <v>5</v>
      </c>
      <c r="AG66" s="235">
        <f>AF74-AF66</f>
        <v>3</v>
      </c>
      <c r="AW66" s="238"/>
    </row>
    <row r="67" spans="1:54" s="235" customFormat="1" ht="12.75" hidden="1" customHeight="1" x14ac:dyDescent="0.2">
      <c r="A67" s="235" t="s">
        <v>73</v>
      </c>
      <c r="B67" s="235">
        <f>IF(B24=4,SUMIF(B31:B35,"&gt;0"),0)</f>
        <v>0</v>
      </c>
      <c r="D67" s="240">
        <f>IF(D24=4,SUMIF(D31:D35,"&gt;0"),0)</f>
        <v>0</v>
      </c>
      <c r="E67" s="235">
        <f>IF(E24=4,SUMIF(E31:E35,"&gt;0"),0)</f>
        <v>0</v>
      </c>
      <c r="G67" s="240">
        <f>IF(G24=4,SUMIF(G31:G35,"&gt;0"),0)</f>
        <v>0</v>
      </c>
      <c r="H67" s="235">
        <f>IF(H24=4,SUMIF(H31:H35,"&gt;0"),0)</f>
        <v>0</v>
      </c>
      <c r="J67" s="240">
        <f>IF(J24=4,SUMIF(J31:J35,"&gt;0"),0)</f>
        <v>0</v>
      </c>
      <c r="K67" s="235">
        <f>IF(K24=4,SUMIF(K31:K35,"&gt;0"),0)</f>
        <v>0</v>
      </c>
      <c r="M67" s="240">
        <f>IF(M24=4,SUMIF(M31:M35,"&gt;0"),0)</f>
        <v>0</v>
      </c>
      <c r="N67" s="235">
        <f>IF(N24=4,SUMIF(N31:N35,"&gt;0"),0)</f>
        <v>0</v>
      </c>
      <c r="P67" s="240">
        <f>IF(P24=4,SUMIF(P31:P35,"&gt;0"),0)</f>
        <v>0</v>
      </c>
      <c r="Q67" s="235">
        <f>IF(Q24=4,SUMIF(Q31:Q35,"&gt;0"),0)</f>
        <v>2</v>
      </c>
      <c r="S67" s="240">
        <f>IF(S24=4,SUMIF(S31:S35,"&gt;0"),0)</f>
        <v>0</v>
      </c>
      <c r="T67" s="235">
        <f>IF(T24=4,SUMIF(T31:T35,"&gt;0"),0)</f>
        <v>0</v>
      </c>
      <c r="V67" s="240">
        <f>IF(V24=4,SUMIF(V31:V35,"&gt;0"),0)</f>
        <v>0</v>
      </c>
      <c r="W67" s="235">
        <f>IF(W24=4,SUMIF(W31:W35,"&gt;0"),0)</f>
        <v>0</v>
      </c>
      <c r="Y67" s="240">
        <f>IF(Y24=4,SUMIF(Y31:Y35,"&gt;0"),0)</f>
        <v>0</v>
      </c>
      <c r="Z67" s="235">
        <f>IF(Z24=4,SUMIF(Z31:Z35,"&gt;0"),0)</f>
        <v>0</v>
      </c>
      <c r="AB67" s="240">
        <f>IF(AB24=4,SUMIF(AB31:AB35,"&gt;0"),0)</f>
        <v>1</v>
      </c>
      <c r="AC67" s="235">
        <f>IF(AC24=4,SUMIF(AC31:AC35,"&gt;0"),0)</f>
        <v>0</v>
      </c>
      <c r="AE67" s="240">
        <f>IF(AE24=4,SUMIF(AE31:AE35,"&gt;0"),0)</f>
        <v>0</v>
      </c>
      <c r="AF67" s="235">
        <f>SUM(B67:AE67)</f>
        <v>3</v>
      </c>
      <c r="AG67" s="235">
        <f>AF75-AF67</f>
        <v>5</v>
      </c>
      <c r="AW67" s="238"/>
    </row>
    <row r="68" spans="1:54" s="235" customFormat="1" ht="12.75" hidden="1" customHeight="1" x14ac:dyDescent="0.2">
      <c r="A68" s="235" t="s">
        <v>74</v>
      </c>
      <c r="B68" s="235">
        <f>IF(B24=5,SUMIF(B31:B35,"&gt;0"),0)</f>
        <v>0</v>
      </c>
      <c r="D68" s="240">
        <f>IF(D24=5,SUMIF(D31:D35,"&gt;0"),0)</f>
        <v>0</v>
      </c>
      <c r="E68" s="235">
        <f>IF(E24=5,SUMIF(E31:E35,"&gt;0"),0)</f>
        <v>0</v>
      </c>
      <c r="G68" s="240">
        <f>IF(G24=5,SUMIF(G31:G35,"&gt;0"),0)</f>
        <v>0</v>
      </c>
      <c r="H68" s="235">
        <f>IF(H24=5,SUMIF(H31:H35,"&gt;0"),0)</f>
        <v>0</v>
      </c>
      <c r="J68" s="240">
        <f>IF(J24=5,SUMIF(J31:J35,"&gt;0"),0)</f>
        <v>0</v>
      </c>
      <c r="K68" s="235">
        <f>IF(K24=5,SUMIF(K31:K35,"&gt;0"),0)</f>
        <v>0</v>
      </c>
      <c r="M68" s="240">
        <f>IF(M24=5,SUMIF(M31:M35,"&gt;0"),0)</f>
        <v>0</v>
      </c>
      <c r="N68" s="235">
        <f>IF(N24=5,SUMIF(N31:N35,"&gt;0"),0)</f>
        <v>0</v>
      </c>
      <c r="P68" s="240">
        <f>IF(P24=5,SUMIF(P31:P35,"&gt;0"),0)</f>
        <v>0</v>
      </c>
      <c r="Q68" s="235">
        <f>IF(Q24=5,SUMIF(Q31:Q35,"&gt;0"),0)</f>
        <v>0</v>
      </c>
      <c r="S68" s="240">
        <f>IF(S24=5,SUMIF(S31:S35,"&gt;0"),0)</f>
        <v>0</v>
      </c>
      <c r="T68" s="235">
        <f>IF(T24=5,SUMIF(T31:T35,"&gt;0"),0)</f>
        <v>0</v>
      </c>
      <c r="V68" s="240">
        <f>IF(V24=5,SUMIF(V31:V35,"&gt;0"),0)</f>
        <v>0</v>
      </c>
      <c r="W68" s="235">
        <f>IF(W24=5,SUMIF(W31:W35,"&gt;0"),0)</f>
        <v>0</v>
      </c>
      <c r="Y68" s="240">
        <f>IF(Y24=5,SUMIF(Y31:Y35,"&gt;0"),0)</f>
        <v>0</v>
      </c>
      <c r="Z68" s="235">
        <f>IF(Z24=5,SUMIF(Z31:Z35,"&gt;0"),0)</f>
        <v>0</v>
      </c>
      <c r="AB68" s="240">
        <f>IF(AB24=5,SUMIF(AB31:AB35,"&gt;0"),0)</f>
        <v>0</v>
      </c>
      <c r="AC68" s="235">
        <f>IF(AC24=5,SUMIF(AC31:AC35,"&gt;0"),0)</f>
        <v>0</v>
      </c>
      <c r="AE68" s="240">
        <f>IF(AE24=5,SUMIF(AE31:AE35,"&gt;0"),0)</f>
        <v>0</v>
      </c>
      <c r="AF68" s="235">
        <f>SUM(B68:AE68)</f>
        <v>0</v>
      </c>
      <c r="AG68" s="235">
        <f>AF76-AF68</f>
        <v>8</v>
      </c>
      <c r="AW68" s="238"/>
    </row>
    <row r="69" spans="1:54" s="235" customFormat="1" ht="12.75" hidden="1" customHeight="1" x14ac:dyDescent="0.2">
      <c r="D69" s="240"/>
      <c r="G69" s="240"/>
      <c r="J69" s="240"/>
      <c r="M69" s="240"/>
      <c r="P69" s="240"/>
      <c r="S69" s="240"/>
      <c r="V69" s="240"/>
      <c r="Y69" s="240"/>
      <c r="AB69" s="240"/>
      <c r="AE69" s="240"/>
      <c r="AW69" s="238"/>
    </row>
    <row r="70" spans="1:54" s="235" customFormat="1" ht="12.75" hidden="1" customHeight="1" x14ac:dyDescent="0.2">
      <c r="D70" s="240"/>
      <c r="G70" s="240"/>
      <c r="J70" s="240"/>
      <c r="M70" s="240"/>
      <c r="P70" s="240"/>
      <c r="S70" s="240"/>
      <c r="V70" s="240"/>
      <c r="Y70" s="240"/>
      <c r="AB70" s="240"/>
      <c r="AE70" s="240"/>
      <c r="AW70" s="238"/>
    </row>
    <row r="71" spans="1:54" s="235" customFormat="1" ht="51" hidden="1" customHeight="1" x14ac:dyDescent="0.2">
      <c r="A71" s="239" t="s">
        <v>85</v>
      </c>
      <c r="C71" s="235">
        <f>SUMIF(B64:D68,"&gt;0")</f>
        <v>2</v>
      </c>
      <c r="D71" s="240"/>
      <c r="F71" s="235">
        <f>SUMIF(E64:G68,"&gt;0")</f>
        <v>2</v>
      </c>
      <c r="G71" s="240"/>
      <c r="I71" s="235">
        <f>SUMIF(H64:J68,"&gt;0")</f>
        <v>2</v>
      </c>
      <c r="J71" s="240"/>
      <c r="L71" s="235">
        <f>SUMIF(K64:M68,"&gt;0")</f>
        <v>2</v>
      </c>
      <c r="M71" s="240"/>
      <c r="O71" s="235">
        <f>SUMIF(N64:P68,"&gt;0")</f>
        <v>2</v>
      </c>
      <c r="P71" s="240"/>
      <c r="R71" s="235">
        <f>SUMIF(Q64:S68,"&gt;0")</f>
        <v>2</v>
      </c>
      <c r="S71" s="240"/>
      <c r="U71" s="235">
        <f>SUMIF(T64:V68,"&gt;0")</f>
        <v>2</v>
      </c>
      <c r="V71" s="240"/>
      <c r="X71" s="235">
        <f>SUMIF(W64:Y68,"&gt;0")</f>
        <v>2</v>
      </c>
      <c r="Y71" s="240"/>
      <c r="AA71" s="235">
        <f>SUMIF(Z64:AB68,"&gt;0")</f>
        <v>2</v>
      </c>
      <c r="AB71" s="240"/>
      <c r="AD71" s="235">
        <f>SUMIF(AC64:AE68,"&gt;0")</f>
        <v>2</v>
      </c>
      <c r="AE71" s="240"/>
      <c r="AF71" s="239" t="s">
        <v>86</v>
      </c>
      <c r="AW71" s="238"/>
    </row>
    <row r="72" spans="1:54" s="235" customFormat="1" ht="12.75" hidden="1" customHeight="1" x14ac:dyDescent="0.2">
      <c r="A72" s="235" t="s">
        <v>76</v>
      </c>
      <c r="B72" s="235">
        <f>IF(B24=1,C71,0)</f>
        <v>0</v>
      </c>
      <c r="D72" s="240">
        <f>IF(D24=1,C71,0)</f>
        <v>0</v>
      </c>
      <c r="E72" s="235">
        <f>IF(E24=1,F71,0)</f>
        <v>2</v>
      </c>
      <c r="G72" s="240">
        <f>IF(G24=1,F71,0)</f>
        <v>0</v>
      </c>
      <c r="H72" s="235">
        <f>IF(H24=1,I71,0)</f>
        <v>0</v>
      </c>
      <c r="J72" s="240">
        <f>IF(J24=1,I71,0)</f>
        <v>0</v>
      </c>
      <c r="K72" s="235">
        <f>IF(K24=1,L71,0)</f>
        <v>0</v>
      </c>
      <c r="M72" s="240">
        <f>IF(M24=1,L71,0)</f>
        <v>0</v>
      </c>
      <c r="N72" s="235">
        <f>IF(N24=1,O71,0)</f>
        <v>2</v>
      </c>
      <c r="P72" s="240">
        <f>IF(P24=1,O71,0)</f>
        <v>0</v>
      </c>
      <c r="Q72" s="235">
        <f>IF(Q24=1,R71,0)</f>
        <v>0</v>
      </c>
      <c r="S72" s="240">
        <f>IF(S24=1,R71,0)</f>
        <v>0</v>
      </c>
      <c r="T72" s="235">
        <f>IF(T24=1,U71,0)</f>
        <v>0</v>
      </c>
      <c r="V72" s="240">
        <f>IF(V24=1,U71,0)</f>
        <v>0</v>
      </c>
      <c r="W72" s="235">
        <f>IF(W24=1,X71,0)</f>
        <v>2</v>
      </c>
      <c r="Y72" s="240">
        <f>IF(Y24=1,X71,0)</f>
        <v>0</v>
      </c>
      <c r="Z72" s="235">
        <f>IF(Z24=1,AA71,0)</f>
        <v>0</v>
      </c>
      <c r="AB72" s="240">
        <f>IF(AB24=1,AA71,0)</f>
        <v>0</v>
      </c>
      <c r="AC72" s="235">
        <f>IF(AC24=1,AD71,0)</f>
        <v>2</v>
      </c>
      <c r="AE72" s="240">
        <f>IF(AE24=1,AD71,0)</f>
        <v>0</v>
      </c>
      <c r="AF72" s="235">
        <f>SUM(B72:AE72)</f>
        <v>8</v>
      </c>
      <c r="AW72" s="238"/>
    </row>
    <row r="73" spans="1:54" s="235" customFormat="1" ht="12.75" hidden="1" customHeight="1" x14ac:dyDescent="0.2">
      <c r="A73" s="235" t="s">
        <v>77</v>
      </c>
      <c r="B73" s="235">
        <f>IF(B24=2,C71,0)</f>
        <v>2</v>
      </c>
      <c r="D73" s="240">
        <f>IF(D24=2,C71,0)</f>
        <v>0</v>
      </c>
      <c r="E73" s="235">
        <f>IF(E24=2,F71,0)</f>
        <v>0</v>
      </c>
      <c r="G73" s="240">
        <f>IF(G24=2,F71,0)</f>
        <v>0</v>
      </c>
      <c r="H73" s="235">
        <f>IF(H24=2,I71,0)</f>
        <v>0</v>
      </c>
      <c r="J73" s="240">
        <f>IF(J24=2,I71,0)</f>
        <v>0</v>
      </c>
      <c r="K73" s="235">
        <f>IF(K24=2,L71,0)</f>
        <v>2</v>
      </c>
      <c r="M73" s="240">
        <f>IF(M24=2,L71,0)</f>
        <v>0</v>
      </c>
      <c r="N73" s="235">
        <f>IF(N24=2,O71,0)</f>
        <v>0</v>
      </c>
      <c r="P73" s="240">
        <f>IF(P24=2,O71,0)</f>
        <v>0</v>
      </c>
      <c r="Q73" s="235">
        <f>IF(Q24=2,R71,0)</f>
        <v>0</v>
      </c>
      <c r="S73" s="240">
        <f>IF(S24=2,R71,0)</f>
        <v>0</v>
      </c>
      <c r="T73" s="235">
        <f>IF(T24=2,U71,0)</f>
        <v>2</v>
      </c>
      <c r="V73" s="240">
        <f>IF(V24=2,U71,0)</f>
        <v>0</v>
      </c>
      <c r="W73" s="235">
        <f>IF(W24=2,X71,0)</f>
        <v>0</v>
      </c>
      <c r="Y73" s="240">
        <f>IF(Y24=2,X71,0)</f>
        <v>0</v>
      </c>
      <c r="Z73" s="235">
        <f>IF(Z24=2,AA71,0)</f>
        <v>0</v>
      </c>
      <c r="AB73" s="240">
        <f>IF(AB24=2,AA71,0)</f>
        <v>0</v>
      </c>
      <c r="AC73" s="235">
        <f>IF(AC24=2,AD71,0)</f>
        <v>0</v>
      </c>
      <c r="AE73" s="240">
        <f>IF(AE24=2,AD71,0)</f>
        <v>2</v>
      </c>
      <c r="AF73" s="235">
        <f>SUM(B73:AE73)</f>
        <v>8</v>
      </c>
      <c r="AW73" s="238"/>
    </row>
    <row r="74" spans="1:54" s="235" customFormat="1" ht="12.75" hidden="1" customHeight="1" x14ac:dyDescent="0.2">
      <c r="A74" s="235" t="s">
        <v>78</v>
      </c>
      <c r="B74" s="235">
        <f>IF(B24=3,C71,0)</f>
        <v>0</v>
      </c>
      <c r="D74" s="240">
        <f>IF(D24=3,C71,0)</f>
        <v>0</v>
      </c>
      <c r="E74" s="235">
        <f>IF(E24=3,F71,0)</f>
        <v>0</v>
      </c>
      <c r="G74" s="240">
        <f>IF(G24=3,F71,0)</f>
        <v>0</v>
      </c>
      <c r="H74" s="235">
        <f>IF(H24=3,I71,0)</f>
        <v>2</v>
      </c>
      <c r="J74" s="240">
        <f>IF(J24=3,I71,0)</f>
        <v>0</v>
      </c>
      <c r="K74" s="235">
        <f>IF(K24=3,L71,0)</f>
        <v>0</v>
      </c>
      <c r="M74" s="240">
        <f>IF(M24=3,L71,0)</f>
        <v>0</v>
      </c>
      <c r="N74" s="235">
        <f>IF(N24=3,O71,0)</f>
        <v>0</v>
      </c>
      <c r="P74" s="240">
        <f>IF(P24=3,O71,0)</f>
        <v>2</v>
      </c>
      <c r="Q74" s="235">
        <f>IF(Q24=3,R71,0)</f>
        <v>0</v>
      </c>
      <c r="S74" s="240">
        <f>IF(S24=3,R71,0)</f>
        <v>0</v>
      </c>
      <c r="T74" s="235">
        <f>IF(T24=3,U71,0)</f>
        <v>0</v>
      </c>
      <c r="V74" s="240">
        <f>IF(V24=3,U71,0)</f>
        <v>2</v>
      </c>
      <c r="W74" s="235">
        <f>IF(W24=3,X71,0)</f>
        <v>0</v>
      </c>
      <c r="Y74" s="240">
        <f>IF(Y24=3,X71,0)</f>
        <v>0</v>
      </c>
      <c r="Z74" s="235">
        <f>IF(Z24=3,AA71,0)</f>
        <v>2</v>
      </c>
      <c r="AB74" s="240">
        <f>IF(AB24=3,AA71,0)</f>
        <v>0</v>
      </c>
      <c r="AC74" s="235">
        <f>IF(AC24=3,AD71,0)</f>
        <v>0</v>
      </c>
      <c r="AE74" s="240">
        <f>IF(AE24=3,AD71,0)</f>
        <v>0</v>
      </c>
      <c r="AF74" s="235">
        <f>SUM(B74:AE74)</f>
        <v>8</v>
      </c>
      <c r="AW74" s="238"/>
    </row>
    <row r="75" spans="1:54" s="235" customFormat="1" ht="12.75" hidden="1" customHeight="1" x14ac:dyDescent="0.2">
      <c r="A75" s="235" t="s">
        <v>79</v>
      </c>
      <c r="B75" s="235">
        <f>IF(B24=4,C71,0)</f>
        <v>0</v>
      </c>
      <c r="D75" s="240">
        <f>IF(D24=4,C71,0)</f>
        <v>0</v>
      </c>
      <c r="E75" s="235">
        <f>IF(E24=4,F71,0)</f>
        <v>0</v>
      </c>
      <c r="G75" s="240">
        <f>IF(G24=4,F71,0)</f>
        <v>2</v>
      </c>
      <c r="H75" s="235">
        <f>IF(H24=4,I71,0)</f>
        <v>0</v>
      </c>
      <c r="J75" s="240">
        <f>IF(J24=4,I71,0)</f>
        <v>0</v>
      </c>
      <c r="K75" s="235">
        <f>IF(K24=4,L71,0)</f>
        <v>0</v>
      </c>
      <c r="M75" s="240">
        <f>IF(M24=4,L71,0)</f>
        <v>2</v>
      </c>
      <c r="N75" s="235">
        <f>IF(N24=4,O71,0)</f>
        <v>0</v>
      </c>
      <c r="P75" s="240">
        <f>IF(P24=4,O71,0)</f>
        <v>0</v>
      </c>
      <c r="Q75" s="235">
        <f>IF(Q24=4,R71,0)</f>
        <v>2</v>
      </c>
      <c r="S75" s="240">
        <f>IF(S24=4,R71,0)</f>
        <v>0</v>
      </c>
      <c r="T75" s="235">
        <f>IF(T24=4,U71,0)</f>
        <v>0</v>
      </c>
      <c r="V75" s="240">
        <f>IF(V24=4,U71,0)</f>
        <v>0</v>
      </c>
      <c r="W75" s="235">
        <f>IF(W24=4,X71,0)</f>
        <v>0</v>
      </c>
      <c r="Y75" s="240">
        <f>IF(Y24=4,X71,0)</f>
        <v>0</v>
      </c>
      <c r="Z75" s="235">
        <f>IF(Z24=4,AA71,0)</f>
        <v>0</v>
      </c>
      <c r="AB75" s="240">
        <f>IF(AB24=4,AA71,0)</f>
        <v>2</v>
      </c>
      <c r="AC75" s="235">
        <f>IF(AC24=4,AD71,0)</f>
        <v>0</v>
      </c>
      <c r="AE75" s="240">
        <f>IF(AE24=4,AD71,0)</f>
        <v>0</v>
      </c>
      <c r="AF75" s="235">
        <f>SUM(B75:AE75)</f>
        <v>8</v>
      </c>
      <c r="AW75" s="238"/>
    </row>
    <row r="76" spans="1:54" s="235" customFormat="1" ht="12.75" hidden="1" customHeight="1" x14ac:dyDescent="0.2">
      <c r="A76" s="235" t="s">
        <v>80</v>
      </c>
      <c r="B76" s="235">
        <f>IF(B24=5,C71,0)</f>
        <v>0</v>
      </c>
      <c r="D76" s="240">
        <f>IF(D24=5,C71,0)</f>
        <v>2</v>
      </c>
      <c r="E76" s="235">
        <f>IF(E24=5,F71,0)</f>
        <v>0</v>
      </c>
      <c r="G76" s="240">
        <f>IF(G24=5,F71,0)</f>
        <v>0</v>
      </c>
      <c r="H76" s="235">
        <f>IF(H24=5,I71,0)</f>
        <v>0</v>
      </c>
      <c r="J76" s="240">
        <f>IF(J24=5,I71,0)</f>
        <v>2</v>
      </c>
      <c r="K76" s="235">
        <f>IF(K24=5,L71,0)</f>
        <v>0</v>
      </c>
      <c r="M76" s="240">
        <f>IF(M24=5,L71,0)</f>
        <v>0</v>
      </c>
      <c r="N76" s="235">
        <f>IF(N24=5,O71,0)</f>
        <v>0</v>
      </c>
      <c r="P76" s="240">
        <f>IF(P24=5,O71,0)</f>
        <v>0</v>
      </c>
      <c r="Q76" s="235">
        <f>IF(Q24=5,R71,0)</f>
        <v>0</v>
      </c>
      <c r="S76" s="240">
        <f>IF(S24=5,R71,0)</f>
        <v>2</v>
      </c>
      <c r="T76" s="235">
        <f>IF(T24=5,U71,0)</f>
        <v>0</v>
      </c>
      <c r="V76" s="240">
        <f>IF(V24=5,U71,0)</f>
        <v>0</v>
      </c>
      <c r="W76" s="235">
        <f>IF(W24=5,X71,0)</f>
        <v>0</v>
      </c>
      <c r="Y76" s="240">
        <f>IF(Y24=5,X71,0)</f>
        <v>2</v>
      </c>
      <c r="Z76" s="235">
        <f>IF(Z24=5,AA71,0)</f>
        <v>0</v>
      </c>
      <c r="AB76" s="240">
        <f>IF(AB24=5,AA71,0)</f>
        <v>0</v>
      </c>
      <c r="AC76" s="235">
        <f>IF(AC24=5,AD71,0)</f>
        <v>0</v>
      </c>
      <c r="AE76" s="240">
        <f>IF(AE24=5,AD71,0)</f>
        <v>0</v>
      </c>
      <c r="AF76" s="235">
        <f>SUM(B76:AE76)</f>
        <v>8</v>
      </c>
      <c r="AW76" s="238"/>
    </row>
    <row r="77" spans="1:54" hidden="1" x14ac:dyDescent="0.2">
      <c r="A77" s="242"/>
      <c r="B77" s="242"/>
      <c r="C77" s="242"/>
      <c r="D77" s="242"/>
      <c r="E77" s="242"/>
      <c r="F77" s="242"/>
      <c r="G77" s="242"/>
      <c r="H77" s="242"/>
      <c r="I77" s="242"/>
      <c r="J77" s="242"/>
      <c r="K77" s="242"/>
      <c r="L77" s="242"/>
      <c r="M77" s="242"/>
      <c r="N77" s="242"/>
      <c r="O77" s="242"/>
      <c r="P77" s="242"/>
      <c r="Q77" s="242"/>
      <c r="R77" s="242"/>
      <c r="S77" s="242"/>
      <c r="T77" s="242"/>
      <c r="U77" s="242"/>
      <c r="V77" s="242"/>
      <c r="W77" s="242"/>
      <c r="X77" s="242"/>
      <c r="Y77" s="242"/>
      <c r="Z77" s="242"/>
      <c r="AA77" s="242"/>
      <c r="AB77" s="242"/>
      <c r="AC77" s="242"/>
      <c r="AD77" s="242"/>
      <c r="AE77" s="242"/>
      <c r="AF77" s="242"/>
      <c r="AG77" s="242"/>
      <c r="AH77" s="242"/>
      <c r="AI77" s="242"/>
      <c r="AJ77" s="242"/>
      <c r="AK77" s="242"/>
      <c r="AL77" s="242"/>
      <c r="AM77" s="242"/>
      <c r="AN77" s="243"/>
      <c r="AO77" s="243"/>
      <c r="AP77" s="243"/>
      <c r="AQ77" s="243"/>
      <c r="AR77" s="241"/>
      <c r="AS77" s="241"/>
      <c r="AT77" s="241"/>
      <c r="AU77" s="241"/>
      <c r="AV77" s="241"/>
      <c r="BB77" s="234"/>
    </row>
    <row r="78" spans="1:54" s="241" customFormat="1" hidden="1" x14ac:dyDescent="0.2">
      <c r="A78" s="244"/>
      <c r="B78" s="244"/>
      <c r="C78" s="244" t="s">
        <v>87</v>
      </c>
      <c r="D78" s="244">
        <v>1</v>
      </c>
      <c r="E78" s="244"/>
      <c r="F78" s="244"/>
      <c r="G78" s="244">
        <v>2</v>
      </c>
      <c r="H78" s="244"/>
      <c r="I78" s="244"/>
      <c r="J78" s="244">
        <v>3</v>
      </c>
      <c r="K78" s="244"/>
      <c r="L78" s="244"/>
      <c r="M78" s="244">
        <v>4</v>
      </c>
      <c r="N78" s="244"/>
      <c r="O78" s="244"/>
      <c r="P78" s="244">
        <v>5</v>
      </c>
      <c r="Q78" s="244"/>
      <c r="R78" s="244"/>
      <c r="S78" s="244">
        <v>6</v>
      </c>
      <c r="T78" s="244"/>
      <c r="U78" s="244"/>
      <c r="V78" s="244">
        <v>7</v>
      </c>
      <c r="W78" s="244"/>
      <c r="X78" s="244"/>
      <c r="Y78" s="244">
        <v>8</v>
      </c>
      <c r="Z78" s="244"/>
      <c r="AA78" s="244"/>
      <c r="AB78" s="244">
        <v>9</v>
      </c>
      <c r="AC78" s="244"/>
      <c r="AD78" s="244"/>
      <c r="AE78" s="244">
        <v>10</v>
      </c>
      <c r="AF78" s="188"/>
      <c r="AG78" s="244"/>
      <c r="AI78" s="245"/>
      <c r="AJ78" s="188"/>
      <c r="AK78" s="188"/>
      <c r="AL78" s="188"/>
      <c r="AM78" s="188"/>
      <c r="AN78" s="188"/>
      <c r="AO78" s="188"/>
      <c r="AT78" s="245" t="s">
        <v>88</v>
      </c>
      <c r="AW78" s="246"/>
      <c r="BB78" s="246"/>
    </row>
    <row r="79" spans="1:54" s="241" customFormat="1" hidden="1" x14ac:dyDescent="0.2">
      <c r="A79" s="247">
        <v>1</v>
      </c>
      <c r="B79" s="247" t="str">
        <f>E8</f>
        <v>BVA 14W</v>
      </c>
      <c r="C79" s="247">
        <f>VLOOKUP(B79,AU$3:BB$33,3,FALSE)</f>
        <v>1811.1441592697583</v>
      </c>
      <c r="D79" s="247">
        <f>IF(B72,B87,IF(D72,D87,C79))</f>
        <v>1811.1441592697583</v>
      </c>
      <c r="E79" s="247"/>
      <c r="F79" s="247"/>
      <c r="G79" s="247">
        <f>IF(E72,E87,IF(G72,G87,D79))</f>
        <v>1834.9565880995613</v>
      </c>
      <c r="H79" s="247"/>
      <c r="I79" s="247"/>
      <c r="J79" s="247">
        <f>IF(H72,H87,IF(J72,J87,G79))</f>
        <v>1834.9565880995613</v>
      </c>
      <c r="K79" s="247"/>
      <c r="L79" s="247"/>
      <c r="M79" s="247">
        <f>IF(K72,K87,IF(M72,M87,J79))</f>
        <v>1834.9565880995613</v>
      </c>
      <c r="N79" s="247"/>
      <c r="O79" s="247"/>
      <c r="P79" s="247">
        <f>IF(N72,N87,IF(P72,P87,M79))</f>
        <v>1802.1255464749408</v>
      </c>
      <c r="Q79" s="247"/>
      <c r="R79" s="247"/>
      <c r="S79" s="247">
        <f>IF(Q72,Q87,IF(S72,S87,P79))</f>
        <v>1802.1255464749408</v>
      </c>
      <c r="T79" s="247"/>
      <c r="U79" s="247"/>
      <c r="V79" s="247">
        <f>IF(T72,T87,IF(V72,V87,S79))</f>
        <v>1802.1255464749408</v>
      </c>
      <c r="W79" s="247"/>
      <c r="X79" s="247"/>
      <c r="Y79" s="247">
        <f>IF(W72,W87,IF(Y72,Y87,V79))</f>
        <v>1819.3717763540185</v>
      </c>
      <c r="Z79" s="247"/>
      <c r="AA79" s="247"/>
      <c r="AB79" s="247">
        <f>IF(Z72,Z87,IF(AB72,AB87,Y79))</f>
        <v>1819.3717763540185</v>
      </c>
      <c r="AC79" s="247"/>
      <c r="AD79" s="247"/>
      <c r="AE79" s="247">
        <f>IF(AC72,AC87,IF(AE72,AE87,AB79))</f>
        <v>1813.3875911750119</v>
      </c>
      <c r="AF79" s="188"/>
      <c r="AG79" s="188"/>
      <c r="AJ79" s="188"/>
      <c r="AK79" s="188"/>
      <c r="AL79" s="188"/>
      <c r="AM79" s="188"/>
      <c r="AN79" s="188"/>
      <c r="AO79" s="188"/>
      <c r="AT79" s="241" t="str">
        <f>B79</f>
        <v>BVA 14W</v>
      </c>
      <c r="AU79" s="241">
        <f>AE79</f>
        <v>1813.3875911750119</v>
      </c>
      <c r="AW79" s="246"/>
      <c r="BB79" s="246"/>
    </row>
    <row r="80" spans="1:54" s="241" customFormat="1" hidden="1" x14ac:dyDescent="0.2">
      <c r="A80" s="247">
        <v>2</v>
      </c>
      <c r="B80" s="247" t="str">
        <f>E10</f>
        <v>NETVC 14AMy</v>
      </c>
      <c r="C80" s="247">
        <f>VLOOKUP(B80,AU$3:BB$33,3,FALSE)</f>
        <v>2200</v>
      </c>
      <c r="D80" s="247">
        <f>IF(B73,B87,IF(D73,D87,C80))</f>
        <v>2203.0800871795659</v>
      </c>
      <c r="E80" s="247"/>
      <c r="F80" s="247"/>
      <c r="G80" s="247">
        <f>IF(E73,E87,IF(G73,G87,D80))</f>
        <v>2203.0800871795659</v>
      </c>
      <c r="H80" s="247"/>
      <c r="I80" s="247"/>
      <c r="J80" s="247">
        <f>IF(H73,H87,IF(J73,J87,G80))</f>
        <v>2203.0800871795659</v>
      </c>
      <c r="K80" s="247"/>
      <c r="L80" s="247"/>
      <c r="M80" s="247">
        <f>IF(K73,K87,IF(M73,M87,J80))</f>
        <v>2206.3658168088527</v>
      </c>
      <c r="N80" s="247"/>
      <c r="O80" s="247"/>
      <c r="P80" s="247">
        <f>IF(N73,N87,IF(P73,P87,M80))</f>
        <v>2206.3658168088527</v>
      </c>
      <c r="Q80" s="247"/>
      <c r="R80" s="247"/>
      <c r="S80" s="247">
        <f>IF(Q73,Q87,IF(S73,S87,P80))</f>
        <v>2206.3658168088527</v>
      </c>
      <c r="T80" s="247"/>
      <c r="U80" s="247"/>
      <c r="V80" s="247">
        <f>IF(T73,T87,IF(V73,V87,S80))</f>
        <v>2213.9883251599799</v>
      </c>
      <c r="W80" s="247"/>
      <c r="X80" s="247"/>
      <c r="Y80" s="247">
        <f>IF(W73,W87,IF(Y73,Y87,V80))</f>
        <v>2213.9883251599799</v>
      </c>
      <c r="Z80" s="247"/>
      <c r="AA80" s="247"/>
      <c r="AB80" s="247">
        <f>IF(Z73,Z87,IF(AB73,AB87,Y80))</f>
        <v>2213.9883251599799</v>
      </c>
      <c r="AC80" s="247"/>
      <c r="AD80" s="247"/>
      <c r="AE80" s="247">
        <f>IF(AC73,AC87,IF(AE73,AE87,AB80))</f>
        <v>2219.9725103389865</v>
      </c>
      <c r="AF80" s="188"/>
      <c r="AG80" s="188"/>
      <c r="AJ80" s="188"/>
      <c r="AL80" s="188"/>
      <c r="AM80" s="188"/>
      <c r="AN80" s="188"/>
      <c r="AO80" s="188"/>
      <c r="AT80" s="241" t="str">
        <f>B80</f>
        <v>NETVC 14AMy</v>
      </c>
      <c r="AU80" s="241">
        <f>AE80</f>
        <v>2219.9725103389865</v>
      </c>
      <c r="AW80" s="246"/>
      <c r="BB80" s="246"/>
    </row>
    <row r="81" spans="1:54" s="241" customFormat="1" hidden="1" x14ac:dyDescent="0.2">
      <c r="A81" s="247">
        <v>3</v>
      </c>
      <c r="B81" s="247" t="str">
        <f>E12</f>
        <v>Sumter VBC 14</v>
      </c>
      <c r="C81" s="247">
        <f>VLOOKUP(B81,AU$3:BB$33,3,FALSE)</f>
        <v>1805.1071930791211</v>
      </c>
      <c r="D81" s="247">
        <f>IF(B74,B87,IF(D74,D87,C81))</f>
        <v>1805.1071930791211</v>
      </c>
      <c r="E81" s="247"/>
      <c r="F81" s="247"/>
      <c r="G81" s="247">
        <f>IF(E74,E87,IF(G74,G87,D81))</f>
        <v>1805.1071930791211</v>
      </c>
      <c r="H81" s="247"/>
      <c r="I81" s="247"/>
      <c r="J81" s="247">
        <f>IF(H74,H87,IF(J74,J87,G81))</f>
        <v>1825.9316389998803</v>
      </c>
      <c r="K81" s="247"/>
      <c r="L81" s="247"/>
      <c r="M81" s="247">
        <f>IF(K74,K87,IF(M74,M87,J81))</f>
        <v>1825.9316389998803</v>
      </c>
      <c r="N81" s="247"/>
      <c r="O81" s="247"/>
      <c r="P81" s="247">
        <f>IF(N74,N87,IF(P74,P87,M81))</f>
        <v>1858.7626806245007</v>
      </c>
      <c r="Q81" s="247"/>
      <c r="R81" s="247"/>
      <c r="S81" s="247">
        <f>IF(Q74,Q87,IF(S74,S87,P81))</f>
        <v>1858.7626806245007</v>
      </c>
      <c r="T81" s="247"/>
      <c r="U81" s="247"/>
      <c r="V81" s="247">
        <f>IF(T74,T87,IF(V74,V87,S81))</f>
        <v>1851.1401722733735</v>
      </c>
      <c r="W81" s="247"/>
      <c r="X81" s="247"/>
      <c r="Y81" s="247">
        <f>IF(W74,W87,IF(Y74,Y87,V81))</f>
        <v>1851.1401722733735</v>
      </c>
      <c r="Z81" s="247"/>
      <c r="AA81" s="247"/>
      <c r="AB81" s="247">
        <f>IF(Z74,Z87,IF(AB74,AB87,Y81))</f>
        <v>1839.7546501288846</v>
      </c>
      <c r="AC81" s="247"/>
      <c r="AD81" s="247"/>
      <c r="AE81" s="247">
        <f>IF(AC74,AC87,IF(AE74,AE87,AB81))</f>
        <v>1839.7546501288846</v>
      </c>
      <c r="AF81" s="188"/>
      <c r="AG81" s="188"/>
      <c r="AJ81" s="188"/>
      <c r="AL81" s="188"/>
      <c r="AM81" s="188"/>
      <c r="AN81" s="188"/>
      <c r="AO81" s="188"/>
      <c r="AT81" s="241" t="str">
        <f>B81</f>
        <v>Sumter VBC 14</v>
      </c>
      <c r="AU81" s="241">
        <f>AE81</f>
        <v>1839.7546501288846</v>
      </c>
      <c r="AW81" s="246"/>
      <c r="BB81" s="246"/>
    </row>
    <row r="82" spans="1:54" s="241" customFormat="1" hidden="1" x14ac:dyDescent="0.2">
      <c r="A82" s="247">
        <v>4</v>
      </c>
      <c r="B82" s="247" t="str">
        <f>E14</f>
        <v>SC Midlands 14 Garnet</v>
      </c>
      <c r="C82" s="247">
        <f>VLOOKUP(B82,AU$3:BB$33,3,FALSE)</f>
        <v>1720.2289335203257</v>
      </c>
      <c r="D82" s="247">
        <f>IF(B75,B87,IF(D75,D87,C82))</f>
        <v>1720.2289335203257</v>
      </c>
      <c r="E82" s="247"/>
      <c r="F82" s="247"/>
      <c r="G82" s="247">
        <f>IF(E75,E87,IF(G75,G87,D82))</f>
        <v>1696.4165046905227</v>
      </c>
      <c r="H82" s="247"/>
      <c r="I82" s="247"/>
      <c r="J82" s="247">
        <f>IF(H75,H87,IF(J75,J87,G82))</f>
        <v>1696.4165046905227</v>
      </c>
      <c r="K82" s="247"/>
      <c r="L82" s="247"/>
      <c r="M82" s="247">
        <f>IF(K75,K87,IF(M75,M87,J82))</f>
        <v>1693.1307750612361</v>
      </c>
      <c r="N82" s="247"/>
      <c r="O82" s="247"/>
      <c r="P82" s="247">
        <f>IF(N75,N87,IF(P75,P87,M82))</f>
        <v>1693.1307750612361</v>
      </c>
      <c r="Q82" s="247"/>
      <c r="R82" s="247"/>
      <c r="S82" s="247">
        <f>IF(Q75,Q87,IF(S75,S87,P82))</f>
        <v>1721.8711764626132</v>
      </c>
      <c r="T82" s="247"/>
      <c r="U82" s="247"/>
      <c r="V82" s="247">
        <f>IF(T75,T87,IF(V75,V87,S82))</f>
        <v>1721.8711764626132</v>
      </c>
      <c r="W82" s="247"/>
      <c r="X82" s="247"/>
      <c r="Y82" s="247">
        <f>IF(W75,W87,IF(Y75,Y87,V82))</f>
        <v>1721.8711764626132</v>
      </c>
      <c r="Z82" s="247"/>
      <c r="AA82" s="247"/>
      <c r="AB82" s="247">
        <f>IF(Z75,Z87,IF(AB75,AB87,Y82))</f>
        <v>1733.2566986071022</v>
      </c>
      <c r="AC82" s="247"/>
      <c r="AD82" s="247"/>
      <c r="AE82" s="247">
        <f>IF(AC75,AC87,IF(AE75,AE87,AB82))</f>
        <v>1733.2566986071022</v>
      </c>
      <c r="AF82" s="188"/>
      <c r="AG82" s="188"/>
      <c r="AJ82" s="188"/>
      <c r="AL82" s="188"/>
      <c r="AM82" s="188"/>
      <c r="AN82" s="188"/>
      <c r="AO82" s="188"/>
      <c r="AT82" s="241" t="str">
        <f>B82</f>
        <v>SC Midlands 14 Garnet</v>
      </c>
      <c r="AU82" s="241">
        <f>AE82</f>
        <v>1733.2566986071022</v>
      </c>
      <c r="AW82" s="246"/>
      <c r="BB82" s="246"/>
    </row>
    <row r="83" spans="1:54" s="241" customFormat="1" hidden="1" x14ac:dyDescent="0.2">
      <c r="A83" s="247">
        <v>5</v>
      </c>
      <c r="B83" s="247" t="str">
        <f>E16</f>
        <v>Kershaw 14 White</v>
      </c>
      <c r="C83" s="247">
        <f>VLOOKUP(B83,AU$3:BB$33,3,FALSE)</f>
        <v>1681.5214943555018</v>
      </c>
      <c r="D83" s="247">
        <f>IF(B76,B87,IF(D76,D87,C83))</f>
        <v>1678.4414071759356</v>
      </c>
      <c r="E83" s="247"/>
      <c r="F83" s="247"/>
      <c r="G83" s="247">
        <f>IF(E76,E87,IF(G76,G87,D83))</f>
        <v>1678.4414071759356</v>
      </c>
      <c r="H83" s="247"/>
      <c r="I83" s="247"/>
      <c r="J83" s="247">
        <f>IF(H76,H87,IF(J76,J87,G83))</f>
        <v>1657.6169612551764</v>
      </c>
      <c r="K83" s="247"/>
      <c r="L83" s="247"/>
      <c r="M83" s="247">
        <f>IF(K76,K87,IF(M76,M87,J83))</f>
        <v>1657.6169612551764</v>
      </c>
      <c r="N83" s="247"/>
      <c r="O83" s="247"/>
      <c r="P83" s="247">
        <f>IF(N76,N87,IF(P76,P87,M83))</f>
        <v>1657.6169612551764</v>
      </c>
      <c r="Q83" s="247"/>
      <c r="R83" s="247"/>
      <c r="S83" s="247">
        <f>IF(Q76,Q87,IF(S76,S87,P83))</f>
        <v>1628.8765598537993</v>
      </c>
      <c r="T83" s="247"/>
      <c r="U83" s="247"/>
      <c r="V83" s="247">
        <f>IF(T76,T87,IF(V76,V87,S83))</f>
        <v>1628.8765598537993</v>
      </c>
      <c r="W83" s="247"/>
      <c r="X83" s="247"/>
      <c r="Y83" s="247">
        <f>IF(W76,W87,IF(Y76,Y87,V83))</f>
        <v>1611.6303299747217</v>
      </c>
      <c r="Z83" s="247"/>
      <c r="AA83" s="247"/>
      <c r="AB83" s="247">
        <f>IF(Z76,Z87,IF(AB76,AB87,Y83))</f>
        <v>1611.6303299747217</v>
      </c>
      <c r="AC83" s="247"/>
      <c r="AD83" s="247"/>
      <c r="AE83" s="247">
        <f>IF(AC76,AC87,IF(AE76,AE87,AB83))</f>
        <v>1611.6303299747217</v>
      </c>
      <c r="AF83" s="188"/>
      <c r="AG83" s="188"/>
      <c r="AJ83" s="188"/>
      <c r="AL83" s="188"/>
      <c r="AM83" s="188"/>
      <c r="AN83" s="188"/>
      <c r="AO83" s="188"/>
      <c r="AT83" s="241" t="str">
        <f>B83</f>
        <v>Kershaw 14 White</v>
      </c>
      <c r="AU83" s="241">
        <f>AE83</f>
        <v>1611.6303299747217</v>
      </c>
      <c r="AW83" s="246"/>
      <c r="BB83" s="246"/>
    </row>
    <row r="84" spans="1:54" s="241" customFormat="1" hidden="1" x14ac:dyDescent="0.2">
      <c r="A84" s="247"/>
      <c r="B84" s="247"/>
      <c r="C84" s="247"/>
      <c r="D84" s="247"/>
      <c r="E84" s="247"/>
      <c r="F84" s="247"/>
      <c r="G84" s="247"/>
      <c r="H84" s="247"/>
      <c r="I84" s="247"/>
      <c r="J84" s="247"/>
      <c r="K84" s="247"/>
      <c r="L84" s="247"/>
      <c r="M84" s="247"/>
      <c r="N84" s="247"/>
      <c r="O84" s="247"/>
      <c r="P84" s="247"/>
      <c r="Q84" s="247"/>
      <c r="R84" s="247"/>
      <c r="S84" s="247"/>
      <c r="T84" s="247"/>
      <c r="U84" s="247"/>
      <c r="V84" s="247"/>
      <c r="W84" s="247"/>
      <c r="X84" s="247"/>
      <c r="Y84" s="247"/>
      <c r="Z84" s="247"/>
      <c r="AA84" s="247"/>
      <c r="AB84" s="247"/>
      <c r="AC84" s="247"/>
      <c r="AD84" s="247"/>
      <c r="AE84" s="247"/>
      <c r="AF84" s="188"/>
      <c r="AG84" s="188"/>
      <c r="AJ84" s="188"/>
      <c r="AL84" s="188"/>
      <c r="AM84" s="188"/>
      <c r="AN84" s="188"/>
      <c r="AO84" s="188"/>
      <c r="AW84" s="246"/>
      <c r="BB84" s="246"/>
    </row>
    <row r="85" spans="1:54" s="241" customFormat="1" hidden="1" x14ac:dyDescent="0.2">
      <c r="A85" s="247" t="s">
        <v>89</v>
      </c>
      <c r="B85" s="247">
        <f>VLOOKUP(B24,$A79:$AE83,3,FALSE)</f>
        <v>2200</v>
      </c>
      <c r="C85" s="247">
        <v>1</v>
      </c>
      <c r="D85" s="247">
        <f>VLOOKUP(D24,$A79:$AE83,3,FALSE)</f>
        <v>1681.5214943555018</v>
      </c>
      <c r="E85" s="247">
        <f>VLOOKUP(E24,$A79:$AE83,4,FALSE)</f>
        <v>1811.1441592697583</v>
      </c>
      <c r="F85" s="247">
        <v>2</v>
      </c>
      <c r="G85" s="247">
        <f>VLOOKUP(G24,$A79:$AE83,4,FALSE)</f>
        <v>1720.2289335203257</v>
      </c>
      <c r="H85" s="247">
        <f>VLOOKUP(H24,$A79:$AE83,7,FALSE)</f>
        <v>1805.1071930791211</v>
      </c>
      <c r="I85" s="247">
        <v>3</v>
      </c>
      <c r="J85" s="247">
        <f>VLOOKUP(J24,$A79:$AE83,7,FALSE)</f>
        <v>1678.4414071759356</v>
      </c>
      <c r="K85" s="247">
        <f>VLOOKUP(K24,$A79:$AE83,10,FALSE)</f>
        <v>2203.0800871795659</v>
      </c>
      <c r="L85" s="247">
        <v>4</v>
      </c>
      <c r="M85" s="247">
        <f>VLOOKUP(M24,$A79:$AE83,10,FALSE)</f>
        <v>1696.4165046905227</v>
      </c>
      <c r="N85" s="247">
        <f>VLOOKUP(N24,$A79:$AE83,13,FALSE)</f>
        <v>1834.9565880995613</v>
      </c>
      <c r="O85" s="247">
        <v>5</v>
      </c>
      <c r="P85" s="247">
        <f>VLOOKUP(P24,$A79:$AE83,13,FALSE)</f>
        <v>1825.9316389998803</v>
      </c>
      <c r="Q85" s="247">
        <f>VLOOKUP(Q24,$A79:$AE83,16,FALSE)</f>
        <v>1693.1307750612361</v>
      </c>
      <c r="R85" s="247">
        <v>6</v>
      </c>
      <c r="S85" s="247">
        <f>VLOOKUP(S24,$A79:$AE83,16,FALSE)</f>
        <v>1657.6169612551764</v>
      </c>
      <c r="T85" s="247">
        <f>VLOOKUP(T24,$A79:$AE83,19,FALSE)</f>
        <v>2206.3658168088527</v>
      </c>
      <c r="U85" s="247">
        <v>7</v>
      </c>
      <c r="V85" s="247">
        <f>VLOOKUP(V24,$A79:$AE83,19,FALSE)</f>
        <v>1858.7626806245007</v>
      </c>
      <c r="W85" s="247">
        <f>VLOOKUP(W24,$A79:$AE83,22,FALSE)</f>
        <v>1802.1255464749408</v>
      </c>
      <c r="X85" s="247">
        <v>8</v>
      </c>
      <c r="Y85" s="247">
        <f>VLOOKUP(Y24,$A79:$AE83,22,FALSE)</f>
        <v>1628.8765598537993</v>
      </c>
      <c r="Z85" s="247">
        <f>VLOOKUP(Z24,$A79:$AE83,25,FALSE)</f>
        <v>1851.1401722733735</v>
      </c>
      <c r="AA85" s="247">
        <v>9</v>
      </c>
      <c r="AB85" s="247">
        <f>VLOOKUP(AB24,$A79:$AE83,25,FALSE)</f>
        <v>1721.8711764626132</v>
      </c>
      <c r="AC85" s="247">
        <f>VLOOKUP(AC24,$A79:$AE83,28,FALSE)</f>
        <v>1819.3717763540185</v>
      </c>
      <c r="AD85" s="247">
        <v>10</v>
      </c>
      <c r="AE85" s="247">
        <f>VLOOKUP(AE24,$A79:$AE83,28,FALSE)</f>
        <v>2213.9883251599799</v>
      </c>
      <c r="AF85" s="188"/>
      <c r="AG85" s="242"/>
      <c r="AH85" s="242"/>
      <c r="AI85" s="242"/>
      <c r="AJ85" s="242"/>
      <c r="AK85" s="242"/>
      <c r="AL85" s="242"/>
      <c r="AM85" s="242"/>
      <c r="AN85" s="243"/>
      <c r="AO85" s="243"/>
      <c r="AP85" s="243"/>
      <c r="AQ85" s="243"/>
      <c r="AW85" s="246"/>
      <c r="BB85" s="246"/>
    </row>
    <row r="86" spans="1:54" s="252" customFormat="1" hidden="1" x14ac:dyDescent="0.2">
      <c r="A86" s="248" t="s">
        <v>90</v>
      </c>
      <c r="B86" s="248">
        <f>1/(1+(10^-((B85-D85)/400)))*(B36+D36)</f>
        <v>1.9037472756385614</v>
      </c>
      <c r="C86" s="248"/>
      <c r="D86" s="248">
        <f>1/(1+(10^-((D85-B85)/400)))*(B36+D36)</f>
        <v>9.6252724361438488E-2</v>
      </c>
      <c r="E86" s="248">
        <f>1/(1+(10^-((E85-G85)/400)))*(E36+G36)</f>
        <v>1.2558615990686592</v>
      </c>
      <c r="F86" s="248"/>
      <c r="G86" s="248">
        <f>1/(1+(10^-((G85-E85)/400)))*(E36+G36)</f>
        <v>0.74413840093134076</v>
      </c>
      <c r="H86" s="248">
        <f>1/(1+(10^-((H85-J85)/400)))*(H36+J36)</f>
        <v>1.3492360649762711</v>
      </c>
      <c r="I86" s="248"/>
      <c r="J86" s="248">
        <f>1/(1+(10^-((J85-H85)/400)))*(H36+J36)</f>
        <v>0.65076393502372887</v>
      </c>
      <c r="K86" s="248">
        <f>1/(1+(10^-((K85-M85)/400)))*(K36+M36)</f>
        <v>1.8973209490847915</v>
      </c>
      <c r="L86" s="248"/>
      <c r="M86" s="248">
        <f>1/(1+(10^-((M85-K85)/400)))*(K36+M36)</f>
        <v>0.10267905091520858</v>
      </c>
      <c r="N86" s="248">
        <f>1/(1+(10^-((N85-P85)/400)))*(N36+P36)</f>
        <v>1.0259700507693863</v>
      </c>
      <c r="O86" s="248"/>
      <c r="P86" s="248">
        <f>1/(1+(10^-((P85-N85)/400)))*(N36+P36)</f>
        <v>0.97402994923061381</v>
      </c>
      <c r="Q86" s="248">
        <f>1/(1+(10^-((Q85-S85)/400)))*(Q36+S36)</f>
        <v>1.1018624562069683</v>
      </c>
      <c r="R86" s="248"/>
      <c r="S86" s="248">
        <f>1/(1+(10^-((S85-Q85)/400)))*(Q36+S36)</f>
        <v>0.89813754379303168</v>
      </c>
      <c r="T86" s="248">
        <f>1/(1+(10^-((T85-V85)/400)))*(T36+V36)</f>
        <v>1.7617966140272727</v>
      </c>
      <c r="U86" s="248"/>
      <c r="V86" s="248">
        <f>1/(1+(10^-((V85-T85)/400)))*(T36+V36)</f>
        <v>0.23820338597272725</v>
      </c>
      <c r="W86" s="248">
        <f>1/(1+(10^-((W85-Y85)/400)))*(W36+Y36)</f>
        <v>1.4610553162788262</v>
      </c>
      <c r="X86" s="248"/>
      <c r="Y86" s="248">
        <f>1/(1+(10^-((Y85-W85)/400)))*(W36+Y36)</f>
        <v>0.53894468372117377</v>
      </c>
      <c r="Z86" s="248">
        <f>1/(1+(10^-((Z85-AB85)/400)))*(Z36+AB36)</f>
        <v>1.3557975670152806</v>
      </c>
      <c r="AA86" s="248"/>
      <c r="AB86" s="248">
        <f>1/(1+(10^-((AB85-Z85)/400)))*(Z36+AB36)</f>
        <v>0.64420243298471935</v>
      </c>
      <c r="AC86" s="248">
        <f>1/(1+(10^-((AC85-AE85)/400)))*(AC36+AE36)</f>
        <v>0.18700578684395333</v>
      </c>
      <c r="AD86" s="248"/>
      <c r="AE86" s="248">
        <f>1/(1+(10^-((AE85-AC85)/400)))*(AC36+AE36)</f>
        <v>1.8129942131560466</v>
      </c>
      <c r="AF86" s="249"/>
      <c r="AG86" s="250"/>
      <c r="AH86" s="250"/>
      <c r="AI86" s="250"/>
      <c r="AJ86" s="250"/>
      <c r="AK86" s="250"/>
      <c r="AL86" s="250"/>
      <c r="AM86" s="250"/>
      <c r="AN86" s="251"/>
      <c r="AO86" s="251"/>
      <c r="AP86" s="251"/>
      <c r="AQ86" s="251"/>
      <c r="AW86" s="253"/>
      <c r="BB86" s="253"/>
    </row>
    <row r="87" spans="1:54" s="258" customFormat="1" hidden="1" x14ac:dyDescent="0.2">
      <c r="A87" s="254" t="s">
        <v>91</v>
      </c>
      <c r="B87" s="254">
        <f>B85+(B36-B86)*$BA$1</f>
        <v>2203.0800871795659</v>
      </c>
      <c r="C87" s="254"/>
      <c r="D87" s="254">
        <f>D85+(D36-D86)*$BA$1</f>
        <v>1678.4414071759356</v>
      </c>
      <c r="E87" s="254">
        <f>E85+(E36-E86)*$BA$1</f>
        <v>1834.9565880995613</v>
      </c>
      <c r="F87" s="254"/>
      <c r="G87" s="254">
        <f>G85+(G36-G86)*$BA$1</f>
        <v>1696.4165046905227</v>
      </c>
      <c r="H87" s="254">
        <f>H85+(H36-H86)*$BA$1</f>
        <v>1825.9316389998803</v>
      </c>
      <c r="I87" s="254"/>
      <c r="J87" s="254">
        <f>J85+(J36-J86)*$BA$1</f>
        <v>1657.6169612551764</v>
      </c>
      <c r="K87" s="254">
        <f>K85+(K36-K86)*$BA$1</f>
        <v>2206.3658168088527</v>
      </c>
      <c r="L87" s="254"/>
      <c r="M87" s="254">
        <f>M85+(M36-M86)*$BA$1</f>
        <v>1693.1307750612361</v>
      </c>
      <c r="N87" s="254">
        <f>N85+(N36-N86)*$BA$1</f>
        <v>1802.1255464749408</v>
      </c>
      <c r="O87" s="254"/>
      <c r="P87" s="254">
        <f>P85+(P36-P86)*$BA$1</f>
        <v>1858.7626806245007</v>
      </c>
      <c r="Q87" s="254">
        <f>Q85+(Q36-Q86)*$BA$1</f>
        <v>1721.8711764626132</v>
      </c>
      <c r="R87" s="254"/>
      <c r="S87" s="254">
        <f>S85+(S36-S86)*$BA$1</f>
        <v>1628.8765598537993</v>
      </c>
      <c r="T87" s="254">
        <f>T85+(T36-T86)*$BA$1</f>
        <v>2213.9883251599799</v>
      </c>
      <c r="U87" s="254"/>
      <c r="V87" s="254">
        <f>V85+(V36-V86)*$BA$1</f>
        <v>1851.1401722733735</v>
      </c>
      <c r="W87" s="254">
        <f>W85+(W36-W86)*$BA$1</f>
        <v>1819.3717763540185</v>
      </c>
      <c r="X87" s="254"/>
      <c r="Y87" s="254">
        <f>Y85+(Y36-Y86)*$BA$1</f>
        <v>1611.6303299747217</v>
      </c>
      <c r="Z87" s="254">
        <f>Z85+(Z36-Z86)*$BA$1</f>
        <v>1839.7546501288846</v>
      </c>
      <c r="AA87" s="254"/>
      <c r="AB87" s="254">
        <f>AB85+(AB36-AB86)*$BA$1</f>
        <v>1733.2566986071022</v>
      </c>
      <c r="AC87" s="254">
        <f>AC85+(AC36-AC86)*$BA$1</f>
        <v>1813.3875911750119</v>
      </c>
      <c r="AD87" s="254"/>
      <c r="AE87" s="254">
        <f>AE85+(AE36-AE86)*$BA$1</f>
        <v>2219.9725103389865</v>
      </c>
      <c r="AF87" s="255"/>
      <c r="AG87" s="256"/>
      <c r="AH87" s="256"/>
      <c r="AI87" s="256"/>
      <c r="AJ87" s="256"/>
      <c r="AK87" s="256"/>
      <c r="AL87" s="256"/>
      <c r="AM87" s="256"/>
      <c r="AN87" s="257"/>
      <c r="AO87" s="257"/>
      <c r="AP87" s="257"/>
      <c r="AQ87" s="257"/>
      <c r="AW87" s="259"/>
      <c r="BB87" s="259"/>
    </row>
    <row r="88" spans="1:54" s="258" customFormat="1" hidden="1" x14ac:dyDescent="0.2">
      <c r="A88" s="254"/>
      <c r="B88" s="254"/>
      <c r="C88" s="254"/>
      <c r="D88" s="254"/>
      <c r="E88" s="254"/>
      <c r="F88" s="254"/>
      <c r="G88" s="254"/>
      <c r="H88" s="254"/>
      <c r="I88" s="254"/>
      <c r="J88" s="254"/>
      <c r="K88" s="254"/>
      <c r="L88" s="254"/>
      <c r="M88" s="254"/>
      <c r="N88" s="254"/>
      <c r="O88" s="254"/>
      <c r="P88" s="254"/>
      <c r="Q88" s="254"/>
      <c r="R88" s="254"/>
      <c r="S88" s="254"/>
      <c r="T88" s="254"/>
      <c r="U88" s="254"/>
      <c r="V88" s="254"/>
      <c r="W88" s="254"/>
      <c r="X88" s="254"/>
      <c r="Y88" s="254"/>
      <c r="Z88" s="254"/>
      <c r="AA88" s="254"/>
      <c r="AB88" s="254"/>
      <c r="AC88" s="254"/>
      <c r="AD88" s="254"/>
      <c r="AE88" s="254"/>
      <c r="AF88" s="255"/>
      <c r="AG88" s="256"/>
      <c r="AH88" s="256"/>
      <c r="AI88" s="256"/>
      <c r="AJ88" s="256"/>
      <c r="AK88" s="256"/>
      <c r="AL88" s="256"/>
      <c r="AM88" s="256"/>
      <c r="AN88" s="257"/>
      <c r="AO88" s="257"/>
      <c r="AP88" s="257"/>
      <c r="AQ88" s="257"/>
      <c r="AW88" s="259"/>
      <c r="BB88" s="259"/>
    </row>
    <row r="89" spans="1:54" s="241" customFormat="1" x14ac:dyDescent="0.2">
      <c r="A89" s="525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525"/>
      <c r="C89" s="525"/>
      <c r="D89" s="525"/>
      <c r="E89" s="525"/>
      <c r="F89" s="525"/>
      <c r="G89" s="525"/>
      <c r="H89" s="525"/>
      <c r="I89" s="525"/>
      <c r="J89" s="525"/>
      <c r="K89" s="525"/>
      <c r="L89" s="525"/>
      <c r="M89" s="525"/>
      <c r="N89" s="525"/>
      <c r="O89" s="525"/>
      <c r="P89" s="525"/>
      <c r="Q89" s="525"/>
      <c r="R89" s="525"/>
      <c r="S89" s="525"/>
      <c r="T89" s="525"/>
      <c r="U89" s="525"/>
      <c r="V89" s="525"/>
      <c r="W89" s="525"/>
      <c r="X89" s="525"/>
      <c r="Y89" s="525"/>
      <c r="Z89" s="525"/>
      <c r="AA89" s="525"/>
      <c r="AB89" s="525"/>
      <c r="AC89" s="525"/>
      <c r="AD89" s="525"/>
      <c r="AE89" s="525"/>
      <c r="AF89" s="525"/>
      <c r="AG89" s="525"/>
      <c r="AH89" s="525"/>
      <c r="AI89" s="525"/>
      <c r="AJ89" s="525"/>
      <c r="AK89" s="525"/>
      <c r="AL89" s="525"/>
      <c r="AM89" s="525"/>
      <c r="AN89" s="432"/>
      <c r="AO89" s="432"/>
      <c r="AP89" s="432"/>
      <c r="AQ89" s="432"/>
      <c r="AW89" s="246"/>
    </row>
    <row r="90" spans="1:54" s="241" customFormat="1" ht="13.5" thickBot="1" x14ac:dyDescent="0.25">
      <c r="A90" s="526"/>
      <c r="B90" s="526"/>
      <c r="C90" s="526"/>
      <c r="D90" s="526"/>
      <c r="E90" s="526"/>
      <c r="F90" s="526"/>
      <c r="G90" s="526"/>
      <c r="H90" s="526"/>
      <c r="I90" s="526"/>
      <c r="J90" s="526"/>
      <c r="K90" s="526"/>
      <c r="L90" s="526"/>
      <c r="M90" s="526"/>
      <c r="N90" s="526"/>
      <c r="O90" s="526"/>
      <c r="P90" s="526"/>
      <c r="Q90" s="526"/>
      <c r="R90" s="526"/>
      <c r="S90" s="526"/>
      <c r="T90" s="526"/>
      <c r="U90" s="526"/>
      <c r="V90" s="526"/>
      <c r="W90" s="526"/>
      <c r="X90" s="526"/>
      <c r="Y90" s="526"/>
      <c r="Z90" s="526"/>
      <c r="AA90" s="526"/>
      <c r="AB90" s="526"/>
      <c r="AC90" s="526"/>
      <c r="AD90" s="526"/>
      <c r="AE90" s="526"/>
      <c r="AF90" s="526"/>
      <c r="AG90" s="526"/>
      <c r="AH90" s="526"/>
      <c r="AI90" s="526"/>
      <c r="AJ90" s="526"/>
      <c r="AK90" s="526"/>
      <c r="AL90" s="526"/>
      <c r="AM90" s="526"/>
      <c r="AN90" s="526"/>
      <c r="AO90" s="526"/>
      <c r="AP90" s="526"/>
      <c r="AQ90" s="526"/>
      <c r="AW90" s="246"/>
    </row>
    <row r="91" spans="1:54" ht="24" customHeight="1" thickBot="1" x14ac:dyDescent="0.25">
      <c r="A91" s="207" t="s">
        <v>22</v>
      </c>
      <c r="B91" s="208" t="s">
        <v>92</v>
      </c>
      <c r="C91" s="600" t="s">
        <v>24</v>
      </c>
      <c r="D91" s="601"/>
      <c r="E91" s="601"/>
      <c r="F91" s="601"/>
      <c r="G91" s="601"/>
      <c r="H91" s="602"/>
      <c r="I91" s="603">
        <v>5</v>
      </c>
      <c r="J91" s="604"/>
      <c r="K91" s="605" t="str">
        <f>"Pool "&amp;B91&amp;" - Round 1 - Court "&amp;I91</f>
        <v>Pool B - Round 1 - Court 5</v>
      </c>
      <c r="L91" s="606"/>
      <c r="M91" s="606"/>
      <c r="N91" s="606"/>
      <c r="O91" s="606"/>
      <c r="P91" s="606"/>
      <c r="Q91" s="606"/>
      <c r="R91" s="606"/>
      <c r="S91" s="606"/>
      <c r="T91" s="606"/>
      <c r="U91" s="606"/>
      <c r="V91" s="606"/>
      <c r="W91" s="606"/>
      <c r="X91" s="606"/>
      <c r="Y91" s="606"/>
      <c r="Z91" s="606"/>
      <c r="AA91" s="606"/>
      <c r="AB91" s="606"/>
      <c r="AC91" s="606"/>
      <c r="AD91" s="606"/>
      <c r="AE91" s="606"/>
      <c r="AF91" s="606"/>
      <c r="AG91" s="606"/>
      <c r="AH91" s="606"/>
      <c r="AI91" s="607"/>
      <c r="AJ91" s="195"/>
      <c r="AK91" s="195"/>
      <c r="AL91" s="195"/>
      <c r="AM91" s="195"/>
      <c r="AN91" s="195"/>
      <c r="AO91" s="195"/>
      <c r="AP91" s="195"/>
      <c r="AQ91" s="195"/>
    </row>
    <row r="92" spans="1:54" ht="27" customHeight="1" thickBot="1" x14ac:dyDescent="0.25">
      <c r="A92" s="209" t="s">
        <v>25</v>
      </c>
      <c r="B92" s="608" t="s">
        <v>7</v>
      </c>
      <c r="C92" s="609"/>
      <c r="D92" s="609"/>
      <c r="E92" s="609"/>
      <c r="F92" s="609"/>
      <c r="G92" s="609"/>
      <c r="H92" s="609"/>
      <c r="I92" s="609"/>
      <c r="J92" s="609"/>
      <c r="K92" s="609"/>
      <c r="L92" s="608" t="str">
        <f>IF($AK95=0,"Games Won","Matches Won")</f>
        <v>Games Won</v>
      </c>
      <c r="M92" s="609"/>
      <c r="N92" s="609"/>
      <c r="O92" s="609"/>
      <c r="P92" s="609"/>
      <c r="Q92" s="610"/>
      <c r="R92" s="608" t="str">
        <f>IF($AK95=0,"Games Lost","Matches Lost")</f>
        <v>Games Lost</v>
      </c>
      <c r="S92" s="611"/>
      <c r="T92" s="611"/>
      <c r="U92" s="611"/>
      <c r="V92" s="612"/>
      <c r="W92" s="613" t="s">
        <v>26</v>
      </c>
      <c r="X92" s="614"/>
      <c r="Y92" s="615"/>
      <c r="Z92" s="613" t="s">
        <v>27</v>
      </c>
      <c r="AA92" s="614"/>
      <c r="AB92" s="615"/>
      <c r="AC92" s="616" t="s">
        <v>28</v>
      </c>
      <c r="AD92" s="617"/>
      <c r="AE92" s="618"/>
      <c r="AF92" s="210" t="s">
        <v>29</v>
      </c>
      <c r="AG92" s="211" t="s">
        <v>6</v>
      </c>
      <c r="AH92" s="598" t="s">
        <v>30</v>
      </c>
      <c r="AI92" s="599"/>
      <c r="AJ92" s="212"/>
      <c r="AK92" s="213">
        <v>2</v>
      </c>
      <c r="AL92" s="214" t="s">
        <v>31</v>
      </c>
      <c r="AM92" s="214"/>
      <c r="AN92" s="214"/>
      <c r="AO92" s="214"/>
      <c r="AP92" s="214"/>
      <c r="AQ92" s="214"/>
      <c r="AR92" s="215"/>
    </row>
    <row r="93" spans="1:54" ht="18.75" customHeight="1" x14ac:dyDescent="0.2">
      <c r="A93" s="564" t="str">
        <f>IF($AK94&gt;0,"1","")</f>
        <v>1</v>
      </c>
      <c r="B93" s="595" t="s">
        <v>7</v>
      </c>
      <c r="C93" s="596"/>
      <c r="D93" s="597"/>
      <c r="E93" s="587" t="str">
        <f>AU4</f>
        <v>Vision 14 Regional</v>
      </c>
      <c r="F93" s="588"/>
      <c r="G93" s="588"/>
      <c r="H93" s="588"/>
      <c r="I93" s="588"/>
      <c r="J93" s="588"/>
      <c r="K93" s="589"/>
      <c r="L93" s="571">
        <f>IF($AK95=0,AF149,AF131)</f>
        <v>6</v>
      </c>
      <c r="M93" s="572"/>
      <c r="N93" s="572"/>
      <c r="O93" s="572"/>
      <c r="P93" s="572"/>
      <c r="Q93" s="610"/>
      <c r="R93" s="571">
        <f>IF($AK95=0,AG149,AG131)</f>
        <v>2</v>
      </c>
      <c r="S93" s="572"/>
      <c r="T93" s="572"/>
      <c r="U93" s="572"/>
      <c r="V93" s="572"/>
      <c r="W93" s="571">
        <f>AQ109</f>
        <v>70</v>
      </c>
      <c r="X93" s="572"/>
      <c r="Y93" s="572"/>
      <c r="Z93" s="544">
        <f>IF(AF143&gt;0,(AQ109/AF143),0)</f>
        <v>0.35</v>
      </c>
      <c r="AA93" s="545"/>
      <c r="AB93" s="545"/>
      <c r="AC93" s="548">
        <f>IF(AF157=0,0,(AF149/AF157))</f>
        <v>0.75</v>
      </c>
      <c r="AD93" s="549"/>
      <c r="AE93" s="550"/>
      <c r="AF93" s="554">
        <v>2</v>
      </c>
      <c r="AG93" s="554">
        <v>1</v>
      </c>
      <c r="AH93" s="556">
        <v>3</v>
      </c>
      <c r="AI93" s="557"/>
      <c r="AJ93" s="212"/>
      <c r="AK93" s="213">
        <v>10</v>
      </c>
      <c r="AL93" s="214" t="s">
        <v>32</v>
      </c>
      <c r="AM93" s="214"/>
      <c r="AN93" s="214"/>
      <c r="AO93" s="214"/>
      <c r="AP93" s="214"/>
      <c r="AQ93" s="214"/>
      <c r="AR93" s="215"/>
    </row>
    <row r="94" spans="1:54" ht="18.75" customHeight="1" thickBot="1" x14ac:dyDescent="0.25">
      <c r="A94" s="565"/>
      <c r="B94" s="592" t="s">
        <v>8</v>
      </c>
      <c r="C94" s="593"/>
      <c r="D94" s="594"/>
      <c r="E94" s="585" t="str">
        <f>AV4</f>
        <v>fj4vison2pm</v>
      </c>
      <c r="F94" s="586"/>
      <c r="G94" s="586"/>
      <c r="H94" s="586"/>
      <c r="I94" s="586"/>
      <c r="J94" s="586"/>
      <c r="K94" s="586"/>
      <c r="L94" s="590"/>
      <c r="M94" s="591"/>
      <c r="N94" s="591"/>
      <c r="O94" s="591"/>
      <c r="P94" s="591"/>
      <c r="Q94" s="610"/>
      <c r="R94" s="590"/>
      <c r="S94" s="591"/>
      <c r="T94" s="591"/>
      <c r="U94" s="591"/>
      <c r="V94" s="591"/>
      <c r="W94" s="590"/>
      <c r="X94" s="591"/>
      <c r="Y94" s="591"/>
      <c r="Z94" s="575"/>
      <c r="AA94" s="576"/>
      <c r="AB94" s="576"/>
      <c r="AC94" s="577"/>
      <c r="AD94" s="578"/>
      <c r="AE94" s="579"/>
      <c r="AF94" s="580"/>
      <c r="AG94" s="580"/>
      <c r="AH94" s="581"/>
      <c r="AI94" s="582"/>
      <c r="AJ94" s="212"/>
      <c r="AK94" s="213">
        <v>5</v>
      </c>
      <c r="AL94" s="214" t="s">
        <v>33</v>
      </c>
      <c r="AM94" s="212"/>
      <c r="AN94" s="212"/>
      <c r="AO94" s="212"/>
      <c r="AP94" s="212"/>
      <c r="AQ94" s="212"/>
      <c r="AR94" s="191"/>
    </row>
    <row r="95" spans="1:54" ht="18.75" customHeight="1" x14ac:dyDescent="0.2">
      <c r="A95" s="564" t="str">
        <f>IF($AK94&gt;1,"2","")</f>
        <v>2</v>
      </c>
      <c r="B95" s="595" t="s">
        <v>7</v>
      </c>
      <c r="C95" s="596"/>
      <c r="D95" s="597"/>
      <c r="E95" s="587" t="str">
        <f>AU7</f>
        <v>TC Extreme 14 Miranda</v>
      </c>
      <c r="F95" s="588"/>
      <c r="G95" s="588"/>
      <c r="H95" s="588"/>
      <c r="I95" s="588"/>
      <c r="J95" s="588"/>
      <c r="K95" s="589"/>
      <c r="L95" s="571">
        <f>IF($AK95=0,AF150,AF132)</f>
        <v>8</v>
      </c>
      <c r="M95" s="572"/>
      <c r="N95" s="572"/>
      <c r="O95" s="572"/>
      <c r="P95" s="572"/>
      <c r="Q95" s="610"/>
      <c r="R95" s="571">
        <f>IF($AK95=0,AG150,AG132)</f>
        <v>0</v>
      </c>
      <c r="S95" s="572"/>
      <c r="T95" s="572"/>
      <c r="U95" s="572"/>
      <c r="V95" s="572"/>
      <c r="W95" s="571">
        <f>AQ110</f>
        <v>64</v>
      </c>
      <c r="X95" s="572"/>
      <c r="Y95" s="572"/>
      <c r="Z95" s="544">
        <f>IF(AF144&gt;0,(AQ110/AF144),0)</f>
        <v>0.32</v>
      </c>
      <c r="AA95" s="545"/>
      <c r="AB95" s="545"/>
      <c r="AC95" s="548">
        <f>IF(AF158=0,0,(AF150/AF158))</f>
        <v>1</v>
      </c>
      <c r="AD95" s="549"/>
      <c r="AE95" s="550"/>
      <c r="AF95" s="554">
        <v>1</v>
      </c>
      <c r="AG95" s="554">
        <v>1</v>
      </c>
      <c r="AH95" s="556">
        <v>3</v>
      </c>
      <c r="AI95" s="557"/>
      <c r="AJ95" s="212"/>
      <c r="AK95" s="213">
        <v>0</v>
      </c>
      <c r="AL95" s="214" t="s">
        <v>34</v>
      </c>
      <c r="AM95" s="214"/>
      <c r="AN95" s="214"/>
      <c r="AO95" s="214"/>
      <c r="AP95" s="214"/>
      <c r="AQ95" s="214"/>
      <c r="AR95" s="215"/>
    </row>
    <row r="96" spans="1:54" ht="18.75" customHeight="1" thickBot="1" x14ac:dyDescent="0.25">
      <c r="A96" s="565"/>
      <c r="B96" s="583" t="s">
        <v>8</v>
      </c>
      <c r="C96" s="584"/>
      <c r="D96" s="584"/>
      <c r="E96" s="585" t="str">
        <f>AV7</f>
        <v>fj4triex2so</v>
      </c>
      <c r="F96" s="586"/>
      <c r="G96" s="586"/>
      <c r="H96" s="586"/>
      <c r="I96" s="586"/>
      <c r="J96" s="586"/>
      <c r="K96" s="586"/>
      <c r="L96" s="590"/>
      <c r="M96" s="591"/>
      <c r="N96" s="591"/>
      <c r="O96" s="591"/>
      <c r="P96" s="591"/>
      <c r="Q96" s="610"/>
      <c r="R96" s="590"/>
      <c r="S96" s="591"/>
      <c r="T96" s="591"/>
      <c r="U96" s="591"/>
      <c r="V96" s="591"/>
      <c r="W96" s="590"/>
      <c r="X96" s="591"/>
      <c r="Y96" s="591"/>
      <c r="Z96" s="575"/>
      <c r="AA96" s="576"/>
      <c r="AB96" s="576"/>
      <c r="AC96" s="577"/>
      <c r="AD96" s="578"/>
      <c r="AE96" s="579"/>
      <c r="AF96" s="580"/>
      <c r="AG96" s="580"/>
      <c r="AH96" s="581"/>
      <c r="AI96" s="582"/>
      <c r="AJ96" s="212"/>
      <c r="AK96" s="213">
        <v>1</v>
      </c>
      <c r="AL96" s="214" t="s">
        <v>35</v>
      </c>
      <c r="AM96" s="212"/>
      <c r="AN96" s="212"/>
      <c r="AO96" s="212"/>
      <c r="AP96" s="212"/>
      <c r="AQ96" s="212"/>
      <c r="AR96" s="191"/>
    </row>
    <row r="97" spans="1:44" ht="18.75" customHeight="1" x14ac:dyDescent="0.2">
      <c r="A97" s="564" t="str">
        <f>IF($AK94&gt;2,"3","")</f>
        <v>3</v>
      </c>
      <c r="B97" s="566" t="s">
        <v>7</v>
      </c>
      <c r="C97" s="567"/>
      <c r="D97" s="567"/>
      <c r="E97" s="587" t="str">
        <f>AU10</f>
        <v>Extreme 14 Marion</v>
      </c>
      <c r="F97" s="588"/>
      <c r="G97" s="588"/>
      <c r="H97" s="588"/>
      <c r="I97" s="588"/>
      <c r="J97" s="588"/>
      <c r="K97" s="589"/>
      <c r="L97" s="571">
        <f>IF($AK95=0,AF151,AF133)</f>
        <v>3</v>
      </c>
      <c r="M97" s="572"/>
      <c r="N97" s="572"/>
      <c r="O97" s="572"/>
      <c r="P97" s="572"/>
      <c r="Q97" s="610"/>
      <c r="R97" s="571">
        <f>IF($AK95=0,AG151,AG133)</f>
        <v>5</v>
      </c>
      <c r="S97" s="572"/>
      <c r="T97" s="572"/>
      <c r="U97" s="572"/>
      <c r="V97" s="572"/>
      <c r="W97" s="571">
        <f>AQ111</f>
        <v>-8</v>
      </c>
      <c r="X97" s="572"/>
      <c r="Y97" s="572"/>
      <c r="Z97" s="544">
        <f>IF(AF145&gt;0,(AQ111/AF145),0)</f>
        <v>-0.04</v>
      </c>
      <c r="AA97" s="545"/>
      <c r="AB97" s="545"/>
      <c r="AC97" s="548">
        <f>IF(AF159=0,0,(AF151/AF159))</f>
        <v>0.375</v>
      </c>
      <c r="AD97" s="549"/>
      <c r="AE97" s="550"/>
      <c r="AF97" s="554">
        <v>3</v>
      </c>
      <c r="AG97" s="554">
        <v>3</v>
      </c>
      <c r="AH97" s="556">
        <v>7</v>
      </c>
      <c r="AI97" s="557"/>
      <c r="AJ97" s="216"/>
      <c r="AK97" s="213">
        <v>8</v>
      </c>
      <c r="AL97" s="217" t="s">
        <v>36</v>
      </c>
      <c r="AM97" s="214"/>
      <c r="AN97" s="214"/>
      <c r="AO97" s="214"/>
      <c r="AP97" s="214"/>
      <c r="AQ97" s="214"/>
      <c r="AR97" s="215"/>
    </row>
    <row r="98" spans="1:44" ht="18.75" customHeight="1" thickBot="1" x14ac:dyDescent="0.25">
      <c r="A98" s="565"/>
      <c r="B98" s="583" t="s">
        <v>8</v>
      </c>
      <c r="C98" s="584"/>
      <c r="D98" s="584"/>
      <c r="E98" s="585" t="str">
        <f>AV10</f>
        <v>fj4triex4so</v>
      </c>
      <c r="F98" s="586"/>
      <c r="G98" s="586"/>
      <c r="H98" s="586"/>
      <c r="I98" s="586"/>
      <c r="J98" s="586"/>
      <c r="K98" s="586"/>
      <c r="L98" s="590"/>
      <c r="M98" s="591"/>
      <c r="N98" s="591"/>
      <c r="O98" s="591"/>
      <c r="P98" s="591"/>
      <c r="Q98" s="610"/>
      <c r="R98" s="590"/>
      <c r="S98" s="591"/>
      <c r="T98" s="591"/>
      <c r="U98" s="591"/>
      <c r="V98" s="591"/>
      <c r="W98" s="590"/>
      <c r="X98" s="591"/>
      <c r="Y98" s="591"/>
      <c r="Z98" s="575"/>
      <c r="AA98" s="576"/>
      <c r="AB98" s="576"/>
      <c r="AC98" s="577"/>
      <c r="AD98" s="578"/>
      <c r="AE98" s="579"/>
      <c r="AF98" s="580"/>
      <c r="AG98" s="580"/>
      <c r="AH98" s="581"/>
      <c r="AI98" s="582"/>
      <c r="AJ98" s="216"/>
      <c r="AK98" s="218"/>
      <c r="AL98" s="219"/>
      <c r="AM98" s="219"/>
      <c r="AN98" s="219"/>
      <c r="AO98" s="219"/>
      <c r="AP98" s="219"/>
      <c r="AQ98" s="212"/>
      <c r="AR98" s="191"/>
    </row>
    <row r="99" spans="1:44" ht="18.75" customHeight="1" x14ac:dyDescent="0.2">
      <c r="A99" s="564" t="str">
        <f>IF($AK94&gt;3,"4","")</f>
        <v>4</v>
      </c>
      <c r="B99" s="566" t="s">
        <v>7</v>
      </c>
      <c r="C99" s="567"/>
      <c r="D99" s="567"/>
      <c r="E99" s="587" t="str">
        <f>AU13</f>
        <v>Upstate 14-2 Club</v>
      </c>
      <c r="F99" s="588"/>
      <c r="G99" s="588"/>
      <c r="H99" s="588"/>
      <c r="I99" s="588"/>
      <c r="J99" s="588"/>
      <c r="K99" s="589"/>
      <c r="L99" s="571">
        <f>IF($AK95=0,AF152,AF134)</f>
        <v>0</v>
      </c>
      <c r="M99" s="572"/>
      <c r="N99" s="572"/>
      <c r="O99" s="572"/>
      <c r="P99" s="572"/>
      <c r="Q99" s="610"/>
      <c r="R99" s="571">
        <f>IF($AK95=0,AG152,AG134)</f>
        <v>8</v>
      </c>
      <c r="S99" s="572"/>
      <c r="T99" s="572"/>
      <c r="U99" s="572"/>
      <c r="V99" s="572"/>
      <c r="W99" s="571">
        <f>AQ112</f>
        <v>-81</v>
      </c>
      <c r="X99" s="572"/>
      <c r="Y99" s="572"/>
      <c r="Z99" s="544">
        <f>IF(AF146&gt;0,(AQ112/AF146),0)</f>
        <v>-0.40500000000000003</v>
      </c>
      <c r="AA99" s="545"/>
      <c r="AB99" s="545"/>
      <c r="AC99" s="548">
        <f>IF(AF160=0,0,(AF152/AF160))</f>
        <v>0</v>
      </c>
      <c r="AD99" s="549"/>
      <c r="AE99" s="550"/>
      <c r="AF99" s="554">
        <v>5</v>
      </c>
      <c r="AG99" s="554">
        <v>1</v>
      </c>
      <c r="AH99" s="556">
        <v>13</v>
      </c>
      <c r="AI99" s="557"/>
      <c r="AJ99" s="195"/>
      <c r="AK99" s="219"/>
      <c r="AL99" s="219"/>
      <c r="AM99" s="219"/>
      <c r="AN99" s="219"/>
      <c r="AO99" s="219"/>
      <c r="AP99" s="219"/>
      <c r="AQ99" s="214"/>
      <c r="AR99" s="215"/>
    </row>
    <row r="100" spans="1:44" ht="18.75" customHeight="1" thickBot="1" x14ac:dyDescent="0.25">
      <c r="A100" s="565"/>
      <c r="B100" s="583" t="s">
        <v>8</v>
      </c>
      <c r="C100" s="584"/>
      <c r="D100" s="584"/>
      <c r="E100" s="585" t="str">
        <f>AV13</f>
        <v>fj4upsvc2pm</v>
      </c>
      <c r="F100" s="586"/>
      <c r="G100" s="586"/>
      <c r="H100" s="586"/>
      <c r="I100" s="586"/>
      <c r="J100" s="586"/>
      <c r="K100" s="586"/>
      <c r="L100" s="590"/>
      <c r="M100" s="591"/>
      <c r="N100" s="591"/>
      <c r="O100" s="591"/>
      <c r="P100" s="591"/>
      <c r="Q100" s="610"/>
      <c r="R100" s="590"/>
      <c r="S100" s="591"/>
      <c r="T100" s="591"/>
      <c r="U100" s="591"/>
      <c r="V100" s="591"/>
      <c r="W100" s="590"/>
      <c r="X100" s="591"/>
      <c r="Y100" s="591"/>
      <c r="Z100" s="575"/>
      <c r="AA100" s="576"/>
      <c r="AB100" s="576"/>
      <c r="AC100" s="577"/>
      <c r="AD100" s="578"/>
      <c r="AE100" s="579"/>
      <c r="AF100" s="580"/>
      <c r="AG100" s="580"/>
      <c r="AH100" s="581"/>
      <c r="AI100" s="582"/>
      <c r="AJ100" s="195"/>
      <c r="AK100" s="219"/>
      <c r="AL100" s="219"/>
      <c r="AM100" s="219"/>
      <c r="AN100" s="219"/>
      <c r="AO100" s="219"/>
      <c r="AP100" s="219"/>
      <c r="AQ100" s="195"/>
      <c r="AR100" s="191"/>
    </row>
    <row r="101" spans="1:44" ht="18.75" customHeight="1" x14ac:dyDescent="0.2">
      <c r="A101" s="564" t="str">
        <f>IF($AK94&gt;4,"5","")</f>
        <v>5</v>
      </c>
      <c r="B101" s="566" t="s">
        <v>7</v>
      </c>
      <c r="C101" s="567"/>
      <c r="D101" s="567"/>
      <c r="E101" s="587" t="str">
        <f>AU16</f>
        <v>SC Midlands 14 Black</v>
      </c>
      <c r="F101" s="588"/>
      <c r="G101" s="588"/>
      <c r="H101" s="588"/>
      <c r="I101" s="588"/>
      <c r="J101" s="588"/>
      <c r="K101" s="589"/>
      <c r="L101" s="571">
        <f>IF($AK95=0,AF153,AF135)</f>
        <v>3</v>
      </c>
      <c r="M101" s="572"/>
      <c r="N101" s="572"/>
      <c r="O101" s="572"/>
      <c r="P101" s="572"/>
      <c r="Q101" s="610"/>
      <c r="R101" s="571">
        <f>IF($AK95=0,AG153,AG135)</f>
        <v>5</v>
      </c>
      <c r="S101" s="572"/>
      <c r="T101" s="572"/>
      <c r="U101" s="572"/>
      <c r="V101" s="572"/>
      <c r="W101" s="571">
        <f>AQ113</f>
        <v>-45</v>
      </c>
      <c r="X101" s="572"/>
      <c r="Y101" s="572"/>
      <c r="Z101" s="544">
        <f>IF(AF147&gt;0,(AQ113/AF147),0)</f>
        <v>-0.22500000000000001</v>
      </c>
      <c r="AA101" s="545"/>
      <c r="AB101" s="545"/>
      <c r="AC101" s="548">
        <f>IF(AF161=0,0,(AF153/AF161))</f>
        <v>0.375</v>
      </c>
      <c r="AD101" s="549"/>
      <c r="AE101" s="550"/>
      <c r="AF101" s="554">
        <v>4</v>
      </c>
      <c r="AG101" s="554">
        <v>3</v>
      </c>
      <c r="AH101" s="556">
        <v>9</v>
      </c>
      <c r="AI101" s="557"/>
      <c r="AJ101" s="195"/>
      <c r="AK101" s="219"/>
      <c r="AL101" s="219"/>
      <c r="AM101" s="219"/>
      <c r="AN101" s="219"/>
      <c r="AO101" s="219"/>
      <c r="AP101" s="219"/>
      <c r="AQ101" s="195"/>
      <c r="AR101" s="191"/>
    </row>
    <row r="102" spans="1:44" ht="18.75" customHeight="1" thickBot="1" x14ac:dyDescent="0.25">
      <c r="A102" s="565"/>
      <c r="B102" s="560" t="s">
        <v>8</v>
      </c>
      <c r="C102" s="561"/>
      <c r="D102" s="561"/>
      <c r="E102" s="619" t="str">
        <f>AV16</f>
        <v>fj4scmid3pm</v>
      </c>
      <c r="F102" s="620"/>
      <c r="G102" s="620"/>
      <c r="H102" s="620"/>
      <c r="I102" s="620"/>
      <c r="J102" s="620"/>
      <c r="K102" s="620"/>
      <c r="L102" s="573"/>
      <c r="M102" s="574"/>
      <c r="N102" s="574"/>
      <c r="O102" s="574"/>
      <c r="P102" s="574"/>
      <c r="Q102" s="610"/>
      <c r="R102" s="573"/>
      <c r="S102" s="574"/>
      <c r="T102" s="574"/>
      <c r="U102" s="574"/>
      <c r="V102" s="574"/>
      <c r="W102" s="573"/>
      <c r="X102" s="574"/>
      <c r="Y102" s="574"/>
      <c r="Z102" s="546"/>
      <c r="AA102" s="547"/>
      <c r="AB102" s="547"/>
      <c r="AC102" s="551"/>
      <c r="AD102" s="552"/>
      <c r="AE102" s="553"/>
      <c r="AF102" s="555"/>
      <c r="AG102" s="555"/>
      <c r="AH102" s="558"/>
      <c r="AI102" s="559"/>
      <c r="AJ102" s="195"/>
      <c r="AK102" s="219"/>
      <c r="AL102" s="219"/>
      <c r="AM102" s="219"/>
      <c r="AN102" s="219"/>
      <c r="AO102" s="219"/>
      <c r="AP102" s="219"/>
      <c r="AQ102" s="195"/>
      <c r="AR102" s="191"/>
    </row>
    <row r="103" spans="1:44" ht="21" customHeight="1" thickTop="1" thickBot="1" x14ac:dyDescent="0.25">
      <c r="A103" s="220"/>
      <c r="B103" s="541" t="s">
        <v>168</v>
      </c>
      <c r="C103" s="542"/>
      <c r="D103" s="542"/>
      <c r="E103" s="542"/>
      <c r="F103" s="542"/>
      <c r="G103" s="542"/>
      <c r="H103" s="542"/>
      <c r="I103" s="542"/>
      <c r="J103" s="542"/>
      <c r="K103" s="542"/>
      <c r="L103" s="542"/>
      <c r="M103" s="542"/>
      <c r="N103" s="542"/>
      <c r="O103" s="542"/>
      <c r="P103" s="542"/>
      <c r="Q103" s="542"/>
      <c r="R103" s="542"/>
      <c r="S103" s="542"/>
      <c r="T103" s="542"/>
      <c r="U103" s="542"/>
      <c r="V103" s="542"/>
      <c r="W103" s="542"/>
      <c r="X103" s="542"/>
      <c r="Y103" s="542"/>
      <c r="Z103" s="542"/>
      <c r="AA103" s="542"/>
      <c r="AB103" s="542"/>
      <c r="AC103" s="542"/>
      <c r="AD103" s="542"/>
      <c r="AE103" s="542"/>
      <c r="AF103" s="542"/>
      <c r="AG103" s="542"/>
      <c r="AH103" s="542"/>
      <c r="AI103" s="543"/>
      <c r="AJ103" s="195"/>
      <c r="AK103" s="219"/>
      <c r="AL103" s="219"/>
      <c r="AM103" s="219"/>
      <c r="AN103" s="219"/>
      <c r="AO103" s="219"/>
      <c r="AP103" s="219"/>
      <c r="AQ103" s="195"/>
      <c r="AR103" s="191"/>
    </row>
    <row r="104" spans="1:44" ht="13.5" thickTop="1" x14ac:dyDescent="0.2">
      <c r="A104" s="188" t="s">
        <v>39</v>
      </c>
      <c r="B104" s="530">
        <v>0.35416666666666669</v>
      </c>
      <c r="C104" s="531"/>
      <c r="D104" s="532"/>
      <c r="E104" s="530">
        <v>0.38194444444444442</v>
      </c>
      <c r="F104" s="531"/>
      <c r="G104" s="532"/>
      <c r="H104" s="530">
        <v>0.40972222222222227</v>
      </c>
      <c r="I104" s="531"/>
      <c r="J104" s="532"/>
      <c r="K104" s="530">
        <v>0.4375</v>
      </c>
      <c r="L104" s="531"/>
      <c r="M104" s="532"/>
      <c r="N104" s="530">
        <v>0.46527777777777773</v>
      </c>
      <c r="O104" s="531"/>
      <c r="P104" s="532"/>
      <c r="Q104" s="530">
        <v>0.49305555555555558</v>
      </c>
      <c r="R104" s="531"/>
      <c r="S104" s="532"/>
      <c r="T104" s="530">
        <v>0.52083333333333337</v>
      </c>
      <c r="U104" s="531"/>
      <c r="V104" s="532"/>
      <c r="W104" s="530">
        <v>4.8611111111111112E-2</v>
      </c>
      <c r="X104" s="531"/>
      <c r="Y104" s="532"/>
      <c r="Z104" s="530">
        <v>7.6388888888888895E-2</v>
      </c>
      <c r="AA104" s="531"/>
      <c r="AB104" s="532"/>
      <c r="AC104" s="530">
        <v>0.10416666666666667</v>
      </c>
      <c r="AD104" s="531"/>
      <c r="AE104" s="532"/>
      <c r="AF104" s="533" t="s">
        <v>40</v>
      </c>
      <c r="AG104" s="534"/>
      <c r="AH104" s="534"/>
      <c r="AI104" s="534"/>
      <c r="AJ104" s="535"/>
      <c r="AK104" s="535"/>
      <c r="AL104" s="535"/>
      <c r="AM104" s="535"/>
      <c r="AN104" s="535"/>
      <c r="AO104" s="535"/>
      <c r="AP104" s="535"/>
      <c r="AQ104" s="536"/>
    </row>
    <row r="105" spans="1:44" x14ac:dyDescent="0.2">
      <c r="A105" s="221" t="s">
        <v>41</v>
      </c>
      <c r="B105" s="527"/>
      <c r="C105" s="528"/>
      <c r="D105" s="529"/>
      <c r="E105" s="527"/>
      <c r="F105" s="528"/>
      <c r="G105" s="529"/>
      <c r="H105" s="527"/>
      <c r="I105" s="528"/>
      <c r="J105" s="529"/>
      <c r="K105" s="527"/>
      <c r="L105" s="528"/>
      <c r="M105" s="529"/>
      <c r="N105" s="527"/>
      <c r="O105" s="528"/>
      <c r="P105" s="529"/>
      <c r="Q105" s="527"/>
      <c r="R105" s="528"/>
      <c r="S105" s="529"/>
      <c r="T105" s="527"/>
      <c r="U105" s="528"/>
      <c r="V105" s="529"/>
      <c r="W105" s="527"/>
      <c r="X105" s="528"/>
      <c r="Y105" s="529"/>
      <c r="Z105" s="527"/>
      <c r="AA105" s="528"/>
      <c r="AB105" s="529"/>
      <c r="AC105" s="527"/>
      <c r="AD105" s="528"/>
      <c r="AE105" s="529"/>
      <c r="AF105" s="533"/>
      <c r="AG105" s="534"/>
      <c r="AH105" s="534"/>
      <c r="AI105" s="534"/>
      <c r="AJ105" s="534"/>
      <c r="AK105" s="534"/>
      <c r="AL105" s="534"/>
      <c r="AM105" s="534"/>
      <c r="AN105" s="534"/>
      <c r="AO105" s="534"/>
      <c r="AP105" s="534"/>
      <c r="AQ105" s="537"/>
    </row>
    <row r="106" spans="1:44" x14ac:dyDescent="0.2">
      <c r="A106" s="221" t="s">
        <v>42</v>
      </c>
      <c r="B106" s="527"/>
      <c r="C106" s="528"/>
      <c r="D106" s="529"/>
      <c r="E106" s="527"/>
      <c r="F106" s="528"/>
      <c r="G106" s="529"/>
      <c r="H106" s="527"/>
      <c r="I106" s="528"/>
      <c r="J106" s="529"/>
      <c r="K106" s="527"/>
      <c r="L106" s="528"/>
      <c r="M106" s="529"/>
      <c r="N106" s="527"/>
      <c r="O106" s="528"/>
      <c r="P106" s="529"/>
      <c r="Q106" s="527"/>
      <c r="R106" s="528"/>
      <c r="S106" s="529"/>
      <c r="T106" s="527"/>
      <c r="U106" s="528"/>
      <c r="V106" s="529"/>
      <c r="W106" s="527"/>
      <c r="X106" s="528"/>
      <c r="Y106" s="529"/>
      <c r="Z106" s="527"/>
      <c r="AA106" s="528"/>
      <c r="AB106" s="529"/>
      <c r="AC106" s="527"/>
      <c r="AD106" s="528"/>
      <c r="AE106" s="529"/>
      <c r="AF106" s="533"/>
      <c r="AG106" s="534"/>
      <c r="AH106" s="534"/>
      <c r="AI106" s="534"/>
      <c r="AJ106" s="534"/>
      <c r="AK106" s="534"/>
      <c r="AL106" s="534"/>
      <c r="AM106" s="534"/>
      <c r="AN106" s="534"/>
      <c r="AO106" s="534"/>
      <c r="AP106" s="534"/>
      <c r="AQ106" s="537"/>
    </row>
    <row r="107" spans="1:44" ht="13.5" thickBot="1" x14ac:dyDescent="0.25">
      <c r="A107" s="195"/>
      <c r="B107" s="394" t="s">
        <v>43</v>
      </c>
      <c r="C107" s="392"/>
      <c r="D107" s="393"/>
      <c r="E107" s="394" t="str">
        <f>IF(AK93&gt;1,"Match 2","")</f>
        <v>Match 2</v>
      </c>
      <c r="F107" s="392"/>
      <c r="G107" s="393"/>
      <c r="H107" s="394" t="str">
        <f>IF(AK93&gt;2,"Match 3","")</f>
        <v>Match 3</v>
      </c>
      <c r="I107" s="392"/>
      <c r="J107" s="393"/>
      <c r="K107" s="394" t="str">
        <f>IF(AK93&gt;3,"Match 4","")</f>
        <v>Match 4</v>
      </c>
      <c r="L107" s="392"/>
      <c r="M107" s="393"/>
      <c r="N107" s="394" t="str">
        <f>IF(AK93&gt;4,"Match 5","")</f>
        <v>Match 5</v>
      </c>
      <c r="O107" s="392"/>
      <c r="P107" s="393"/>
      <c r="Q107" s="394" t="str">
        <f>IF(AK93&gt;5,"Match 6","")</f>
        <v>Match 6</v>
      </c>
      <c r="R107" s="392"/>
      <c r="S107" s="393"/>
      <c r="T107" s="394" t="str">
        <f>IF(AK93&gt;6,"Match 7","")</f>
        <v>Match 7</v>
      </c>
      <c r="U107" s="392"/>
      <c r="V107" s="393"/>
      <c r="W107" s="394" t="str">
        <f>IF(AK93&gt;7,"Match 8","")</f>
        <v>Match 8</v>
      </c>
      <c r="X107" s="392"/>
      <c r="Y107" s="393"/>
      <c r="Z107" s="394" t="str">
        <f>IF(AK93&gt;8,"Match 9","")</f>
        <v>Match 9</v>
      </c>
      <c r="AA107" s="392"/>
      <c r="AB107" s="393"/>
      <c r="AC107" s="394" t="str">
        <f>IF(AK93&gt;9,"Match 10","")</f>
        <v>Match 10</v>
      </c>
      <c r="AD107" s="392"/>
      <c r="AE107" s="393"/>
      <c r="AF107" s="538"/>
      <c r="AG107" s="539"/>
      <c r="AH107" s="539"/>
      <c r="AI107" s="539"/>
      <c r="AJ107" s="539"/>
      <c r="AK107" s="539"/>
      <c r="AL107" s="539"/>
      <c r="AM107" s="539"/>
      <c r="AN107" s="539"/>
      <c r="AO107" s="539"/>
      <c r="AP107" s="539"/>
      <c r="AQ107" s="540"/>
    </row>
    <row r="108" spans="1:44" ht="15.75" x14ac:dyDescent="0.25">
      <c r="A108" s="195"/>
      <c r="B108" s="521" t="s">
        <v>44</v>
      </c>
      <c r="C108" s="522"/>
      <c r="D108" s="523"/>
      <c r="E108" s="521" t="s">
        <v>45</v>
      </c>
      <c r="F108" s="522"/>
      <c r="G108" s="523"/>
      <c r="H108" s="521" t="s">
        <v>46</v>
      </c>
      <c r="I108" s="522"/>
      <c r="J108" s="523"/>
      <c r="K108" s="521" t="s">
        <v>47</v>
      </c>
      <c r="L108" s="522"/>
      <c r="M108" s="523"/>
      <c r="N108" s="521" t="s">
        <v>48</v>
      </c>
      <c r="O108" s="522"/>
      <c r="P108" s="523"/>
      <c r="Q108" s="521" t="s">
        <v>46</v>
      </c>
      <c r="R108" s="522"/>
      <c r="S108" s="523"/>
      <c r="T108" s="521" t="s">
        <v>44</v>
      </c>
      <c r="U108" s="522"/>
      <c r="V108" s="523"/>
      <c r="W108" s="521" t="s">
        <v>48</v>
      </c>
      <c r="X108" s="522"/>
      <c r="Y108" s="523"/>
      <c r="Z108" s="521" t="s">
        <v>47</v>
      </c>
      <c r="AA108" s="522"/>
      <c r="AB108" s="523"/>
      <c r="AC108" s="521" t="s">
        <v>45</v>
      </c>
      <c r="AD108" s="522"/>
      <c r="AE108" s="523"/>
      <c r="AF108" s="222" t="s">
        <v>49</v>
      </c>
      <c r="AG108" s="223">
        <v>1</v>
      </c>
      <c r="AH108" s="223">
        <v>2</v>
      </c>
      <c r="AI108" s="223">
        <v>3</v>
      </c>
      <c r="AJ108" s="223">
        <v>4</v>
      </c>
      <c r="AK108" s="223">
        <v>5</v>
      </c>
      <c r="AL108" s="223">
        <v>6</v>
      </c>
      <c r="AM108" s="223">
        <v>7</v>
      </c>
      <c r="AN108" s="223">
        <v>8</v>
      </c>
      <c r="AO108" s="223">
        <v>9</v>
      </c>
      <c r="AP108" s="223">
        <v>10</v>
      </c>
      <c r="AQ108" s="224" t="s">
        <v>50</v>
      </c>
    </row>
    <row r="109" spans="1:44" ht="15.75" x14ac:dyDescent="0.25">
      <c r="A109" s="195"/>
      <c r="B109" s="225">
        <v>2</v>
      </c>
      <c r="C109" s="226" t="s">
        <v>51</v>
      </c>
      <c r="D109" s="227">
        <v>5</v>
      </c>
      <c r="E109" s="225">
        <v>1</v>
      </c>
      <c r="F109" s="226" t="str">
        <f>IF(AK93&gt;1,"v","")</f>
        <v>v</v>
      </c>
      <c r="G109" s="227">
        <v>4</v>
      </c>
      <c r="H109" s="225">
        <v>3</v>
      </c>
      <c r="I109" s="226" t="str">
        <f>IF(AK93&gt;2,"v","")</f>
        <v>v</v>
      </c>
      <c r="J109" s="227">
        <v>5</v>
      </c>
      <c r="K109" s="225">
        <v>2</v>
      </c>
      <c r="L109" s="226" t="str">
        <f>IF(AK93&gt;3,"v","")</f>
        <v>v</v>
      </c>
      <c r="M109" s="227">
        <v>4</v>
      </c>
      <c r="N109" s="225">
        <v>1</v>
      </c>
      <c r="O109" s="226" t="str">
        <f>IF(AK93&gt;4,"v","")</f>
        <v>v</v>
      </c>
      <c r="P109" s="227">
        <v>3</v>
      </c>
      <c r="Q109" s="225">
        <v>4</v>
      </c>
      <c r="R109" s="226" t="str">
        <f>IF(AK93&gt;5,"v","")</f>
        <v>v</v>
      </c>
      <c r="S109" s="227">
        <v>5</v>
      </c>
      <c r="T109" s="225">
        <v>2</v>
      </c>
      <c r="U109" s="226" t="str">
        <f>IF(AK93&gt;6,"v","")</f>
        <v>v</v>
      </c>
      <c r="V109" s="227">
        <v>3</v>
      </c>
      <c r="W109" s="225">
        <v>1</v>
      </c>
      <c r="X109" s="226" t="str">
        <f>IF(AK93&gt;7,"v","")</f>
        <v>v</v>
      </c>
      <c r="Y109" s="227">
        <v>5</v>
      </c>
      <c r="Z109" s="225">
        <v>3</v>
      </c>
      <c r="AA109" s="226" t="str">
        <f>IF(AK93&gt;8,"v","")</f>
        <v>v</v>
      </c>
      <c r="AB109" s="227">
        <v>4</v>
      </c>
      <c r="AC109" s="225">
        <v>1</v>
      </c>
      <c r="AD109" s="226" t="str">
        <f>IF(AK93&gt;9,"v","")</f>
        <v>v</v>
      </c>
      <c r="AE109" s="227">
        <v>2</v>
      </c>
      <c r="AF109" s="222" t="str">
        <f>IF(AK94&gt;0,"Team 1","")</f>
        <v>Team 1</v>
      </c>
      <c r="AG109" s="228" t="str">
        <f>IF(AK94&lt;1,"",IF(AK93&lt;1,"",IF(B109=1,B115-D115,IF(D109=1,D115-B115,""))))</f>
        <v/>
      </c>
      <c r="AH109" s="228">
        <f>IF(AK94&lt;1,"",IF(AK93&lt;2,"",IF(E109=1,E115-G115,IF(G109=1,G115-E115,""))))</f>
        <v>27</v>
      </c>
      <c r="AI109" s="228" t="str">
        <f>IF(AK94&lt;1,"",IF(AK93&lt;3,"",IF(H109=1,H115-J115,IF(J109=1,J115-H115,""))))</f>
        <v/>
      </c>
      <c r="AJ109" s="228" t="str">
        <f>IF(AK94&lt;1,"",IF(AK93&lt;4,"",IF(K109=1,K115-M115,IF(M109=1,M115-K115,""))))</f>
        <v/>
      </c>
      <c r="AK109" s="228">
        <f>IF(AK94&lt;1,"",IF(AK93&lt;5,"",IF(N109=1,N115-P115,IF(P109=1,P115-N115,""))))</f>
        <v>27</v>
      </c>
      <c r="AL109" s="228" t="str">
        <f>IF(AK94&lt;1,"",IF(AK93&lt;6,"",IF(Q109=1,Q115-S115,IF(S109=1,S115-Q115,""))))</f>
        <v/>
      </c>
      <c r="AM109" s="228" t="str">
        <f>IF(AK94&lt;1,"",IF(AK93&lt;7,"",IF(T109=1,T115-V115,IF(V109=1,V115-T115,""))))</f>
        <v/>
      </c>
      <c r="AN109" s="228">
        <f>IF(AK94&lt;1,"",IF(AK93&lt;8,"",IF(W109=1,W115-Y115,IF(Y109=1,Y115-W115,""))))</f>
        <v>23</v>
      </c>
      <c r="AO109" s="228" t="str">
        <f>IF(AK94&lt;1,"",IF(AK93&lt;9,"",IF(Z109=1,Z115-AB115,IF(AB109=1,AB115-Z115,""))))</f>
        <v/>
      </c>
      <c r="AP109" s="228">
        <f>IF(AK94&lt;1,"",IF(AK93&lt;10,"",IF(AC109=1,AC115-AE115,IF(AE109=1,AE115-AC115,""))))</f>
        <v>-7</v>
      </c>
      <c r="AQ109" s="224">
        <f>SUM(AG109:AP109)</f>
        <v>70</v>
      </c>
    </row>
    <row r="110" spans="1:44" ht="15" x14ac:dyDescent="0.2">
      <c r="A110" s="188" t="s">
        <v>52</v>
      </c>
      <c r="B110" s="229">
        <v>25</v>
      </c>
      <c r="C110" s="230" t="s">
        <v>53</v>
      </c>
      <c r="D110" s="231">
        <v>11</v>
      </c>
      <c r="E110" s="229">
        <v>25</v>
      </c>
      <c r="F110" s="230" t="str">
        <f>IF(AK93&gt;1,"/","")</f>
        <v>/</v>
      </c>
      <c r="G110" s="231">
        <v>12</v>
      </c>
      <c r="H110" s="229">
        <v>25</v>
      </c>
      <c r="I110" s="230" t="str">
        <f>IF(AK93&gt;2,"/","")</f>
        <v>/</v>
      </c>
      <c r="J110" s="231">
        <v>8</v>
      </c>
      <c r="K110" s="229">
        <v>25</v>
      </c>
      <c r="L110" s="230" t="str">
        <f>IF(AK93&gt;3,"/","")</f>
        <v>/</v>
      </c>
      <c r="M110" s="231">
        <v>15</v>
      </c>
      <c r="N110" s="229">
        <v>25</v>
      </c>
      <c r="O110" s="230" t="str">
        <f>IF(AK93&gt;4,"/","")</f>
        <v>/</v>
      </c>
      <c r="P110" s="231">
        <v>13</v>
      </c>
      <c r="Q110" s="229">
        <v>16</v>
      </c>
      <c r="R110" s="230" t="str">
        <f>IF(AK93&gt;5,"/","")</f>
        <v>/</v>
      </c>
      <c r="S110" s="231">
        <v>25</v>
      </c>
      <c r="T110" s="229">
        <v>25</v>
      </c>
      <c r="U110" s="230" t="str">
        <f>IF(AK93&gt;6,"/","")</f>
        <v>/</v>
      </c>
      <c r="V110" s="231">
        <v>21</v>
      </c>
      <c r="W110" s="229">
        <v>25</v>
      </c>
      <c r="X110" s="230" t="str">
        <f>IF(AK93&gt;7,"/","")</f>
        <v>/</v>
      </c>
      <c r="Y110" s="231">
        <v>12</v>
      </c>
      <c r="Z110" s="229">
        <v>25</v>
      </c>
      <c r="AA110" s="230" t="str">
        <f>IF(AK93&gt;8,"/","")</f>
        <v>/</v>
      </c>
      <c r="AB110" s="231">
        <v>14</v>
      </c>
      <c r="AC110" s="229">
        <v>23</v>
      </c>
      <c r="AD110" s="230" t="str">
        <f>IF(AK93&gt;9,"/","")</f>
        <v>/</v>
      </c>
      <c r="AE110" s="231">
        <v>25</v>
      </c>
      <c r="AF110" s="222" t="str">
        <f>IF(AK94&gt;1,"Team 2","")</f>
        <v>Team 2</v>
      </c>
      <c r="AG110" s="228">
        <f>IF(AK94&lt;2,"",IF(AK93&lt;1,"",IF(B109=2,B115-D115,IF(D109=2,D115-B115,""))))</f>
        <v>24</v>
      </c>
      <c r="AH110" s="228" t="str">
        <f>IF(AK94&lt;2,"",IF(AK93&lt;2,"",IF(E109=2,E115-G115,IF(G109=2,G115-E115,""))))</f>
        <v/>
      </c>
      <c r="AI110" s="228" t="str">
        <f>IF(AK94&lt;2,"",IF(AK93&lt;3,"",IF(H109=2,H115-J115,IF(J109=2,J115-H115,""))))</f>
        <v/>
      </c>
      <c r="AJ110" s="228">
        <f>IF(AK94&lt;2,"",IF(AK93&lt;4,"",IF(K109=2,K115-M115,IF(M109=2,M115-K115,""))))</f>
        <v>20</v>
      </c>
      <c r="AK110" s="228" t="str">
        <f>IF(AK94&lt;2,"",IF(AK93&lt;5,"",IF(N109=2,N115-P115,IF(P109=2,P115-N115,""))))</f>
        <v/>
      </c>
      <c r="AL110" s="228" t="str">
        <f>IF(AK94&lt;2,"",IF(AK93&lt;6,"",IF(Q109=2,Q115-S115,IF(S109=2,S115-Q115,""))))</f>
        <v/>
      </c>
      <c r="AM110" s="228">
        <f>IF(AK94&lt;2,"",IF(AK93&lt;7,"",IF(T109=2,T115-V115,IF(V109=2,V115-T115,""))))</f>
        <v>13</v>
      </c>
      <c r="AN110" s="228" t="str">
        <f>IF(AK94&lt;2,"",IF(AK93&lt;8,"",IF(W109=2,W115-Y115,IF(Y109=2,Y115-W115,""))))</f>
        <v/>
      </c>
      <c r="AO110" s="228" t="str">
        <f>IF(AK94&lt;2,"",IF(AK93&lt;9,"",IF(Z109=2,Z115-AB115,IF(AB109=2,AB115-Z115,""))))</f>
        <v/>
      </c>
      <c r="AP110" s="228">
        <f>IF(AK94&lt;2,"",IF(AK93&lt;10,"",IF(AC109=2,AC115-AE115,IF(AE109=2,AE115-AC115,""))))</f>
        <v>7</v>
      </c>
      <c r="AQ110" s="224">
        <f>SUM(AG110:AP110)</f>
        <v>64</v>
      </c>
    </row>
    <row r="111" spans="1:44" ht="15" x14ac:dyDescent="0.2">
      <c r="A111" s="191" t="str">
        <f>IF(AK92&gt;1,"Game 2","")</f>
        <v>Game 2</v>
      </c>
      <c r="B111" s="229">
        <v>25</v>
      </c>
      <c r="C111" s="230" t="s">
        <v>53</v>
      </c>
      <c r="D111" s="231">
        <v>15</v>
      </c>
      <c r="E111" s="229">
        <v>25</v>
      </c>
      <c r="F111" s="230" t="str">
        <f>IF(AK93&gt;1,IF(AK92&gt;1,"/",""),"")</f>
        <v>/</v>
      </c>
      <c r="G111" s="231">
        <v>11</v>
      </c>
      <c r="H111" s="229">
        <v>21</v>
      </c>
      <c r="I111" s="230" t="str">
        <f>IF(AK93&gt;2,IF(AK92&gt;1,"/",""),"")</f>
        <v>/</v>
      </c>
      <c r="J111" s="231">
        <v>25</v>
      </c>
      <c r="K111" s="229">
        <v>25</v>
      </c>
      <c r="L111" s="230" t="str">
        <f>IF(AK93&gt;3,IF(AK92&gt;1,"/",""),"")</f>
        <v>/</v>
      </c>
      <c r="M111" s="231">
        <v>15</v>
      </c>
      <c r="N111" s="229">
        <v>25</v>
      </c>
      <c r="O111" s="230" t="str">
        <f>IF(AK93&gt;4,IF(AK92&gt;1,"/",""),"")</f>
        <v>/</v>
      </c>
      <c r="P111" s="231">
        <v>10</v>
      </c>
      <c r="Q111" s="229">
        <v>19</v>
      </c>
      <c r="R111" s="230" t="str">
        <f>IF(AK93&gt;5,IF(AK92&gt;1,"/",""),"")</f>
        <v>/</v>
      </c>
      <c r="S111" s="231">
        <v>25</v>
      </c>
      <c r="T111" s="229">
        <v>25</v>
      </c>
      <c r="U111" s="230" t="str">
        <f>IF(AK93&gt;6,IF(AK92&gt;1,"/",""),"")</f>
        <v>/</v>
      </c>
      <c r="V111" s="231">
        <v>16</v>
      </c>
      <c r="W111" s="229">
        <v>25</v>
      </c>
      <c r="X111" s="230" t="str">
        <f>IF(AK93&gt;7,IF(AK92&gt;1,"/",""),"")</f>
        <v>/</v>
      </c>
      <c r="Y111" s="231">
        <v>15</v>
      </c>
      <c r="Z111" s="229">
        <v>25</v>
      </c>
      <c r="AA111" s="230" t="str">
        <f>IF(AK93&gt;8,IF(AK92&gt;1,"/",""),"")</f>
        <v>/</v>
      </c>
      <c r="AB111" s="231">
        <v>17</v>
      </c>
      <c r="AC111" s="229">
        <v>20</v>
      </c>
      <c r="AD111" s="230" t="str">
        <f>IF(AK93&gt;9,IF(AK92&gt;1,"/",""),"")</f>
        <v>/</v>
      </c>
      <c r="AE111" s="231">
        <v>25</v>
      </c>
      <c r="AF111" s="222" t="str">
        <f>IF(AK94&gt;2,"Team 3","")</f>
        <v>Team 3</v>
      </c>
      <c r="AG111" s="228" t="str">
        <f>IF(AK94&lt;3,"",IF(AK93&lt;1,"",IF(B109=3,B115-D115,IF(D109=3,D115-B115,""))))</f>
        <v/>
      </c>
      <c r="AH111" s="228" t="str">
        <f>IF(AK94&lt;3,"",IF(AK93&lt;2,"",IF(E109=3,E115-G115,IF(G109=3,G115-E115,""))))</f>
        <v/>
      </c>
      <c r="AI111" s="228">
        <f>IF(AK94&lt;3,"",IF(AK93&lt;3,"",IF(H109=3,H115-J115,IF(J109=3,J115-H115,""))))</f>
        <v>13</v>
      </c>
      <c r="AJ111" s="228" t="str">
        <f>IF(AK94&lt;3,"",IF(AK93&lt;4,"",IF(K109=3,K115-M115,IF(M109=3,M115-K115,""))))</f>
        <v/>
      </c>
      <c r="AK111" s="228">
        <f>IF(AK94&lt;3,"",IF(AK93&lt;5,"",IF(N109=3,N115-P115,IF(P109=3,P115-N115,""))))</f>
        <v>-27</v>
      </c>
      <c r="AL111" s="228" t="str">
        <f>IF(AK94&lt;3,"",IF(AK93&lt;6,"",IF(Q109=3,Q115-S115,IF(S109=3,S115-Q115,""))))</f>
        <v/>
      </c>
      <c r="AM111" s="228">
        <f>IF(AK94&lt;3,"",IF(AK93&lt;7,"",IF(T109=3,T115-V115,IF(V109=3,V115-T115,""))))</f>
        <v>-13</v>
      </c>
      <c r="AN111" s="228" t="str">
        <f>IF(AK94&lt;3,"",IF(AK93&lt;8,"",IF(W109=3,W115-Y115,IF(Y109=3,Y115-W115,""))))</f>
        <v/>
      </c>
      <c r="AO111" s="228">
        <f>IF(AK94&lt;3,"",IF(AK93&lt;9,"",IF(Z109=3,Z115-AB115,IF(AB109=3,AB115-Z115,""))))</f>
        <v>19</v>
      </c>
      <c r="AP111" s="228" t="str">
        <f>IF(AK94&lt;3,"",IF(AK93&lt;9,"",IF(AC109=3,AC115-AE115,IF(AE109=3,AE115-AC115,""))))</f>
        <v/>
      </c>
      <c r="AQ111" s="224">
        <f>SUM(AG111:AP111)</f>
        <v>-8</v>
      </c>
    </row>
    <row r="112" spans="1:44" ht="15" x14ac:dyDescent="0.2">
      <c r="A112" s="191" t="str">
        <f>IF(AK92&gt;2,"Game 3","")</f>
        <v/>
      </c>
      <c r="B112" s="229"/>
      <c r="C112" s="230" t="s">
        <v>53</v>
      </c>
      <c r="D112" s="231"/>
      <c r="E112" s="229"/>
      <c r="F112" s="230" t="str">
        <f>IF(AK93&gt;1,IF(AK92&gt;2,"/",""),"")</f>
        <v/>
      </c>
      <c r="G112" s="231"/>
      <c r="H112" s="229"/>
      <c r="I112" s="230" t="str">
        <f>IF(AK93&gt;2,IF(AK92&gt;2,"/",""),"")</f>
        <v/>
      </c>
      <c r="J112" s="231"/>
      <c r="K112" s="229"/>
      <c r="L112" s="230" t="str">
        <f>IF(AK93&gt;3,IF(AK92&gt;2,"/",""),"")</f>
        <v/>
      </c>
      <c r="M112" s="231"/>
      <c r="N112" s="229"/>
      <c r="O112" s="230" t="str">
        <f>IF(AK93&gt;4,IF(AK92&gt;2,"/",""),"")</f>
        <v/>
      </c>
      <c r="P112" s="231"/>
      <c r="Q112" s="229"/>
      <c r="R112" s="230" t="str">
        <f>IF(AK93&gt;5,IF(AK92&gt;2,"/",""),"")</f>
        <v/>
      </c>
      <c r="S112" s="231"/>
      <c r="T112" s="229"/>
      <c r="U112" s="230" t="str">
        <f>IF(AK93&gt;6,IF(AK92&gt;2,"/",""),"")</f>
        <v/>
      </c>
      <c r="V112" s="231"/>
      <c r="W112" s="229"/>
      <c r="X112" s="230" t="str">
        <f>IF(AK93&gt;7,IF(AK92&gt;2,"/",""),"")</f>
        <v/>
      </c>
      <c r="Y112" s="231"/>
      <c r="Z112" s="229"/>
      <c r="AA112" s="230" t="str">
        <f>IF(AK93&gt;8,IF(AK92&gt;2,"/",""),"")</f>
        <v/>
      </c>
      <c r="AB112" s="231"/>
      <c r="AC112" s="229"/>
      <c r="AD112" s="230" t="str">
        <f>IF(AK93&gt;9,IF(AK92&gt;2,"/",""),"")</f>
        <v/>
      </c>
      <c r="AE112" s="231"/>
      <c r="AF112" s="222" t="str">
        <f>IF(AK94&gt;3,"Team 4","")</f>
        <v>Team 4</v>
      </c>
      <c r="AG112" s="228" t="str">
        <f>IF(AK94&lt;4,"",IF(AK93&lt;1,"",IF(B109=4,B115-D115,IF(D109=4,D115-B115,""))))</f>
        <v/>
      </c>
      <c r="AH112" s="228">
        <f>IF(AK94&lt;4,"",IF(AK93&lt;2,"",IF(E109=4,E115-G115,IF(G109=4,G115-E115,""))))</f>
        <v>-27</v>
      </c>
      <c r="AI112" s="228" t="str">
        <f>IF(AK94&lt;4,"",IF(AK93&lt;3,"",IF(H109=4,H115-J115,IF(J109=4,J115-H115,""))))</f>
        <v/>
      </c>
      <c r="AJ112" s="228">
        <f>IF(AK94&lt;4,"",IF(AK93&lt;4,"",IF(K109=4,K115-M115,IF(M109=4,M115-K115,""))))</f>
        <v>-20</v>
      </c>
      <c r="AK112" s="228" t="str">
        <f>IF(AK94&lt;4,"",IF(AK93&lt;5,"",IF(N109=4,N115-P115,IF(P109=4,P115-N115,""))))</f>
        <v/>
      </c>
      <c r="AL112" s="228">
        <f>IF(AK94&lt;4,"",IF(AK93&lt;6,"",IF(Q109=4,Q115-S115,IF(S109=4,S115-Q115,""))))</f>
        <v>-15</v>
      </c>
      <c r="AM112" s="228" t="str">
        <f>IF(AK94&lt;4,"",IF(AK93&lt;7,"",IF(T109=4,T115-V115,IF(V109=4,V115-T115,""))))</f>
        <v/>
      </c>
      <c r="AN112" s="228" t="str">
        <f>IF(AK94&lt;4,"",IF(AK93&lt;8,"",IF(W109=4,W115-Y115,IF(Y109=4,Y115-W115,""))))</f>
        <v/>
      </c>
      <c r="AO112" s="228">
        <f>IF(AK94&lt;4,"",IF(AK93&lt;9,"",IF(Z109=4,Z115-AB115,IF(AB109=4,AB115-Z115,""))))</f>
        <v>-19</v>
      </c>
      <c r="AP112" s="228" t="str">
        <f>IF(AK94&lt;4,"",IF(AK93&lt;10,"",IF(AC109=4,AC115-AE115,IF(AE109=4,AE115-AC115,""))))</f>
        <v/>
      </c>
      <c r="AQ112" s="224">
        <f>SUM(AG112:AP112)</f>
        <v>-81</v>
      </c>
    </row>
    <row r="113" spans="1:49" ht="15" x14ac:dyDescent="0.2">
      <c r="A113" s="191" t="str">
        <f>IF(AK92&gt;3,"Game 4","")</f>
        <v/>
      </c>
      <c r="B113" s="229"/>
      <c r="C113" s="230" t="s">
        <v>53</v>
      </c>
      <c r="D113" s="231"/>
      <c r="E113" s="229"/>
      <c r="F113" s="230" t="str">
        <f>IF(AK93&gt;1,IF(AK92&gt;3,"/",""),"")</f>
        <v/>
      </c>
      <c r="G113" s="231"/>
      <c r="H113" s="229"/>
      <c r="I113" s="230" t="str">
        <f>IF(AK93&gt;2,IF(AK92&gt;3,"/",""),"")</f>
        <v/>
      </c>
      <c r="J113" s="231"/>
      <c r="K113" s="229"/>
      <c r="L113" s="230" t="str">
        <f>IF(AK93&gt;3,IF(AK92&gt;3,"/",""),"")</f>
        <v/>
      </c>
      <c r="M113" s="231"/>
      <c r="N113" s="229"/>
      <c r="O113" s="230" t="str">
        <f>IF(AK93&gt;4,IF(AK92&gt;3,"/",""),"")</f>
        <v/>
      </c>
      <c r="P113" s="231"/>
      <c r="Q113" s="229"/>
      <c r="R113" s="230" t="str">
        <f>IF(AK93&gt;5,IF(AK92&gt;3,"/",""),"")</f>
        <v/>
      </c>
      <c r="S113" s="231"/>
      <c r="T113" s="229"/>
      <c r="U113" s="230" t="str">
        <f>IF(AK93&gt;6,IF(AK92&gt;3,"/",""),"")</f>
        <v/>
      </c>
      <c r="V113" s="231"/>
      <c r="W113" s="229"/>
      <c r="X113" s="230" t="str">
        <f>IF(AK93&gt;7,IF(AK92&gt;3,"/",""),"")</f>
        <v/>
      </c>
      <c r="Y113" s="231"/>
      <c r="Z113" s="229"/>
      <c r="AA113" s="230" t="str">
        <f>IF(AK93&gt;8,IF(AK92&gt;3,"/",""),"")</f>
        <v/>
      </c>
      <c r="AB113" s="231"/>
      <c r="AC113" s="229"/>
      <c r="AD113" s="230" t="str">
        <f>IF(AK93&gt;9,IF(AK92&gt;3,"/",""),"")</f>
        <v/>
      </c>
      <c r="AE113" s="231"/>
      <c r="AF113" s="222" t="str">
        <f>IF(AK94&gt;4,"Team 5","")</f>
        <v>Team 5</v>
      </c>
      <c r="AG113" s="232">
        <f>IF(AK94&lt;5,"",IF(AK93&lt;1,"",IF(B109=5,B115-D115,IF(D109=5,D115-B115,""))))</f>
        <v>-24</v>
      </c>
      <c r="AH113" s="228" t="str">
        <f>IF(AK94&lt;5,"",IF(AK93&lt;2,"",IF(E109=5,E115-G115,IF(G109=5,G115-E115,""))))</f>
        <v/>
      </c>
      <c r="AI113" s="228">
        <f>IF(AK94&lt;5,"",IF(AK93&lt;3,"",IF(H109=5,H115-J115,IF(J109=5,J115-H115,""))))</f>
        <v>-13</v>
      </c>
      <c r="AJ113" s="228" t="str">
        <f>IF(AK94&lt;5,"",IF(AK93&lt;4,"",IF(K109=5,K115-M115,IF(M109=5,M115-K115,""))))</f>
        <v/>
      </c>
      <c r="AK113" s="228" t="str">
        <f>IF(AK94&lt;5,"",IF(AK93&lt;5,"",IF(N109=5,N115-P115,IF(P109=5,P115-N115,""))))</f>
        <v/>
      </c>
      <c r="AL113" s="228">
        <f>IF(AK94&lt;5,"",IF(AK93&lt;6,"",IF(Q109=5,Q115-S115,IF(S109=5,S115-Q115,""))))</f>
        <v>15</v>
      </c>
      <c r="AM113" s="228" t="str">
        <f>IF(AK94&lt;5,"",IF(AK93&lt;7,"",IF(T109=5,T115-V115,IF(V109=5,V115-T115,""))))</f>
        <v/>
      </c>
      <c r="AN113" s="228">
        <f>IF(AK94&lt;5,"",IF(AK93&lt;8,"",IF(W109=5,W115-Y115,IF(Y109=5,Y115-W115,""))))</f>
        <v>-23</v>
      </c>
      <c r="AO113" s="228" t="str">
        <f>IF(AK94&lt;5,"",IF(AK93&lt;9,"",IF(Z109=5,Z115-AB115,IF(AB109=5,AB115-Z115,""))))</f>
        <v/>
      </c>
      <c r="AP113" s="228" t="str">
        <f>IF(AK94&lt;5,"",IF(AK93&lt;10,"",IF(AC109=5,AC115-AE115,IF(AE109=5,AE115-AC115,""))))</f>
        <v/>
      </c>
      <c r="AQ113" s="224">
        <f>SUM(AG113:AP113)</f>
        <v>-45</v>
      </c>
    </row>
    <row r="114" spans="1:49" ht="15" x14ac:dyDescent="0.2">
      <c r="A114" s="191" t="str">
        <f>IF(AK92&gt;4,"Game 5","")</f>
        <v/>
      </c>
      <c r="B114" s="229"/>
      <c r="C114" s="230" t="s">
        <v>53</v>
      </c>
      <c r="D114" s="231"/>
      <c r="E114" s="229"/>
      <c r="F114" s="230" t="str">
        <f>IF(AK93&gt;1,IF(AK92&gt;4,"/",""),"")</f>
        <v/>
      </c>
      <c r="G114" s="231"/>
      <c r="H114" s="229"/>
      <c r="I114" s="230" t="str">
        <f>IF(AK93&gt;2,IF(AK92&gt;4,"/",""),"")</f>
        <v/>
      </c>
      <c r="J114" s="231"/>
      <c r="K114" s="229"/>
      <c r="L114" s="230" t="str">
        <f>IF(AK93&gt;3,IF(AK92&gt;4,"/",""),"")</f>
        <v/>
      </c>
      <c r="M114" s="231"/>
      <c r="N114" s="229"/>
      <c r="O114" s="230" t="str">
        <f>IF(AK93&gt;4,IF(AK92&gt;4,"/",""),"")</f>
        <v/>
      </c>
      <c r="P114" s="231"/>
      <c r="Q114" s="229"/>
      <c r="R114" s="230" t="str">
        <f>IF(AK93&gt;5,IF(AK92&gt;4,"/",""),"")</f>
        <v/>
      </c>
      <c r="S114" s="231"/>
      <c r="T114" s="229"/>
      <c r="U114" s="230" t="str">
        <f>IF(AK93&gt;6,IF(AK92&gt;4,"/",""),"")</f>
        <v/>
      </c>
      <c r="V114" s="231"/>
      <c r="W114" s="229"/>
      <c r="X114" s="230" t="str">
        <f>IF(AK93&gt;7,IF(AK92&gt;4,"/",""),"")</f>
        <v/>
      </c>
      <c r="Y114" s="231"/>
      <c r="Z114" s="229"/>
      <c r="AA114" s="230" t="str">
        <f>IF(AK93&gt;8,IF(AK92&gt;4,"/",""),"")</f>
        <v/>
      </c>
      <c r="AB114" s="231"/>
      <c r="AC114" s="229"/>
      <c r="AD114" s="230" t="str">
        <f>IF(AK93&gt;9,IF(AK92&gt;4,"/",""),"")</f>
        <v/>
      </c>
      <c r="AE114" s="231"/>
      <c r="AF114" s="195"/>
      <c r="AG114" s="195"/>
      <c r="AH114" s="195"/>
      <c r="AI114" s="195"/>
      <c r="AJ114" s="195"/>
      <c r="AK114" s="195"/>
      <c r="AL114" s="195"/>
      <c r="AM114" s="195"/>
      <c r="AN114" s="195"/>
      <c r="AO114" s="195"/>
      <c r="AP114" s="195"/>
      <c r="AQ114" s="195"/>
    </row>
    <row r="115" spans="1:49" hidden="1" x14ac:dyDescent="0.2">
      <c r="A115" s="233"/>
      <c r="B115" s="233">
        <f>IF($AK92=5,SUM(B110:B114),IF($AK92=4,SUM(B110:B113),IF($AK92=3,SUM(B110:B112),IF($AK92=2,SUM(B110:B111),B110))))</f>
        <v>50</v>
      </c>
      <c r="C115" s="233"/>
      <c r="D115" s="233">
        <f>IF($AK92=5,SUM(D110:D114),IF($AK92=4,SUM(D110:D113),IF($AK92=3,SUM(D110:D112),IF($AK92=2,SUM(D110:D111),D110))))</f>
        <v>26</v>
      </c>
      <c r="E115" s="233">
        <f>IF($AK92=5,SUM(E110:E114),IF($AK92=4,SUM(E110:E113),IF($AK92=3,SUM(E110:E112),IF($AK92=2,SUM(E110:E111),E110))))</f>
        <v>50</v>
      </c>
      <c r="F115" s="233"/>
      <c r="G115" s="233">
        <f>IF($AK92=5,SUM(G110:G114),IF($AK92=4,SUM(G110:G113),IF($AK92=3,SUM(G110:G112),IF($AK92=2,SUM(G110:G111),G110))))</f>
        <v>23</v>
      </c>
      <c r="H115" s="233">
        <f>IF($AK92=5,SUM(H110:H114),IF($AK92=4,SUM(H110:H113),IF($AK92=3,SUM(H110:H112),IF($AK92=2,SUM(H110:H111),H110))))</f>
        <v>46</v>
      </c>
      <c r="I115" s="233"/>
      <c r="J115" s="233">
        <f>IF($AK92=5,SUM(J110:J114),IF($AK92=4,SUM(J110:J113),IF($AK92=3,SUM(J110:J112),IF($AK92=2,SUM(J110:J111),J110))))</f>
        <v>33</v>
      </c>
      <c r="K115" s="233">
        <f>IF($AK92=5,SUM(K110:K114),IF($AK92=4,SUM(K110:K113),IF($AK92=3,SUM(K110:K112),IF($AK92=2,SUM(K110:K111),K110))))</f>
        <v>50</v>
      </c>
      <c r="L115" s="233"/>
      <c r="M115" s="233">
        <f>IF($AK92=5,SUM(M110:M114),IF($AK92=4,SUM(M110:M113),IF($AK92=3,SUM(M110:M112),IF($AK92=2,SUM(M110:M111),M110))))</f>
        <v>30</v>
      </c>
      <c r="N115" s="233">
        <f>IF($AK92=5,SUM(N110:N114),IF($AK92=4,SUM(N110:N113),IF($AK92=3,SUM(N110:N112),IF($AK92=2,SUM(N110:N111),N110))))</f>
        <v>50</v>
      </c>
      <c r="O115" s="233"/>
      <c r="P115" s="233">
        <f>IF($AK92=5,SUM(P110:P114),IF($AK92=4,SUM(P110:P113),IF($AK92=3,SUM(P110:P112),IF($AK92=2,SUM(P110:P111),P110))))</f>
        <v>23</v>
      </c>
      <c r="Q115" s="233">
        <f>IF($AK92=5,SUM(Q110:Q114),IF($AK92=4,SUM(Q110:Q113),IF($AK92=3,SUM(Q110:Q112),IF($AK92=2,SUM(Q110:Q111),Q110))))</f>
        <v>35</v>
      </c>
      <c r="R115" s="233"/>
      <c r="S115" s="233">
        <f>IF($AK92=5,SUM(S110:S114),IF($AK92=4,SUM(S110:S113),IF($AK92=3,SUM(S110:S112),IF($AK92=2,SUM(S110:S111),S110))))</f>
        <v>50</v>
      </c>
      <c r="T115" s="233">
        <f>IF($AK92=5,SUM(T110:T114),IF($AK92=4,SUM(T110:T113),IF($AK92=3,SUM(T110:T112),IF($AK92=2,SUM(T110:T111),T110))))</f>
        <v>50</v>
      </c>
      <c r="U115" s="233"/>
      <c r="V115" s="233">
        <f>IF($AK92=5,SUM(V110:V114),IF($AK92=4,SUM(V110:V113),IF($AK92=3,SUM(V110:V112),IF($AK92=2,SUM(V110:V111),V110))))</f>
        <v>37</v>
      </c>
      <c r="W115" s="233">
        <f>IF($AK92=5,SUM(W110:W114),IF($AK92=4,SUM(W110:W113),IF($AK92=3,SUM(W110:W112),IF($AK92=2,SUM(W110:W111),W110))))</f>
        <v>50</v>
      </c>
      <c r="X115" s="233"/>
      <c r="Y115" s="233">
        <f>IF($AK92=5,SUM(Y110:Y114),IF($AK92=4,SUM(Y110:Y113),IF($AK92=3,SUM(Y110:Y112),IF($AK92=2,SUM(Y110:Y111),Y110))))</f>
        <v>27</v>
      </c>
      <c r="Z115" s="233">
        <f>IF($AK92=5,SUM(Z110:Z114),IF($AK92=4,SUM(Z110:Z113),IF($AK92=3,SUM(Z110:Z112),IF($AK92=2,SUM(Z110:Z111),Z110))))</f>
        <v>50</v>
      </c>
      <c r="AA115" s="233"/>
      <c r="AB115" s="233">
        <f>IF($AK92=5,SUM(AB110:AB114),IF($AK92=4,SUM(AB110:AB113),IF($AK92=3,SUM(AB110:AB112),IF($AK92=2,SUM(AB110:AB111),AB110))))</f>
        <v>31</v>
      </c>
      <c r="AC115" s="233">
        <f>IF($AK92=5,SUM(AC110:AC114),IF($AK92=4,SUM(AC110:AC113),IF($AK92=3,SUM(AC110:AC112),IF($AK92=2,SUM(AC110:AC111),AC110))))</f>
        <v>43</v>
      </c>
      <c r="AD115" s="233"/>
      <c r="AE115" s="233">
        <f>IF($AK92=5,SUM(AE110:AE114),IF($AK92=4,SUM(AE110:AE113),IF($AK92=3,SUM(AE110:AE112),IF($AK92=2,SUM(AE110:AE111),AE110))))</f>
        <v>50</v>
      </c>
      <c r="AF115" s="195"/>
      <c r="AG115" s="195"/>
      <c r="AH115" s="195"/>
      <c r="AI115" s="195"/>
      <c r="AJ115" s="195"/>
      <c r="AK115" s="195"/>
      <c r="AL115" s="195"/>
      <c r="AM115" s="195"/>
      <c r="AN115" s="195"/>
      <c r="AO115" s="195"/>
      <c r="AP115" s="195"/>
      <c r="AQ115" s="195"/>
    </row>
    <row r="116" spans="1:49" s="235" customFormat="1" ht="12.75" hidden="1" customHeight="1" x14ac:dyDescent="0.2">
      <c r="A116" s="235" t="s">
        <v>54</v>
      </c>
      <c r="B116" s="236">
        <f>IF(AND(B110&gt;D110,$AK93&gt;0,ISNUMBER(B110),ISNUMBER(D110)),1,0)</f>
        <v>1</v>
      </c>
      <c r="C116" s="236"/>
      <c r="D116" s="237">
        <f>IF(AND(D110&gt;B110,$AK93&gt;0,ISNUMBER(B110),ISNUMBER(D110)),1,0)</f>
        <v>0</v>
      </c>
      <c r="E116" s="236">
        <f>IF(AND(E110&gt;G110,$AK93&gt;1,ISNUMBER(E110),ISNUMBER(G110)),1,0)</f>
        <v>1</v>
      </c>
      <c r="F116" s="236"/>
      <c r="G116" s="237">
        <f>IF(AND(G110&gt;E110,$AK93&gt;1,ISNUMBER(E110),ISNUMBER(G110)),1,0)</f>
        <v>0</v>
      </c>
      <c r="H116" s="236">
        <f>IF(AND(H110&gt;J110,$AK93&gt;2,ISNUMBER(H110),ISNUMBER(J110)),1,0)</f>
        <v>1</v>
      </c>
      <c r="I116" s="236"/>
      <c r="J116" s="237">
        <f>IF(AND(J110&gt;H110,$AK93&gt;2,ISNUMBER(H110),ISNUMBER(J110)),1,0)</f>
        <v>0</v>
      </c>
      <c r="K116" s="236">
        <f>IF(AND(K110&gt;M110,$AK93&gt;3,ISNUMBER(K110),ISNUMBER(M110)),1,0)</f>
        <v>1</v>
      </c>
      <c r="L116" s="236"/>
      <c r="M116" s="237">
        <f>IF(AND(M110&gt;K110,$AK93&gt;3,ISNUMBER(K110),ISNUMBER(M110)),1,0)</f>
        <v>0</v>
      </c>
      <c r="N116" s="236">
        <f>IF(AND(N110&gt;P110,$AK93&gt;4,ISNUMBER(N110),ISNUMBER(P110)),1,0)</f>
        <v>1</v>
      </c>
      <c r="O116" s="236"/>
      <c r="P116" s="237">
        <f>IF(AND(P110&gt;N110,$AK93&gt;4,ISNUMBER(N110),ISNUMBER(P110)),1,0)</f>
        <v>0</v>
      </c>
      <c r="Q116" s="236">
        <f>IF(AND(Q110&gt;S110,$AK93&gt;5,ISNUMBER(Q110),ISNUMBER(S110)),1,0)</f>
        <v>0</v>
      </c>
      <c r="R116" s="236"/>
      <c r="S116" s="237">
        <f>IF(AND(S110&gt;Q110,$AK93&gt;5,ISNUMBER(Q110),ISNUMBER(S110)),1,0)</f>
        <v>1</v>
      </c>
      <c r="T116" s="236">
        <f>IF(AND(T110&gt;V110,$AK93&gt;6,ISNUMBER(T110),ISNUMBER(V110)),1,0)</f>
        <v>1</v>
      </c>
      <c r="U116" s="236"/>
      <c r="V116" s="237">
        <f>IF(AND(V110&gt;T110,$AK93&gt;6,ISNUMBER(T110),ISNUMBER(V110)),1,0)</f>
        <v>0</v>
      </c>
      <c r="W116" s="236">
        <f>IF(AND(W110&gt;Y110,$AK93&gt;7,ISNUMBER(W110),ISNUMBER(Y110)),1,0)</f>
        <v>1</v>
      </c>
      <c r="X116" s="236"/>
      <c r="Y116" s="237">
        <f>IF(AND(Y110&gt;W110,$AK93&gt;7,ISNUMBER(W110),ISNUMBER(Y110)),1,0)</f>
        <v>0</v>
      </c>
      <c r="Z116" s="236">
        <f>IF(AND(Z110&gt;AB110,$AK93&gt;8,ISNUMBER(Z110),ISNUMBER(AB110)),1,0)</f>
        <v>1</v>
      </c>
      <c r="AA116" s="236"/>
      <c r="AB116" s="237">
        <f>IF(AND(AB110&gt;Z110,$AK93&gt;8,ISNUMBER(Z110),ISNUMBER(AB110)),1,0)</f>
        <v>0</v>
      </c>
      <c r="AC116" s="236">
        <f>IF(AND(AC110&gt;AE110,$AK93&gt;9,ISNUMBER(AC110),ISNUMBER(AE110)),1,0)</f>
        <v>0</v>
      </c>
      <c r="AD116" s="236"/>
      <c r="AE116" s="237">
        <f>IF(AND(AE110&gt;AC110,$AK93&gt;9,ISNUMBER(AC110),ISNUMBER(AE110)),1,0)</f>
        <v>1</v>
      </c>
      <c r="AW116" s="238"/>
    </row>
    <row r="117" spans="1:49" s="235" customFormat="1" ht="12.75" hidden="1" customHeight="1" x14ac:dyDescent="0.2">
      <c r="A117" s="235" t="s">
        <v>55</v>
      </c>
      <c r="B117" s="236">
        <f>IF(AND(B111&gt;D111,$AK93&gt;0,$AK92&gt;1,ISNUMBER(B111),ISNUMBER(D111)),1,0)</f>
        <v>1</v>
      </c>
      <c r="C117" s="236"/>
      <c r="D117" s="237">
        <f>IF(AND(D111&gt;B111,$AK93&gt;0,$AK92&gt;1,ISNUMBER(B111),ISNUMBER(D111)),1,0)</f>
        <v>0</v>
      </c>
      <c r="E117" s="236">
        <f>IF(AND(E111&gt;G111,$AK93&gt;1,$AK92&gt;1,ISNUMBER(E111),ISNUMBER(G111)),1,0)</f>
        <v>1</v>
      </c>
      <c r="F117" s="236"/>
      <c r="G117" s="237">
        <f>IF(AND(G111&gt;E111,$AK93&gt;1,$AK92&gt;1,ISNUMBER(E111),ISNUMBER(G111)),1,0)</f>
        <v>0</v>
      </c>
      <c r="H117" s="236">
        <f>IF(AND(H111&gt;J111,$AK93&gt;2,$AK92&gt;1,ISNUMBER(H111),ISNUMBER(J111)),1,0)</f>
        <v>0</v>
      </c>
      <c r="I117" s="236"/>
      <c r="J117" s="237">
        <f>IF(AND(J111&gt;H111,$AK93&gt;2,$AK92&gt;1,ISNUMBER(H111),ISNUMBER(J111)),1,0)</f>
        <v>1</v>
      </c>
      <c r="K117" s="236">
        <f>IF(AND(K111&gt;M111,$AK93&gt;3,$AK92&gt;1,ISNUMBER(K111),ISNUMBER(M111)),1,0)</f>
        <v>1</v>
      </c>
      <c r="L117" s="236"/>
      <c r="M117" s="237">
        <f>IF(AND(M111&gt;K111,$AK93&gt;3,$AK92&gt;1,ISNUMBER(K111),ISNUMBER(M111)),1,0)</f>
        <v>0</v>
      </c>
      <c r="N117" s="236">
        <f>IF(AND(N111&gt;P111,$AK93&gt;4,$AK92&gt;1,ISNUMBER(N111),ISNUMBER(P111)),1,0)</f>
        <v>1</v>
      </c>
      <c r="O117" s="236"/>
      <c r="P117" s="237">
        <f>IF(AND(P111&gt;N111,$AK93&gt;4,$AK92&gt;1,ISNUMBER(N111),ISNUMBER(P111)),1,0)</f>
        <v>0</v>
      </c>
      <c r="Q117" s="236">
        <f>IF(AND(Q111&gt;S111,$AK93&gt;5,$AK92&gt;1,ISNUMBER(Q111),ISNUMBER(S111)),1,0)</f>
        <v>0</v>
      </c>
      <c r="R117" s="236"/>
      <c r="S117" s="237">
        <f>IF(AND(S111&gt;Q111,$AK93&gt;5,$AK92&gt;1,ISNUMBER(Q111),ISNUMBER(S111)),1,0)</f>
        <v>1</v>
      </c>
      <c r="T117" s="236">
        <f>IF(AND(T111&gt;V111,$AK93&gt;6,$AK92&gt;1,ISNUMBER(T111),ISNUMBER(V111)),1,0)</f>
        <v>1</v>
      </c>
      <c r="U117" s="236"/>
      <c r="V117" s="237">
        <f>IF(AND(V111&gt;T111,$AK93&gt;6,$AK92&gt;1,ISNUMBER(T111),ISNUMBER(V111)),1,0)</f>
        <v>0</v>
      </c>
      <c r="W117" s="236">
        <f>IF(AND(W111&gt;Y111,$AK93&gt;7,$AK92&gt;1,ISNUMBER(W111),ISNUMBER(Y111)),1,0)</f>
        <v>1</v>
      </c>
      <c r="X117" s="236"/>
      <c r="Y117" s="237">
        <f>IF(AND(Y111&gt;W111,$AK93&gt;7,$AK92&gt;1,ISNUMBER(W111),ISNUMBER(Y111)),1,0)</f>
        <v>0</v>
      </c>
      <c r="Z117" s="236">
        <f>IF(AND(Z111&gt;AB111,$AK93&gt;8,$AK92&gt;1,ISNUMBER(Z111),ISNUMBER(AB111)),1,0)</f>
        <v>1</v>
      </c>
      <c r="AA117" s="236"/>
      <c r="AB117" s="237">
        <f>IF(AND(AB111&gt;Z111,$AK93&gt;8,$AK92&gt;1,ISNUMBER(Z111),ISNUMBER(AB111)),1,0)</f>
        <v>0</v>
      </c>
      <c r="AC117" s="236">
        <f>IF(AND(AC111&gt;AE111,$AK93&gt;9,$AK92&gt;1,ISNUMBER(AC111),ISNUMBER(AE111)),1,0)</f>
        <v>0</v>
      </c>
      <c r="AD117" s="236"/>
      <c r="AE117" s="237">
        <f>IF(AND(AE111&gt;AC111,$AK93&gt;9,$AK92&gt;1,ISNUMBER(AC111),ISNUMBER(AE111)),1,0)</f>
        <v>1</v>
      </c>
      <c r="AW117" s="238"/>
    </row>
    <row r="118" spans="1:49" s="235" customFormat="1" ht="12.75" hidden="1" customHeight="1" x14ac:dyDescent="0.2">
      <c r="A118" s="235" t="s">
        <v>56</v>
      </c>
      <c r="B118" s="236">
        <f>IF(AND(B112&gt;D112,$AK93&gt;0,$AK92&gt;2,ISNUMBER(B112),ISNUMBER(D112)),1,0)</f>
        <v>0</v>
      </c>
      <c r="C118" s="236"/>
      <c r="D118" s="237">
        <f>IF(AND(D112&gt;B112,$AK93&gt;0,$AK92&gt;2,ISNUMBER(B112),ISNUMBER(D112)),1,0)</f>
        <v>0</v>
      </c>
      <c r="E118" s="236">
        <f>IF(AND(E112&gt;G112,$AK93&gt;1,$AK92&gt;2,ISNUMBER(E112),ISNUMBER(G112)),1,0)</f>
        <v>0</v>
      </c>
      <c r="F118" s="236"/>
      <c r="G118" s="237">
        <f>IF(AND(G112&gt;E112,$AK93&gt;1,$AK92&gt;2,ISNUMBER(E112),ISNUMBER(G112)),1,0)</f>
        <v>0</v>
      </c>
      <c r="H118" s="236">
        <f>IF(AND(H112&gt;J112,$AK93&gt;2,$AK92&gt;2,ISNUMBER(H112),ISNUMBER(J112)),1,0)</f>
        <v>0</v>
      </c>
      <c r="I118" s="236"/>
      <c r="J118" s="237">
        <f>IF(AND(J112&gt;H112,$AK93&gt;2,$AK92&gt;2,ISNUMBER(H112),ISNUMBER(J112)),1,0)</f>
        <v>0</v>
      </c>
      <c r="K118" s="236">
        <f>IF(AND(K112&gt;M112,$AK93&gt;3,$AK92&gt;2,ISNUMBER(K112),ISNUMBER(M112)),1,0)</f>
        <v>0</v>
      </c>
      <c r="L118" s="236"/>
      <c r="M118" s="237">
        <f>IF(AND(M112&gt;K112,$AK93&gt;3,$AK92&gt;2,ISNUMBER(K112),ISNUMBER(M112)),1,0)</f>
        <v>0</v>
      </c>
      <c r="N118" s="236">
        <f>IF(AND(N112&gt;P112,$AK93&gt;4,$AK92&gt;2,ISNUMBER(N112),ISNUMBER(P112)),1,0)</f>
        <v>0</v>
      </c>
      <c r="O118" s="236"/>
      <c r="P118" s="237">
        <f>IF(AND(P112&gt;N112,$AK93&gt;4,$AK92&gt;2,ISNUMBER(N112),ISNUMBER(P112)),1,0)</f>
        <v>0</v>
      </c>
      <c r="Q118" s="236">
        <f>IF(AND(Q112&gt;S112,$AK93&gt;5,$AK92&gt;2,ISNUMBER(Q112),ISNUMBER(S112)),1,0)</f>
        <v>0</v>
      </c>
      <c r="R118" s="236"/>
      <c r="S118" s="237">
        <f>IF(AND(S112&gt;Q112,$AK93&gt;5,$AK92&gt;2,ISNUMBER(Q112),ISNUMBER(S112)),1,0)</f>
        <v>0</v>
      </c>
      <c r="T118" s="236">
        <f>IF(AND(T112&gt;V112,$AK93&gt;6,$AK92&gt;2,ISNUMBER(T112),ISNUMBER(V112)),1,0)</f>
        <v>0</v>
      </c>
      <c r="U118" s="236"/>
      <c r="V118" s="237">
        <f>IF(AND(V112&gt;T112,$AK93&gt;6,$AK92&gt;2,ISNUMBER(T112),ISNUMBER(V112)),1,0)</f>
        <v>0</v>
      </c>
      <c r="W118" s="236">
        <f>IF(AND(W112&gt;Y112,$AK93&gt;7,$AK92&gt;2,ISNUMBER(W112),ISNUMBER(Y112)),1,0)</f>
        <v>0</v>
      </c>
      <c r="X118" s="236"/>
      <c r="Y118" s="237">
        <f>IF(AND(Y112&gt;W112,$AK93&gt;7,$AK92&gt;2,ISNUMBER(W112),ISNUMBER(Y112)),1,0)</f>
        <v>0</v>
      </c>
      <c r="Z118" s="236">
        <f>IF(AND(Z112&gt;AB112,$AK93&gt;8,$AK92&gt;2,ISNUMBER(Z112),ISNUMBER(AB112)),1,0)</f>
        <v>0</v>
      </c>
      <c r="AA118" s="236"/>
      <c r="AB118" s="237">
        <f>IF(AND(AB112&gt;Z112,$AK93&gt;8,$AK92&gt;2,ISNUMBER(Z112),ISNUMBER(AB112)),1,0)</f>
        <v>0</v>
      </c>
      <c r="AC118" s="236">
        <f>IF(AND(AC112&gt;AE112,$AK93&gt;9,$AK92&gt;2,ISNUMBER(AC112),ISNUMBER(AE112)),1,0)</f>
        <v>0</v>
      </c>
      <c r="AD118" s="236"/>
      <c r="AE118" s="237">
        <f>IF(AND(AE112&gt;AC112,$AK93&gt;9,$AK92&gt;2,ISNUMBER(AC112),ISNUMBER(AE112)),1,0)</f>
        <v>0</v>
      </c>
      <c r="AW118" s="238"/>
    </row>
    <row r="119" spans="1:49" s="235" customFormat="1" ht="12.75" hidden="1" customHeight="1" x14ac:dyDescent="0.2">
      <c r="A119" s="235" t="s">
        <v>57</v>
      </c>
      <c r="B119" s="236">
        <f>IF(AND(B113&gt;D113,$AK93&gt;0,$AK92&gt;3,ISNUMBER(B113),ISNUMBER(D113)),1,0)</f>
        <v>0</v>
      </c>
      <c r="C119" s="236"/>
      <c r="D119" s="237">
        <f>IF(AND(D113&gt;B113,$AK93&gt;0,$AK92&gt;3,ISNUMBER(B113),ISNUMBER(D113)),1,0)</f>
        <v>0</v>
      </c>
      <c r="E119" s="236">
        <f>IF(AND(E113&gt;G113,$AK93&gt;1,$AK92&gt;3,ISNUMBER(E113),ISNUMBER(G113)),1,0)</f>
        <v>0</v>
      </c>
      <c r="F119" s="236"/>
      <c r="G119" s="237">
        <f>IF(AND(G113&gt;E113,$AK93&gt;1,$AK92&gt;3,ISNUMBER(E113),ISNUMBER(G113)),1,0)</f>
        <v>0</v>
      </c>
      <c r="H119" s="236">
        <f>IF(AND(H113&gt;J113,$AK93&gt;2,$AK92&gt;3,ISNUMBER(H113),ISNUMBER(J113)),1,0)</f>
        <v>0</v>
      </c>
      <c r="I119" s="236"/>
      <c r="J119" s="237">
        <f>IF(AND(J113&gt;H113,$AK93&gt;2,$AK92&gt;3,ISNUMBER(H113),ISNUMBER(J113)),1,0)</f>
        <v>0</v>
      </c>
      <c r="K119" s="236">
        <f>IF(AND(K113&gt;M113,$AK93&gt;3,$AK92&gt;3,ISNUMBER(K113),ISNUMBER(M113)),1,0)</f>
        <v>0</v>
      </c>
      <c r="L119" s="236"/>
      <c r="M119" s="237">
        <f>IF(AND(M113&gt;K113,$AK93&gt;3,$AK92&gt;3,ISNUMBER(K113),ISNUMBER(M113)),1,0)</f>
        <v>0</v>
      </c>
      <c r="N119" s="236">
        <f>IF(AND(N113&gt;P113,$AK93&gt;4,$AK92&gt;3,ISNUMBER(N113),ISNUMBER(P113)),1,0)</f>
        <v>0</v>
      </c>
      <c r="O119" s="236"/>
      <c r="P119" s="237">
        <f>IF(AND(P113&gt;N113,$AK93&gt;4,$AK92&gt;3,ISNUMBER(N113),ISNUMBER(P113)),1,0)</f>
        <v>0</v>
      </c>
      <c r="Q119" s="236">
        <f>IF(AND(Q113&gt;S113,$AK93&gt;5,$AK92&gt;3,ISNUMBER(Q113),ISNUMBER(S113)),1,0)</f>
        <v>0</v>
      </c>
      <c r="R119" s="236"/>
      <c r="S119" s="237">
        <f>IF(AND(S113&gt;Q113,$AK93&gt;5,$AK92&gt;3,ISNUMBER(Q113),ISNUMBER(S113)),1,0)</f>
        <v>0</v>
      </c>
      <c r="T119" s="236">
        <f>IF(AND(T113&gt;V113,$AK93&gt;6,$AK92&gt;3,ISNUMBER(T113),ISNUMBER(V113)),1,0)</f>
        <v>0</v>
      </c>
      <c r="U119" s="236"/>
      <c r="V119" s="237">
        <f>IF(AND(V113&gt;T113,$AK93&gt;6,$AK92&gt;3,ISNUMBER(T113),ISNUMBER(V113)),1,0)</f>
        <v>0</v>
      </c>
      <c r="W119" s="236">
        <f>IF(AND(W113&gt;Y113,$AK93&gt;7,$AK92&gt;3,ISNUMBER(W113),ISNUMBER(Y113)),1,0)</f>
        <v>0</v>
      </c>
      <c r="X119" s="236"/>
      <c r="Y119" s="237">
        <f>IF(AND(Y113&gt;W113,$AK93&gt;7,$AK92&gt;3,ISNUMBER(W113),ISNUMBER(Y113)),1,0)</f>
        <v>0</v>
      </c>
      <c r="Z119" s="236">
        <f>IF(AND(Z113&gt;AB113,$AK93&gt;8,$AK92&gt;3,ISNUMBER(Z113),ISNUMBER(AB113)),1,0)</f>
        <v>0</v>
      </c>
      <c r="AA119" s="236"/>
      <c r="AB119" s="237">
        <f>IF(AND(AB113&gt;Z113,$AK93&gt;8,$AK92&gt;3,ISNUMBER(Z113),ISNUMBER(AB113)),1,0)</f>
        <v>0</v>
      </c>
      <c r="AC119" s="236">
        <f>IF(AND(AC113&gt;AE113,$AK93&gt;9,$AK92&gt;3,ISNUMBER(AC113),ISNUMBER(AE113)),1,0)</f>
        <v>0</v>
      </c>
      <c r="AD119" s="236"/>
      <c r="AE119" s="237">
        <f>IF(AND(AE113&gt;AC113,$AK93&gt;9,$AK92&gt;3,ISNUMBER(AC113),ISNUMBER(AE113)),1,0)</f>
        <v>0</v>
      </c>
      <c r="AW119" s="238"/>
    </row>
    <row r="120" spans="1:49" s="235" customFormat="1" ht="12.75" hidden="1" customHeight="1" x14ac:dyDescent="0.2">
      <c r="A120" s="235" t="s">
        <v>58</v>
      </c>
      <c r="B120" s="236">
        <f>IF(AND(B114&gt;D114,$AK93&gt;0,$AK92&gt;4,ISNUMBER(B114),ISNUMBER(D114)),1,0)</f>
        <v>0</v>
      </c>
      <c r="C120" s="236"/>
      <c r="D120" s="237">
        <f>IF(AND(D114&gt;B114,$AK93&gt;0,$AK92&gt;4,ISNUMBER(B114),ISNUMBER(D114)),1,0)</f>
        <v>0</v>
      </c>
      <c r="E120" s="236">
        <f>IF(AND(E114&gt;G114,$AK93&gt;1,$AK92&gt;4,ISNUMBER(E114),ISNUMBER(G114)),1,0)</f>
        <v>0</v>
      </c>
      <c r="F120" s="236"/>
      <c r="G120" s="237">
        <f>IF(AND(G114&gt;E114,$AK93&gt;1,$AK92&gt;4,ISNUMBER(E114),ISNUMBER(G114)),1,0)</f>
        <v>0</v>
      </c>
      <c r="H120" s="236">
        <f>IF(AND(H114&gt;J114,$AK93&gt;2,$AK92&gt;4,ISNUMBER(H114),ISNUMBER(J114)),1,0)</f>
        <v>0</v>
      </c>
      <c r="I120" s="236"/>
      <c r="J120" s="237">
        <f>IF(AND(J114&gt;H114,$AK93&gt;2,$AK92&gt;4,ISNUMBER(H114),ISNUMBER(J114)),1,0)</f>
        <v>0</v>
      </c>
      <c r="K120" s="236">
        <f>IF(AND(K114&gt;M114,$AK93&gt;3,$AK92&gt;4,ISNUMBER(K114),ISNUMBER(M114)),1,0)</f>
        <v>0</v>
      </c>
      <c r="L120" s="236"/>
      <c r="M120" s="237">
        <f>IF(AND(M114&gt;K114,$AK93&gt;3,$AK92&gt;4,ISNUMBER(K114),ISNUMBER(M114)),1,0)</f>
        <v>0</v>
      </c>
      <c r="N120" s="236">
        <f>IF(AND(N114&gt;P114,$AK93&gt;4,$AK92&gt;4,ISNUMBER(N114),ISNUMBER(P114)),1,0)</f>
        <v>0</v>
      </c>
      <c r="O120" s="236"/>
      <c r="P120" s="237">
        <f>IF(AND(P114&gt;N114,$AK93&gt;4,$AK92&gt;4,ISNUMBER(N114),ISNUMBER(P114)),1,0)</f>
        <v>0</v>
      </c>
      <c r="Q120" s="236">
        <f>IF(AND(Q114&gt;S114,$AK93&gt;5,$AK92&gt;4,ISNUMBER(Q114),ISNUMBER(S114)),1,0)</f>
        <v>0</v>
      </c>
      <c r="R120" s="236"/>
      <c r="S120" s="237">
        <f>IF(AND(S114&gt;Q114,$AK93&gt;5,$AK92&gt;4,ISNUMBER(Q114),ISNUMBER(S114)),1,0)</f>
        <v>0</v>
      </c>
      <c r="T120" s="236">
        <f>IF(AND(T114&gt;V114,$AK93&gt;6,$AK92&gt;4,ISNUMBER(T114),ISNUMBER(V114)),1,0)</f>
        <v>0</v>
      </c>
      <c r="U120" s="236"/>
      <c r="V120" s="237">
        <f>IF(AND(V114&gt;T114,$AK93&gt;6,$AK92&gt;4,ISNUMBER(T114),ISNUMBER(V114)),1,0)</f>
        <v>0</v>
      </c>
      <c r="W120" s="236">
        <f>IF(AND(W114&gt;Y114,$AK93&gt;7,$AK92&gt;4,ISNUMBER(W114),ISNUMBER(Y114)),1,0)</f>
        <v>0</v>
      </c>
      <c r="X120" s="236"/>
      <c r="Y120" s="237">
        <f>IF(AND(Y114&gt;W114,$AK93&gt;7,$AK92&gt;4,ISNUMBER(W114),ISNUMBER(Y114)),1,0)</f>
        <v>0</v>
      </c>
      <c r="Z120" s="236">
        <f>IF(AND(Z114&gt;AB114,$AK93&gt;8,$AK92&gt;4,ISNUMBER(Z114),ISNUMBER(AB114)),1,0)</f>
        <v>0</v>
      </c>
      <c r="AA120" s="236"/>
      <c r="AB120" s="237">
        <f>IF(AND(AB114&gt;Z114,$AK93&gt;8,$AK92&gt;4,ISNUMBER(Z114),ISNUMBER(AB114)),1,0)</f>
        <v>0</v>
      </c>
      <c r="AC120" s="236">
        <f>IF(AND(AC114&gt;AE114,$AK93&gt;9,$AK92&gt;4,ISNUMBER(AC114),ISNUMBER(AE114)),1,0)</f>
        <v>0</v>
      </c>
      <c r="AD120" s="236"/>
      <c r="AE120" s="237">
        <f>IF(AND(AE114&gt;AC114,$AK93&gt;9,$AK92&gt;4,ISNUMBER(AC114),ISNUMBER(AE114)),1,0)</f>
        <v>0</v>
      </c>
      <c r="AW120" s="238"/>
    </row>
    <row r="121" spans="1:49" s="235" customFormat="1" ht="38.25" hidden="1" customHeight="1" x14ac:dyDescent="0.2">
      <c r="A121" s="239" t="s">
        <v>59</v>
      </c>
      <c r="B121" s="235">
        <f>SUM(B116:B120)</f>
        <v>2</v>
      </c>
      <c r="D121" s="240">
        <f>SUM(D116:D120)</f>
        <v>0</v>
      </c>
      <c r="E121" s="235">
        <f>SUM(E116:E120)</f>
        <v>2</v>
      </c>
      <c r="G121" s="240">
        <f>SUM(G116:G120)</f>
        <v>0</v>
      </c>
      <c r="H121" s="235">
        <f>SUM(H116:H120)</f>
        <v>1</v>
      </c>
      <c r="J121" s="240">
        <f>SUM(J116:J120)</f>
        <v>1</v>
      </c>
      <c r="K121" s="235">
        <f>SUM(K116:K120)</f>
        <v>2</v>
      </c>
      <c r="M121" s="240">
        <f>SUM(M116:M120)</f>
        <v>0</v>
      </c>
      <c r="N121" s="235">
        <f>SUM(N116:N120)</f>
        <v>2</v>
      </c>
      <c r="P121" s="240">
        <f>SUM(P116:P120)</f>
        <v>0</v>
      </c>
      <c r="Q121" s="235">
        <f>SUM(Q116:Q120)</f>
        <v>0</v>
      </c>
      <c r="S121" s="240">
        <f>SUM(S116:S120)</f>
        <v>2</v>
      </c>
      <c r="T121" s="235">
        <f>SUM(T116:T120)</f>
        <v>2</v>
      </c>
      <c r="V121" s="240">
        <f>SUM(V116:V120)</f>
        <v>0</v>
      </c>
      <c r="W121" s="235">
        <f>SUM(W116:W120)</f>
        <v>2</v>
      </c>
      <c r="Y121" s="240">
        <f>SUM(Y116:Y120)</f>
        <v>0</v>
      </c>
      <c r="Z121" s="235">
        <f>SUM(Z116:Z120)</f>
        <v>2</v>
      </c>
      <c r="AB121" s="240">
        <f>SUM(AB116:AB120)</f>
        <v>0</v>
      </c>
      <c r="AC121" s="235">
        <f>SUM(AC116:AC120)</f>
        <v>0</v>
      </c>
      <c r="AE121" s="240">
        <f>SUM(AE116:AE120)</f>
        <v>2</v>
      </c>
      <c r="AW121" s="238"/>
    </row>
    <row r="122" spans="1:49" s="235" customFormat="1" ht="25.5" hidden="1" customHeight="1" x14ac:dyDescent="0.2">
      <c r="A122" s="239" t="s">
        <v>60</v>
      </c>
      <c r="B122" s="235">
        <f>IF(B121&gt;D121,IF(C156=AK92,1,IF(C156=AK92-1,1,0)),0)</f>
        <v>1</v>
      </c>
      <c r="C122" s="235">
        <f>B122+D122</f>
        <v>1</v>
      </c>
      <c r="D122" s="240">
        <f>IF(D121&gt;B121,IF(C156=AK92,1,IF(C156=AK92-1,1,0)),0)</f>
        <v>0</v>
      </c>
      <c r="E122" s="235">
        <f>IF(E121&gt;G121,IF(F156=AK92,1,IF(F156=AK92-1,1,0)),0)</f>
        <v>1</v>
      </c>
      <c r="F122" s="235">
        <f>E122+G122</f>
        <v>1</v>
      </c>
      <c r="G122" s="240">
        <f>IF(G121&gt;E121,IF(F156=AK92,1,IF(F156=AK92-1,1,0)),0)</f>
        <v>0</v>
      </c>
      <c r="H122" s="235">
        <f>IF(H121&gt;J121,IF(I156=AK92,1,IF(I156=AK92-1,1,0)),0)</f>
        <v>0</v>
      </c>
      <c r="I122" s="235">
        <f>H122+J122</f>
        <v>0</v>
      </c>
      <c r="J122" s="240">
        <f>IF(J121&gt;H121,IF(I156=AK92,1,IF(I156=AK92-1,1,0)),0)</f>
        <v>0</v>
      </c>
      <c r="K122" s="235">
        <f>IF(K121&gt;M121,IF(L156=AK92,1,IF(L156=AK92-1,1,0)),0)</f>
        <v>1</v>
      </c>
      <c r="L122" s="235">
        <f>K122+M122</f>
        <v>1</v>
      </c>
      <c r="M122" s="240">
        <f>IF(M121&gt;K121,IF(L156=AK92,1,IF(L156=AK92-1,1,0)),0)</f>
        <v>0</v>
      </c>
      <c r="N122" s="235">
        <f>IF(N121&gt;P121,IF(O156=AK92,1,IF(O156=AK92-1,1,0)),0)</f>
        <v>1</v>
      </c>
      <c r="O122" s="235">
        <f>N122+P122</f>
        <v>1</v>
      </c>
      <c r="P122" s="240">
        <f>IF(P121&gt;N121,IF(O156=AK92,1,IF(O156=AK92-1,1,0)),0)</f>
        <v>0</v>
      </c>
      <c r="Q122" s="235">
        <f>IF(Q121&gt;S121,IF(R156=AK92,1,IF(R156=AK92-1,1,0)),0)</f>
        <v>0</v>
      </c>
      <c r="R122" s="235">
        <f>Q122+S122</f>
        <v>1</v>
      </c>
      <c r="S122" s="240">
        <f>IF(S121&gt;Q121,IF(R156=AK92,1,IF(R156=AK92-1,1,0)),0)</f>
        <v>1</v>
      </c>
      <c r="T122" s="235">
        <f>IF(T121&gt;V121,IF(U156=AK92,1,IF(U156=AK92-1,1,0)),0)</f>
        <v>1</v>
      </c>
      <c r="U122" s="235">
        <f>T122+V122</f>
        <v>1</v>
      </c>
      <c r="V122" s="240">
        <f>IF(V121&gt;T121,IF(U156=AK92,1,IF(U156=AK92-1,1,0)),0)</f>
        <v>0</v>
      </c>
      <c r="W122" s="235">
        <f>IF(W121&gt;Y121,IF(X156=AK92,1,IF(X156=AK92-1,1,0)),0)</f>
        <v>1</v>
      </c>
      <c r="X122" s="235">
        <f>W122+Y122</f>
        <v>1</v>
      </c>
      <c r="Y122" s="240">
        <f>IF(Y121&gt;W121,IF(X156=AK92,1,IF(X156=AK92-1,1,0)),0)</f>
        <v>0</v>
      </c>
      <c r="Z122" s="235">
        <f>IF(Z121&gt;AB121,IF(AA156=AK92,1,IF(AA156=AK92-1,1,0)),0)</f>
        <v>1</v>
      </c>
      <c r="AA122" s="235">
        <f>Z122+AB122</f>
        <v>1</v>
      </c>
      <c r="AB122" s="240">
        <f>IF(AB121&gt;Z121,IF(AA156=AK92,1,IF(AA156=AK92-1,1,0)),0)</f>
        <v>0</v>
      </c>
      <c r="AC122" s="235">
        <f>IF(AC121&gt;AE121,IF(AD156=AK92,1,IF(AD156=AK92-1,1,0)),0)</f>
        <v>0</v>
      </c>
      <c r="AD122" s="235">
        <f>AC122+AE122</f>
        <v>1</v>
      </c>
      <c r="AE122" s="240">
        <f>IF(AE121&gt;AC121,IF(AD156=AK92,1,IF(AD156=AK92-1,1,0)),0)</f>
        <v>1</v>
      </c>
      <c r="AW122" s="238"/>
    </row>
    <row r="123" spans="1:49" s="235" customFormat="1" ht="25.5" hidden="1" customHeight="1" x14ac:dyDescent="0.2">
      <c r="A123" s="239"/>
      <c r="D123" s="240"/>
      <c r="G123" s="240"/>
      <c r="J123" s="240"/>
      <c r="M123" s="240"/>
      <c r="P123" s="240"/>
      <c r="S123" s="240"/>
      <c r="V123" s="240"/>
      <c r="Y123" s="240"/>
      <c r="AB123" s="240"/>
      <c r="AE123" s="240"/>
      <c r="AW123" s="238"/>
    </row>
    <row r="124" spans="1:49" s="235" customFormat="1" ht="12.75" hidden="1" customHeight="1" x14ac:dyDescent="0.2">
      <c r="A124" s="235" t="s">
        <v>61</v>
      </c>
      <c r="B124" s="235">
        <f>IF(B116=1,B110,0)</f>
        <v>25</v>
      </c>
      <c r="D124" s="240">
        <f t="shared" ref="D124:E128" si="12">IF(D116=1,D110,0)</f>
        <v>0</v>
      </c>
      <c r="E124" s="235">
        <f t="shared" si="12"/>
        <v>25</v>
      </c>
      <c r="G124" s="240">
        <f t="shared" ref="G124:H128" si="13">IF(G116=1,G110,0)</f>
        <v>0</v>
      </c>
      <c r="H124" s="235">
        <f t="shared" si="13"/>
        <v>25</v>
      </c>
      <c r="J124" s="240">
        <f t="shared" ref="J124:K128" si="14">IF(J116=1,J110,0)</f>
        <v>0</v>
      </c>
      <c r="K124" s="235">
        <f t="shared" si="14"/>
        <v>25</v>
      </c>
      <c r="M124" s="240">
        <f t="shared" ref="M124:N128" si="15">IF(M116=1,M110,0)</f>
        <v>0</v>
      </c>
      <c r="N124" s="235">
        <f t="shared" si="15"/>
        <v>25</v>
      </c>
      <c r="P124" s="240">
        <f t="shared" ref="P124:Q128" si="16">IF(P116=1,P110,0)</f>
        <v>0</v>
      </c>
      <c r="Q124" s="235">
        <f t="shared" si="16"/>
        <v>0</v>
      </c>
      <c r="S124" s="240">
        <f t="shared" ref="S124:T128" si="17">IF(S116=1,S110,0)</f>
        <v>25</v>
      </c>
      <c r="T124" s="235">
        <f t="shared" si="17"/>
        <v>25</v>
      </c>
      <c r="V124" s="240">
        <f t="shared" ref="V124:W128" si="18">IF(V116=1,V110,0)</f>
        <v>0</v>
      </c>
      <c r="W124" s="235">
        <f t="shared" si="18"/>
        <v>25</v>
      </c>
      <c r="Y124" s="240">
        <f t="shared" ref="Y124:Z128" si="19">IF(Y116=1,Y110,0)</f>
        <v>0</v>
      </c>
      <c r="Z124" s="235">
        <f t="shared" si="19"/>
        <v>25</v>
      </c>
      <c r="AB124" s="240">
        <f t="shared" ref="AB124:AC128" si="20">IF(AB116=1,AB110,0)</f>
        <v>0</v>
      </c>
      <c r="AC124" s="235">
        <f t="shared" si="20"/>
        <v>0</v>
      </c>
      <c r="AE124" s="240">
        <f>IF(AE116=1,AE110,0)</f>
        <v>25</v>
      </c>
      <c r="AW124" s="238"/>
    </row>
    <row r="125" spans="1:49" s="235" customFormat="1" ht="12.75" hidden="1" customHeight="1" x14ac:dyDescent="0.2">
      <c r="A125" s="235" t="s">
        <v>62</v>
      </c>
      <c r="B125" s="235">
        <f>IF(B117=1,B111,0)</f>
        <v>25</v>
      </c>
      <c r="D125" s="240">
        <f t="shared" si="12"/>
        <v>0</v>
      </c>
      <c r="E125" s="235">
        <f t="shared" si="12"/>
        <v>25</v>
      </c>
      <c r="G125" s="240">
        <f t="shared" si="13"/>
        <v>0</v>
      </c>
      <c r="H125" s="235">
        <f t="shared" si="13"/>
        <v>0</v>
      </c>
      <c r="J125" s="240">
        <f t="shared" si="14"/>
        <v>25</v>
      </c>
      <c r="K125" s="235">
        <f t="shared" si="14"/>
        <v>25</v>
      </c>
      <c r="M125" s="240">
        <f t="shared" si="15"/>
        <v>0</v>
      </c>
      <c r="N125" s="235">
        <f t="shared" si="15"/>
        <v>25</v>
      </c>
      <c r="P125" s="240">
        <f t="shared" si="16"/>
        <v>0</v>
      </c>
      <c r="Q125" s="235">
        <f t="shared" si="16"/>
        <v>0</v>
      </c>
      <c r="S125" s="240">
        <f t="shared" si="17"/>
        <v>25</v>
      </c>
      <c r="T125" s="235">
        <f t="shared" si="17"/>
        <v>25</v>
      </c>
      <c r="V125" s="240">
        <f t="shared" si="18"/>
        <v>0</v>
      </c>
      <c r="W125" s="235">
        <f t="shared" si="18"/>
        <v>25</v>
      </c>
      <c r="Y125" s="240">
        <f t="shared" si="19"/>
        <v>0</v>
      </c>
      <c r="Z125" s="235">
        <f t="shared" si="19"/>
        <v>25</v>
      </c>
      <c r="AB125" s="240">
        <f t="shared" si="20"/>
        <v>0</v>
      </c>
      <c r="AC125" s="235">
        <f t="shared" si="20"/>
        <v>0</v>
      </c>
      <c r="AE125" s="240">
        <f>IF(AE117=1,AE111,0)</f>
        <v>25</v>
      </c>
      <c r="AW125" s="238"/>
    </row>
    <row r="126" spans="1:49" s="235" customFormat="1" ht="12.75" hidden="1" customHeight="1" x14ac:dyDescent="0.2">
      <c r="A126" s="235" t="s">
        <v>63</v>
      </c>
      <c r="B126" s="235">
        <f>IF(B118=1,B112,0)</f>
        <v>0</v>
      </c>
      <c r="D126" s="240">
        <f t="shared" si="12"/>
        <v>0</v>
      </c>
      <c r="E126" s="235">
        <f t="shared" si="12"/>
        <v>0</v>
      </c>
      <c r="G126" s="240">
        <f t="shared" si="13"/>
        <v>0</v>
      </c>
      <c r="H126" s="235">
        <f t="shared" si="13"/>
        <v>0</v>
      </c>
      <c r="J126" s="240">
        <f t="shared" si="14"/>
        <v>0</v>
      </c>
      <c r="K126" s="235">
        <f t="shared" si="14"/>
        <v>0</v>
      </c>
      <c r="M126" s="240">
        <f t="shared" si="15"/>
        <v>0</v>
      </c>
      <c r="N126" s="235">
        <f t="shared" si="15"/>
        <v>0</v>
      </c>
      <c r="P126" s="240">
        <f t="shared" si="16"/>
        <v>0</v>
      </c>
      <c r="Q126" s="235">
        <f t="shared" si="16"/>
        <v>0</v>
      </c>
      <c r="S126" s="240">
        <f t="shared" si="17"/>
        <v>0</v>
      </c>
      <c r="T126" s="235">
        <f t="shared" si="17"/>
        <v>0</v>
      </c>
      <c r="V126" s="240">
        <f t="shared" si="18"/>
        <v>0</v>
      </c>
      <c r="W126" s="235">
        <f t="shared" si="18"/>
        <v>0</v>
      </c>
      <c r="Y126" s="240">
        <f t="shared" si="19"/>
        <v>0</v>
      </c>
      <c r="Z126" s="235">
        <f t="shared" si="19"/>
        <v>0</v>
      </c>
      <c r="AB126" s="240">
        <f t="shared" si="20"/>
        <v>0</v>
      </c>
      <c r="AC126" s="235">
        <f t="shared" si="20"/>
        <v>0</v>
      </c>
      <c r="AE126" s="240">
        <f>IF(AE118=1,AE112,0)</f>
        <v>0</v>
      </c>
      <c r="AW126" s="238"/>
    </row>
    <row r="127" spans="1:49" s="235" customFormat="1" ht="12.75" hidden="1" customHeight="1" x14ac:dyDescent="0.2">
      <c r="A127" s="235" t="s">
        <v>64</v>
      </c>
      <c r="B127" s="235">
        <f>IF(B119=1,B113,0)</f>
        <v>0</v>
      </c>
      <c r="D127" s="240">
        <f t="shared" si="12"/>
        <v>0</v>
      </c>
      <c r="E127" s="235">
        <f t="shared" si="12"/>
        <v>0</v>
      </c>
      <c r="G127" s="240">
        <f t="shared" si="13"/>
        <v>0</v>
      </c>
      <c r="H127" s="235">
        <f t="shared" si="13"/>
        <v>0</v>
      </c>
      <c r="J127" s="240">
        <f t="shared" si="14"/>
        <v>0</v>
      </c>
      <c r="K127" s="235">
        <f t="shared" si="14"/>
        <v>0</v>
      </c>
      <c r="M127" s="240">
        <f t="shared" si="15"/>
        <v>0</v>
      </c>
      <c r="N127" s="235">
        <f t="shared" si="15"/>
        <v>0</v>
      </c>
      <c r="P127" s="240">
        <f t="shared" si="16"/>
        <v>0</v>
      </c>
      <c r="Q127" s="235">
        <f t="shared" si="16"/>
        <v>0</v>
      </c>
      <c r="S127" s="240">
        <f t="shared" si="17"/>
        <v>0</v>
      </c>
      <c r="T127" s="235">
        <f t="shared" si="17"/>
        <v>0</v>
      </c>
      <c r="V127" s="240">
        <f t="shared" si="18"/>
        <v>0</v>
      </c>
      <c r="W127" s="235">
        <f t="shared" si="18"/>
        <v>0</v>
      </c>
      <c r="Y127" s="240">
        <f t="shared" si="19"/>
        <v>0</v>
      </c>
      <c r="Z127" s="235">
        <f t="shared" si="19"/>
        <v>0</v>
      </c>
      <c r="AB127" s="240">
        <f t="shared" si="20"/>
        <v>0</v>
      </c>
      <c r="AC127" s="235">
        <f t="shared" si="20"/>
        <v>0</v>
      </c>
      <c r="AE127" s="240">
        <f>IF(AE119=1,AE113,0)</f>
        <v>0</v>
      </c>
      <c r="AW127" s="238"/>
    </row>
    <row r="128" spans="1:49" s="235" customFormat="1" ht="12.75" hidden="1" customHeight="1" x14ac:dyDescent="0.2">
      <c r="A128" s="235" t="s">
        <v>65</v>
      </c>
      <c r="B128" s="235">
        <f>IF(B120=1,B114,0)</f>
        <v>0</v>
      </c>
      <c r="D128" s="240">
        <f t="shared" si="12"/>
        <v>0</v>
      </c>
      <c r="E128" s="235">
        <f t="shared" si="12"/>
        <v>0</v>
      </c>
      <c r="G128" s="240">
        <f t="shared" si="13"/>
        <v>0</v>
      </c>
      <c r="H128" s="235">
        <f t="shared" si="13"/>
        <v>0</v>
      </c>
      <c r="J128" s="240">
        <f t="shared" si="14"/>
        <v>0</v>
      </c>
      <c r="K128" s="235">
        <f t="shared" si="14"/>
        <v>0</v>
      </c>
      <c r="M128" s="240">
        <f t="shared" si="15"/>
        <v>0</v>
      </c>
      <c r="N128" s="235">
        <f t="shared" si="15"/>
        <v>0</v>
      </c>
      <c r="P128" s="240">
        <f t="shared" si="16"/>
        <v>0</v>
      </c>
      <c r="Q128" s="235">
        <f t="shared" si="16"/>
        <v>0</v>
      </c>
      <c r="S128" s="240">
        <f t="shared" si="17"/>
        <v>0</v>
      </c>
      <c r="T128" s="235">
        <f t="shared" si="17"/>
        <v>0</v>
      </c>
      <c r="V128" s="240">
        <f t="shared" si="18"/>
        <v>0</v>
      </c>
      <c r="W128" s="235">
        <f t="shared" si="18"/>
        <v>0</v>
      </c>
      <c r="Y128" s="240">
        <f t="shared" si="19"/>
        <v>0</v>
      </c>
      <c r="Z128" s="235">
        <f t="shared" si="19"/>
        <v>0</v>
      </c>
      <c r="AB128" s="240">
        <f t="shared" si="20"/>
        <v>0</v>
      </c>
      <c r="AC128" s="235">
        <f t="shared" si="20"/>
        <v>0</v>
      </c>
      <c r="AE128" s="240">
        <f>IF(AE120=1,AE114,0)</f>
        <v>0</v>
      </c>
      <c r="AW128" s="238"/>
    </row>
    <row r="129" spans="1:49" s="235" customFormat="1" ht="38.25" hidden="1" customHeight="1" x14ac:dyDescent="0.2">
      <c r="A129" s="239" t="s">
        <v>66</v>
      </c>
      <c r="B129" s="235">
        <f>SUM(B124:D128)</f>
        <v>50</v>
      </c>
      <c r="D129" s="240"/>
      <c r="E129" s="235">
        <f>SUM(E124:G128)</f>
        <v>50</v>
      </c>
      <c r="G129" s="240"/>
      <c r="H129" s="235">
        <f>SUM(H124:J128)</f>
        <v>50</v>
      </c>
      <c r="J129" s="240"/>
      <c r="K129" s="235">
        <f>SUM(K124:M128)</f>
        <v>50</v>
      </c>
      <c r="M129" s="240"/>
      <c r="N129" s="235">
        <f>SUM(N124:P128)</f>
        <v>50</v>
      </c>
      <c r="P129" s="240"/>
      <c r="Q129" s="235">
        <f>SUM(Q124:S128)</f>
        <v>50</v>
      </c>
      <c r="S129" s="240"/>
      <c r="T129" s="235">
        <f>SUM(T124:V128)</f>
        <v>50</v>
      </c>
      <c r="V129" s="240"/>
      <c r="W129" s="235">
        <f>SUM(W124:Y128)</f>
        <v>50</v>
      </c>
      <c r="Y129" s="240"/>
      <c r="Z129" s="235">
        <f>SUM(Z124:AB128)</f>
        <v>50</v>
      </c>
      <c r="AB129" s="240"/>
      <c r="AC129" s="235">
        <f>SUM(AC124:AE128)</f>
        <v>50</v>
      </c>
      <c r="AE129" s="240"/>
      <c r="AW129" s="238"/>
    </row>
    <row r="130" spans="1:49" s="235" customFormat="1" ht="38.25" hidden="1" customHeight="1" x14ac:dyDescent="0.2">
      <c r="A130" s="235" t="s">
        <v>67</v>
      </c>
      <c r="D130" s="240"/>
      <c r="G130" s="240"/>
      <c r="J130" s="240"/>
      <c r="M130" s="240"/>
      <c r="P130" s="240"/>
      <c r="S130" s="240"/>
      <c r="V130" s="240"/>
      <c r="Y130" s="240"/>
      <c r="AB130" s="240"/>
      <c r="AE130" s="240"/>
      <c r="AF130" s="239" t="s">
        <v>68</v>
      </c>
      <c r="AG130" s="235" t="s">
        <v>69</v>
      </c>
      <c r="AW130" s="238"/>
    </row>
    <row r="131" spans="1:49" s="235" customFormat="1" ht="12.75" hidden="1" customHeight="1" x14ac:dyDescent="0.2">
      <c r="A131" s="235" t="s">
        <v>70</v>
      </c>
      <c r="B131" s="235">
        <f>IF(B109=1,IF(B122=1,1,0),0)</f>
        <v>0</v>
      </c>
      <c r="D131" s="240">
        <f>IF(D109=1,IF(D122=1,1,0),0)</f>
        <v>0</v>
      </c>
      <c r="E131" s="235">
        <f>IF(E109=1,IF(E122=1,1,0),0)</f>
        <v>1</v>
      </c>
      <c r="G131" s="240">
        <f>IF(G109=1,IF(G122=1,1,0),0)</f>
        <v>0</v>
      </c>
      <c r="H131" s="235">
        <f>IF(H109=1,IF(H122=1,1,0),0)</f>
        <v>0</v>
      </c>
      <c r="J131" s="240">
        <f>IF(J109=1,IF(J122=1,1,0),0)</f>
        <v>0</v>
      </c>
      <c r="K131" s="235">
        <f>IF(K109=1,IF(K122=1,1,0),0)</f>
        <v>0</v>
      </c>
      <c r="M131" s="240">
        <f>IF(M109=1,IF(M122=1,1,0),0)</f>
        <v>0</v>
      </c>
      <c r="N131" s="235">
        <f>IF(N109=1,IF(N122=1,1,0),0)</f>
        <v>1</v>
      </c>
      <c r="P131" s="240">
        <f>IF(P109=1,IF(P122=1,1,0),0)</f>
        <v>0</v>
      </c>
      <c r="Q131" s="235">
        <f>IF(Q109=1,IF(Q122=1,1,0),0)</f>
        <v>0</v>
      </c>
      <c r="S131" s="240">
        <f>IF(S109=1,IF(S122=1,1,0),0)</f>
        <v>0</v>
      </c>
      <c r="T131" s="235">
        <f>IF(T109=1,IF(T122=1,1,0),0)</f>
        <v>0</v>
      </c>
      <c r="V131" s="240">
        <f>IF(V109=1,IF(V122=1,1,0),0)</f>
        <v>0</v>
      </c>
      <c r="W131" s="235">
        <f>IF(W109=1,IF(W122=1,1,0),0)</f>
        <v>1</v>
      </c>
      <c r="Y131" s="240">
        <f>IF(Y109=1,IF(Y122=1,1,0),0)</f>
        <v>0</v>
      </c>
      <c r="Z131" s="235">
        <f>IF(Z109=1,IF(Z122=1,1,0),0)</f>
        <v>0</v>
      </c>
      <c r="AB131" s="240">
        <f>IF(AB109=1,IF(AB122=1,1,0),0)</f>
        <v>0</v>
      </c>
      <c r="AC131" s="235">
        <f>IF(AC109=1,IF(AC122=1,1,0),0)</f>
        <v>0</v>
      </c>
      <c r="AE131" s="240">
        <f>IF(AE109=1,IF(AE122=1,1,0),0)</f>
        <v>0</v>
      </c>
      <c r="AF131" s="235">
        <f>SUM(B131:AE131)</f>
        <v>3</v>
      </c>
      <c r="AG131" s="235">
        <f>AF137-AF131</f>
        <v>1</v>
      </c>
      <c r="AW131" s="238"/>
    </row>
    <row r="132" spans="1:49" s="235" customFormat="1" ht="12.75" hidden="1" customHeight="1" x14ac:dyDescent="0.2">
      <c r="A132" s="235" t="s">
        <v>71</v>
      </c>
      <c r="B132" s="235">
        <f>IF(B109=2,IF(B122=1,1,0),0)</f>
        <v>1</v>
      </c>
      <c r="D132" s="240">
        <f>IF(D109=2,IF(D122=1,1,0),0)</f>
        <v>0</v>
      </c>
      <c r="E132" s="235">
        <f>IF(E109=2,IF(E122=1,1,0),0)</f>
        <v>0</v>
      </c>
      <c r="G132" s="240">
        <f>IF(G109=2,IF(G122=1,1,0),0)</f>
        <v>0</v>
      </c>
      <c r="H132" s="235">
        <f>IF(H109=2,IF(H122=1,1,0),0)</f>
        <v>0</v>
      </c>
      <c r="J132" s="240">
        <f>IF(J109=2,IF(J122=1,1,0),0)</f>
        <v>0</v>
      </c>
      <c r="K132" s="235">
        <f>IF(K109=2,IF(K122=1,1,0),0)</f>
        <v>1</v>
      </c>
      <c r="M132" s="240">
        <f>IF(M109=2,IF(M122=1,1,0),0)</f>
        <v>0</v>
      </c>
      <c r="N132" s="235">
        <f>IF(N109=2,IF(N122=1,1,0),0)</f>
        <v>0</v>
      </c>
      <c r="P132" s="240">
        <f>IF(P109=2,IF(P122=1,1,0),0)</f>
        <v>0</v>
      </c>
      <c r="Q132" s="235">
        <f>IF(Q109=2,IF(Q122=1,1,0),0)</f>
        <v>0</v>
      </c>
      <c r="S132" s="240">
        <f>IF(S109=2,IF(S122=1,1,0),0)</f>
        <v>0</v>
      </c>
      <c r="T132" s="235">
        <f>IF(T109=2,IF(T122=1,1,0),0)</f>
        <v>1</v>
      </c>
      <c r="V132" s="240">
        <f>IF(V109=2,IF(V122=1,1,0),0)</f>
        <v>0</v>
      </c>
      <c r="W132" s="235">
        <f>IF(W109=2,IF(W122=1,1,0),0)</f>
        <v>0</v>
      </c>
      <c r="Y132" s="240">
        <f>IF(Y109=2,IF(Y122=1,1,0),0)</f>
        <v>0</v>
      </c>
      <c r="Z132" s="235">
        <f>IF(Z109=2,IF(Z122=1,1,0),0)</f>
        <v>0</v>
      </c>
      <c r="AB132" s="240">
        <f>IF(AB109=2,IF(AB122=1,1,0),0)</f>
        <v>0</v>
      </c>
      <c r="AC132" s="235">
        <f>IF(AC109=2,IF(AC122=1,1,0),0)</f>
        <v>0</v>
      </c>
      <c r="AE132" s="240">
        <f>IF(AE109=2,IF(AE122=1,1,0),0)</f>
        <v>1</v>
      </c>
      <c r="AF132" s="235">
        <f>SUM(B132:AE132)</f>
        <v>4</v>
      </c>
      <c r="AG132" s="235">
        <f>AF138-AF132</f>
        <v>0</v>
      </c>
      <c r="AW132" s="238"/>
    </row>
    <row r="133" spans="1:49" s="235" customFormat="1" ht="12.75" hidden="1" customHeight="1" x14ac:dyDescent="0.2">
      <c r="A133" s="235" t="s">
        <v>72</v>
      </c>
      <c r="B133" s="235">
        <f>IF(B109=3,IF(B122=1,1,0),0)</f>
        <v>0</v>
      </c>
      <c r="D133" s="240">
        <f>IF(D109=3,IF(D122=1,1,0),0)</f>
        <v>0</v>
      </c>
      <c r="E133" s="235">
        <f>IF(E109=3,IF(E122=1,1,0),0)</f>
        <v>0</v>
      </c>
      <c r="G133" s="240">
        <f>IF(G109=3,IF(G122=1,1,0),0)</f>
        <v>0</v>
      </c>
      <c r="H133" s="235">
        <f>IF(H109=3,IF(H122=1,1,0),0)</f>
        <v>0</v>
      </c>
      <c r="J133" s="240">
        <f>IF(J109=3,IF(J122=1,1,0),0)</f>
        <v>0</v>
      </c>
      <c r="K133" s="235">
        <f>IF(K109=3,IF(K122=1,1,0),0)</f>
        <v>0</v>
      </c>
      <c r="M133" s="240">
        <f>IF(M109=3,IF(M122=1,1,0),0)</f>
        <v>0</v>
      </c>
      <c r="N133" s="235">
        <f>IF(N109=3,IF(N122=1,1,0),0)</f>
        <v>0</v>
      </c>
      <c r="P133" s="240">
        <f>IF(P109=3,IF(P122=1,1,0),0)</f>
        <v>0</v>
      </c>
      <c r="Q133" s="235">
        <f>IF(Q109=3,IF(Q122=1,1,0),0)</f>
        <v>0</v>
      </c>
      <c r="S133" s="240">
        <f>IF(S109=3,IF(S122=1,1,0),0)</f>
        <v>0</v>
      </c>
      <c r="T133" s="235">
        <f>IF(T109=3,IF(T122=1,1,0),0)</f>
        <v>0</v>
      </c>
      <c r="V133" s="240">
        <f>IF(V109=3,IF(V122=1,1,0),0)</f>
        <v>0</v>
      </c>
      <c r="W133" s="235">
        <f>IF(W109=3,IF(W122=1,1,0),0)</f>
        <v>0</v>
      </c>
      <c r="Y133" s="240">
        <f>IF(Y109=3,IF(Y122=1,1,0),0)</f>
        <v>0</v>
      </c>
      <c r="Z133" s="235">
        <f>IF(Z109=3,IF(Z122=1,1,0),0)</f>
        <v>1</v>
      </c>
      <c r="AB133" s="240">
        <f>IF(AB109=3,IF(AB122=1,1,0),0)</f>
        <v>0</v>
      </c>
      <c r="AC133" s="235">
        <f>IF(AC109=3,IF(AC122=1,1,0),0)</f>
        <v>0</v>
      </c>
      <c r="AE133" s="240">
        <f>IF(AE109=3,IF(AE122=1,1,0),0)</f>
        <v>0</v>
      </c>
      <c r="AF133" s="235">
        <f>SUM(B133:AE133)</f>
        <v>1</v>
      </c>
      <c r="AG133" s="235">
        <f>AF139-AF133</f>
        <v>2</v>
      </c>
      <c r="AW133" s="238"/>
    </row>
    <row r="134" spans="1:49" s="235" customFormat="1" ht="12.75" hidden="1" customHeight="1" x14ac:dyDescent="0.2">
      <c r="A134" s="235" t="s">
        <v>73</v>
      </c>
      <c r="B134" s="235">
        <f>IF(B109=4,IF(B122=1,1,0),0)</f>
        <v>0</v>
      </c>
      <c r="D134" s="240">
        <f>IF(D109=4,IF(D122=1,1,0),0)</f>
        <v>0</v>
      </c>
      <c r="E134" s="235">
        <f>IF(E109=4,IF(E122=1,1,0),0)</f>
        <v>0</v>
      </c>
      <c r="G134" s="240">
        <f>IF(G109=4,IF(G122=1,1,0),0)</f>
        <v>0</v>
      </c>
      <c r="H134" s="235">
        <f>IF(H109=4,IF(H122=1,1,0),0)</f>
        <v>0</v>
      </c>
      <c r="J134" s="240">
        <f>IF(J109=4,IF(J122=1,1,0),0)</f>
        <v>0</v>
      </c>
      <c r="K134" s="235">
        <f>IF(K109=4,IF(K122=1,1,0),0)</f>
        <v>0</v>
      </c>
      <c r="M134" s="240">
        <f>IF(M109=4,IF(M122=1,1,0),0)</f>
        <v>0</v>
      </c>
      <c r="N134" s="235">
        <f>IF(N109=4,IF(N122=1,1,0),0)</f>
        <v>0</v>
      </c>
      <c r="P134" s="240">
        <f>IF(P109=4,IF(P122=1,1,0),0)</f>
        <v>0</v>
      </c>
      <c r="Q134" s="235">
        <f>IF(Q109=4,IF(Q122=1,1,0),0)</f>
        <v>0</v>
      </c>
      <c r="S134" s="240">
        <f>IF(S109=4,IF(S122=1,1,0),0)</f>
        <v>0</v>
      </c>
      <c r="T134" s="235">
        <f>IF(T109=4,IF(T122=1,1,0),0)</f>
        <v>0</v>
      </c>
      <c r="V134" s="240">
        <f>IF(V109=4,IF(V122=1,1,0),0)</f>
        <v>0</v>
      </c>
      <c r="W134" s="235">
        <f>IF(W109=4,IF(W122=1,1,0),0)</f>
        <v>0</v>
      </c>
      <c r="Y134" s="240">
        <f>IF(Y109=4,IF(Y122=1,1,0),0)</f>
        <v>0</v>
      </c>
      <c r="Z134" s="235">
        <f>IF(Z109=4,IF(Z122=1,1,0),0)</f>
        <v>0</v>
      </c>
      <c r="AB134" s="240">
        <f>IF(AB109=4,IF(AB122=1,1,0),0)</f>
        <v>0</v>
      </c>
      <c r="AC134" s="235">
        <f>IF(AC109=4,IF(AC122=1,1,0),0)</f>
        <v>0</v>
      </c>
      <c r="AE134" s="240">
        <f>IF(AE109=4,IF(AE122=1,1,0),0)</f>
        <v>0</v>
      </c>
      <c r="AF134" s="235">
        <f>SUM(B134:AE134)</f>
        <v>0</v>
      </c>
      <c r="AG134" s="235">
        <f>AF140-AF134</f>
        <v>4</v>
      </c>
      <c r="AW134" s="238"/>
    </row>
    <row r="135" spans="1:49" s="235" customFormat="1" ht="12.75" hidden="1" customHeight="1" x14ac:dyDescent="0.2">
      <c r="A135" s="235" t="s">
        <v>74</v>
      </c>
      <c r="B135" s="235">
        <f>IF(B109=5,IF(B122=1,1,0),0)</f>
        <v>0</v>
      </c>
      <c r="D135" s="240">
        <f>IF(D109=5,IF(D122=1,1,0),0)</f>
        <v>0</v>
      </c>
      <c r="E135" s="235">
        <f>IF(E109=5,IF(E122=1,1,0),0)</f>
        <v>0</v>
      </c>
      <c r="G135" s="240">
        <f>IF(G109=5,IF(G122=1,1,0),0)</f>
        <v>0</v>
      </c>
      <c r="H135" s="235">
        <f>IF(H109=5,IF(H122=1,1,0),0)</f>
        <v>0</v>
      </c>
      <c r="J135" s="240">
        <f>IF(J109=5,IF(J122=1,1,0),0)</f>
        <v>0</v>
      </c>
      <c r="K135" s="235">
        <f>IF(K109=5,IF(K122=1,1,0),0)</f>
        <v>0</v>
      </c>
      <c r="M135" s="240">
        <f>IF(M109=5,IF(M122=1,1,0),0)</f>
        <v>0</v>
      </c>
      <c r="N135" s="235">
        <f>IF(N109=5,IF(N122=1,1,0),0)</f>
        <v>0</v>
      </c>
      <c r="P135" s="240">
        <f>IF(P109=5,IF(P122=1,1,0),0)</f>
        <v>0</v>
      </c>
      <c r="Q135" s="235">
        <f>IF(Q109=5,IF(Q122=1,1,0),0)</f>
        <v>0</v>
      </c>
      <c r="S135" s="240">
        <f>IF(S109=5,IF(S122=1,1,0),0)</f>
        <v>1</v>
      </c>
      <c r="T135" s="235">
        <f>IF(T109=5,IF(T122=1,1,0),0)</f>
        <v>0</v>
      </c>
      <c r="V135" s="240">
        <f>IF(V109=5,IF(V122=1,1,0),0)</f>
        <v>0</v>
      </c>
      <c r="W135" s="235">
        <f>IF(W109=5,IF(W122=1,1,0),0)</f>
        <v>0</v>
      </c>
      <c r="Y135" s="240">
        <f>IF(Y109=5,IF(Y122=1,1,0),0)</f>
        <v>0</v>
      </c>
      <c r="Z135" s="235">
        <f>IF(Z109=5,IF(Z122=1,1,0),0)</f>
        <v>0</v>
      </c>
      <c r="AB135" s="240">
        <f>IF(AB109=5,IF(AB122=1,1,0),0)</f>
        <v>0</v>
      </c>
      <c r="AC135" s="235">
        <f>IF(AC109=5,IF(AC122=1,1,0),0)</f>
        <v>0</v>
      </c>
      <c r="AE135" s="240">
        <f>IF(AE109=5,IF(AE122=1,1,0),0)</f>
        <v>0</v>
      </c>
      <c r="AF135" s="235">
        <f>SUM(B135:AE135)</f>
        <v>1</v>
      </c>
      <c r="AG135" s="235">
        <f>AF141-AF135</f>
        <v>2</v>
      </c>
      <c r="AW135" s="238"/>
    </row>
    <row r="136" spans="1:49" s="235" customFormat="1" ht="38.25" hidden="1" customHeight="1" x14ac:dyDescent="0.2">
      <c r="A136" s="239"/>
      <c r="D136" s="240"/>
      <c r="G136" s="240"/>
      <c r="J136" s="240"/>
      <c r="M136" s="240"/>
      <c r="P136" s="240"/>
      <c r="S136" s="240"/>
      <c r="V136" s="240"/>
      <c r="Y136" s="240"/>
      <c r="AB136" s="240"/>
      <c r="AE136" s="240"/>
      <c r="AF136" s="239" t="s">
        <v>75</v>
      </c>
      <c r="AW136" s="238"/>
    </row>
    <row r="137" spans="1:49" s="235" customFormat="1" ht="12.75" hidden="1" customHeight="1" x14ac:dyDescent="0.2">
      <c r="A137" s="235" t="s">
        <v>76</v>
      </c>
      <c r="B137" s="235">
        <f>IF(B109=1,IF(C122=1,1,0),0)</f>
        <v>0</v>
      </c>
      <c r="D137" s="240">
        <f>IF(D109=1,IF(C122=1,1,0),0)</f>
        <v>0</v>
      </c>
      <c r="E137" s="235">
        <f>IF(E109=1,IF(F122=1,1,0),0)</f>
        <v>1</v>
      </c>
      <c r="G137" s="240">
        <f>IF(G109=1,IF(F122=1,1,0),0)</f>
        <v>0</v>
      </c>
      <c r="H137" s="235">
        <f>IF(H109=1,IF(I122=1,1,0),0)</f>
        <v>0</v>
      </c>
      <c r="J137" s="240">
        <f>IF(J109=1,IF(I122=1,1,0),0)</f>
        <v>0</v>
      </c>
      <c r="K137" s="235">
        <f>IF(K109=1,IF(L122=1,1,0),0)</f>
        <v>0</v>
      </c>
      <c r="M137" s="240">
        <f>IF(M109=1,IF(L122=1,1,0),0)</f>
        <v>0</v>
      </c>
      <c r="N137" s="235">
        <f>IF(N109=1,IF(O122=1,1,0),0)</f>
        <v>1</v>
      </c>
      <c r="P137" s="240">
        <f>IF(P109=1,IF(O122=1,1,0),0)</f>
        <v>0</v>
      </c>
      <c r="Q137" s="235">
        <f>IF(Q109=1,IF(R122=1,1,0),0)</f>
        <v>0</v>
      </c>
      <c r="S137" s="240">
        <f>IF(S109=1,IF(R122=1,1,0),0)</f>
        <v>0</v>
      </c>
      <c r="T137" s="235">
        <f>IF(T109=1,IF(U122=1,1,0),0)</f>
        <v>0</v>
      </c>
      <c r="V137" s="240">
        <f>IF(V109=1,IF(U122=1,1,0),0)</f>
        <v>0</v>
      </c>
      <c r="W137" s="235">
        <f>IF(W109=1,IF(X122=1,1,0),0)</f>
        <v>1</v>
      </c>
      <c r="Y137" s="240">
        <f>IF(Y109=1,IF(X122=1,1,0),0)</f>
        <v>0</v>
      </c>
      <c r="Z137" s="235">
        <f>IF(Z109=1,IF(AA122=1,1,0),0)</f>
        <v>0</v>
      </c>
      <c r="AB137" s="240">
        <f>IF(AB109=1,IF(AA122=1,1,0),0)</f>
        <v>0</v>
      </c>
      <c r="AC137" s="235">
        <f>IF(AC109=1,IF(AD122=1,1,0),0)</f>
        <v>1</v>
      </c>
      <c r="AE137" s="240">
        <f>IF(AE109=1,IF(AD122=1,1,0),0)</f>
        <v>0</v>
      </c>
      <c r="AF137" s="235">
        <f>SUM(B137:AE137)</f>
        <v>4</v>
      </c>
      <c r="AW137" s="238"/>
    </row>
    <row r="138" spans="1:49" s="235" customFormat="1" ht="12.75" hidden="1" customHeight="1" x14ac:dyDescent="0.2">
      <c r="A138" s="235" t="s">
        <v>77</v>
      </c>
      <c r="B138" s="235">
        <f>IF(B109=2,IF(C122=1,1,0),0)</f>
        <v>1</v>
      </c>
      <c r="D138" s="240">
        <f>IF(D109=2,IF(C122=1,1,0),0)</f>
        <v>0</v>
      </c>
      <c r="E138" s="235">
        <f>IF(E109=2,IF(F122=1,1,0),0)</f>
        <v>0</v>
      </c>
      <c r="G138" s="240">
        <f>IF(G109=2,IF(F122=1,1,0),0)</f>
        <v>0</v>
      </c>
      <c r="H138" s="235">
        <f>IF(H109=2,IF(I122=1,1,0),0)</f>
        <v>0</v>
      </c>
      <c r="J138" s="240">
        <f>IF(J109=2,IF(I122=1,1,0),0)</f>
        <v>0</v>
      </c>
      <c r="K138" s="235">
        <f>IF(K109=2,IF(L122=1,1,0),0)</f>
        <v>1</v>
      </c>
      <c r="M138" s="240">
        <f>IF(M109=2,IF(L122=1,1,0),0)</f>
        <v>0</v>
      </c>
      <c r="N138" s="235">
        <f>IF(N109=2,IF(O122=1,1,0),0)</f>
        <v>0</v>
      </c>
      <c r="P138" s="240">
        <f>IF(P109=2,IF(O122=1,1,0),0)</f>
        <v>0</v>
      </c>
      <c r="Q138" s="235">
        <f>IF(Q109=2,IF(R122=1,1,0),0)</f>
        <v>0</v>
      </c>
      <c r="S138" s="240">
        <f>IF(S109=2,IF(R122=1,1,0),0)</f>
        <v>0</v>
      </c>
      <c r="T138" s="235">
        <f>IF(T109=2,IF(U122=1,1,0),0)</f>
        <v>1</v>
      </c>
      <c r="V138" s="240">
        <f>IF(V109=2,IF(U122=1,1,0),0)</f>
        <v>0</v>
      </c>
      <c r="W138" s="235">
        <f>IF(W109=2,IF(X122=1,1,0),0)</f>
        <v>0</v>
      </c>
      <c r="Y138" s="240">
        <f>IF(Y109=2,IF(X122=1,1,0),0)</f>
        <v>0</v>
      </c>
      <c r="Z138" s="235">
        <f>IF(Z109=2,IF(AA122=1,1,0),0)</f>
        <v>0</v>
      </c>
      <c r="AB138" s="240">
        <f>IF(AB109=2,IF(AA122=1,1,0),0)</f>
        <v>0</v>
      </c>
      <c r="AC138" s="235">
        <f>IF(AC109=2,IF(AD122=1,1,0),0)</f>
        <v>0</v>
      </c>
      <c r="AE138" s="240">
        <f>IF(AE109=2,IF(AD122=1,1,0),0)</f>
        <v>1</v>
      </c>
      <c r="AF138" s="235">
        <f>SUM(B138:AE138)</f>
        <v>4</v>
      </c>
      <c r="AW138" s="238"/>
    </row>
    <row r="139" spans="1:49" s="235" customFormat="1" ht="12.75" hidden="1" customHeight="1" x14ac:dyDescent="0.2">
      <c r="A139" s="235" t="s">
        <v>78</v>
      </c>
      <c r="B139" s="235">
        <f>IF(B109=3,IF(C122=1,1,0),0)</f>
        <v>0</v>
      </c>
      <c r="D139" s="240">
        <f>IF(D109=3,IF(C122=1,1,0),0)</f>
        <v>0</v>
      </c>
      <c r="E139" s="235">
        <f>IF(E109=3,IF(F122=1,1,0),0)</f>
        <v>0</v>
      </c>
      <c r="G139" s="240">
        <f>IF(G109=3,IF(F122=1,1,0),0)</f>
        <v>0</v>
      </c>
      <c r="H139" s="235">
        <f>IF(H109=3,IF(I122=1,1,0),0)</f>
        <v>0</v>
      </c>
      <c r="J139" s="240">
        <f>IF(J109=3,IF(I122=1,1,0),0)</f>
        <v>0</v>
      </c>
      <c r="K139" s="235">
        <f>IF(K109=3,IF(L122=1,1,0),0)</f>
        <v>0</v>
      </c>
      <c r="M139" s="240">
        <f>IF(M109=3,IF(L122=1,1,0),0)</f>
        <v>0</v>
      </c>
      <c r="N139" s="235">
        <f>IF(N109=3,IF(O122=1,1,0),0)</f>
        <v>0</v>
      </c>
      <c r="P139" s="240">
        <f>IF(P109=3,IF(O122=1,1,0),0)</f>
        <v>1</v>
      </c>
      <c r="Q139" s="235">
        <f>IF(Q109=3,IF(R122=1,1,0),0)</f>
        <v>0</v>
      </c>
      <c r="S139" s="240">
        <f>IF(S109=3,IF(R122=1,1,0),0)</f>
        <v>0</v>
      </c>
      <c r="T139" s="235">
        <f>IF(T109=3,IF(U122=1,1,0),0)</f>
        <v>0</v>
      </c>
      <c r="V139" s="240">
        <f>IF(V109=3,IF(U122=1,1,0),0)</f>
        <v>1</v>
      </c>
      <c r="W139" s="235">
        <f>IF(W109=3,IF(X122=1,1,0),0)</f>
        <v>0</v>
      </c>
      <c r="Y139" s="240">
        <f>IF(Y109=3,IF(X122=1,1,0),0)</f>
        <v>0</v>
      </c>
      <c r="Z139" s="235">
        <f>IF(Z109=3,IF(AA122=1,1,0),0)</f>
        <v>1</v>
      </c>
      <c r="AB139" s="240">
        <f>IF(AB109=3,IF(AA122=1,1,0),0)</f>
        <v>0</v>
      </c>
      <c r="AC139" s="235">
        <f>IF(AC109=3,IF(AD122=1,1,0),0)</f>
        <v>0</v>
      </c>
      <c r="AE139" s="240">
        <f>IF(AE109=3,IF(AD122=1,1,0),0)</f>
        <v>0</v>
      </c>
      <c r="AF139" s="235">
        <f>SUM(B139:AE139)</f>
        <v>3</v>
      </c>
      <c r="AW139" s="238"/>
    </row>
    <row r="140" spans="1:49" s="235" customFormat="1" ht="12.75" hidden="1" customHeight="1" x14ac:dyDescent="0.2">
      <c r="A140" s="235" t="s">
        <v>79</v>
      </c>
      <c r="B140" s="235">
        <f>IF(B109=4,IF(C122=1,1,0),0)</f>
        <v>0</v>
      </c>
      <c r="D140" s="240">
        <f>IF(D109=4,IF(C122=1,1,0),0)</f>
        <v>0</v>
      </c>
      <c r="E140" s="235">
        <f>IF(E109=4,IF(F122=1,1,0),0)</f>
        <v>0</v>
      </c>
      <c r="G140" s="240">
        <f>IF(G109=4,IF(F122=1,1,0),0)</f>
        <v>1</v>
      </c>
      <c r="H140" s="235">
        <f>IF(H109=4,IF(I122=1,1,0),0)</f>
        <v>0</v>
      </c>
      <c r="J140" s="240">
        <f>IF(J109=4,IF(I122=1,1,0),0)</f>
        <v>0</v>
      </c>
      <c r="K140" s="235">
        <f>IF(K109=4,IF(L122=1,1,0),0)</f>
        <v>0</v>
      </c>
      <c r="M140" s="240">
        <f>IF(M109=4,IF(L122=1,1,0),0)</f>
        <v>1</v>
      </c>
      <c r="N140" s="235">
        <f>IF(N109=4,IF(O122=1,1,0),0)</f>
        <v>0</v>
      </c>
      <c r="P140" s="240">
        <f>IF(P109=4,IF(O122=1,1,0),0)</f>
        <v>0</v>
      </c>
      <c r="Q140" s="235">
        <f>IF(Q109=4,IF(R122=1,1,0),0)</f>
        <v>1</v>
      </c>
      <c r="S140" s="240">
        <f>IF(S109=4,IF(R122=1,1,0),0)</f>
        <v>0</v>
      </c>
      <c r="T140" s="235">
        <f>IF(T109=4,IF(U122=1,1,0),0)</f>
        <v>0</v>
      </c>
      <c r="V140" s="240">
        <f>IF(V109=4,IF(U122=1,1,0),0)</f>
        <v>0</v>
      </c>
      <c r="W140" s="235">
        <f>IF(W109=4,IF(X122=1,1,0),0)</f>
        <v>0</v>
      </c>
      <c r="Y140" s="240">
        <f>IF(Y109=4,IF(X122=1,1,0),0)</f>
        <v>0</v>
      </c>
      <c r="Z140" s="235">
        <f>IF(Z109=4,IF(AA122=1,1,0),0)</f>
        <v>0</v>
      </c>
      <c r="AB140" s="240">
        <f>IF(AB109=4,IF(AA122=1,1,0),0)</f>
        <v>1</v>
      </c>
      <c r="AC140" s="235">
        <f>IF(AC109=4,IF(AD122=1,1,0),0)</f>
        <v>0</v>
      </c>
      <c r="AE140" s="240">
        <f>IF(AE109=4,IF(AD122=1,1,0),0)</f>
        <v>0</v>
      </c>
      <c r="AF140" s="235">
        <f>SUM(B140:AE140)</f>
        <v>4</v>
      </c>
      <c r="AW140" s="238"/>
    </row>
    <row r="141" spans="1:49" s="235" customFormat="1" ht="12.75" hidden="1" customHeight="1" x14ac:dyDescent="0.2">
      <c r="A141" s="235" t="s">
        <v>80</v>
      </c>
      <c r="B141" s="235">
        <f>IF(B109=5,IF(C122=1,1,0),0)</f>
        <v>0</v>
      </c>
      <c r="D141" s="240">
        <f>IF(D109=5,IF(C122=1,1,0),0)</f>
        <v>1</v>
      </c>
      <c r="E141" s="235">
        <f>IF(E109=5,IF(F122=1,1,0),0)</f>
        <v>0</v>
      </c>
      <c r="G141" s="240">
        <f>IF(G109=5,IF(F122=1,1,0),0)</f>
        <v>0</v>
      </c>
      <c r="H141" s="235">
        <f>IF(H109=5,IF(I122=1,1,0),0)</f>
        <v>0</v>
      </c>
      <c r="J141" s="240">
        <f>IF(J109=5,IF(I122=1,1,0),0)</f>
        <v>0</v>
      </c>
      <c r="K141" s="235">
        <f>IF(K109=5,IF(L122=1,1,0),0)</f>
        <v>0</v>
      </c>
      <c r="M141" s="240">
        <f>IF(M109=5,IF(L122=1,1,0),0)</f>
        <v>0</v>
      </c>
      <c r="N141" s="235">
        <f>IF(N109=5,IF(O122=1,1,0),0)</f>
        <v>0</v>
      </c>
      <c r="P141" s="240">
        <f>IF(P109=5,IF(O122=1,1,0),0)</f>
        <v>0</v>
      </c>
      <c r="Q141" s="235">
        <f>IF(Q109=5,IF(R122=1,1,0),0)</f>
        <v>0</v>
      </c>
      <c r="S141" s="240">
        <f>IF(S109=5,IF(R122=1,1,0),0)</f>
        <v>1</v>
      </c>
      <c r="T141" s="235">
        <f>IF(T109=5,IF(U122=1,1,0),0)</f>
        <v>0</v>
      </c>
      <c r="V141" s="240">
        <f>IF(V109=5,IF(U122=1,1,0),0)</f>
        <v>0</v>
      </c>
      <c r="W141" s="235">
        <f>IF(W109=5,IF(X122=1,1,0),0)</f>
        <v>0</v>
      </c>
      <c r="Y141" s="240">
        <f>IF(Y109=5,IF(X122=1,1,0),0)</f>
        <v>1</v>
      </c>
      <c r="Z141" s="235">
        <f>IF(Z109=5,IF(AA122=1,1,0),0)</f>
        <v>0</v>
      </c>
      <c r="AB141" s="240">
        <f>IF(AB109=5,IF(AA122=1,1,0),0)</f>
        <v>0</v>
      </c>
      <c r="AC141" s="235">
        <f>IF(AC109=5,IF(AD122=1,1,0),0)</f>
        <v>0</v>
      </c>
      <c r="AE141" s="240">
        <f>IF(AE109=5,IF(AD122=1,1,0),0)</f>
        <v>0</v>
      </c>
      <c r="AF141" s="235">
        <f>SUM(B141:AE141)</f>
        <v>3</v>
      </c>
      <c r="AW141" s="238"/>
    </row>
    <row r="142" spans="1:49" s="235" customFormat="1" ht="38.25" hidden="1" customHeight="1" x14ac:dyDescent="0.2">
      <c r="A142" s="239"/>
      <c r="D142" s="240"/>
      <c r="G142" s="240"/>
      <c r="J142" s="240"/>
      <c r="M142" s="240"/>
      <c r="P142" s="240"/>
      <c r="S142" s="240"/>
      <c r="V142" s="240"/>
      <c r="Y142" s="240"/>
      <c r="AB142" s="240"/>
      <c r="AE142" s="240"/>
      <c r="AF142" s="239" t="s">
        <v>81</v>
      </c>
      <c r="AG142" s="524"/>
      <c r="AH142" s="524"/>
      <c r="AI142" s="524"/>
      <c r="AJ142" s="524"/>
      <c r="AK142" s="524"/>
      <c r="AW142" s="238"/>
    </row>
    <row r="143" spans="1:49" s="235" customFormat="1" ht="12.75" hidden="1" customHeight="1" x14ac:dyDescent="0.2">
      <c r="A143" s="235" t="s">
        <v>76</v>
      </c>
      <c r="B143" s="235">
        <f>IF(B109=1,B129,0)</f>
        <v>0</v>
      </c>
      <c r="D143" s="240">
        <f>IF(D109=1,B129,0)</f>
        <v>0</v>
      </c>
      <c r="E143" s="235">
        <f>IF(E109=1,E129,0)</f>
        <v>50</v>
      </c>
      <c r="G143" s="240">
        <f>IF(G109=1,E129,0)</f>
        <v>0</v>
      </c>
      <c r="H143" s="235">
        <f>IF(H109=1,H129,0)</f>
        <v>0</v>
      </c>
      <c r="J143" s="240">
        <f>IF(J109=1,H129,0)</f>
        <v>0</v>
      </c>
      <c r="K143" s="235">
        <f>IF(K109=1,K129,0)</f>
        <v>0</v>
      </c>
      <c r="M143" s="240">
        <f>IF(M109=1,K129,0)</f>
        <v>0</v>
      </c>
      <c r="N143" s="235">
        <f>IF(N109=1,N129,0)</f>
        <v>50</v>
      </c>
      <c r="P143" s="240">
        <f>IF(P109=1,N129,0)</f>
        <v>0</v>
      </c>
      <c r="Q143" s="235">
        <f>IF(Q109=1,Q129,0)</f>
        <v>0</v>
      </c>
      <c r="S143" s="240">
        <f>IF(S109=1,Q129,0)</f>
        <v>0</v>
      </c>
      <c r="T143" s="235">
        <f>IF(T109=1,T129,0)</f>
        <v>0</v>
      </c>
      <c r="V143" s="240">
        <f>IF(V109=1,T129,0)</f>
        <v>0</v>
      </c>
      <c r="W143" s="235">
        <f>IF(W109=1,W129,0)</f>
        <v>50</v>
      </c>
      <c r="Y143" s="240">
        <f>IF(Y109=1,W129,0)</f>
        <v>0</v>
      </c>
      <c r="Z143" s="235">
        <f>IF(Z109=1,Z129,0)</f>
        <v>0</v>
      </c>
      <c r="AB143" s="240">
        <f>IF(AB109=1,Z129,0)</f>
        <v>0</v>
      </c>
      <c r="AC143" s="235">
        <f>IF(AC109=1,AC129,0)</f>
        <v>50</v>
      </c>
      <c r="AE143" s="240">
        <f>IF(AE109=1,AC129,0)</f>
        <v>0</v>
      </c>
      <c r="AF143" s="235">
        <f>SUM(B143:AE143)</f>
        <v>200</v>
      </c>
      <c r="AW143" s="238"/>
    </row>
    <row r="144" spans="1:49" s="235" customFormat="1" ht="12.75" hidden="1" customHeight="1" x14ac:dyDescent="0.2">
      <c r="A144" s="235" t="s">
        <v>77</v>
      </c>
      <c r="B144" s="235">
        <f>IF(B109=2,B129,0)</f>
        <v>50</v>
      </c>
      <c r="D144" s="240">
        <f>IF(D109=2,B129,0)</f>
        <v>0</v>
      </c>
      <c r="E144" s="235">
        <f>IF(E109=2,E129,0)</f>
        <v>0</v>
      </c>
      <c r="G144" s="240">
        <f>IF(G109=2,E129,0)</f>
        <v>0</v>
      </c>
      <c r="H144" s="235">
        <f>IF(H109=2,H129,0)</f>
        <v>0</v>
      </c>
      <c r="J144" s="240">
        <f>IF(J109=2,H129,0)</f>
        <v>0</v>
      </c>
      <c r="K144" s="235">
        <f>IF(K109=2,K129,0)</f>
        <v>50</v>
      </c>
      <c r="M144" s="240">
        <f>IF(M109=2,K129,0)</f>
        <v>0</v>
      </c>
      <c r="N144" s="235">
        <f>IF(N109=2,N129,0)</f>
        <v>0</v>
      </c>
      <c r="P144" s="240">
        <f>IF(P109=2,N129,0)</f>
        <v>0</v>
      </c>
      <c r="Q144" s="235">
        <f>IF(Q109=2,Q129,0)</f>
        <v>0</v>
      </c>
      <c r="S144" s="240">
        <f>IF(S109=2,Q129,0)</f>
        <v>0</v>
      </c>
      <c r="T144" s="235">
        <f>IF(T109=2,T129,0)</f>
        <v>50</v>
      </c>
      <c r="V144" s="240">
        <f>IF(V109=2,T129,0)</f>
        <v>0</v>
      </c>
      <c r="W144" s="235">
        <f>IF(W109=2,W129,0)</f>
        <v>0</v>
      </c>
      <c r="Y144" s="240">
        <f>IF(Y109=2,W129,0)</f>
        <v>0</v>
      </c>
      <c r="Z144" s="235">
        <f>IF(Z109=2,Z129,0)</f>
        <v>0</v>
      </c>
      <c r="AB144" s="240">
        <f>IF(AB109=2,Z129,0)</f>
        <v>0</v>
      </c>
      <c r="AC144" s="235">
        <f>IF(AC109=2,AC129,0)</f>
        <v>0</v>
      </c>
      <c r="AE144" s="240">
        <f>IF(AE109=2,AC129,0)</f>
        <v>50</v>
      </c>
      <c r="AF144" s="235">
        <f>SUM(B144:AE144)</f>
        <v>200</v>
      </c>
      <c r="AW144" s="238"/>
    </row>
    <row r="145" spans="1:49" s="235" customFormat="1" ht="12.75" hidden="1" customHeight="1" x14ac:dyDescent="0.2">
      <c r="A145" s="235" t="s">
        <v>78</v>
      </c>
      <c r="B145" s="235">
        <f>IF(B109=3,B129,0)</f>
        <v>0</v>
      </c>
      <c r="D145" s="240">
        <f>IF(D109=3,B129,0)</f>
        <v>0</v>
      </c>
      <c r="E145" s="235">
        <f>IF(E109=3,E129,0)</f>
        <v>0</v>
      </c>
      <c r="G145" s="240">
        <f>IF(G109=3,E129,0)</f>
        <v>0</v>
      </c>
      <c r="H145" s="235">
        <f>IF(H109=3,H129,0)</f>
        <v>50</v>
      </c>
      <c r="J145" s="240">
        <f>IF(J109=3,H129,0)</f>
        <v>0</v>
      </c>
      <c r="K145" s="235">
        <f>IF(K109=3,K129,0)</f>
        <v>0</v>
      </c>
      <c r="M145" s="240">
        <f>IF(M109=3,K129,0)</f>
        <v>0</v>
      </c>
      <c r="N145" s="235">
        <f>IF(N109=3,N129,0)</f>
        <v>0</v>
      </c>
      <c r="P145" s="240">
        <f>IF(P109=3,N129,0)</f>
        <v>50</v>
      </c>
      <c r="Q145" s="235">
        <f>IF(Q109=3,Q129,0)</f>
        <v>0</v>
      </c>
      <c r="S145" s="240">
        <f>IF(S109=3,Q129,0)</f>
        <v>0</v>
      </c>
      <c r="T145" s="235">
        <f>IF(T109=3,T129,0)</f>
        <v>0</v>
      </c>
      <c r="V145" s="240">
        <f>IF(V109=3,T129,0)</f>
        <v>50</v>
      </c>
      <c r="W145" s="235">
        <f>IF(W109=3,W129,0)</f>
        <v>0</v>
      </c>
      <c r="Y145" s="240">
        <f>IF(Y109=3,W129,0)</f>
        <v>0</v>
      </c>
      <c r="Z145" s="235">
        <f>IF(Z109=3,Z129,0)</f>
        <v>50</v>
      </c>
      <c r="AB145" s="240">
        <f>IF(AB109=3,Z129,0)</f>
        <v>0</v>
      </c>
      <c r="AC145" s="235">
        <f>IF(AC109=3,AC129,0)</f>
        <v>0</v>
      </c>
      <c r="AE145" s="240">
        <f>IF(AE109=3,AC129,0)</f>
        <v>0</v>
      </c>
      <c r="AF145" s="235">
        <f>SUM(B145:AE145)</f>
        <v>200</v>
      </c>
      <c r="AW145" s="238"/>
    </row>
    <row r="146" spans="1:49" s="235" customFormat="1" ht="12.75" hidden="1" customHeight="1" x14ac:dyDescent="0.2">
      <c r="A146" s="235" t="s">
        <v>79</v>
      </c>
      <c r="B146" s="235">
        <f>IF(B109=4,B129,0)</f>
        <v>0</v>
      </c>
      <c r="D146" s="240">
        <f>IF(D109=4,B129,0)</f>
        <v>0</v>
      </c>
      <c r="E146" s="235">
        <f>IF(E109=4,E129,0)</f>
        <v>0</v>
      </c>
      <c r="G146" s="240">
        <f>IF(G109=4,E129,0)</f>
        <v>50</v>
      </c>
      <c r="H146" s="235">
        <f>IF(H109=4,H129,0)</f>
        <v>0</v>
      </c>
      <c r="J146" s="240">
        <f>IF(J109=4,H129,0)</f>
        <v>0</v>
      </c>
      <c r="K146" s="235">
        <f>IF(K109=4,K129,0)</f>
        <v>0</v>
      </c>
      <c r="M146" s="240">
        <f>IF(M109=4,K129,0)</f>
        <v>50</v>
      </c>
      <c r="N146" s="235">
        <f>IF(N109=4,N129,0)</f>
        <v>0</v>
      </c>
      <c r="P146" s="240">
        <f>IF(P109=4,N129,0)</f>
        <v>0</v>
      </c>
      <c r="Q146" s="235">
        <f>IF(Q109=4,Q129,0)</f>
        <v>50</v>
      </c>
      <c r="S146" s="240">
        <f>IF(S109=4,Q129,0)</f>
        <v>0</v>
      </c>
      <c r="T146" s="235">
        <f>IF(T109=4,T129,0)</f>
        <v>0</v>
      </c>
      <c r="V146" s="240">
        <f>IF(V109=4,T129,0)</f>
        <v>0</v>
      </c>
      <c r="W146" s="235">
        <f>IF(W109=4,W129,0)</f>
        <v>0</v>
      </c>
      <c r="Y146" s="240">
        <f>IF(Y109=4,W129,0)</f>
        <v>0</v>
      </c>
      <c r="Z146" s="235">
        <f>IF(Z109=4,Z129,0)</f>
        <v>0</v>
      </c>
      <c r="AB146" s="240">
        <f>IF(AB109=4,Z129,0)</f>
        <v>50</v>
      </c>
      <c r="AC146" s="235">
        <f>IF(AC109=4,AC129,0)</f>
        <v>0</v>
      </c>
      <c r="AE146" s="240">
        <f>IF(AE109=4,AC129,0)</f>
        <v>0</v>
      </c>
      <c r="AF146" s="235">
        <f>SUM(B146:AE146)</f>
        <v>200</v>
      </c>
      <c r="AW146" s="238"/>
    </row>
    <row r="147" spans="1:49" s="235" customFormat="1" ht="12.75" hidden="1" customHeight="1" x14ac:dyDescent="0.2">
      <c r="A147" s="235" t="s">
        <v>80</v>
      </c>
      <c r="B147" s="235">
        <f>IF(B109=5,B129,0)</f>
        <v>0</v>
      </c>
      <c r="D147" s="240">
        <f>IF(D109=5,B129,0)</f>
        <v>50</v>
      </c>
      <c r="E147" s="235">
        <f>IF(E109=5,E129,0)</f>
        <v>0</v>
      </c>
      <c r="G147" s="240">
        <f>IF(G109=5,E129,0)</f>
        <v>0</v>
      </c>
      <c r="H147" s="235">
        <f>IF(H109=5,H129,0)</f>
        <v>0</v>
      </c>
      <c r="J147" s="240">
        <f>IF(J109=5,H129,0)</f>
        <v>50</v>
      </c>
      <c r="K147" s="235">
        <f>IF(K109=5,K129,0)</f>
        <v>0</v>
      </c>
      <c r="M147" s="240">
        <f>IF(M109=5,K129,0)</f>
        <v>0</v>
      </c>
      <c r="N147" s="235">
        <f>IF(N109=5,N129,0)</f>
        <v>0</v>
      </c>
      <c r="P147" s="240">
        <f>IF(P109=5,N129,0)</f>
        <v>0</v>
      </c>
      <c r="Q147" s="235">
        <f>IF(Q109=5,Q129,0)</f>
        <v>0</v>
      </c>
      <c r="S147" s="240">
        <f>IF(S109=5,Q129,0)</f>
        <v>50</v>
      </c>
      <c r="T147" s="235">
        <f>IF(T109=5,T129,0)</f>
        <v>0</v>
      </c>
      <c r="V147" s="240">
        <f>IF(V109=5,T129,0)</f>
        <v>0</v>
      </c>
      <c r="W147" s="235">
        <f>IF(W109=5,W129,0)</f>
        <v>0</v>
      </c>
      <c r="Y147" s="240">
        <f>IF(Y109=5,W129,0)</f>
        <v>50</v>
      </c>
      <c r="Z147" s="235">
        <f>IF(Z109=5,Z129,0)</f>
        <v>0</v>
      </c>
      <c r="AB147" s="240">
        <f>IF(AB109=5,Z129,0)</f>
        <v>0</v>
      </c>
      <c r="AC147" s="235">
        <f>IF(AC109=5,AC129,0)</f>
        <v>0</v>
      </c>
      <c r="AE147" s="240">
        <f>IF(AE109=5,AC129,0)</f>
        <v>0</v>
      </c>
      <c r="AF147" s="235">
        <f>SUM(B147:AE147)</f>
        <v>200</v>
      </c>
      <c r="AW147" s="238"/>
    </row>
    <row r="148" spans="1:49" s="235" customFormat="1" ht="38.25" hidden="1" customHeight="1" x14ac:dyDescent="0.2">
      <c r="A148" s="235" t="s">
        <v>82</v>
      </c>
      <c r="D148" s="240"/>
      <c r="G148" s="240"/>
      <c r="J148" s="240"/>
      <c r="M148" s="240"/>
      <c r="P148" s="240"/>
      <c r="S148" s="240"/>
      <c r="V148" s="240"/>
      <c r="Y148" s="240"/>
      <c r="AB148" s="240"/>
      <c r="AE148" s="240"/>
      <c r="AF148" s="239" t="s">
        <v>83</v>
      </c>
      <c r="AG148" s="235" t="s">
        <v>84</v>
      </c>
      <c r="AW148" s="238"/>
    </row>
    <row r="149" spans="1:49" s="235" customFormat="1" ht="12.75" hidden="1" customHeight="1" x14ac:dyDescent="0.2">
      <c r="A149" s="235" t="s">
        <v>70</v>
      </c>
      <c r="B149" s="235">
        <f>IF(B109=1,SUMIF(B116:B120,"&gt;0"),0)</f>
        <v>0</v>
      </c>
      <c r="D149" s="240">
        <f>IF(D109=1,SUMIF(D116:D120,"&gt;0"),0)</f>
        <v>0</v>
      </c>
      <c r="E149" s="235">
        <f>IF(E109=1,SUMIF(E116:E120,"&gt;0"),0)</f>
        <v>2</v>
      </c>
      <c r="G149" s="240">
        <f>IF(G109=1,SUMIF(G116:G120,"&gt;0"),0)</f>
        <v>0</v>
      </c>
      <c r="H149" s="235">
        <f>IF(H109=1,SUMIF(H116:H120,"&gt;0"),0)</f>
        <v>0</v>
      </c>
      <c r="J149" s="240">
        <f>IF(J109=1,SUMIF(J116:J120,"&gt;0"),0)</f>
        <v>0</v>
      </c>
      <c r="K149" s="235">
        <f>IF(K109=1,SUMIF(K116:K120,"&gt;0"),0)</f>
        <v>0</v>
      </c>
      <c r="M149" s="240">
        <f>IF(M109=1,SUMIF(M116:M120,"&gt;0"),0)</f>
        <v>0</v>
      </c>
      <c r="N149" s="235">
        <f>IF(N109=1,SUMIF(N116:N120,"&gt;0"),0)</f>
        <v>2</v>
      </c>
      <c r="P149" s="240">
        <f>IF(P109=1,SUMIF(P116:P120,"&gt;0"),0)</f>
        <v>0</v>
      </c>
      <c r="Q149" s="235">
        <f>IF(Q109=1,SUMIF(Q116:Q120,"&gt;0"),0)</f>
        <v>0</v>
      </c>
      <c r="S149" s="240">
        <f>IF(S109=1,SUMIF(S116:S120,"&gt;0"),0)</f>
        <v>0</v>
      </c>
      <c r="T149" s="235">
        <f>IF(T109=1,SUMIF(T116:T120,"&gt;0"),0)</f>
        <v>0</v>
      </c>
      <c r="V149" s="240">
        <f>IF(V109=1,SUMIF(V116:V120,"&gt;0"),0)</f>
        <v>0</v>
      </c>
      <c r="W149" s="235">
        <f>IF(W109=1,SUMIF(W116:W120,"&gt;0"),0)</f>
        <v>2</v>
      </c>
      <c r="Y149" s="240">
        <f>IF(Y109=1,SUMIF(Y116:Y120,"&gt;0"),0)</f>
        <v>0</v>
      </c>
      <c r="Z149" s="235">
        <f>IF(Z109=1,SUMIF(Z116:Z120,"&gt;0"),0)</f>
        <v>0</v>
      </c>
      <c r="AB149" s="240">
        <f>IF(AB109=1,SUMIF(AB116:AB120,"&gt;0"),0)</f>
        <v>0</v>
      </c>
      <c r="AC149" s="235">
        <f>IF(AC109=1,SUMIF(AC116:AC120,"&gt;0"),0)</f>
        <v>0</v>
      </c>
      <c r="AE149" s="240">
        <f>IF(AE109=1,SUMIF(AE116:AE120,"&gt;0"),0)</f>
        <v>0</v>
      </c>
      <c r="AF149" s="235">
        <f>SUM(B149:AE149)</f>
        <v>6</v>
      </c>
      <c r="AG149" s="235">
        <f>AF157-AF149</f>
        <v>2</v>
      </c>
      <c r="AW149" s="238"/>
    </row>
    <row r="150" spans="1:49" s="235" customFormat="1" ht="12.75" hidden="1" customHeight="1" x14ac:dyDescent="0.2">
      <c r="A150" s="235" t="s">
        <v>71</v>
      </c>
      <c r="B150" s="235">
        <f>IF(B109=2,SUMIF(B116:B120,"&gt;0"),0)</f>
        <v>2</v>
      </c>
      <c r="D150" s="240">
        <f>IF(D109=2,SUMIF(D116:D120,"&gt;0"),0)</f>
        <v>0</v>
      </c>
      <c r="E150" s="235">
        <f>IF(E109=2,SUMIF(E116:E120,"&gt;0"),0)</f>
        <v>0</v>
      </c>
      <c r="G150" s="240">
        <f>IF(G109=2,SUMIF(G116:G120,"&gt;0"),0)</f>
        <v>0</v>
      </c>
      <c r="H150" s="235">
        <f>IF(H109=2,SUMIF(H116:H120,"&gt;0"),0)</f>
        <v>0</v>
      </c>
      <c r="J150" s="240">
        <f>IF(J109=2,SUMIF(J116:J120,"&gt;0"),0)</f>
        <v>0</v>
      </c>
      <c r="K150" s="235">
        <f>IF(K109=2,SUMIF(K116:K120,"&gt;0"),0)</f>
        <v>2</v>
      </c>
      <c r="M150" s="240">
        <f>IF(M109=2,SUMIF(M116:M120,"&gt;0"),0)</f>
        <v>0</v>
      </c>
      <c r="N150" s="235">
        <f>IF(N109=2,SUMIF(N116:N120,"&gt;0"),0)</f>
        <v>0</v>
      </c>
      <c r="P150" s="240">
        <f>IF(P109=2,SUMIF(P116:P120,"&gt;0"),0)</f>
        <v>0</v>
      </c>
      <c r="Q150" s="235">
        <f>IF(Q109=2,SUMIF(Q116:Q120,"&gt;0"),0)</f>
        <v>0</v>
      </c>
      <c r="S150" s="240">
        <f>IF(S109=2,SUMIF(S116:S120,"&gt;0"),0)</f>
        <v>0</v>
      </c>
      <c r="T150" s="235">
        <f>IF(T109=2,SUMIF(T116:T120,"&gt;0"),0)</f>
        <v>2</v>
      </c>
      <c r="V150" s="240">
        <f>IF(V109=2,SUMIF(V116:V120,"&gt;0"),0)</f>
        <v>0</v>
      </c>
      <c r="W150" s="235">
        <f>IF(W109=2,SUMIF(W116:W120,"&gt;0"),0)</f>
        <v>0</v>
      </c>
      <c r="Y150" s="240">
        <f>IF(Y109=2,SUMIF(Y116:Y120,"&gt;0"),0)</f>
        <v>0</v>
      </c>
      <c r="Z150" s="235">
        <f>IF(Z109=2,SUMIF(Z116:Z120,"&gt;0"),0)</f>
        <v>0</v>
      </c>
      <c r="AB150" s="240">
        <f>IF(AB109=2,SUMIF(AB116:AB120,"&gt;0"),0)</f>
        <v>0</v>
      </c>
      <c r="AC150" s="235">
        <f>IF(AC109=2,SUMIF(AC116:AC120,"&gt;0"),0)</f>
        <v>0</v>
      </c>
      <c r="AE150" s="240">
        <f>IF(AE109=2,SUMIF(AE116:AE120,"&gt;0"),0)</f>
        <v>2</v>
      </c>
      <c r="AF150" s="235">
        <f>SUM(B150:AE150)</f>
        <v>8</v>
      </c>
      <c r="AG150" s="235">
        <f>AF158-AF150</f>
        <v>0</v>
      </c>
      <c r="AW150" s="238"/>
    </row>
    <row r="151" spans="1:49" s="235" customFormat="1" ht="12.75" hidden="1" customHeight="1" x14ac:dyDescent="0.2">
      <c r="A151" s="235" t="s">
        <v>72</v>
      </c>
      <c r="B151" s="235">
        <f>IF(B109=3,SUMIF(B116:B120,"&gt;0"),0)</f>
        <v>0</v>
      </c>
      <c r="D151" s="240">
        <f>IF(D109=3,SUMIF(D116:D120,"&gt;0"),0)</f>
        <v>0</v>
      </c>
      <c r="E151" s="235">
        <f>IF(E109=3,SUMIF(E116:E120,"&gt;0"),0)</f>
        <v>0</v>
      </c>
      <c r="G151" s="240">
        <f>IF(G109=3,SUMIF(G116:G120,"&gt;0"),0)</f>
        <v>0</v>
      </c>
      <c r="H151" s="235">
        <f>IF(H109=3,SUMIF(H116:H120,"&gt;0"),0)</f>
        <v>1</v>
      </c>
      <c r="J151" s="240">
        <f>IF(J109=3,SUMIF(J116:J120,"&gt;0"),0)</f>
        <v>0</v>
      </c>
      <c r="K151" s="235">
        <f>IF(K109=3,SUMIF(K116:K120,"&gt;0"),0)</f>
        <v>0</v>
      </c>
      <c r="M151" s="240">
        <f>IF(M109=3,SUMIF(M116:M120,"&gt;0"),0)</f>
        <v>0</v>
      </c>
      <c r="N151" s="235">
        <f>IF(N109=3,SUMIF(N116:N120,"&gt;0"),0)</f>
        <v>0</v>
      </c>
      <c r="P151" s="240">
        <f>IF(P109=3,SUMIF(P116:P120,"&gt;0"),0)</f>
        <v>0</v>
      </c>
      <c r="Q151" s="235">
        <f>IF(Q109=3,SUMIF(Q116:Q120,"&gt;0"),0)</f>
        <v>0</v>
      </c>
      <c r="S151" s="240">
        <f>IF(S109=3,SUMIF(S116:S120,"&gt;0"),0)</f>
        <v>0</v>
      </c>
      <c r="T151" s="235">
        <f>IF(T109=3,SUMIF(T116:T120,"&gt;0"),0)</f>
        <v>0</v>
      </c>
      <c r="V151" s="240">
        <f>IF(V109=3,SUMIF(V116:V120,"&gt;0"),0)</f>
        <v>0</v>
      </c>
      <c r="W151" s="235">
        <f>IF(W109=3,SUMIF(W116:W120,"&gt;0"),0)</f>
        <v>0</v>
      </c>
      <c r="Y151" s="240">
        <f>IF(Y109=3,SUMIF(Y116:Y120,"&gt;0"),0)</f>
        <v>0</v>
      </c>
      <c r="Z151" s="235">
        <f>IF(Z109=3,SUMIF(Z116:Z120,"&gt;0"),0)</f>
        <v>2</v>
      </c>
      <c r="AB151" s="240">
        <f>IF(AB109=3,SUMIF(AB116:AB120,"&gt;0"),0)</f>
        <v>0</v>
      </c>
      <c r="AC151" s="235">
        <f>IF(AC109=3,SUMIF(AC116:AC120,"&gt;0"),0)</f>
        <v>0</v>
      </c>
      <c r="AE151" s="240">
        <f>IF(AE109=3,SUMIF(AE116:AE120,"&gt;0"),0)</f>
        <v>0</v>
      </c>
      <c r="AF151" s="235">
        <f>SUM(B151:AE151)</f>
        <v>3</v>
      </c>
      <c r="AG151" s="235">
        <f>AF159-AF151</f>
        <v>5</v>
      </c>
      <c r="AW151" s="238"/>
    </row>
    <row r="152" spans="1:49" s="235" customFormat="1" ht="12.75" hidden="1" customHeight="1" x14ac:dyDescent="0.2">
      <c r="A152" s="235" t="s">
        <v>73</v>
      </c>
      <c r="B152" s="235">
        <f>IF(B109=4,SUMIF(B116:B120,"&gt;0"),0)</f>
        <v>0</v>
      </c>
      <c r="D152" s="240">
        <f>IF(D109=4,SUMIF(D116:D120,"&gt;0"),0)</f>
        <v>0</v>
      </c>
      <c r="E152" s="235">
        <f>IF(E109=4,SUMIF(E116:E120,"&gt;0"),0)</f>
        <v>0</v>
      </c>
      <c r="G152" s="240">
        <f>IF(G109=4,SUMIF(G116:G120,"&gt;0"),0)</f>
        <v>0</v>
      </c>
      <c r="H152" s="235">
        <f>IF(H109=4,SUMIF(H116:H120,"&gt;0"),0)</f>
        <v>0</v>
      </c>
      <c r="J152" s="240">
        <f>IF(J109=4,SUMIF(J116:J120,"&gt;0"),0)</f>
        <v>0</v>
      </c>
      <c r="K152" s="235">
        <f>IF(K109=4,SUMIF(K116:K120,"&gt;0"),0)</f>
        <v>0</v>
      </c>
      <c r="M152" s="240">
        <f>IF(M109=4,SUMIF(M116:M120,"&gt;0"),0)</f>
        <v>0</v>
      </c>
      <c r="N152" s="235">
        <f>IF(N109=4,SUMIF(N116:N120,"&gt;0"),0)</f>
        <v>0</v>
      </c>
      <c r="P152" s="240">
        <f>IF(P109=4,SUMIF(P116:P120,"&gt;0"),0)</f>
        <v>0</v>
      </c>
      <c r="Q152" s="235">
        <f>IF(Q109=4,SUMIF(Q116:Q120,"&gt;0"),0)</f>
        <v>0</v>
      </c>
      <c r="S152" s="240">
        <f>IF(S109=4,SUMIF(S116:S120,"&gt;0"),0)</f>
        <v>0</v>
      </c>
      <c r="T152" s="235">
        <f>IF(T109=4,SUMIF(T116:T120,"&gt;0"),0)</f>
        <v>0</v>
      </c>
      <c r="V152" s="240">
        <f>IF(V109=4,SUMIF(V116:V120,"&gt;0"),0)</f>
        <v>0</v>
      </c>
      <c r="W152" s="235">
        <f>IF(W109=4,SUMIF(W116:W120,"&gt;0"),0)</f>
        <v>0</v>
      </c>
      <c r="Y152" s="240">
        <f>IF(Y109=4,SUMIF(Y116:Y120,"&gt;0"),0)</f>
        <v>0</v>
      </c>
      <c r="Z152" s="235">
        <f>IF(Z109=4,SUMIF(Z116:Z120,"&gt;0"),0)</f>
        <v>0</v>
      </c>
      <c r="AB152" s="240">
        <f>IF(AB109=4,SUMIF(AB116:AB120,"&gt;0"),0)</f>
        <v>0</v>
      </c>
      <c r="AC152" s="235">
        <f>IF(AC109=4,SUMIF(AC116:AC120,"&gt;0"),0)</f>
        <v>0</v>
      </c>
      <c r="AE152" s="240">
        <f>IF(AE109=4,SUMIF(AE116:AE120,"&gt;0"),0)</f>
        <v>0</v>
      </c>
      <c r="AF152" s="235">
        <f>SUM(B152:AE152)</f>
        <v>0</v>
      </c>
      <c r="AG152" s="235">
        <f>AF160-AF152</f>
        <v>8</v>
      </c>
      <c r="AW152" s="238"/>
    </row>
    <row r="153" spans="1:49" s="235" customFormat="1" ht="12.75" hidden="1" customHeight="1" x14ac:dyDescent="0.2">
      <c r="A153" s="235" t="s">
        <v>74</v>
      </c>
      <c r="B153" s="235">
        <f>IF(B109=5,SUMIF(B116:B120,"&gt;0"),0)</f>
        <v>0</v>
      </c>
      <c r="D153" s="240">
        <f>IF(D109=5,SUMIF(D116:D120,"&gt;0"),0)</f>
        <v>0</v>
      </c>
      <c r="E153" s="235">
        <f>IF(E109=5,SUMIF(E116:E120,"&gt;0"),0)</f>
        <v>0</v>
      </c>
      <c r="G153" s="240">
        <f>IF(G109=5,SUMIF(G116:G120,"&gt;0"),0)</f>
        <v>0</v>
      </c>
      <c r="H153" s="235">
        <f>IF(H109=5,SUMIF(H116:H120,"&gt;0"),0)</f>
        <v>0</v>
      </c>
      <c r="J153" s="240">
        <f>IF(J109=5,SUMIF(J116:J120,"&gt;0"),0)</f>
        <v>1</v>
      </c>
      <c r="K153" s="235">
        <f>IF(K109=5,SUMIF(K116:K120,"&gt;0"),0)</f>
        <v>0</v>
      </c>
      <c r="M153" s="240">
        <f>IF(M109=5,SUMIF(M116:M120,"&gt;0"),0)</f>
        <v>0</v>
      </c>
      <c r="N153" s="235">
        <f>IF(N109=5,SUMIF(N116:N120,"&gt;0"),0)</f>
        <v>0</v>
      </c>
      <c r="P153" s="240">
        <f>IF(P109=5,SUMIF(P116:P120,"&gt;0"),0)</f>
        <v>0</v>
      </c>
      <c r="Q153" s="235">
        <f>IF(Q109=5,SUMIF(Q116:Q120,"&gt;0"),0)</f>
        <v>0</v>
      </c>
      <c r="S153" s="240">
        <f>IF(S109=5,SUMIF(S116:S120,"&gt;0"),0)</f>
        <v>2</v>
      </c>
      <c r="T153" s="235">
        <f>IF(T109=5,SUMIF(T116:T120,"&gt;0"),0)</f>
        <v>0</v>
      </c>
      <c r="V153" s="240">
        <f>IF(V109=5,SUMIF(V116:V120,"&gt;0"),0)</f>
        <v>0</v>
      </c>
      <c r="W153" s="235">
        <f>IF(W109=5,SUMIF(W116:W120,"&gt;0"),0)</f>
        <v>0</v>
      </c>
      <c r="Y153" s="240">
        <f>IF(Y109=5,SUMIF(Y116:Y120,"&gt;0"),0)</f>
        <v>0</v>
      </c>
      <c r="Z153" s="235">
        <f>IF(Z109=5,SUMIF(Z116:Z120,"&gt;0"),0)</f>
        <v>0</v>
      </c>
      <c r="AB153" s="240">
        <f>IF(AB109=5,SUMIF(AB116:AB120,"&gt;0"),0)</f>
        <v>0</v>
      </c>
      <c r="AC153" s="235">
        <f>IF(AC109=5,SUMIF(AC116:AC120,"&gt;0"),0)</f>
        <v>0</v>
      </c>
      <c r="AE153" s="240">
        <f>IF(AE109=5,SUMIF(AE116:AE120,"&gt;0"),0)</f>
        <v>0</v>
      </c>
      <c r="AF153" s="235">
        <f>SUM(B153:AE153)</f>
        <v>3</v>
      </c>
      <c r="AG153" s="235">
        <f>AF161-AF153</f>
        <v>5</v>
      </c>
      <c r="AW153" s="238"/>
    </row>
    <row r="154" spans="1:49" s="235" customFormat="1" ht="12.75" hidden="1" customHeight="1" x14ac:dyDescent="0.2">
      <c r="D154" s="240"/>
      <c r="G154" s="240"/>
      <c r="J154" s="240"/>
      <c r="M154" s="240"/>
      <c r="P154" s="240"/>
      <c r="S154" s="240"/>
      <c r="V154" s="240"/>
      <c r="Y154" s="240"/>
      <c r="AB154" s="240"/>
      <c r="AE154" s="240"/>
      <c r="AW154" s="238"/>
    </row>
    <row r="155" spans="1:49" s="235" customFormat="1" ht="12.75" hidden="1" customHeight="1" x14ac:dyDescent="0.2">
      <c r="D155" s="240"/>
      <c r="G155" s="240"/>
      <c r="J155" s="240"/>
      <c r="M155" s="240"/>
      <c r="P155" s="240"/>
      <c r="S155" s="240"/>
      <c r="V155" s="240"/>
      <c r="Y155" s="240"/>
      <c r="AB155" s="240"/>
      <c r="AE155" s="240"/>
      <c r="AW155" s="238"/>
    </row>
    <row r="156" spans="1:49" s="235" customFormat="1" ht="51" hidden="1" customHeight="1" x14ac:dyDescent="0.2">
      <c r="A156" s="239" t="s">
        <v>85</v>
      </c>
      <c r="C156" s="235">
        <f>SUMIF(B149:D153,"&gt;0")</f>
        <v>2</v>
      </c>
      <c r="D156" s="240"/>
      <c r="F156" s="235">
        <f>SUMIF(E149:G153,"&gt;0")</f>
        <v>2</v>
      </c>
      <c r="G156" s="240"/>
      <c r="I156" s="235">
        <f>SUMIF(H149:J153,"&gt;0")</f>
        <v>2</v>
      </c>
      <c r="J156" s="240"/>
      <c r="L156" s="235">
        <f>SUMIF(K149:M153,"&gt;0")</f>
        <v>2</v>
      </c>
      <c r="M156" s="240"/>
      <c r="O156" s="235">
        <f>SUMIF(N149:P153,"&gt;0")</f>
        <v>2</v>
      </c>
      <c r="P156" s="240"/>
      <c r="R156" s="235">
        <f>SUMIF(Q149:S153,"&gt;0")</f>
        <v>2</v>
      </c>
      <c r="S156" s="240"/>
      <c r="U156" s="235">
        <f>SUMIF(T149:V153,"&gt;0")</f>
        <v>2</v>
      </c>
      <c r="V156" s="240"/>
      <c r="X156" s="235">
        <f>SUMIF(W149:Y153,"&gt;0")</f>
        <v>2</v>
      </c>
      <c r="Y156" s="240"/>
      <c r="AA156" s="235">
        <f>SUMIF(Z149:AB153,"&gt;0")</f>
        <v>2</v>
      </c>
      <c r="AB156" s="240"/>
      <c r="AD156" s="235">
        <f>SUMIF(AC149:AE153,"&gt;0")</f>
        <v>2</v>
      </c>
      <c r="AE156" s="240"/>
      <c r="AF156" s="239" t="s">
        <v>86</v>
      </c>
      <c r="AW156" s="238"/>
    </row>
    <row r="157" spans="1:49" s="235" customFormat="1" ht="12.75" hidden="1" customHeight="1" x14ac:dyDescent="0.2">
      <c r="A157" s="235" t="s">
        <v>76</v>
      </c>
      <c r="B157" s="235">
        <f>IF(B109=1,C156,0)</f>
        <v>0</v>
      </c>
      <c r="D157" s="240">
        <f>IF(D109=1,C156,0)</f>
        <v>0</v>
      </c>
      <c r="E157" s="235">
        <f>IF(E109=1,F156,0)</f>
        <v>2</v>
      </c>
      <c r="G157" s="240">
        <f>IF(G109=1,F156,0)</f>
        <v>0</v>
      </c>
      <c r="H157" s="235">
        <f>IF(H109=1,I156,0)</f>
        <v>0</v>
      </c>
      <c r="J157" s="240">
        <f>IF(J109=1,I156,0)</f>
        <v>0</v>
      </c>
      <c r="K157" s="235">
        <f>IF(K109=1,L156,0)</f>
        <v>0</v>
      </c>
      <c r="M157" s="240">
        <f>IF(M109=1,L156,0)</f>
        <v>0</v>
      </c>
      <c r="N157" s="235">
        <f>IF(N109=1,O156,0)</f>
        <v>2</v>
      </c>
      <c r="P157" s="240">
        <f>IF(P109=1,O156,0)</f>
        <v>0</v>
      </c>
      <c r="Q157" s="235">
        <f>IF(Q109=1,R156,0)</f>
        <v>0</v>
      </c>
      <c r="S157" s="240">
        <f>IF(S109=1,R156,0)</f>
        <v>0</v>
      </c>
      <c r="T157" s="235">
        <f>IF(T109=1,U156,0)</f>
        <v>0</v>
      </c>
      <c r="V157" s="240">
        <f>IF(V109=1,U156,0)</f>
        <v>0</v>
      </c>
      <c r="W157" s="235">
        <f>IF(W109=1,X156,0)</f>
        <v>2</v>
      </c>
      <c r="Y157" s="240">
        <f>IF(Y109=1,X156,0)</f>
        <v>0</v>
      </c>
      <c r="Z157" s="235">
        <f>IF(Z109=1,AA156,0)</f>
        <v>0</v>
      </c>
      <c r="AB157" s="240">
        <f>IF(AB109=1,AA156,0)</f>
        <v>0</v>
      </c>
      <c r="AC157" s="235">
        <f>IF(AC109=1,AD156,0)</f>
        <v>2</v>
      </c>
      <c r="AE157" s="240">
        <f>IF(AE109=1,AD156,0)</f>
        <v>0</v>
      </c>
      <c r="AF157" s="235">
        <f>SUM(B157:AE157)</f>
        <v>8</v>
      </c>
      <c r="AW157" s="238"/>
    </row>
    <row r="158" spans="1:49" s="235" customFormat="1" ht="12.75" hidden="1" customHeight="1" x14ac:dyDescent="0.2">
      <c r="A158" s="235" t="s">
        <v>77</v>
      </c>
      <c r="B158" s="235">
        <f>IF(B109=2,C156,0)</f>
        <v>2</v>
      </c>
      <c r="D158" s="240">
        <f>IF(D109=2,C156,0)</f>
        <v>0</v>
      </c>
      <c r="E158" s="235">
        <f>IF(E109=2,F156,0)</f>
        <v>0</v>
      </c>
      <c r="G158" s="240">
        <f>IF(G109=2,F156,0)</f>
        <v>0</v>
      </c>
      <c r="H158" s="235">
        <f>IF(H109=2,I156,0)</f>
        <v>0</v>
      </c>
      <c r="J158" s="240">
        <f>IF(J109=2,I156,0)</f>
        <v>0</v>
      </c>
      <c r="K158" s="235">
        <f>IF(K109=2,L156,0)</f>
        <v>2</v>
      </c>
      <c r="M158" s="240">
        <f>IF(M109=2,L156,0)</f>
        <v>0</v>
      </c>
      <c r="N158" s="235">
        <f>IF(N109=2,O156,0)</f>
        <v>0</v>
      </c>
      <c r="P158" s="240">
        <f>IF(P109=2,O156,0)</f>
        <v>0</v>
      </c>
      <c r="Q158" s="235">
        <f>IF(Q109=2,R156,0)</f>
        <v>0</v>
      </c>
      <c r="S158" s="240">
        <f>IF(S109=2,R156,0)</f>
        <v>0</v>
      </c>
      <c r="T158" s="235">
        <f>IF(T109=2,U156,0)</f>
        <v>2</v>
      </c>
      <c r="V158" s="240">
        <f>IF(V109=2,U156,0)</f>
        <v>0</v>
      </c>
      <c r="W158" s="235">
        <f>IF(W109=2,X156,0)</f>
        <v>0</v>
      </c>
      <c r="Y158" s="240">
        <f>IF(Y109=2,X156,0)</f>
        <v>0</v>
      </c>
      <c r="Z158" s="235">
        <f>IF(Z109=2,AA156,0)</f>
        <v>0</v>
      </c>
      <c r="AB158" s="240">
        <f>IF(AB109=2,AA156,0)</f>
        <v>0</v>
      </c>
      <c r="AC158" s="235">
        <f>IF(AC109=2,AD156,0)</f>
        <v>0</v>
      </c>
      <c r="AE158" s="240">
        <f>IF(AE109=2,AD156,0)</f>
        <v>2</v>
      </c>
      <c r="AF158" s="235">
        <f>SUM(B158:AE158)</f>
        <v>8</v>
      </c>
      <c r="AW158" s="238"/>
    </row>
    <row r="159" spans="1:49" s="235" customFormat="1" ht="12.75" hidden="1" customHeight="1" x14ac:dyDescent="0.2">
      <c r="A159" s="235" t="s">
        <v>78</v>
      </c>
      <c r="B159" s="235">
        <f>IF(B109=3,C156,0)</f>
        <v>0</v>
      </c>
      <c r="D159" s="240">
        <f>IF(D109=3,C156,0)</f>
        <v>0</v>
      </c>
      <c r="E159" s="235">
        <f>IF(E109=3,F156,0)</f>
        <v>0</v>
      </c>
      <c r="G159" s="240">
        <f>IF(G109=3,F156,0)</f>
        <v>0</v>
      </c>
      <c r="H159" s="235">
        <f>IF(H109=3,I156,0)</f>
        <v>2</v>
      </c>
      <c r="J159" s="240">
        <f>IF(J109=3,I156,0)</f>
        <v>0</v>
      </c>
      <c r="K159" s="235">
        <f>IF(K109=3,L156,0)</f>
        <v>0</v>
      </c>
      <c r="M159" s="240">
        <f>IF(M109=3,L156,0)</f>
        <v>0</v>
      </c>
      <c r="N159" s="235">
        <f>IF(N109=3,O156,0)</f>
        <v>0</v>
      </c>
      <c r="P159" s="240">
        <f>IF(P109=3,O156,0)</f>
        <v>2</v>
      </c>
      <c r="Q159" s="235">
        <f>IF(Q109=3,R156,0)</f>
        <v>0</v>
      </c>
      <c r="S159" s="240">
        <f>IF(S109=3,R156,0)</f>
        <v>0</v>
      </c>
      <c r="T159" s="235">
        <f>IF(T109=3,U156,0)</f>
        <v>0</v>
      </c>
      <c r="V159" s="240">
        <f>IF(V109=3,U156,0)</f>
        <v>2</v>
      </c>
      <c r="W159" s="235">
        <f>IF(W109=3,X156,0)</f>
        <v>0</v>
      </c>
      <c r="Y159" s="240">
        <f>IF(Y109=3,X156,0)</f>
        <v>0</v>
      </c>
      <c r="Z159" s="235">
        <f>IF(Z109=3,AA156,0)</f>
        <v>2</v>
      </c>
      <c r="AB159" s="240">
        <f>IF(AB109=3,AA156,0)</f>
        <v>0</v>
      </c>
      <c r="AC159" s="235">
        <f>IF(AC109=3,AD156,0)</f>
        <v>0</v>
      </c>
      <c r="AE159" s="240">
        <f>IF(AE109=3,AD156,0)</f>
        <v>0</v>
      </c>
      <c r="AF159" s="235">
        <f>SUM(B159:AE159)</f>
        <v>8</v>
      </c>
      <c r="AW159" s="238"/>
    </row>
    <row r="160" spans="1:49" s="235" customFormat="1" ht="12.75" hidden="1" customHeight="1" x14ac:dyDescent="0.2">
      <c r="A160" s="235" t="s">
        <v>79</v>
      </c>
      <c r="B160" s="235">
        <f>IF(B109=4,C156,0)</f>
        <v>0</v>
      </c>
      <c r="D160" s="240">
        <f>IF(D109=4,C156,0)</f>
        <v>0</v>
      </c>
      <c r="E160" s="235">
        <f>IF(E109=4,F156,0)</f>
        <v>0</v>
      </c>
      <c r="G160" s="240">
        <f>IF(G109=4,F156,0)</f>
        <v>2</v>
      </c>
      <c r="H160" s="235">
        <f>IF(H109=4,I156,0)</f>
        <v>0</v>
      </c>
      <c r="J160" s="240">
        <f>IF(J109=4,I156,0)</f>
        <v>0</v>
      </c>
      <c r="K160" s="235">
        <f>IF(K109=4,L156,0)</f>
        <v>0</v>
      </c>
      <c r="M160" s="240">
        <f>IF(M109=4,L156,0)</f>
        <v>2</v>
      </c>
      <c r="N160" s="235">
        <f>IF(N109=4,O156,0)</f>
        <v>0</v>
      </c>
      <c r="P160" s="240">
        <f>IF(P109=4,O156,0)</f>
        <v>0</v>
      </c>
      <c r="Q160" s="235">
        <f>IF(Q109=4,R156,0)</f>
        <v>2</v>
      </c>
      <c r="S160" s="240">
        <f>IF(S109=4,R156,0)</f>
        <v>0</v>
      </c>
      <c r="T160" s="235">
        <f>IF(T109=4,U156,0)</f>
        <v>0</v>
      </c>
      <c r="V160" s="240">
        <f>IF(V109=4,U156,0)</f>
        <v>0</v>
      </c>
      <c r="W160" s="235">
        <f>IF(W109=4,X156,0)</f>
        <v>0</v>
      </c>
      <c r="Y160" s="240">
        <f>IF(Y109=4,X156,0)</f>
        <v>0</v>
      </c>
      <c r="Z160" s="235">
        <f>IF(Z109=4,AA156,0)</f>
        <v>0</v>
      </c>
      <c r="AB160" s="240">
        <f>IF(AB109=4,AA156,0)</f>
        <v>2</v>
      </c>
      <c r="AC160" s="235">
        <f>IF(AC109=4,AD156,0)</f>
        <v>0</v>
      </c>
      <c r="AE160" s="240">
        <f>IF(AE109=4,AD156,0)</f>
        <v>0</v>
      </c>
      <c r="AF160" s="235">
        <f>SUM(B160:AE160)</f>
        <v>8</v>
      </c>
      <c r="AW160" s="238"/>
    </row>
    <row r="161" spans="1:54" s="235" customFormat="1" ht="12.75" hidden="1" customHeight="1" x14ac:dyDescent="0.2">
      <c r="A161" s="235" t="s">
        <v>80</v>
      </c>
      <c r="B161" s="235">
        <f>IF(B109=5,C156,0)</f>
        <v>0</v>
      </c>
      <c r="D161" s="240">
        <f>IF(D109=5,C156,0)</f>
        <v>2</v>
      </c>
      <c r="E161" s="235">
        <f>IF(E109=5,F156,0)</f>
        <v>0</v>
      </c>
      <c r="G161" s="240">
        <f>IF(G109=5,F156,0)</f>
        <v>0</v>
      </c>
      <c r="H161" s="235">
        <f>IF(H109=5,I156,0)</f>
        <v>0</v>
      </c>
      <c r="J161" s="240">
        <f>IF(J109=5,I156,0)</f>
        <v>2</v>
      </c>
      <c r="K161" s="235">
        <f>IF(K109=5,L156,0)</f>
        <v>0</v>
      </c>
      <c r="M161" s="240">
        <f>IF(M109=5,L156,0)</f>
        <v>0</v>
      </c>
      <c r="N161" s="235">
        <f>IF(N109=5,O156,0)</f>
        <v>0</v>
      </c>
      <c r="P161" s="240">
        <f>IF(P109=5,O156,0)</f>
        <v>0</v>
      </c>
      <c r="Q161" s="235">
        <f>IF(Q109=5,R156,0)</f>
        <v>0</v>
      </c>
      <c r="S161" s="240">
        <f>IF(S109=5,R156,0)</f>
        <v>2</v>
      </c>
      <c r="T161" s="235">
        <f>IF(T109=5,U156,0)</f>
        <v>0</v>
      </c>
      <c r="V161" s="240">
        <f>IF(V109=5,U156,0)</f>
        <v>0</v>
      </c>
      <c r="W161" s="235">
        <f>IF(W109=5,X156,0)</f>
        <v>0</v>
      </c>
      <c r="Y161" s="240">
        <f>IF(Y109=5,X156,0)</f>
        <v>2</v>
      </c>
      <c r="Z161" s="235">
        <f>IF(Z109=5,AA156,0)</f>
        <v>0</v>
      </c>
      <c r="AB161" s="240">
        <f>IF(AB109=5,AA156,0)</f>
        <v>0</v>
      </c>
      <c r="AC161" s="235">
        <f>IF(AC109=5,AD156,0)</f>
        <v>0</v>
      </c>
      <c r="AE161" s="240">
        <f>IF(AE109=5,AD156,0)</f>
        <v>0</v>
      </c>
      <c r="AF161" s="235">
        <f>SUM(B161:AE161)</f>
        <v>8</v>
      </c>
      <c r="AW161" s="238"/>
    </row>
    <row r="162" spans="1:54" hidden="1" x14ac:dyDescent="0.2">
      <c r="A162" s="242"/>
      <c r="B162" s="242"/>
      <c r="C162" s="242"/>
      <c r="D162" s="242"/>
      <c r="E162" s="242"/>
      <c r="F162" s="242"/>
      <c r="G162" s="242"/>
      <c r="H162" s="242"/>
      <c r="I162" s="242"/>
      <c r="J162" s="242"/>
      <c r="K162" s="242"/>
      <c r="L162" s="242"/>
      <c r="M162" s="242"/>
      <c r="N162" s="242"/>
      <c r="O162" s="242"/>
      <c r="P162" s="242"/>
      <c r="Q162" s="242"/>
      <c r="R162" s="242"/>
      <c r="S162" s="242"/>
      <c r="T162" s="242"/>
      <c r="U162" s="242"/>
      <c r="V162" s="242"/>
      <c r="W162" s="242"/>
      <c r="X162" s="242"/>
      <c r="Y162" s="242"/>
      <c r="Z162" s="242"/>
      <c r="AA162" s="242"/>
      <c r="AB162" s="242"/>
      <c r="AC162" s="242"/>
      <c r="AD162" s="242"/>
      <c r="AE162" s="242"/>
      <c r="AF162" s="242"/>
      <c r="AG162" s="242"/>
      <c r="AH162" s="242"/>
      <c r="AI162" s="242"/>
      <c r="AJ162" s="242"/>
      <c r="AK162" s="242"/>
      <c r="AL162" s="242"/>
      <c r="AM162" s="242"/>
      <c r="AN162" s="243"/>
      <c r="AO162" s="243"/>
      <c r="AP162" s="243"/>
      <c r="AQ162" s="243"/>
      <c r="AR162" s="241"/>
      <c r="AS162" s="241"/>
      <c r="AT162" s="241"/>
      <c r="AU162" s="241"/>
      <c r="AV162" s="241"/>
      <c r="BB162" s="234"/>
    </row>
    <row r="163" spans="1:54" s="241" customFormat="1" hidden="1" x14ac:dyDescent="0.2">
      <c r="A163" s="244"/>
      <c r="B163" s="244"/>
      <c r="C163" s="244" t="s">
        <v>87</v>
      </c>
      <c r="D163" s="244">
        <v>1</v>
      </c>
      <c r="E163" s="244"/>
      <c r="F163" s="244"/>
      <c r="G163" s="244">
        <v>2</v>
      </c>
      <c r="H163" s="244"/>
      <c r="I163" s="244"/>
      <c r="J163" s="244">
        <v>3</v>
      </c>
      <c r="K163" s="244"/>
      <c r="L163" s="244"/>
      <c r="M163" s="244">
        <v>4</v>
      </c>
      <c r="N163" s="244"/>
      <c r="O163" s="244"/>
      <c r="P163" s="244">
        <v>5</v>
      </c>
      <c r="Q163" s="244"/>
      <c r="R163" s="244"/>
      <c r="S163" s="244">
        <v>6</v>
      </c>
      <c r="T163" s="244"/>
      <c r="U163" s="244"/>
      <c r="V163" s="244">
        <v>7</v>
      </c>
      <c r="W163" s="244"/>
      <c r="X163" s="244"/>
      <c r="Y163" s="244">
        <v>8</v>
      </c>
      <c r="Z163" s="244"/>
      <c r="AA163" s="244"/>
      <c r="AB163" s="244">
        <v>9</v>
      </c>
      <c r="AC163" s="244"/>
      <c r="AD163" s="244"/>
      <c r="AE163" s="244">
        <v>10</v>
      </c>
      <c r="AF163" s="188"/>
      <c r="AG163" s="244"/>
      <c r="AI163" s="245"/>
      <c r="AJ163" s="188"/>
      <c r="AK163" s="188"/>
      <c r="AL163" s="188"/>
      <c r="AM163" s="188"/>
      <c r="AN163" s="188"/>
      <c r="AO163" s="188"/>
      <c r="AT163" s="245" t="s">
        <v>88</v>
      </c>
      <c r="AW163" s="246"/>
      <c r="BB163" s="246"/>
    </row>
    <row r="164" spans="1:54" s="241" customFormat="1" hidden="1" x14ac:dyDescent="0.2">
      <c r="A164" s="247">
        <v>1</v>
      </c>
      <c r="B164" s="247" t="str">
        <f>E93</f>
        <v>Vision 14 Regional</v>
      </c>
      <c r="C164" s="247">
        <f>VLOOKUP(B164,AU$3:BB$33,3,FALSE)</f>
        <v>1741.8911152621556</v>
      </c>
      <c r="D164" s="247">
        <f>IF(B157,B172,IF(D157,D172,C164))</f>
        <v>1741.8911152621556</v>
      </c>
      <c r="E164" s="247"/>
      <c r="F164" s="247"/>
      <c r="G164" s="247">
        <f>IF(E157,E172,IF(G157,G172,D164))</f>
        <v>1769.6611906514822</v>
      </c>
      <c r="H164" s="247"/>
      <c r="I164" s="247"/>
      <c r="J164" s="247">
        <f>IF(H157,H172,IF(J157,J172,G164))</f>
        <v>1769.6611906514822</v>
      </c>
      <c r="K164" s="247"/>
      <c r="L164" s="247"/>
      <c r="M164" s="247">
        <f>IF(K157,K172,IF(M157,M172,J164))</f>
        <v>1769.6611906514822</v>
      </c>
      <c r="N164" s="247"/>
      <c r="O164" s="247"/>
      <c r="P164" s="247">
        <f>IF(N157,N172,IF(P157,P172,M164))</f>
        <v>1789.9270865965809</v>
      </c>
      <c r="Q164" s="247"/>
      <c r="R164" s="247"/>
      <c r="S164" s="247">
        <f>IF(Q157,Q172,IF(S157,S172,P164))</f>
        <v>1789.9270865965809</v>
      </c>
      <c r="T164" s="247"/>
      <c r="U164" s="247"/>
      <c r="V164" s="247">
        <f>IF(T157,T172,IF(V157,V172,S164))</f>
        <v>1789.9270865965809</v>
      </c>
      <c r="W164" s="247"/>
      <c r="X164" s="247"/>
      <c r="Y164" s="247">
        <f>IF(W157,W172,IF(Y157,Y172,V164))</f>
        <v>1807.0965811872152</v>
      </c>
      <c r="Z164" s="247"/>
      <c r="AA164" s="247"/>
      <c r="AB164" s="247">
        <f>IF(Z157,Z172,IF(AB157,AB172,Y164))</f>
        <v>1807.0965811872152</v>
      </c>
      <c r="AC164" s="247"/>
      <c r="AD164" s="247"/>
      <c r="AE164" s="247">
        <f>IF(AC157,AC172,IF(AE157,AE172,AB164))</f>
        <v>1800.7490095963151</v>
      </c>
      <c r="AF164" s="188"/>
      <c r="AG164" s="188"/>
      <c r="AJ164" s="188"/>
      <c r="AK164" s="188"/>
      <c r="AL164" s="188"/>
      <c r="AM164" s="188"/>
      <c r="AN164" s="188"/>
      <c r="AO164" s="188"/>
      <c r="AT164" s="241" t="str">
        <f>B164</f>
        <v>Vision 14 Regional</v>
      </c>
      <c r="AU164" s="241">
        <f>AE164</f>
        <v>1800.7490095963151</v>
      </c>
      <c r="AW164" s="246"/>
      <c r="BB164" s="246"/>
    </row>
    <row r="165" spans="1:54" s="241" customFormat="1" hidden="1" x14ac:dyDescent="0.2">
      <c r="A165" s="247">
        <v>2</v>
      </c>
      <c r="B165" s="247" t="str">
        <f>E95</f>
        <v>TC Extreme 14 Miranda</v>
      </c>
      <c r="C165" s="247">
        <f>VLOOKUP(B165,AU$3:BB$33,3,FALSE)</f>
        <v>2183.1579628857221</v>
      </c>
      <c r="D165" s="247">
        <f>IF(B158,B172,IF(D158,D172,C165))</f>
        <v>2184.9879189123039</v>
      </c>
      <c r="E165" s="247"/>
      <c r="F165" s="247"/>
      <c r="G165" s="247">
        <f>IF(E158,E172,IF(G158,G172,D165))</f>
        <v>2184.9879189123039</v>
      </c>
      <c r="H165" s="247"/>
      <c r="I165" s="247"/>
      <c r="J165" s="247">
        <f>IF(H158,H172,IF(J158,J172,G165))</f>
        <v>2184.9879189123039</v>
      </c>
      <c r="K165" s="247"/>
      <c r="L165" s="247"/>
      <c r="M165" s="247">
        <f>IF(K158,K172,IF(M158,M172,J165))</f>
        <v>2188.0919834154743</v>
      </c>
      <c r="N165" s="247"/>
      <c r="O165" s="247"/>
      <c r="P165" s="247">
        <f>IF(N158,N172,IF(P158,P172,M165))</f>
        <v>2188.0919834154743</v>
      </c>
      <c r="Q165" s="247"/>
      <c r="R165" s="247"/>
      <c r="S165" s="247">
        <f>IF(Q158,Q172,IF(S158,S172,P165))</f>
        <v>2188.0919834154743</v>
      </c>
      <c r="T165" s="247"/>
      <c r="U165" s="247"/>
      <c r="V165" s="247">
        <f>IF(T158,T172,IF(V158,V172,S165))</f>
        <v>2190.3805801542794</v>
      </c>
      <c r="W165" s="247"/>
      <c r="X165" s="247"/>
      <c r="Y165" s="247">
        <f>IF(W158,W172,IF(Y158,Y172,V165))</f>
        <v>2190.3805801542794</v>
      </c>
      <c r="Z165" s="247"/>
      <c r="AA165" s="247"/>
      <c r="AB165" s="247">
        <f>IF(Z158,Z172,IF(AB158,AB172,Y165))</f>
        <v>2190.3805801542794</v>
      </c>
      <c r="AC165" s="247"/>
      <c r="AD165" s="247"/>
      <c r="AE165" s="247">
        <f>IF(AC158,AC172,IF(AE158,AE172,AB165))</f>
        <v>2196.7281517451793</v>
      </c>
      <c r="AF165" s="188"/>
      <c r="AG165" s="188"/>
      <c r="AJ165" s="188"/>
      <c r="AL165" s="188"/>
      <c r="AM165" s="188"/>
      <c r="AN165" s="188"/>
      <c r="AO165" s="188"/>
      <c r="AT165" s="241" t="str">
        <f>B165</f>
        <v>TC Extreme 14 Miranda</v>
      </c>
      <c r="AU165" s="241">
        <f>AE165</f>
        <v>2196.7281517451793</v>
      </c>
      <c r="AW165" s="246"/>
      <c r="BB165" s="246"/>
    </row>
    <row r="166" spans="1:54" s="241" customFormat="1" hidden="1" x14ac:dyDescent="0.2">
      <c r="A166" s="247">
        <v>3</v>
      </c>
      <c r="B166" s="247" t="str">
        <f>E97</f>
        <v>Extreme 14 Marion</v>
      </c>
      <c r="C166" s="247">
        <f>VLOOKUP(B166,AU$3:BB$33,3,FALSE)</f>
        <v>1642.7424569844798</v>
      </c>
      <c r="D166" s="247">
        <f>IF(B159,B172,IF(D159,D172,C166))</f>
        <v>1642.7424569844798</v>
      </c>
      <c r="E166" s="247"/>
      <c r="F166" s="247"/>
      <c r="G166" s="247">
        <f>IF(E159,E172,IF(G159,G172,D166))</f>
        <v>1642.7424569844798</v>
      </c>
      <c r="H166" s="247"/>
      <c r="I166" s="247"/>
      <c r="J166" s="247">
        <f>IF(H159,H172,IF(J159,J172,G166))</f>
        <v>1636.0394204632901</v>
      </c>
      <c r="K166" s="247"/>
      <c r="L166" s="247"/>
      <c r="M166" s="247">
        <f>IF(K159,K172,IF(M159,M172,J166))</f>
        <v>1636.0394204632901</v>
      </c>
      <c r="N166" s="247"/>
      <c r="O166" s="247"/>
      <c r="P166" s="247">
        <f>IF(N159,N172,IF(P159,P172,M166))</f>
        <v>1615.7735245181914</v>
      </c>
      <c r="Q166" s="247"/>
      <c r="R166" s="247"/>
      <c r="S166" s="247">
        <f>IF(Q159,Q172,IF(S159,S172,P166))</f>
        <v>1615.7735245181914</v>
      </c>
      <c r="T166" s="247"/>
      <c r="U166" s="247"/>
      <c r="V166" s="247">
        <f>IF(T159,T172,IF(V159,V172,S166))</f>
        <v>1613.4849277793865</v>
      </c>
      <c r="W166" s="247"/>
      <c r="X166" s="247"/>
      <c r="Y166" s="247">
        <f>IF(W159,W172,IF(Y159,Y172,V166))</f>
        <v>1613.4849277793865</v>
      </c>
      <c r="Z166" s="247"/>
      <c r="AA166" s="247"/>
      <c r="AB166" s="247">
        <f>IF(Z159,Z172,IF(AB159,AB172,Y166))</f>
        <v>1646.5246100135871</v>
      </c>
      <c r="AC166" s="247"/>
      <c r="AD166" s="247"/>
      <c r="AE166" s="247">
        <f>IF(AC159,AC172,IF(AE159,AE172,AB166))</f>
        <v>1646.5246100135871</v>
      </c>
      <c r="AF166" s="188"/>
      <c r="AG166" s="188"/>
      <c r="AJ166" s="188"/>
      <c r="AL166" s="188"/>
      <c r="AM166" s="188"/>
      <c r="AN166" s="188"/>
      <c r="AO166" s="188"/>
      <c r="AT166" s="241" t="str">
        <f>B166</f>
        <v>Extreme 14 Marion</v>
      </c>
      <c r="AU166" s="241">
        <f>AE166</f>
        <v>1646.5246100135871</v>
      </c>
      <c r="AW166" s="246"/>
      <c r="BB166" s="246"/>
    </row>
    <row r="167" spans="1:54" s="241" customFormat="1" hidden="1" x14ac:dyDescent="0.2">
      <c r="A167" s="247">
        <v>4</v>
      </c>
      <c r="B167" s="247" t="str">
        <f>E99</f>
        <v>Upstate 14-2 Club</v>
      </c>
      <c r="C167" s="247">
        <f>VLOOKUP(B167,AU$3:BB$33,3,FALSE)</f>
        <v>1695.6949666343532</v>
      </c>
      <c r="D167" s="247">
        <f>IF(B160,B172,IF(D160,D172,C167))</f>
        <v>1695.6949666343532</v>
      </c>
      <c r="E167" s="247"/>
      <c r="F167" s="247"/>
      <c r="G167" s="247">
        <f>IF(E160,E172,IF(G160,G172,D167))</f>
        <v>1667.9248912450266</v>
      </c>
      <c r="H167" s="247"/>
      <c r="I167" s="247"/>
      <c r="J167" s="247">
        <f>IF(H160,H172,IF(J160,J172,G167))</f>
        <v>1667.9248912450266</v>
      </c>
      <c r="K167" s="247"/>
      <c r="L167" s="247"/>
      <c r="M167" s="247">
        <f>IF(K160,K172,IF(M160,M172,J167))</f>
        <v>1664.8208267418561</v>
      </c>
      <c r="N167" s="247"/>
      <c r="O167" s="247"/>
      <c r="P167" s="247">
        <f>IF(N160,N172,IF(P160,P172,M167))</f>
        <v>1664.8208267418561</v>
      </c>
      <c r="Q167" s="247"/>
      <c r="R167" s="247"/>
      <c r="S167" s="247">
        <f>IF(Q160,Q172,IF(S160,S172,P167))</f>
        <v>1624.7771086891491</v>
      </c>
      <c r="T167" s="247"/>
      <c r="U167" s="247"/>
      <c r="V167" s="247">
        <f>IF(T160,T172,IF(V160,V172,S167))</f>
        <v>1624.7771086891491</v>
      </c>
      <c r="W167" s="247"/>
      <c r="X167" s="247"/>
      <c r="Y167" s="247">
        <f>IF(W160,W172,IF(Y160,Y172,V167))</f>
        <v>1624.7771086891491</v>
      </c>
      <c r="Z167" s="247"/>
      <c r="AA167" s="247"/>
      <c r="AB167" s="247">
        <f>IF(Z160,Z172,IF(AB160,AB172,Y167))</f>
        <v>1591.7374264549485</v>
      </c>
      <c r="AC167" s="247"/>
      <c r="AD167" s="247"/>
      <c r="AE167" s="247">
        <f>IF(AC160,AC172,IF(AE160,AE172,AB167))</f>
        <v>1591.7374264549485</v>
      </c>
      <c r="AF167" s="188"/>
      <c r="AG167" s="188"/>
      <c r="AJ167" s="188"/>
      <c r="AL167" s="188"/>
      <c r="AM167" s="188"/>
      <c r="AN167" s="188"/>
      <c r="AO167" s="188"/>
      <c r="AT167" s="241" t="str">
        <f>B167</f>
        <v>Upstate 14-2 Club</v>
      </c>
      <c r="AU167" s="241">
        <f>AE167</f>
        <v>1591.7374264549485</v>
      </c>
      <c r="AW167" s="246"/>
      <c r="BB167" s="246"/>
    </row>
    <row r="168" spans="1:54" s="241" customFormat="1" hidden="1" x14ac:dyDescent="0.2">
      <c r="A168" s="247">
        <v>5</v>
      </c>
      <c r="B168" s="247" t="str">
        <f>E101</f>
        <v>SC Midlands 14 Black</v>
      </c>
      <c r="C168" s="247">
        <f>VLOOKUP(B168,AU$3:BB$33,3,FALSE)</f>
        <v>1570.7017546104134</v>
      </c>
      <c r="D168" s="247">
        <f>IF(B161,B172,IF(D161,D172,C168))</f>
        <v>1568.8717985838316</v>
      </c>
      <c r="E168" s="247"/>
      <c r="F168" s="247"/>
      <c r="G168" s="247">
        <f>IF(E161,E172,IF(G161,G172,D168))</f>
        <v>1568.8717985838316</v>
      </c>
      <c r="H168" s="247"/>
      <c r="I168" s="247"/>
      <c r="J168" s="247">
        <f>IF(H161,H172,IF(J161,J172,G168))</f>
        <v>1575.5748351050213</v>
      </c>
      <c r="K168" s="247"/>
      <c r="L168" s="247"/>
      <c r="M168" s="247">
        <f>IF(K161,K172,IF(M161,M172,J168))</f>
        <v>1575.5748351050213</v>
      </c>
      <c r="N168" s="247"/>
      <c r="O168" s="247"/>
      <c r="P168" s="247">
        <f>IF(N161,N172,IF(P161,P172,M168))</f>
        <v>1575.5748351050213</v>
      </c>
      <c r="Q168" s="247"/>
      <c r="R168" s="247"/>
      <c r="S168" s="247">
        <f>IF(Q161,Q172,IF(S161,S172,P168))</f>
        <v>1615.6185531577282</v>
      </c>
      <c r="T168" s="247"/>
      <c r="U168" s="247"/>
      <c r="V168" s="247">
        <f>IF(T161,T172,IF(V161,V172,S168))</f>
        <v>1615.6185531577282</v>
      </c>
      <c r="W168" s="247"/>
      <c r="X168" s="247"/>
      <c r="Y168" s="247">
        <f>IF(W161,W172,IF(Y161,Y172,V168))</f>
        <v>1598.449058567094</v>
      </c>
      <c r="Z168" s="247"/>
      <c r="AA168" s="247"/>
      <c r="AB168" s="247">
        <f>IF(Z161,Z172,IF(AB161,AB172,Y168))</f>
        <v>1598.449058567094</v>
      </c>
      <c r="AC168" s="247"/>
      <c r="AD168" s="247"/>
      <c r="AE168" s="247">
        <f>IF(AC161,AC172,IF(AE161,AE172,AB168))</f>
        <v>1598.449058567094</v>
      </c>
      <c r="AF168" s="188"/>
      <c r="AG168" s="188"/>
      <c r="AJ168" s="188"/>
      <c r="AL168" s="188"/>
      <c r="AM168" s="188"/>
      <c r="AN168" s="188"/>
      <c r="AO168" s="188"/>
      <c r="AT168" s="241" t="str">
        <f>B168</f>
        <v>SC Midlands 14 Black</v>
      </c>
      <c r="AU168" s="241">
        <f>AE168</f>
        <v>1598.449058567094</v>
      </c>
      <c r="AW168" s="246"/>
      <c r="BB168" s="246"/>
    </row>
    <row r="169" spans="1:54" s="241" customFormat="1" hidden="1" x14ac:dyDescent="0.2">
      <c r="A169" s="247"/>
      <c r="B169" s="247"/>
      <c r="C169" s="247"/>
      <c r="D169" s="247"/>
      <c r="E169" s="247"/>
      <c r="F169" s="247"/>
      <c r="G169" s="247"/>
      <c r="H169" s="247"/>
      <c r="I169" s="247"/>
      <c r="J169" s="247"/>
      <c r="K169" s="247"/>
      <c r="L169" s="247"/>
      <c r="M169" s="247"/>
      <c r="N169" s="247"/>
      <c r="O169" s="247"/>
      <c r="P169" s="247"/>
      <c r="Q169" s="247"/>
      <c r="R169" s="247"/>
      <c r="S169" s="247"/>
      <c r="T169" s="247"/>
      <c r="U169" s="247"/>
      <c r="V169" s="247"/>
      <c r="W169" s="247"/>
      <c r="X169" s="247"/>
      <c r="Y169" s="247"/>
      <c r="Z169" s="247"/>
      <c r="AA169" s="247"/>
      <c r="AB169" s="247"/>
      <c r="AC169" s="247"/>
      <c r="AD169" s="247"/>
      <c r="AE169" s="247"/>
      <c r="AF169" s="188"/>
      <c r="AG169" s="188"/>
      <c r="AJ169" s="188"/>
      <c r="AL169" s="188"/>
      <c r="AM169" s="188"/>
      <c r="AN169" s="188"/>
      <c r="AO169" s="188"/>
      <c r="AW169" s="246"/>
      <c r="BB169" s="246"/>
    </row>
    <row r="170" spans="1:54" s="241" customFormat="1" hidden="1" x14ac:dyDescent="0.2">
      <c r="A170" s="247" t="s">
        <v>89</v>
      </c>
      <c r="B170" s="247">
        <f>VLOOKUP(B109,$A164:$AE168,3,FALSE)</f>
        <v>2183.1579628857221</v>
      </c>
      <c r="C170" s="247">
        <v>1</v>
      </c>
      <c r="D170" s="247">
        <f>VLOOKUP(D109,$A164:$AE168,3,FALSE)</f>
        <v>1570.7017546104134</v>
      </c>
      <c r="E170" s="247">
        <f>VLOOKUP(E109,$A164:$AE168,4,FALSE)</f>
        <v>1741.8911152621556</v>
      </c>
      <c r="F170" s="247">
        <v>2</v>
      </c>
      <c r="G170" s="247">
        <f>VLOOKUP(G109,$A164:$AE168,4,FALSE)</f>
        <v>1695.6949666343532</v>
      </c>
      <c r="H170" s="247">
        <f>VLOOKUP(H109,$A164:$AE168,7,FALSE)</f>
        <v>1642.7424569844798</v>
      </c>
      <c r="I170" s="247">
        <v>3</v>
      </c>
      <c r="J170" s="247">
        <f>VLOOKUP(J109,$A164:$AE168,7,FALSE)</f>
        <v>1568.8717985838316</v>
      </c>
      <c r="K170" s="247">
        <f>VLOOKUP(K109,$A164:$AE168,10,FALSE)</f>
        <v>2184.9879189123039</v>
      </c>
      <c r="L170" s="247">
        <v>4</v>
      </c>
      <c r="M170" s="247">
        <f>VLOOKUP(M109,$A164:$AE168,10,FALSE)</f>
        <v>1667.9248912450266</v>
      </c>
      <c r="N170" s="247">
        <f>VLOOKUP(N109,$A164:$AE168,13,FALSE)</f>
        <v>1769.6611906514822</v>
      </c>
      <c r="O170" s="247">
        <v>5</v>
      </c>
      <c r="P170" s="247">
        <f>VLOOKUP(P109,$A164:$AE168,13,FALSE)</f>
        <v>1636.0394204632901</v>
      </c>
      <c r="Q170" s="247">
        <f>VLOOKUP(Q109,$A164:$AE168,16,FALSE)</f>
        <v>1664.8208267418561</v>
      </c>
      <c r="R170" s="247">
        <v>6</v>
      </c>
      <c r="S170" s="247">
        <f>VLOOKUP(S109,$A164:$AE168,16,FALSE)</f>
        <v>1575.5748351050213</v>
      </c>
      <c r="T170" s="247">
        <f>VLOOKUP(T109,$A164:$AE168,19,FALSE)</f>
        <v>2188.0919834154743</v>
      </c>
      <c r="U170" s="247">
        <v>7</v>
      </c>
      <c r="V170" s="247">
        <f>VLOOKUP(V109,$A164:$AE168,19,FALSE)</f>
        <v>1615.7735245181914</v>
      </c>
      <c r="W170" s="247">
        <f>VLOOKUP(W109,$A164:$AE168,22,FALSE)</f>
        <v>1789.9270865965809</v>
      </c>
      <c r="X170" s="247">
        <v>8</v>
      </c>
      <c r="Y170" s="247">
        <f>VLOOKUP(Y109,$A164:$AE168,22,FALSE)</f>
        <v>1615.6185531577282</v>
      </c>
      <c r="Z170" s="247">
        <f>VLOOKUP(Z109,$A164:$AE168,25,FALSE)</f>
        <v>1613.4849277793865</v>
      </c>
      <c r="AA170" s="247">
        <v>9</v>
      </c>
      <c r="AB170" s="247">
        <f>VLOOKUP(AB109,$A164:$AE168,25,FALSE)</f>
        <v>1624.7771086891491</v>
      </c>
      <c r="AC170" s="247">
        <f>VLOOKUP(AC109,$A164:$AE168,28,FALSE)</f>
        <v>1807.0965811872152</v>
      </c>
      <c r="AD170" s="247">
        <v>10</v>
      </c>
      <c r="AE170" s="247">
        <f>VLOOKUP(AE109,$A164:$AE168,28,FALSE)</f>
        <v>2190.3805801542794</v>
      </c>
      <c r="AF170" s="188"/>
      <c r="AG170" s="242"/>
      <c r="AH170" s="242"/>
      <c r="AI170" s="242"/>
      <c r="AJ170" s="242"/>
      <c r="AK170" s="242"/>
      <c r="AL170" s="242"/>
      <c r="AM170" s="242"/>
      <c r="AN170" s="243"/>
      <c r="AO170" s="243"/>
      <c r="AP170" s="243"/>
      <c r="AQ170" s="243"/>
      <c r="AW170" s="246"/>
      <c r="BB170" s="246"/>
    </row>
    <row r="171" spans="1:54" s="252" customFormat="1" hidden="1" x14ac:dyDescent="0.2">
      <c r="A171" s="248" t="s">
        <v>90</v>
      </c>
      <c r="B171" s="248">
        <f>1/(1+(10^-((B170-D170)/400)))*(B121+D121)</f>
        <v>1.9428138741693202</v>
      </c>
      <c r="C171" s="248"/>
      <c r="D171" s="248">
        <f>1/(1+(10^-((D170-B170)/400)))*(B121+D121)</f>
        <v>5.7186125830679807E-2</v>
      </c>
      <c r="E171" s="248">
        <f>1/(1+(10^-((E170-G170)/400)))*(E121+G121)</f>
        <v>1.1321851440835455</v>
      </c>
      <c r="F171" s="248"/>
      <c r="G171" s="248">
        <f>1/(1+(10^-((G170-E170)/400)))*(E121+G121)</f>
        <v>0.86781485591645458</v>
      </c>
      <c r="H171" s="248">
        <f>1/(1+(10^-((H170-J170)/400)))*(H121+J121)</f>
        <v>1.2094698912871806</v>
      </c>
      <c r="I171" s="248"/>
      <c r="J171" s="248">
        <f>1/(1+(10^-((J170-H170)/400)))*(H121+J121)</f>
        <v>0.79053010871281948</v>
      </c>
      <c r="K171" s="248">
        <f>1/(1+(10^-((K170-M170)/400)))*(K121+M121)</f>
        <v>1.9029979842759233</v>
      </c>
      <c r="L171" s="248"/>
      <c r="M171" s="248">
        <f>1/(1+(10^-((M170-K170)/400)))*(K121+M121)</f>
        <v>9.7002015724076879E-2</v>
      </c>
      <c r="N171" s="248">
        <f>1/(1+(10^-((N170-P170)/400)))*(N121+P121)</f>
        <v>1.3666907517156643</v>
      </c>
      <c r="O171" s="248"/>
      <c r="P171" s="248">
        <f>1/(1+(10^-((P170-N170)/400)))*(N121+P121)</f>
        <v>0.63330924828433577</v>
      </c>
      <c r="Q171" s="248">
        <f>1/(1+(10^-((Q170-S170)/400)))*(Q121+S121)</f>
        <v>1.2513661891470904</v>
      </c>
      <c r="R171" s="248"/>
      <c r="S171" s="248">
        <f>1/(1+(10^-((S170-Q170)/400)))*(Q121+S121)</f>
        <v>0.74863381085290959</v>
      </c>
      <c r="T171" s="248">
        <f>1/(1+(10^-((T170-V170)/400)))*(T121+V121)</f>
        <v>1.9284813519123443</v>
      </c>
      <c r="U171" s="248"/>
      <c r="V171" s="248">
        <f>1/(1+(10^-((V170-T170)/400)))*(T121+V121)</f>
        <v>7.1518648087655887E-2</v>
      </c>
      <c r="W171" s="248">
        <f>1/(1+(10^-((W170-Y170)/400)))*(W121+Y121)</f>
        <v>1.4634532940426805</v>
      </c>
      <c r="X171" s="248"/>
      <c r="Y171" s="248">
        <f>1/(1+(10^-((Y170-W170)/400)))*(W121+Y121)</f>
        <v>0.53654670595731946</v>
      </c>
      <c r="Z171" s="248">
        <f>1/(1+(10^-((Z170-AB170)/400)))*(Z121+AB121)</f>
        <v>0.96750993018122788</v>
      </c>
      <c r="AA171" s="248"/>
      <c r="AB171" s="248">
        <f>1/(1+(10^-((AB170-Z170)/400)))*(Z121+AB121)</f>
        <v>1.0324900698187722</v>
      </c>
      <c r="AC171" s="248">
        <f>1/(1+(10^-((AC170-AE170)/400)))*(AC121+AE121)</f>
        <v>0.19836161221562537</v>
      </c>
      <c r="AD171" s="248"/>
      <c r="AE171" s="248">
        <f>1/(1+(10^-((AE170-AC170)/400)))*(AC121+AE121)</f>
        <v>1.8016383877843747</v>
      </c>
      <c r="AF171" s="249"/>
      <c r="AG171" s="250"/>
      <c r="AH171" s="250"/>
      <c r="AI171" s="250"/>
      <c r="AJ171" s="250"/>
      <c r="AK171" s="250"/>
      <c r="AL171" s="250"/>
      <c r="AM171" s="250"/>
      <c r="AN171" s="251"/>
      <c r="AO171" s="251"/>
      <c r="AP171" s="251"/>
      <c r="AQ171" s="251"/>
      <c r="AW171" s="253"/>
      <c r="BB171" s="253"/>
    </row>
    <row r="172" spans="1:54" s="258" customFormat="1" hidden="1" x14ac:dyDescent="0.2">
      <c r="A172" s="254" t="s">
        <v>91</v>
      </c>
      <c r="B172" s="254">
        <f>B170+(B121-B171)*$BA$1</f>
        <v>2184.9879189123039</v>
      </c>
      <c r="C172" s="254"/>
      <c r="D172" s="254">
        <f>D170+(D121-D171)*$BA$1</f>
        <v>1568.8717985838316</v>
      </c>
      <c r="E172" s="254">
        <f>E170+(E121-E171)*$BA$1</f>
        <v>1769.6611906514822</v>
      </c>
      <c r="F172" s="254"/>
      <c r="G172" s="254">
        <f>G170+(G121-G171)*$BA$1</f>
        <v>1667.9248912450266</v>
      </c>
      <c r="H172" s="254">
        <f>H170+(H121-H171)*$BA$1</f>
        <v>1636.0394204632901</v>
      </c>
      <c r="I172" s="254"/>
      <c r="J172" s="254">
        <f>J170+(J121-J171)*$BA$1</f>
        <v>1575.5748351050213</v>
      </c>
      <c r="K172" s="254">
        <f>K170+(K121-K171)*$BA$1</f>
        <v>2188.0919834154743</v>
      </c>
      <c r="L172" s="254"/>
      <c r="M172" s="254">
        <f>M170+(M121-M171)*$BA$1</f>
        <v>1664.8208267418561</v>
      </c>
      <c r="N172" s="254">
        <f>N170+(N121-N171)*$BA$1</f>
        <v>1789.9270865965809</v>
      </c>
      <c r="O172" s="254"/>
      <c r="P172" s="254">
        <f>P170+(P121-P171)*$BA$1</f>
        <v>1615.7735245181914</v>
      </c>
      <c r="Q172" s="254">
        <f>Q170+(Q121-Q171)*$BA$1</f>
        <v>1624.7771086891491</v>
      </c>
      <c r="R172" s="254"/>
      <c r="S172" s="254">
        <f>S170+(S121-S171)*$BA$1</f>
        <v>1615.6185531577282</v>
      </c>
      <c r="T172" s="254">
        <f>T170+(T121-T171)*$BA$1</f>
        <v>2190.3805801542794</v>
      </c>
      <c r="U172" s="254"/>
      <c r="V172" s="254">
        <f>V170+(V121-V171)*$BA$1</f>
        <v>1613.4849277793865</v>
      </c>
      <c r="W172" s="254">
        <f>W170+(W121-W171)*$BA$1</f>
        <v>1807.0965811872152</v>
      </c>
      <c r="X172" s="254"/>
      <c r="Y172" s="254">
        <f>Y170+(Y121-Y171)*$BA$1</f>
        <v>1598.449058567094</v>
      </c>
      <c r="Z172" s="254">
        <f>Z170+(Z121-Z171)*$BA$1</f>
        <v>1646.5246100135871</v>
      </c>
      <c r="AA172" s="254"/>
      <c r="AB172" s="254">
        <f>AB170+(AB121-AB171)*$BA$1</f>
        <v>1591.7374264549485</v>
      </c>
      <c r="AC172" s="254">
        <f>AC170+(AC121-AC171)*$BA$1</f>
        <v>1800.7490095963151</v>
      </c>
      <c r="AD172" s="254"/>
      <c r="AE172" s="254">
        <f>AE170+(AE121-AE171)*$BA$1</f>
        <v>2196.7281517451793</v>
      </c>
      <c r="AF172" s="255"/>
      <c r="AG172" s="256"/>
      <c r="AH172" s="256"/>
      <c r="AI172" s="256"/>
      <c r="AJ172" s="256"/>
      <c r="AK172" s="256"/>
      <c r="AL172" s="256"/>
      <c r="AM172" s="256"/>
      <c r="AN172" s="257"/>
      <c r="AO172" s="257"/>
      <c r="AP172" s="257"/>
      <c r="AQ172" s="257"/>
      <c r="AW172" s="259"/>
      <c r="BB172" s="259"/>
    </row>
    <row r="173" spans="1:54" s="258" customFormat="1" hidden="1" x14ac:dyDescent="0.2">
      <c r="A173" s="254"/>
      <c r="B173" s="254"/>
      <c r="C173" s="254"/>
      <c r="D173" s="254"/>
      <c r="E173" s="254"/>
      <c r="F173" s="254"/>
      <c r="G173" s="254"/>
      <c r="H173" s="254"/>
      <c r="I173" s="254"/>
      <c r="J173" s="254"/>
      <c r="K173" s="254"/>
      <c r="L173" s="254"/>
      <c r="M173" s="254"/>
      <c r="N173" s="254"/>
      <c r="O173" s="254"/>
      <c r="P173" s="254"/>
      <c r="Q173" s="254"/>
      <c r="R173" s="254"/>
      <c r="S173" s="254"/>
      <c r="T173" s="254"/>
      <c r="U173" s="254"/>
      <c r="V173" s="254"/>
      <c r="W173" s="254"/>
      <c r="X173" s="254"/>
      <c r="Y173" s="254"/>
      <c r="Z173" s="254"/>
      <c r="AA173" s="254"/>
      <c r="AB173" s="254"/>
      <c r="AC173" s="254"/>
      <c r="AD173" s="254"/>
      <c r="AE173" s="254"/>
      <c r="AF173" s="255"/>
      <c r="AG173" s="256"/>
      <c r="AH173" s="256"/>
      <c r="AI173" s="256"/>
      <c r="AJ173" s="256"/>
      <c r="AK173" s="256"/>
      <c r="AL173" s="256"/>
      <c r="AM173" s="256"/>
      <c r="AN173" s="257"/>
      <c r="AO173" s="257"/>
      <c r="AP173" s="257"/>
      <c r="AQ173" s="257"/>
      <c r="AW173" s="259"/>
      <c r="BB173" s="259"/>
    </row>
    <row r="174" spans="1:54" s="241" customFormat="1" x14ac:dyDescent="0.2">
      <c r="A174" s="525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525"/>
      <c r="C174" s="525"/>
      <c r="D174" s="525"/>
      <c r="E174" s="525"/>
      <c r="F174" s="525"/>
      <c r="G174" s="525"/>
      <c r="H174" s="525"/>
      <c r="I174" s="525"/>
      <c r="J174" s="525"/>
      <c r="K174" s="525"/>
      <c r="L174" s="525"/>
      <c r="M174" s="525"/>
      <c r="N174" s="525"/>
      <c r="O174" s="525"/>
      <c r="P174" s="525"/>
      <c r="Q174" s="525"/>
      <c r="R174" s="525"/>
      <c r="S174" s="525"/>
      <c r="T174" s="525"/>
      <c r="U174" s="525"/>
      <c r="V174" s="525"/>
      <c r="W174" s="525"/>
      <c r="X174" s="525"/>
      <c r="Y174" s="525"/>
      <c r="Z174" s="525"/>
      <c r="AA174" s="525"/>
      <c r="AB174" s="525"/>
      <c r="AC174" s="525"/>
      <c r="AD174" s="525"/>
      <c r="AE174" s="525"/>
      <c r="AF174" s="525"/>
      <c r="AG174" s="525"/>
      <c r="AH174" s="525"/>
      <c r="AI174" s="525"/>
      <c r="AJ174" s="525"/>
      <c r="AK174" s="525"/>
      <c r="AL174" s="525"/>
      <c r="AM174" s="525"/>
      <c r="AN174" s="432"/>
      <c r="AO174" s="432"/>
      <c r="AP174" s="432"/>
      <c r="AQ174" s="432"/>
      <c r="AW174" s="246"/>
    </row>
    <row r="175" spans="1:54" s="241" customFormat="1" ht="13.5" thickBot="1" x14ac:dyDescent="0.25">
      <c r="A175" s="526"/>
      <c r="B175" s="526"/>
      <c r="C175" s="526"/>
      <c r="D175" s="526"/>
      <c r="E175" s="526"/>
      <c r="F175" s="526"/>
      <c r="G175" s="526"/>
      <c r="H175" s="526"/>
      <c r="I175" s="526"/>
      <c r="J175" s="526"/>
      <c r="K175" s="526"/>
      <c r="L175" s="526"/>
      <c r="M175" s="526"/>
      <c r="N175" s="526"/>
      <c r="O175" s="526"/>
      <c r="P175" s="526"/>
      <c r="Q175" s="526"/>
      <c r="R175" s="526"/>
      <c r="S175" s="526"/>
      <c r="T175" s="526"/>
      <c r="U175" s="526"/>
      <c r="V175" s="526"/>
      <c r="W175" s="526"/>
      <c r="X175" s="526"/>
      <c r="Y175" s="526"/>
      <c r="Z175" s="526"/>
      <c r="AA175" s="526"/>
      <c r="AB175" s="526"/>
      <c r="AC175" s="526"/>
      <c r="AD175" s="526"/>
      <c r="AE175" s="526"/>
      <c r="AF175" s="526"/>
      <c r="AG175" s="526"/>
      <c r="AH175" s="526"/>
      <c r="AI175" s="526"/>
      <c r="AJ175" s="526"/>
      <c r="AK175" s="526"/>
      <c r="AL175" s="526"/>
      <c r="AM175" s="526"/>
      <c r="AN175" s="526"/>
      <c r="AO175" s="526"/>
      <c r="AP175" s="526"/>
      <c r="AQ175" s="526"/>
      <c r="AW175" s="246"/>
    </row>
    <row r="176" spans="1:54" ht="24" customHeight="1" thickBot="1" x14ac:dyDescent="0.25">
      <c r="A176" s="207" t="s">
        <v>22</v>
      </c>
      <c r="B176" s="208" t="s">
        <v>142</v>
      </c>
      <c r="C176" s="600" t="s">
        <v>24</v>
      </c>
      <c r="D176" s="601"/>
      <c r="E176" s="601"/>
      <c r="F176" s="601"/>
      <c r="G176" s="601"/>
      <c r="H176" s="602"/>
      <c r="I176" s="603">
        <v>6</v>
      </c>
      <c r="J176" s="604"/>
      <c r="K176" s="605" t="str">
        <f>"Pool "&amp;B176&amp;" - Round 1 - Court "&amp;I176</f>
        <v>Pool C - Round 1 - Court 6</v>
      </c>
      <c r="L176" s="606"/>
      <c r="M176" s="606"/>
      <c r="N176" s="606"/>
      <c r="O176" s="606"/>
      <c r="P176" s="606"/>
      <c r="Q176" s="606"/>
      <c r="R176" s="606"/>
      <c r="S176" s="606"/>
      <c r="T176" s="606"/>
      <c r="U176" s="606"/>
      <c r="V176" s="606"/>
      <c r="W176" s="606"/>
      <c r="X176" s="606"/>
      <c r="Y176" s="606"/>
      <c r="Z176" s="606"/>
      <c r="AA176" s="606"/>
      <c r="AB176" s="606"/>
      <c r="AC176" s="606"/>
      <c r="AD176" s="606"/>
      <c r="AE176" s="606"/>
      <c r="AF176" s="606"/>
      <c r="AG176" s="606"/>
      <c r="AH176" s="606"/>
      <c r="AI176" s="607"/>
      <c r="AJ176" s="195"/>
      <c r="AK176" s="195"/>
      <c r="AL176" s="195"/>
      <c r="AM176" s="195"/>
      <c r="AN176" s="195"/>
      <c r="AO176" s="195"/>
      <c r="AP176" s="195"/>
      <c r="AQ176" s="195"/>
    </row>
    <row r="177" spans="1:44" ht="27" customHeight="1" thickBot="1" x14ac:dyDescent="0.25">
      <c r="A177" s="209" t="s">
        <v>25</v>
      </c>
      <c r="B177" s="608" t="s">
        <v>7</v>
      </c>
      <c r="C177" s="609"/>
      <c r="D177" s="609"/>
      <c r="E177" s="609"/>
      <c r="F177" s="609"/>
      <c r="G177" s="609"/>
      <c r="H177" s="609"/>
      <c r="I177" s="609"/>
      <c r="J177" s="609"/>
      <c r="K177" s="609"/>
      <c r="L177" s="608" t="str">
        <f>IF($AK180=0,"Games Won","Matches Won")</f>
        <v>Matches Won</v>
      </c>
      <c r="M177" s="609"/>
      <c r="N177" s="609"/>
      <c r="O177" s="609"/>
      <c r="P177" s="609"/>
      <c r="Q177" s="610"/>
      <c r="R177" s="608" t="str">
        <f>IF($AK180=0,"Games Lost","Matches Lost")</f>
        <v>Matches Lost</v>
      </c>
      <c r="S177" s="611"/>
      <c r="T177" s="611"/>
      <c r="U177" s="611"/>
      <c r="V177" s="612"/>
      <c r="W177" s="613" t="s">
        <v>26</v>
      </c>
      <c r="X177" s="614"/>
      <c r="Y177" s="615"/>
      <c r="Z177" s="613" t="s">
        <v>27</v>
      </c>
      <c r="AA177" s="614"/>
      <c r="AB177" s="615"/>
      <c r="AC177" s="616" t="s">
        <v>28</v>
      </c>
      <c r="AD177" s="617"/>
      <c r="AE177" s="618"/>
      <c r="AF177" s="210" t="s">
        <v>29</v>
      </c>
      <c r="AG177" s="211" t="s">
        <v>6</v>
      </c>
      <c r="AH177" s="598" t="s">
        <v>30</v>
      </c>
      <c r="AI177" s="599"/>
      <c r="AJ177" s="212"/>
      <c r="AK177" s="213">
        <v>3</v>
      </c>
      <c r="AL177" s="214" t="s">
        <v>31</v>
      </c>
      <c r="AM177" s="214"/>
      <c r="AN177" s="214"/>
      <c r="AO177" s="214"/>
      <c r="AP177" s="214"/>
      <c r="AQ177" s="214"/>
      <c r="AR177" s="215"/>
    </row>
    <row r="178" spans="1:44" ht="18.75" customHeight="1" x14ac:dyDescent="0.2">
      <c r="A178" s="564" t="str">
        <f>IF($AK179&gt;0,"1","")</f>
        <v>1</v>
      </c>
      <c r="B178" s="595" t="s">
        <v>7</v>
      </c>
      <c r="C178" s="596"/>
      <c r="D178" s="597"/>
      <c r="E178" s="587" t="str">
        <f>AU5</f>
        <v>Lake Murray 14 Black</v>
      </c>
      <c r="F178" s="588"/>
      <c r="G178" s="588"/>
      <c r="H178" s="588"/>
      <c r="I178" s="588"/>
      <c r="J178" s="588"/>
      <c r="K178" s="589"/>
      <c r="L178" s="571">
        <f>IF($AK180=0,AF234,AF216)</f>
        <v>3</v>
      </c>
      <c r="M178" s="572"/>
      <c r="N178" s="572"/>
      <c r="O178" s="572"/>
      <c r="P178" s="572"/>
      <c r="Q178" s="610"/>
      <c r="R178" s="571">
        <f>IF($AK180=0,AG234,AG216)</f>
        <v>0</v>
      </c>
      <c r="S178" s="572"/>
      <c r="T178" s="572"/>
      <c r="U178" s="572"/>
      <c r="V178" s="572"/>
      <c r="W178" s="571">
        <f>AQ194</f>
        <v>44</v>
      </c>
      <c r="X178" s="572"/>
      <c r="Y178" s="572"/>
      <c r="Z178" s="544">
        <f>IF(AF228&gt;0,(AQ194/AF228),0)</f>
        <v>0.29333333333333333</v>
      </c>
      <c r="AA178" s="545"/>
      <c r="AB178" s="545"/>
      <c r="AC178" s="548">
        <f>IF(AF242=0,0,(AF234/AF242))</f>
        <v>1</v>
      </c>
      <c r="AD178" s="549"/>
      <c r="AE178" s="550"/>
      <c r="AF178" s="554">
        <v>1</v>
      </c>
      <c r="AG178" s="554">
        <v>1</v>
      </c>
      <c r="AH178" s="556">
        <v>2</v>
      </c>
      <c r="AI178" s="557"/>
      <c r="AJ178" s="212"/>
      <c r="AK178" s="213">
        <v>6</v>
      </c>
      <c r="AL178" s="214" t="s">
        <v>32</v>
      </c>
      <c r="AM178" s="214"/>
      <c r="AN178" s="214"/>
      <c r="AO178" s="214"/>
      <c r="AP178" s="214"/>
      <c r="AQ178" s="214"/>
      <c r="AR178" s="215"/>
    </row>
    <row r="179" spans="1:44" ht="18.75" customHeight="1" thickBot="1" x14ac:dyDescent="0.25">
      <c r="A179" s="565"/>
      <c r="B179" s="592" t="s">
        <v>8</v>
      </c>
      <c r="C179" s="593"/>
      <c r="D179" s="594"/>
      <c r="E179" s="585" t="str">
        <f>AV5</f>
        <v>fj4lakem2pm</v>
      </c>
      <c r="F179" s="586"/>
      <c r="G179" s="586"/>
      <c r="H179" s="586"/>
      <c r="I179" s="586"/>
      <c r="J179" s="586"/>
      <c r="K179" s="586"/>
      <c r="L179" s="590"/>
      <c r="M179" s="591"/>
      <c r="N179" s="591"/>
      <c r="O179" s="591"/>
      <c r="P179" s="591"/>
      <c r="Q179" s="610"/>
      <c r="R179" s="590"/>
      <c r="S179" s="591"/>
      <c r="T179" s="591"/>
      <c r="U179" s="591"/>
      <c r="V179" s="591"/>
      <c r="W179" s="590"/>
      <c r="X179" s="591"/>
      <c r="Y179" s="591"/>
      <c r="Z179" s="575"/>
      <c r="AA179" s="576"/>
      <c r="AB179" s="576"/>
      <c r="AC179" s="577"/>
      <c r="AD179" s="578"/>
      <c r="AE179" s="579"/>
      <c r="AF179" s="580"/>
      <c r="AG179" s="580"/>
      <c r="AH179" s="581"/>
      <c r="AI179" s="582"/>
      <c r="AJ179" s="212"/>
      <c r="AK179" s="213">
        <v>4</v>
      </c>
      <c r="AL179" s="214" t="s">
        <v>33</v>
      </c>
      <c r="AM179" s="212"/>
      <c r="AN179" s="212"/>
      <c r="AO179" s="212"/>
      <c r="AP179" s="212"/>
      <c r="AQ179" s="212"/>
      <c r="AR179" s="191"/>
    </row>
    <row r="180" spans="1:44" ht="18.75" customHeight="1" x14ac:dyDescent="0.2">
      <c r="A180" s="564" t="str">
        <f>IF($AK179&gt;1,"2","")</f>
        <v>2</v>
      </c>
      <c r="B180" s="595" t="s">
        <v>7</v>
      </c>
      <c r="C180" s="596"/>
      <c r="D180" s="597"/>
      <c r="E180" s="587" t="str">
        <f>AU6</f>
        <v>Extreme 14-2</v>
      </c>
      <c r="F180" s="588"/>
      <c r="G180" s="588"/>
      <c r="H180" s="588"/>
      <c r="I180" s="588"/>
      <c r="J180" s="588"/>
      <c r="K180" s="589"/>
      <c r="L180" s="571">
        <f>IF($AK180=0,AF235,AF217)</f>
        <v>2</v>
      </c>
      <c r="M180" s="572"/>
      <c r="N180" s="572"/>
      <c r="O180" s="572"/>
      <c r="P180" s="572"/>
      <c r="Q180" s="610"/>
      <c r="R180" s="571">
        <f>IF($AK180=0,AG235,AG217)</f>
        <v>1</v>
      </c>
      <c r="S180" s="572"/>
      <c r="T180" s="572"/>
      <c r="U180" s="572"/>
      <c r="V180" s="572"/>
      <c r="W180" s="571">
        <f>AQ195</f>
        <v>28</v>
      </c>
      <c r="X180" s="572"/>
      <c r="Y180" s="572"/>
      <c r="Z180" s="544">
        <f>IF(AF229&gt;0,(AQ195/AF229),0)</f>
        <v>0.18666666666666668</v>
      </c>
      <c r="AA180" s="545"/>
      <c r="AB180" s="545"/>
      <c r="AC180" s="548">
        <f>IF(AF243=0,0,(AF235/AF243))</f>
        <v>0.66666666666666663</v>
      </c>
      <c r="AD180" s="549"/>
      <c r="AE180" s="550"/>
      <c r="AF180" s="554">
        <v>2</v>
      </c>
      <c r="AG180" s="554">
        <v>1</v>
      </c>
      <c r="AH180" s="556">
        <v>6</v>
      </c>
      <c r="AI180" s="557"/>
      <c r="AJ180" s="212"/>
      <c r="AK180" s="213">
        <v>1</v>
      </c>
      <c r="AL180" s="214" t="s">
        <v>34</v>
      </c>
      <c r="AM180" s="214"/>
      <c r="AN180" s="214"/>
      <c r="AO180" s="214"/>
      <c r="AP180" s="214"/>
      <c r="AQ180" s="214"/>
      <c r="AR180" s="215"/>
    </row>
    <row r="181" spans="1:44" ht="18.75" customHeight="1" thickBot="1" x14ac:dyDescent="0.25">
      <c r="A181" s="565"/>
      <c r="B181" s="583" t="s">
        <v>8</v>
      </c>
      <c r="C181" s="584"/>
      <c r="D181" s="584"/>
      <c r="E181" s="585" t="str">
        <f>AV6</f>
        <v>fj4extvb2so</v>
      </c>
      <c r="F181" s="586"/>
      <c r="G181" s="586"/>
      <c r="H181" s="586"/>
      <c r="I181" s="586"/>
      <c r="J181" s="586"/>
      <c r="K181" s="586"/>
      <c r="L181" s="590"/>
      <c r="M181" s="591"/>
      <c r="N181" s="591"/>
      <c r="O181" s="591"/>
      <c r="P181" s="591"/>
      <c r="Q181" s="610"/>
      <c r="R181" s="590"/>
      <c r="S181" s="591"/>
      <c r="T181" s="591"/>
      <c r="U181" s="591"/>
      <c r="V181" s="591"/>
      <c r="W181" s="590"/>
      <c r="X181" s="591"/>
      <c r="Y181" s="591"/>
      <c r="Z181" s="575"/>
      <c r="AA181" s="576"/>
      <c r="AB181" s="576"/>
      <c r="AC181" s="577"/>
      <c r="AD181" s="578"/>
      <c r="AE181" s="579"/>
      <c r="AF181" s="580"/>
      <c r="AG181" s="580"/>
      <c r="AH181" s="581"/>
      <c r="AI181" s="582"/>
      <c r="AJ181" s="212"/>
      <c r="AK181" s="213">
        <v>1</v>
      </c>
      <c r="AL181" s="214" t="s">
        <v>35</v>
      </c>
      <c r="AM181" s="212"/>
      <c r="AN181" s="212"/>
      <c r="AO181" s="212"/>
      <c r="AP181" s="212"/>
      <c r="AQ181" s="212"/>
      <c r="AR181" s="191"/>
    </row>
    <row r="182" spans="1:44" ht="18.75" customHeight="1" x14ac:dyDescent="0.2">
      <c r="A182" s="564" t="str">
        <f>IF($AK179&gt;2,"3","")</f>
        <v>3</v>
      </c>
      <c r="B182" s="566" t="s">
        <v>7</v>
      </c>
      <c r="C182" s="567"/>
      <c r="D182" s="567"/>
      <c r="E182" s="587" t="str">
        <f>AU11</f>
        <v>Palm Strikers 14 Select</v>
      </c>
      <c r="F182" s="588"/>
      <c r="G182" s="588"/>
      <c r="H182" s="588"/>
      <c r="I182" s="588"/>
      <c r="J182" s="588"/>
      <c r="K182" s="589"/>
      <c r="L182" s="571">
        <f>IF($AK180=0,AF236,AF218)</f>
        <v>1</v>
      </c>
      <c r="M182" s="572"/>
      <c r="N182" s="572"/>
      <c r="O182" s="572"/>
      <c r="P182" s="572"/>
      <c r="Q182" s="610"/>
      <c r="R182" s="571">
        <f>IF($AK180=0,AG236,AG218)</f>
        <v>2</v>
      </c>
      <c r="S182" s="572"/>
      <c r="T182" s="572"/>
      <c r="U182" s="572"/>
      <c r="V182" s="572"/>
      <c r="W182" s="571">
        <f>AQ196</f>
        <v>-22</v>
      </c>
      <c r="X182" s="572"/>
      <c r="Y182" s="572"/>
      <c r="Z182" s="544">
        <f>IF(AF230&gt;0,(AQ196/AF230),0)</f>
        <v>-0.14666666666666667</v>
      </c>
      <c r="AA182" s="545"/>
      <c r="AB182" s="545"/>
      <c r="AC182" s="548">
        <f>IF(AF244=0,0,(AF236/AF244))</f>
        <v>0.33333333333333331</v>
      </c>
      <c r="AD182" s="549"/>
      <c r="AE182" s="550"/>
      <c r="AF182" s="554">
        <v>3</v>
      </c>
      <c r="AG182" s="554">
        <v>1</v>
      </c>
      <c r="AH182" s="556">
        <v>8</v>
      </c>
      <c r="AI182" s="557"/>
      <c r="AJ182" s="216"/>
      <c r="AK182" s="213">
        <v>3</v>
      </c>
      <c r="AL182" s="217" t="s">
        <v>36</v>
      </c>
      <c r="AM182" s="214"/>
      <c r="AN182" s="214"/>
      <c r="AO182" s="214"/>
      <c r="AP182" s="214"/>
      <c r="AQ182" s="214"/>
      <c r="AR182" s="215"/>
    </row>
    <row r="183" spans="1:44" ht="18.75" customHeight="1" thickBot="1" x14ac:dyDescent="0.25">
      <c r="A183" s="565"/>
      <c r="B183" s="583" t="s">
        <v>8</v>
      </c>
      <c r="C183" s="584"/>
      <c r="D183" s="584"/>
      <c r="E183" s="585" t="str">
        <f>AV11</f>
        <v>fj4pstri2pm</v>
      </c>
      <c r="F183" s="586"/>
      <c r="G183" s="586"/>
      <c r="H183" s="586"/>
      <c r="I183" s="586"/>
      <c r="J183" s="586"/>
      <c r="K183" s="586"/>
      <c r="L183" s="590"/>
      <c r="M183" s="591"/>
      <c r="N183" s="591"/>
      <c r="O183" s="591"/>
      <c r="P183" s="591"/>
      <c r="Q183" s="610"/>
      <c r="R183" s="590"/>
      <c r="S183" s="591"/>
      <c r="T183" s="591"/>
      <c r="U183" s="591"/>
      <c r="V183" s="591"/>
      <c r="W183" s="590"/>
      <c r="X183" s="591"/>
      <c r="Y183" s="591"/>
      <c r="Z183" s="575"/>
      <c r="AA183" s="576"/>
      <c r="AB183" s="576"/>
      <c r="AC183" s="577"/>
      <c r="AD183" s="578"/>
      <c r="AE183" s="579"/>
      <c r="AF183" s="580"/>
      <c r="AG183" s="580"/>
      <c r="AH183" s="581"/>
      <c r="AI183" s="582"/>
      <c r="AJ183" s="216"/>
      <c r="AK183" s="218"/>
      <c r="AL183" s="219"/>
      <c r="AM183" s="219"/>
      <c r="AN183" s="219"/>
      <c r="AO183" s="219"/>
      <c r="AP183" s="219"/>
      <c r="AQ183" s="212"/>
      <c r="AR183" s="191"/>
    </row>
    <row r="184" spans="1:44" ht="18.75" customHeight="1" x14ac:dyDescent="0.2">
      <c r="A184" s="564" t="str">
        <f>IF($AK179&gt;3,"4","")</f>
        <v>4</v>
      </c>
      <c r="B184" s="566" t="s">
        <v>7</v>
      </c>
      <c r="C184" s="567"/>
      <c r="D184" s="567"/>
      <c r="E184" s="587" t="str">
        <f>AU12</f>
        <v>RHVC 14 Club Hunter</v>
      </c>
      <c r="F184" s="588"/>
      <c r="G184" s="588"/>
      <c r="H184" s="588"/>
      <c r="I184" s="588"/>
      <c r="J184" s="588"/>
      <c r="K184" s="589"/>
      <c r="L184" s="571">
        <f>IF($AK180=0,AF237,AF219)</f>
        <v>0</v>
      </c>
      <c r="M184" s="572"/>
      <c r="N184" s="572"/>
      <c r="O184" s="572"/>
      <c r="P184" s="572"/>
      <c r="Q184" s="610"/>
      <c r="R184" s="571">
        <f>IF($AK180=0,AG237,AG219)</f>
        <v>3</v>
      </c>
      <c r="S184" s="572"/>
      <c r="T184" s="572"/>
      <c r="U184" s="572"/>
      <c r="V184" s="572"/>
      <c r="W184" s="571">
        <f>AQ197</f>
        <v>-50</v>
      </c>
      <c r="X184" s="572"/>
      <c r="Y184" s="572"/>
      <c r="Z184" s="544">
        <f>IF(AF231&gt;0,(AQ197/AF231),0)</f>
        <v>-0.33333333333333331</v>
      </c>
      <c r="AA184" s="545"/>
      <c r="AB184" s="545"/>
      <c r="AC184" s="548">
        <f>IF(AF245=0,0,(AF237/AF245))</f>
        <v>0</v>
      </c>
      <c r="AD184" s="549"/>
      <c r="AE184" s="550"/>
      <c r="AF184" s="554">
        <v>4</v>
      </c>
      <c r="AG184" s="554">
        <v>1</v>
      </c>
      <c r="AH184" s="556">
        <v>11</v>
      </c>
      <c r="AI184" s="557"/>
      <c r="AJ184" s="195"/>
      <c r="AK184" s="219"/>
      <c r="AL184" s="219"/>
      <c r="AM184" s="219"/>
      <c r="AN184" s="219"/>
      <c r="AO184" s="219"/>
      <c r="AP184" s="219"/>
      <c r="AQ184" s="214"/>
      <c r="AR184" s="215"/>
    </row>
    <row r="185" spans="1:44" ht="18.75" customHeight="1" thickBot="1" x14ac:dyDescent="0.25">
      <c r="A185" s="565"/>
      <c r="B185" s="583" t="s">
        <v>8</v>
      </c>
      <c r="C185" s="584"/>
      <c r="D185" s="584"/>
      <c r="E185" s="585" t="str">
        <f>AV12</f>
        <v>fj4rockh2pm</v>
      </c>
      <c r="F185" s="586"/>
      <c r="G185" s="586"/>
      <c r="H185" s="586"/>
      <c r="I185" s="586"/>
      <c r="J185" s="586"/>
      <c r="K185" s="586"/>
      <c r="L185" s="590"/>
      <c r="M185" s="591"/>
      <c r="N185" s="591"/>
      <c r="O185" s="591"/>
      <c r="P185" s="591"/>
      <c r="Q185" s="610"/>
      <c r="R185" s="590"/>
      <c r="S185" s="591"/>
      <c r="T185" s="591"/>
      <c r="U185" s="591"/>
      <c r="V185" s="591"/>
      <c r="W185" s="590"/>
      <c r="X185" s="591"/>
      <c r="Y185" s="591"/>
      <c r="Z185" s="575"/>
      <c r="AA185" s="576"/>
      <c r="AB185" s="576"/>
      <c r="AC185" s="577"/>
      <c r="AD185" s="578"/>
      <c r="AE185" s="579"/>
      <c r="AF185" s="580"/>
      <c r="AG185" s="580"/>
      <c r="AH185" s="581"/>
      <c r="AI185" s="582"/>
      <c r="AJ185" s="195"/>
      <c r="AK185" s="219"/>
      <c r="AL185" s="219"/>
      <c r="AM185" s="219"/>
      <c r="AN185" s="219"/>
      <c r="AO185" s="219"/>
      <c r="AP185" s="219"/>
      <c r="AQ185" s="195"/>
      <c r="AR185" s="191"/>
    </row>
    <row r="186" spans="1:44" ht="18.75" customHeight="1" x14ac:dyDescent="0.2">
      <c r="A186" s="564" t="str">
        <f>IF($AK179&gt;4,"5","")</f>
        <v/>
      </c>
      <c r="B186" s="566" t="s">
        <v>7</v>
      </c>
      <c r="C186" s="567"/>
      <c r="D186" s="567"/>
      <c r="E186" s="568">
        <f>AU17</f>
        <v>0</v>
      </c>
      <c r="F186" s="569"/>
      <c r="G186" s="569"/>
      <c r="H186" s="569"/>
      <c r="I186" s="569"/>
      <c r="J186" s="569"/>
      <c r="K186" s="570"/>
      <c r="L186" s="571">
        <f>IF($AK180=0,AF238,AF220)</f>
        <v>0</v>
      </c>
      <c r="M186" s="572"/>
      <c r="N186" s="572"/>
      <c r="O186" s="572"/>
      <c r="P186" s="572"/>
      <c r="Q186" s="610"/>
      <c r="R186" s="571">
        <f>IF($AK180=0,AG238,AG220)</f>
        <v>0</v>
      </c>
      <c r="S186" s="572"/>
      <c r="T186" s="572"/>
      <c r="U186" s="572"/>
      <c r="V186" s="572"/>
      <c r="W186" s="571">
        <f>AQ198</f>
        <v>0</v>
      </c>
      <c r="X186" s="572"/>
      <c r="Y186" s="572"/>
      <c r="Z186" s="544">
        <f>IF(AF232&gt;0,(AQ198/AF232),0)</f>
        <v>0</v>
      </c>
      <c r="AA186" s="545"/>
      <c r="AB186" s="545"/>
      <c r="AC186" s="548">
        <f>IF(AF246=0,0,(AF238/AF246))</f>
        <v>0</v>
      </c>
      <c r="AD186" s="549"/>
      <c r="AE186" s="550"/>
      <c r="AF186" s="554"/>
      <c r="AG186" s="554"/>
      <c r="AH186" s="556"/>
      <c r="AI186" s="557"/>
      <c r="AJ186" s="195"/>
      <c r="AK186" s="219"/>
      <c r="AL186" s="219"/>
      <c r="AM186" s="219"/>
      <c r="AN186" s="219"/>
      <c r="AO186" s="219"/>
      <c r="AP186" s="219"/>
      <c r="AQ186" s="195"/>
      <c r="AR186" s="191"/>
    </row>
    <row r="187" spans="1:44" ht="18.75" customHeight="1" thickBot="1" x14ac:dyDescent="0.25">
      <c r="A187" s="565"/>
      <c r="B187" s="560" t="s">
        <v>8</v>
      </c>
      <c r="C187" s="561"/>
      <c r="D187" s="561"/>
      <c r="E187" s="562">
        <f>AV17</f>
        <v>0</v>
      </c>
      <c r="F187" s="563"/>
      <c r="G187" s="563"/>
      <c r="H187" s="563"/>
      <c r="I187" s="563"/>
      <c r="J187" s="563"/>
      <c r="K187" s="563"/>
      <c r="L187" s="573"/>
      <c r="M187" s="574"/>
      <c r="N187" s="574"/>
      <c r="O187" s="574"/>
      <c r="P187" s="574"/>
      <c r="Q187" s="610"/>
      <c r="R187" s="573"/>
      <c r="S187" s="574"/>
      <c r="T187" s="574"/>
      <c r="U187" s="574"/>
      <c r="V187" s="574"/>
      <c r="W187" s="573"/>
      <c r="X187" s="574"/>
      <c r="Y187" s="574"/>
      <c r="Z187" s="546"/>
      <c r="AA187" s="547"/>
      <c r="AB187" s="547"/>
      <c r="AC187" s="551"/>
      <c r="AD187" s="552"/>
      <c r="AE187" s="553"/>
      <c r="AF187" s="555"/>
      <c r="AG187" s="555"/>
      <c r="AH187" s="558"/>
      <c r="AI187" s="559"/>
      <c r="AJ187" s="195"/>
      <c r="AK187" s="219"/>
      <c r="AL187" s="219"/>
      <c r="AM187" s="219"/>
      <c r="AN187" s="219"/>
      <c r="AO187" s="219"/>
      <c r="AP187" s="219"/>
      <c r="AQ187" s="195"/>
      <c r="AR187" s="191"/>
    </row>
    <row r="188" spans="1:44" ht="21" customHeight="1" thickTop="1" thickBot="1" x14ac:dyDescent="0.25">
      <c r="A188" s="220"/>
      <c r="B188" s="541" t="s">
        <v>1167</v>
      </c>
      <c r="C188" s="542"/>
      <c r="D188" s="542"/>
      <c r="E188" s="542"/>
      <c r="F188" s="542"/>
      <c r="G188" s="542"/>
      <c r="H188" s="542"/>
      <c r="I188" s="542"/>
      <c r="J188" s="542"/>
      <c r="K188" s="542"/>
      <c r="L188" s="542"/>
      <c r="M188" s="542"/>
      <c r="N188" s="542"/>
      <c r="O188" s="542"/>
      <c r="P188" s="542"/>
      <c r="Q188" s="542"/>
      <c r="R188" s="542"/>
      <c r="S188" s="542"/>
      <c r="T188" s="542"/>
      <c r="U188" s="542"/>
      <c r="V188" s="542"/>
      <c r="W188" s="542"/>
      <c r="X188" s="542"/>
      <c r="Y188" s="542"/>
      <c r="Z188" s="542"/>
      <c r="AA188" s="542"/>
      <c r="AB188" s="542"/>
      <c r="AC188" s="542"/>
      <c r="AD188" s="542"/>
      <c r="AE188" s="542"/>
      <c r="AF188" s="542"/>
      <c r="AG188" s="542"/>
      <c r="AH188" s="542"/>
      <c r="AI188" s="543"/>
      <c r="AJ188" s="195"/>
      <c r="AK188" s="219"/>
      <c r="AL188" s="219"/>
      <c r="AM188" s="219"/>
      <c r="AN188" s="219"/>
      <c r="AO188" s="219"/>
      <c r="AP188" s="219"/>
      <c r="AQ188" s="195"/>
      <c r="AR188" s="191"/>
    </row>
    <row r="189" spans="1:44" ht="13.5" thickTop="1" x14ac:dyDescent="0.2">
      <c r="A189" s="188" t="s">
        <v>39</v>
      </c>
      <c r="B189" s="530">
        <v>0.35416666666666669</v>
      </c>
      <c r="C189" s="531"/>
      <c r="D189" s="532"/>
      <c r="E189" s="530">
        <v>0.39583333333333331</v>
      </c>
      <c r="F189" s="531"/>
      <c r="G189" s="532"/>
      <c r="H189" s="530">
        <v>0.4375</v>
      </c>
      <c r="I189" s="531"/>
      <c r="J189" s="532"/>
      <c r="K189" s="530">
        <v>0.47916666666666669</v>
      </c>
      <c r="L189" s="531"/>
      <c r="M189" s="532"/>
      <c r="N189" s="530">
        <v>0.52083333333333337</v>
      </c>
      <c r="O189" s="531"/>
      <c r="P189" s="532"/>
      <c r="Q189" s="530">
        <v>6.25E-2</v>
      </c>
      <c r="R189" s="531"/>
      <c r="S189" s="532"/>
      <c r="T189" s="530"/>
      <c r="U189" s="531"/>
      <c r="V189" s="532"/>
      <c r="W189" s="530"/>
      <c r="X189" s="531"/>
      <c r="Y189" s="532"/>
      <c r="Z189" s="530"/>
      <c r="AA189" s="531"/>
      <c r="AB189" s="532"/>
      <c r="AC189" s="530"/>
      <c r="AD189" s="531"/>
      <c r="AE189" s="532"/>
      <c r="AF189" s="533" t="s">
        <v>40</v>
      </c>
      <c r="AG189" s="534"/>
      <c r="AH189" s="534"/>
      <c r="AI189" s="534"/>
      <c r="AJ189" s="535"/>
      <c r="AK189" s="535"/>
      <c r="AL189" s="535"/>
      <c r="AM189" s="535"/>
      <c r="AN189" s="535"/>
      <c r="AO189" s="535"/>
      <c r="AP189" s="535"/>
      <c r="AQ189" s="536"/>
    </row>
    <row r="190" spans="1:44" x14ac:dyDescent="0.2">
      <c r="A190" s="221" t="s">
        <v>41</v>
      </c>
      <c r="B190" s="527"/>
      <c r="C190" s="528"/>
      <c r="D190" s="529"/>
      <c r="E190" s="527"/>
      <c r="F190" s="528"/>
      <c r="G190" s="529"/>
      <c r="H190" s="527"/>
      <c r="I190" s="528"/>
      <c r="J190" s="529"/>
      <c r="K190" s="527"/>
      <c r="L190" s="528"/>
      <c r="M190" s="529"/>
      <c r="N190" s="527"/>
      <c r="O190" s="528"/>
      <c r="P190" s="529"/>
      <c r="Q190" s="527"/>
      <c r="R190" s="528"/>
      <c r="S190" s="529"/>
      <c r="T190" s="527"/>
      <c r="U190" s="528"/>
      <c r="V190" s="529"/>
      <c r="W190" s="527"/>
      <c r="X190" s="528"/>
      <c r="Y190" s="529"/>
      <c r="Z190" s="527"/>
      <c r="AA190" s="528"/>
      <c r="AB190" s="529"/>
      <c r="AC190" s="527"/>
      <c r="AD190" s="528"/>
      <c r="AE190" s="529"/>
      <c r="AF190" s="533"/>
      <c r="AG190" s="534"/>
      <c r="AH190" s="534"/>
      <c r="AI190" s="534"/>
      <c r="AJ190" s="534"/>
      <c r="AK190" s="534"/>
      <c r="AL190" s="534"/>
      <c r="AM190" s="534"/>
      <c r="AN190" s="534"/>
      <c r="AO190" s="534"/>
      <c r="AP190" s="534"/>
      <c r="AQ190" s="537"/>
    </row>
    <row r="191" spans="1:44" x14ac:dyDescent="0.2">
      <c r="A191" s="221" t="s">
        <v>42</v>
      </c>
      <c r="B191" s="527"/>
      <c r="C191" s="528"/>
      <c r="D191" s="529"/>
      <c r="E191" s="527"/>
      <c r="F191" s="528"/>
      <c r="G191" s="529"/>
      <c r="H191" s="527"/>
      <c r="I191" s="528"/>
      <c r="J191" s="529"/>
      <c r="K191" s="527"/>
      <c r="L191" s="528"/>
      <c r="M191" s="529"/>
      <c r="N191" s="527"/>
      <c r="O191" s="528"/>
      <c r="P191" s="529"/>
      <c r="Q191" s="527"/>
      <c r="R191" s="528"/>
      <c r="S191" s="529"/>
      <c r="T191" s="527"/>
      <c r="U191" s="528"/>
      <c r="V191" s="529"/>
      <c r="W191" s="527"/>
      <c r="X191" s="528"/>
      <c r="Y191" s="529"/>
      <c r="Z191" s="527"/>
      <c r="AA191" s="528"/>
      <c r="AB191" s="529"/>
      <c r="AC191" s="527"/>
      <c r="AD191" s="528"/>
      <c r="AE191" s="529"/>
      <c r="AF191" s="533"/>
      <c r="AG191" s="534"/>
      <c r="AH191" s="534"/>
      <c r="AI191" s="534"/>
      <c r="AJ191" s="534"/>
      <c r="AK191" s="534"/>
      <c r="AL191" s="534"/>
      <c r="AM191" s="534"/>
      <c r="AN191" s="534"/>
      <c r="AO191" s="534"/>
      <c r="AP191" s="534"/>
      <c r="AQ191" s="537"/>
    </row>
    <row r="192" spans="1:44" ht="13.5" thickBot="1" x14ac:dyDescent="0.25">
      <c r="A192" s="195"/>
      <c r="B192" s="394" t="s">
        <v>43</v>
      </c>
      <c r="C192" s="392"/>
      <c r="D192" s="393"/>
      <c r="E192" s="394" t="str">
        <f>IF(AK178&gt;1,"Match 2","")</f>
        <v>Match 2</v>
      </c>
      <c r="F192" s="392"/>
      <c r="G192" s="393"/>
      <c r="H192" s="394" t="str">
        <f>IF(AK178&gt;2,"Match 3","")</f>
        <v>Match 3</v>
      </c>
      <c r="I192" s="392"/>
      <c r="J192" s="393"/>
      <c r="K192" s="394" t="str">
        <f>IF(AK178&gt;3,"Match 4","")</f>
        <v>Match 4</v>
      </c>
      <c r="L192" s="392"/>
      <c r="M192" s="393"/>
      <c r="N192" s="394" t="str">
        <f>IF(AK178&gt;4,"Match 5","")</f>
        <v>Match 5</v>
      </c>
      <c r="O192" s="392"/>
      <c r="P192" s="393"/>
      <c r="Q192" s="394" t="str">
        <f>IF(AK178&gt;5,"Match 6","")</f>
        <v>Match 6</v>
      </c>
      <c r="R192" s="392"/>
      <c r="S192" s="393"/>
      <c r="T192" s="394" t="str">
        <f>IF(AK178&gt;6,"Match 7","")</f>
        <v/>
      </c>
      <c r="U192" s="392"/>
      <c r="V192" s="393"/>
      <c r="W192" s="394" t="str">
        <f>IF(AK178&gt;7,"Match 8","")</f>
        <v/>
      </c>
      <c r="X192" s="392"/>
      <c r="Y192" s="393"/>
      <c r="Z192" s="394" t="str">
        <f>IF(AK178&gt;8,"Match 9","")</f>
        <v/>
      </c>
      <c r="AA192" s="392"/>
      <c r="AB192" s="393"/>
      <c r="AC192" s="394" t="str">
        <f>IF(AK178&gt;9,"Match 10","")</f>
        <v/>
      </c>
      <c r="AD192" s="392"/>
      <c r="AE192" s="393"/>
      <c r="AF192" s="538"/>
      <c r="AG192" s="539"/>
      <c r="AH192" s="539"/>
      <c r="AI192" s="539"/>
      <c r="AJ192" s="539"/>
      <c r="AK192" s="539"/>
      <c r="AL192" s="539"/>
      <c r="AM192" s="539"/>
      <c r="AN192" s="539"/>
      <c r="AO192" s="539"/>
      <c r="AP192" s="539"/>
      <c r="AQ192" s="540"/>
    </row>
    <row r="193" spans="1:49" ht="15.75" x14ac:dyDescent="0.25">
      <c r="A193" s="195"/>
      <c r="B193" s="521" t="s">
        <v>46</v>
      </c>
      <c r="C193" s="522"/>
      <c r="D193" s="523"/>
      <c r="E193" s="521" t="s">
        <v>48</v>
      </c>
      <c r="F193" s="522"/>
      <c r="G193" s="523"/>
      <c r="H193" s="521" t="s">
        <v>45</v>
      </c>
      <c r="I193" s="522"/>
      <c r="J193" s="523"/>
      <c r="K193" s="521" t="s">
        <v>44</v>
      </c>
      <c r="L193" s="522"/>
      <c r="M193" s="523"/>
      <c r="N193" s="521" t="s">
        <v>48</v>
      </c>
      <c r="O193" s="522"/>
      <c r="P193" s="523"/>
      <c r="Q193" s="521" t="s">
        <v>45</v>
      </c>
      <c r="R193" s="522"/>
      <c r="S193" s="523"/>
      <c r="T193" s="521"/>
      <c r="U193" s="522"/>
      <c r="V193" s="523"/>
      <c r="W193" s="521"/>
      <c r="X193" s="522"/>
      <c r="Y193" s="523"/>
      <c r="Z193" s="521"/>
      <c r="AA193" s="522"/>
      <c r="AB193" s="523"/>
      <c r="AC193" s="521"/>
      <c r="AD193" s="522"/>
      <c r="AE193" s="523"/>
      <c r="AF193" s="222" t="s">
        <v>49</v>
      </c>
      <c r="AG193" s="223">
        <v>1</v>
      </c>
      <c r="AH193" s="223">
        <v>2</v>
      </c>
      <c r="AI193" s="223">
        <v>3</v>
      </c>
      <c r="AJ193" s="223">
        <v>4</v>
      </c>
      <c r="AK193" s="223">
        <v>5</v>
      </c>
      <c r="AL193" s="223">
        <v>6</v>
      </c>
      <c r="AM193" s="223">
        <v>7</v>
      </c>
      <c r="AN193" s="223">
        <v>8</v>
      </c>
      <c r="AO193" s="223">
        <v>9</v>
      </c>
      <c r="AP193" s="223">
        <v>10</v>
      </c>
      <c r="AQ193" s="224" t="s">
        <v>50</v>
      </c>
    </row>
    <row r="194" spans="1:49" ht="15.75" x14ac:dyDescent="0.25">
      <c r="A194" s="195"/>
      <c r="B194" s="225">
        <v>2</v>
      </c>
      <c r="C194" s="226" t="s">
        <v>51</v>
      </c>
      <c r="D194" s="227">
        <v>3</v>
      </c>
      <c r="E194" s="225">
        <v>1</v>
      </c>
      <c r="F194" s="226" t="str">
        <f>IF(AK178&gt;1,"v","")</f>
        <v>v</v>
      </c>
      <c r="G194" s="227">
        <v>4</v>
      </c>
      <c r="H194" s="225">
        <v>2</v>
      </c>
      <c r="I194" s="226" t="str">
        <f>IF(AK178&gt;2,"v","")</f>
        <v>v</v>
      </c>
      <c r="J194" s="227">
        <v>4</v>
      </c>
      <c r="K194" s="225">
        <v>1</v>
      </c>
      <c r="L194" s="226" t="str">
        <f>IF(AK178&gt;3,"v","")</f>
        <v>v</v>
      </c>
      <c r="M194" s="227">
        <v>3</v>
      </c>
      <c r="N194" s="225">
        <v>3</v>
      </c>
      <c r="O194" s="226" t="str">
        <f>IF(AK178&gt;4,"v","")</f>
        <v>v</v>
      </c>
      <c r="P194" s="227">
        <v>4</v>
      </c>
      <c r="Q194" s="225">
        <v>1</v>
      </c>
      <c r="R194" s="226" t="str">
        <f>IF(AK178&gt;5,"v","")</f>
        <v>v</v>
      </c>
      <c r="S194" s="227">
        <v>2</v>
      </c>
      <c r="T194" s="225"/>
      <c r="U194" s="226" t="str">
        <f>IF(AK178&gt;6,"v","")</f>
        <v/>
      </c>
      <c r="V194" s="227"/>
      <c r="W194" s="225"/>
      <c r="X194" s="226" t="str">
        <f>IF(AK178&gt;7,"v","")</f>
        <v/>
      </c>
      <c r="Y194" s="227"/>
      <c r="Z194" s="225"/>
      <c r="AA194" s="226" t="str">
        <f>IF(AK178&gt;8,"v","")</f>
        <v/>
      </c>
      <c r="AB194" s="227"/>
      <c r="AC194" s="225"/>
      <c r="AD194" s="226" t="str">
        <f>IF(AK178&gt;9,"v","")</f>
        <v/>
      </c>
      <c r="AE194" s="227"/>
      <c r="AF194" s="222" t="str">
        <f>IF(AK179&gt;0,"Team 1","")</f>
        <v>Team 1</v>
      </c>
      <c r="AG194" s="228" t="str">
        <f>IF(AK179&lt;1,"",IF(AK178&lt;1,"",IF(B194=1,B200-D200,IF(D194=1,D200-B200,""))))</f>
        <v/>
      </c>
      <c r="AH194" s="228">
        <f>IF(AK179&lt;1,"",IF(AK178&lt;2,"",IF(E194=1,E200-G200,IF(G194=1,G200-E200,""))))</f>
        <v>15</v>
      </c>
      <c r="AI194" s="228" t="str">
        <f>IF(AK179&lt;1,"",IF(AK178&lt;3,"",IF(H194=1,H200-J200,IF(J194=1,J200-H200,""))))</f>
        <v/>
      </c>
      <c r="AJ194" s="228">
        <f>IF(AK179&lt;1,"",IF(AK178&lt;4,"",IF(K194=1,K200-M200,IF(M194=1,M200-K200,""))))</f>
        <v>21</v>
      </c>
      <c r="AK194" s="228" t="str">
        <f>IF(AK179&lt;1,"",IF(AK178&lt;5,"",IF(N194=1,N200-P200,IF(P194=1,P200-N200,""))))</f>
        <v/>
      </c>
      <c r="AL194" s="228">
        <f>IF(AK179&lt;1,"",IF(AK178&lt;6,"",IF(Q194=1,Q200-S200,IF(S194=1,S200-Q200,""))))</f>
        <v>8</v>
      </c>
      <c r="AM194" s="228" t="str">
        <f>IF(AK179&lt;1,"",IF(AK178&lt;7,"",IF(T194=1,T200-V200,IF(V194=1,V200-T200,""))))</f>
        <v/>
      </c>
      <c r="AN194" s="228" t="str">
        <f>IF(AK179&lt;1,"",IF(AK178&lt;8,"",IF(W194=1,W200-Y200,IF(Y194=1,Y200-W200,""))))</f>
        <v/>
      </c>
      <c r="AO194" s="228" t="str">
        <f>IF(AK179&lt;1,"",IF(AK178&lt;9,"",IF(Z194=1,Z200-AB200,IF(AB194=1,AB200-Z200,""))))</f>
        <v/>
      </c>
      <c r="AP194" s="228" t="str">
        <f>IF(AK179&lt;1,"",IF(AK178&lt;10,"",IF(AC194=1,AC200-AE200,IF(AE194=1,AE200-AC200,""))))</f>
        <v/>
      </c>
      <c r="AQ194" s="224">
        <f>SUM(AG194:AP194)</f>
        <v>44</v>
      </c>
    </row>
    <row r="195" spans="1:49" ht="15" x14ac:dyDescent="0.2">
      <c r="A195" s="188" t="s">
        <v>52</v>
      </c>
      <c r="B195" s="229">
        <v>25</v>
      </c>
      <c r="C195" s="230" t="s">
        <v>53</v>
      </c>
      <c r="D195" s="231">
        <v>19</v>
      </c>
      <c r="E195" s="229">
        <v>25</v>
      </c>
      <c r="F195" s="230" t="str">
        <f>IF(AK178&gt;1,"/","")</f>
        <v>/</v>
      </c>
      <c r="G195" s="231">
        <v>17</v>
      </c>
      <c r="H195" s="229">
        <v>25</v>
      </c>
      <c r="I195" s="230" t="str">
        <f>IF(AK178&gt;2,"/","")</f>
        <v>/</v>
      </c>
      <c r="J195" s="231">
        <v>8</v>
      </c>
      <c r="K195" s="229">
        <v>25</v>
      </c>
      <c r="L195" s="230" t="str">
        <f>IF(AK178&gt;3,"/","")</f>
        <v>/</v>
      </c>
      <c r="M195" s="231">
        <v>9</v>
      </c>
      <c r="N195" s="229">
        <v>25</v>
      </c>
      <c r="O195" s="230" t="str">
        <f>IF(AK178&gt;4,"/","")</f>
        <v>/</v>
      </c>
      <c r="P195" s="231">
        <v>23</v>
      </c>
      <c r="Q195" s="229">
        <v>25</v>
      </c>
      <c r="R195" s="230" t="str">
        <f>IF(AK178&gt;5,"/","")</f>
        <v>/</v>
      </c>
      <c r="S195" s="231">
        <v>20</v>
      </c>
      <c r="T195" s="229"/>
      <c r="U195" s="230" t="str">
        <f>IF(AK178&gt;6,"/","")</f>
        <v/>
      </c>
      <c r="V195" s="231"/>
      <c r="W195" s="229"/>
      <c r="X195" s="230" t="str">
        <f>IF(AK178&gt;7,"/","")</f>
        <v/>
      </c>
      <c r="Y195" s="231"/>
      <c r="Z195" s="229"/>
      <c r="AA195" s="230" t="str">
        <f>IF(AK178&gt;8,"/","")</f>
        <v/>
      </c>
      <c r="AB195" s="231"/>
      <c r="AC195" s="229"/>
      <c r="AD195" s="230" t="str">
        <f>IF(AK178&gt;9,"/","")</f>
        <v/>
      </c>
      <c r="AE195" s="231"/>
      <c r="AF195" s="222" t="str">
        <f>IF(AK179&gt;1,"Team 2","")</f>
        <v>Team 2</v>
      </c>
      <c r="AG195" s="228">
        <f>IF(AK179&lt;2,"",IF(AK178&lt;1,"",IF(B194=2,B200-D200,IF(D194=2,D200-B200,""))))</f>
        <v>11</v>
      </c>
      <c r="AH195" s="228" t="str">
        <f>IF(AK179&lt;2,"",IF(AK178&lt;2,"",IF(E194=2,E200-G200,IF(G194=2,G200-E200,""))))</f>
        <v/>
      </c>
      <c r="AI195" s="228">
        <f>IF(AK179&lt;2,"",IF(AK178&lt;3,"",IF(H194=2,H200-J200,IF(J194=2,J200-H200,""))))</f>
        <v>25</v>
      </c>
      <c r="AJ195" s="228" t="str">
        <f>IF(AK179&lt;2,"",IF(AK178&lt;4,"",IF(K194=2,K200-M200,IF(M194=2,M200-K200,""))))</f>
        <v/>
      </c>
      <c r="AK195" s="228" t="str">
        <f>IF(AK179&lt;2,"",IF(AK178&lt;5,"",IF(N194=2,N200-P200,IF(P194=2,P200-N200,""))))</f>
        <v/>
      </c>
      <c r="AL195" s="228">
        <f>IF(AK179&lt;2,"",IF(AK178&lt;6,"",IF(Q194=2,Q200-S200,IF(S194=2,S200-Q200,""))))</f>
        <v>-8</v>
      </c>
      <c r="AM195" s="228" t="str">
        <f>IF(AK179&lt;2,"",IF(AK178&lt;7,"",IF(T194=2,T200-V200,IF(V194=2,V200-T200,""))))</f>
        <v/>
      </c>
      <c r="AN195" s="228" t="str">
        <f>IF(AK179&lt;2,"",IF(AK178&lt;8,"",IF(W194=2,W200-Y200,IF(Y194=2,Y200-W200,""))))</f>
        <v/>
      </c>
      <c r="AO195" s="228" t="str">
        <f>IF(AK179&lt;2,"",IF(AK178&lt;9,"",IF(Z194=2,Z200-AB200,IF(AB194=2,AB200-Z200,""))))</f>
        <v/>
      </c>
      <c r="AP195" s="228" t="str">
        <f>IF(AK179&lt;2,"",IF(AK178&lt;10,"",IF(AC194=2,AC200-AE200,IF(AE194=2,AE200-AC200,""))))</f>
        <v/>
      </c>
      <c r="AQ195" s="224">
        <f>SUM(AG195:AP195)</f>
        <v>28</v>
      </c>
    </row>
    <row r="196" spans="1:49" ht="15" x14ac:dyDescent="0.2">
      <c r="A196" s="191" t="str">
        <f>IF(AK177&gt;1,"Game 2","")</f>
        <v>Game 2</v>
      </c>
      <c r="B196" s="229">
        <v>25</v>
      </c>
      <c r="C196" s="230" t="s">
        <v>53</v>
      </c>
      <c r="D196" s="231">
        <v>20</v>
      </c>
      <c r="E196" s="229">
        <v>25</v>
      </c>
      <c r="F196" s="230" t="str">
        <f>IF(AK178&gt;1,IF(AK177&gt;1,"/",""),"")</f>
        <v>/</v>
      </c>
      <c r="G196" s="231">
        <v>18</v>
      </c>
      <c r="H196" s="229">
        <v>25</v>
      </c>
      <c r="I196" s="230" t="str">
        <f>IF(AK178&gt;2,IF(AK177&gt;1,"/",""),"")</f>
        <v>/</v>
      </c>
      <c r="J196" s="231">
        <v>17</v>
      </c>
      <c r="K196" s="229">
        <v>25</v>
      </c>
      <c r="L196" s="230" t="str">
        <f>IF(AK178&gt;3,IF(AK177&gt;1,"/",""),"")</f>
        <v>/</v>
      </c>
      <c r="M196" s="231">
        <v>20</v>
      </c>
      <c r="N196" s="229">
        <v>25</v>
      </c>
      <c r="O196" s="230" t="str">
        <f>IF(AK178&gt;4,IF(AK177&gt;1,"/",""),"")</f>
        <v>/</v>
      </c>
      <c r="P196" s="231">
        <v>17</v>
      </c>
      <c r="Q196" s="229">
        <v>25</v>
      </c>
      <c r="R196" s="230" t="str">
        <f>IF(AK178&gt;5,IF(AK177&gt;1,"/",""),"")</f>
        <v>/</v>
      </c>
      <c r="S196" s="231">
        <v>22</v>
      </c>
      <c r="T196" s="229"/>
      <c r="U196" s="230" t="str">
        <f>IF(AK178&gt;6,IF(AK177&gt;1,"/",""),"")</f>
        <v/>
      </c>
      <c r="V196" s="231"/>
      <c r="W196" s="229"/>
      <c r="X196" s="230" t="str">
        <f>IF(AK178&gt;7,IF(AK177&gt;1,"/",""),"")</f>
        <v/>
      </c>
      <c r="Y196" s="231"/>
      <c r="Z196" s="229"/>
      <c r="AA196" s="230" t="str">
        <f>IF(AK178&gt;8,IF(AK177&gt;1,"/",""),"")</f>
        <v/>
      </c>
      <c r="AB196" s="231"/>
      <c r="AC196" s="229"/>
      <c r="AD196" s="230" t="str">
        <f>IF(AK178&gt;9,IF(AK177&gt;1,"/",""),"")</f>
        <v/>
      </c>
      <c r="AE196" s="231"/>
      <c r="AF196" s="222" t="str">
        <f>IF(AK179&gt;2,"Team 3","")</f>
        <v>Team 3</v>
      </c>
      <c r="AG196" s="228">
        <f>IF(AK179&lt;3,"",IF(AK178&lt;1,"",IF(B194=3,B200-D200,IF(D194=3,D200-B200,""))))</f>
        <v>-11</v>
      </c>
      <c r="AH196" s="228" t="str">
        <f>IF(AK179&lt;3,"",IF(AK178&lt;2,"",IF(E194=3,E200-G200,IF(G194=3,G200-E200,""))))</f>
        <v/>
      </c>
      <c r="AI196" s="228" t="str">
        <f>IF(AK179&lt;3,"",IF(AK178&lt;3,"",IF(H194=3,H200-J200,IF(J194=3,J200-H200,""))))</f>
        <v/>
      </c>
      <c r="AJ196" s="228">
        <f>IF(AK179&lt;3,"",IF(AK178&lt;4,"",IF(K194=3,K200-M200,IF(M194=3,M200-K200,""))))</f>
        <v>-21</v>
      </c>
      <c r="AK196" s="228">
        <f>IF(AK179&lt;3,"",IF(AK178&lt;5,"",IF(N194=3,N200-P200,IF(P194=3,P200-N200,""))))</f>
        <v>10</v>
      </c>
      <c r="AL196" s="228" t="str">
        <f>IF(AK179&lt;3,"",IF(AK178&lt;6,"",IF(Q194=3,Q200-S200,IF(S194=3,S200-Q200,""))))</f>
        <v/>
      </c>
      <c r="AM196" s="228" t="str">
        <f>IF(AK179&lt;3,"",IF(AK178&lt;7,"",IF(T194=3,T200-V200,IF(V194=3,V200-T200,""))))</f>
        <v/>
      </c>
      <c r="AN196" s="228" t="str">
        <f>IF(AK179&lt;3,"",IF(AK178&lt;8,"",IF(W194=3,W200-Y200,IF(Y194=3,Y200-W200,""))))</f>
        <v/>
      </c>
      <c r="AO196" s="228" t="str">
        <f>IF(AK179&lt;3,"",IF(AK178&lt;9,"",IF(Z194=3,Z200-AB200,IF(AB194=3,AB200-Z200,""))))</f>
        <v/>
      </c>
      <c r="AP196" s="228" t="str">
        <f>IF(AK179&lt;3,"",IF(AK178&lt;9,"",IF(AC194=3,AC200-AE200,IF(AE194=3,AE200-AC200,""))))</f>
        <v/>
      </c>
      <c r="AQ196" s="224">
        <f>SUM(AG196:AP196)</f>
        <v>-22</v>
      </c>
    </row>
    <row r="197" spans="1:49" ht="15" x14ac:dyDescent="0.2">
      <c r="A197" s="191" t="str">
        <f>IF(AK177&gt;2,"Game 3","")</f>
        <v>Game 3</v>
      </c>
      <c r="B197" s="229"/>
      <c r="C197" s="230" t="s">
        <v>53</v>
      </c>
      <c r="D197" s="231"/>
      <c r="E197" s="229"/>
      <c r="F197" s="230" t="str">
        <f>IF(AK178&gt;1,IF(AK177&gt;2,"/",""),"")</f>
        <v>/</v>
      </c>
      <c r="G197" s="231"/>
      <c r="H197" s="229"/>
      <c r="I197" s="230" t="str">
        <f>IF(AK178&gt;2,IF(AK177&gt;2,"/",""),"")</f>
        <v>/</v>
      </c>
      <c r="J197" s="231"/>
      <c r="K197" s="229"/>
      <c r="L197" s="230" t="str">
        <f>IF(AK178&gt;3,IF(AK177&gt;2,"/",""),"")</f>
        <v>/</v>
      </c>
      <c r="M197" s="231"/>
      <c r="N197" s="229"/>
      <c r="O197" s="230" t="str">
        <f>IF(AK178&gt;4,IF(AK177&gt;2,"/",""),"")</f>
        <v>/</v>
      </c>
      <c r="P197" s="231"/>
      <c r="Q197" s="229"/>
      <c r="R197" s="230" t="str">
        <f>IF(AK178&gt;5,IF(AK177&gt;2,"/",""),"")</f>
        <v>/</v>
      </c>
      <c r="S197" s="231"/>
      <c r="T197" s="229"/>
      <c r="U197" s="230" t="str">
        <f>IF(AK178&gt;6,IF(AK177&gt;2,"/",""),"")</f>
        <v/>
      </c>
      <c r="V197" s="231"/>
      <c r="W197" s="229"/>
      <c r="X197" s="230" t="str">
        <f>IF(AK178&gt;7,IF(AK177&gt;2,"/",""),"")</f>
        <v/>
      </c>
      <c r="Y197" s="231"/>
      <c r="Z197" s="229"/>
      <c r="AA197" s="230" t="str">
        <f>IF(AK178&gt;8,IF(AK177&gt;2,"/",""),"")</f>
        <v/>
      </c>
      <c r="AB197" s="231"/>
      <c r="AC197" s="229"/>
      <c r="AD197" s="230" t="str">
        <f>IF(AK178&gt;9,IF(AK177&gt;2,"/",""),"")</f>
        <v/>
      </c>
      <c r="AE197" s="231"/>
      <c r="AF197" s="222" t="str">
        <f>IF(AK179&gt;3,"Team 4","")</f>
        <v>Team 4</v>
      </c>
      <c r="AG197" s="228" t="str">
        <f>IF(AK179&lt;4,"",IF(AK178&lt;1,"",IF(B194=4,B200-D200,IF(D194=4,D200-B200,""))))</f>
        <v/>
      </c>
      <c r="AH197" s="228">
        <f>IF(AK179&lt;4,"",IF(AK178&lt;2,"",IF(E194=4,E200-G200,IF(G194=4,G200-E200,""))))</f>
        <v>-15</v>
      </c>
      <c r="AI197" s="228">
        <f>IF(AK179&lt;4,"",IF(AK178&lt;3,"",IF(H194=4,H200-J200,IF(J194=4,J200-H200,""))))</f>
        <v>-25</v>
      </c>
      <c r="AJ197" s="228" t="str">
        <f>IF(AK179&lt;4,"",IF(AK178&lt;4,"",IF(K194=4,K200-M200,IF(M194=4,M200-K200,""))))</f>
        <v/>
      </c>
      <c r="AK197" s="228">
        <f>IF(AK179&lt;4,"",IF(AK178&lt;5,"",IF(N194=4,N200-P200,IF(P194=4,P200-N200,""))))</f>
        <v>-10</v>
      </c>
      <c r="AL197" s="228" t="str">
        <f>IF(AK179&lt;4,"",IF(AK178&lt;6,"",IF(Q194=4,Q200-S200,IF(S194=4,S200-Q200,""))))</f>
        <v/>
      </c>
      <c r="AM197" s="228" t="str">
        <f>IF(AK179&lt;4,"",IF(AK178&lt;7,"",IF(T194=4,T200-V200,IF(V194=4,V200-T200,""))))</f>
        <v/>
      </c>
      <c r="AN197" s="228" t="str">
        <f>IF(AK179&lt;4,"",IF(AK178&lt;8,"",IF(W194=4,W200-Y200,IF(Y194=4,Y200-W200,""))))</f>
        <v/>
      </c>
      <c r="AO197" s="228" t="str">
        <f>IF(AK179&lt;4,"",IF(AK178&lt;9,"",IF(Z194=4,Z200-AB200,IF(AB194=4,AB200-Z200,""))))</f>
        <v/>
      </c>
      <c r="AP197" s="228" t="str">
        <f>IF(AK179&lt;4,"",IF(AK178&lt;10,"",IF(AC194=4,AC200-AE200,IF(AE194=4,AE200-AC200,""))))</f>
        <v/>
      </c>
      <c r="AQ197" s="224">
        <f>SUM(AG197:AP197)</f>
        <v>-50</v>
      </c>
    </row>
    <row r="198" spans="1:49" ht="15" x14ac:dyDescent="0.2">
      <c r="A198" s="191" t="str">
        <f>IF(AK177&gt;3,"Game 4","")</f>
        <v/>
      </c>
      <c r="B198" s="229"/>
      <c r="C198" s="230" t="s">
        <v>53</v>
      </c>
      <c r="D198" s="231"/>
      <c r="E198" s="229"/>
      <c r="F198" s="230" t="str">
        <f>IF(AK178&gt;1,IF(AK177&gt;3,"/",""),"")</f>
        <v/>
      </c>
      <c r="G198" s="231"/>
      <c r="H198" s="229"/>
      <c r="I198" s="230" t="str">
        <f>IF(AK178&gt;2,IF(AK177&gt;3,"/",""),"")</f>
        <v/>
      </c>
      <c r="J198" s="231"/>
      <c r="K198" s="229"/>
      <c r="L198" s="230" t="str">
        <f>IF(AK178&gt;3,IF(AK177&gt;3,"/",""),"")</f>
        <v/>
      </c>
      <c r="M198" s="231"/>
      <c r="N198" s="229"/>
      <c r="O198" s="230" t="str">
        <f>IF(AK178&gt;4,IF(AK177&gt;3,"/",""),"")</f>
        <v/>
      </c>
      <c r="P198" s="231"/>
      <c r="Q198" s="229"/>
      <c r="R198" s="230" t="str">
        <f>IF(AK178&gt;5,IF(AK177&gt;3,"/",""),"")</f>
        <v/>
      </c>
      <c r="S198" s="231"/>
      <c r="T198" s="229"/>
      <c r="U198" s="230" t="str">
        <f>IF(AK178&gt;6,IF(AK177&gt;3,"/",""),"")</f>
        <v/>
      </c>
      <c r="V198" s="231"/>
      <c r="W198" s="229"/>
      <c r="X198" s="230" t="str">
        <f>IF(AK178&gt;7,IF(AK177&gt;3,"/",""),"")</f>
        <v/>
      </c>
      <c r="Y198" s="231"/>
      <c r="Z198" s="229"/>
      <c r="AA198" s="230" t="str">
        <f>IF(AK178&gt;8,IF(AK177&gt;3,"/",""),"")</f>
        <v/>
      </c>
      <c r="AB198" s="231"/>
      <c r="AC198" s="229"/>
      <c r="AD198" s="230" t="str">
        <f>IF(AK178&gt;9,IF(AK177&gt;3,"/",""),"")</f>
        <v/>
      </c>
      <c r="AE198" s="231"/>
      <c r="AF198" s="222" t="str">
        <f>IF(AK179&gt;4,"Team 5","")</f>
        <v/>
      </c>
      <c r="AG198" s="232" t="str">
        <f>IF(AK179&lt;5,"",IF(AK178&lt;1,"",IF(B194=5,B200-D200,IF(D194=5,D200-B200,""))))</f>
        <v/>
      </c>
      <c r="AH198" s="228" t="str">
        <f>IF(AK179&lt;5,"",IF(AK178&lt;2,"",IF(E194=5,E200-G200,IF(G194=5,G200-E200,""))))</f>
        <v/>
      </c>
      <c r="AI198" s="228" t="str">
        <f>IF(AK179&lt;5,"",IF(AK178&lt;3,"",IF(H194=5,H200-J200,IF(J194=5,J200-H200,""))))</f>
        <v/>
      </c>
      <c r="AJ198" s="228" t="str">
        <f>IF(AK179&lt;5,"",IF(AK178&lt;4,"",IF(K194=5,K200-M200,IF(M194=5,M200-K200,""))))</f>
        <v/>
      </c>
      <c r="AK198" s="228" t="str">
        <f>IF(AK179&lt;5,"",IF(AK178&lt;5,"",IF(N194=5,N200-P200,IF(P194=5,P200-N200,""))))</f>
        <v/>
      </c>
      <c r="AL198" s="228" t="str">
        <f>IF(AK179&lt;5,"",IF(AK178&lt;6,"",IF(Q194=5,Q200-S200,IF(S194=5,S200-Q200,""))))</f>
        <v/>
      </c>
      <c r="AM198" s="228" t="str">
        <f>IF(AK179&lt;5,"",IF(AK178&lt;7,"",IF(T194=5,T200-V200,IF(V194=5,V200-T200,""))))</f>
        <v/>
      </c>
      <c r="AN198" s="228" t="str">
        <f>IF(AK179&lt;5,"",IF(AK178&lt;8,"",IF(W194=5,W200-Y200,IF(Y194=5,Y200-W200,""))))</f>
        <v/>
      </c>
      <c r="AO198" s="228" t="str">
        <f>IF(AK179&lt;5,"",IF(AK178&lt;9,"",IF(Z194=5,Z200-AB200,IF(AB194=5,AB200-Z200,""))))</f>
        <v/>
      </c>
      <c r="AP198" s="228" t="str">
        <f>IF(AK179&lt;5,"",IF(AK178&lt;10,"",IF(AC194=5,AC200-AE200,IF(AE194=5,AE200-AC200,""))))</f>
        <v/>
      </c>
      <c r="AQ198" s="224">
        <f>SUM(AG198:AP198)</f>
        <v>0</v>
      </c>
    </row>
    <row r="199" spans="1:49" ht="15" x14ac:dyDescent="0.2">
      <c r="A199" s="191" t="str">
        <f>IF(AK177&gt;4,"Game 5","")</f>
        <v/>
      </c>
      <c r="B199" s="229"/>
      <c r="C199" s="230" t="s">
        <v>53</v>
      </c>
      <c r="D199" s="231"/>
      <c r="E199" s="229"/>
      <c r="F199" s="230" t="str">
        <f>IF(AK178&gt;1,IF(AK177&gt;4,"/",""),"")</f>
        <v/>
      </c>
      <c r="G199" s="231"/>
      <c r="H199" s="229"/>
      <c r="I199" s="230" t="str">
        <f>IF(AK178&gt;2,IF(AK177&gt;4,"/",""),"")</f>
        <v/>
      </c>
      <c r="J199" s="231"/>
      <c r="K199" s="229"/>
      <c r="L199" s="230" t="str">
        <f>IF(AK178&gt;3,IF(AK177&gt;4,"/",""),"")</f>
        <v/>
      </c>
      <c r="M199" s="231"/>
      <c r="N199" s="229"/>
      <c r="O199" s="230" t="str">
        <f>IF(AK178&gt;4,IF(AK177&gt;4,"/",""),"")</f>
        <v/>
      </c>
      <c r="P199" s="231"/>
      <c r="Q199" s="229"/>
      <c r="R199" s="230" t="str">
        <f>IF(AK178&gt;5,IF(AK177&gt;4,"/",""),"")</f>
        <v/>
      </c>
      <c r="S199" s="231"/>
      <c r="T199" s="229"/>
      <c r="U199" s="230" t="str">
        <f>IF(AK178&gt;6,IF(AK177&gt;4,"/",""),"")</f>
        <v/>
      </c>
      <c r="V199" s="231"/>
      <c r="W199" s="229"/>
      <c r="X199" s="230" t="str">
        <f>IF(AK178&gt;7,IF(AK177&gt;4,"/",""),"")</f>
        <v/>
      </c>
      <c r="Y199" s="231"/>
      <c r="Z199" s="229"/>
      <c r="AA199" s="230" t="str">
        <f>IF(AK178&gt;8,IF(AK177&gt;4,"/",""),"")</f>
        <v/>
      </c>
      <c r="AB199" s="231"/>
      <c r="AC199" s="229"/>
      <c r="AD199" s="230" t="str">
        <f>IF(AK178&gt;9,IF(AK177&gt;4,"/",""),"")</f>
        <v/>
      </c>
      <c r="AE199" s="231"/>
      <c r="AF199" s="195"/>
      <c r="AG199" s="195"/>
      <c r="AH199" s="195"/>
      <c r="AI199" s="195"/>
      <c r="AJ199" s="195"/>
      <c r="AK199" s="195"/>
      <c r="AL199" s="195"/>
      <c r="AM199" s="195"/>
      <c r="AN199" s="195"/>
      <c r="AO199" s="195"/>
      <c r="AP199" s="195"/>
      <c r="AQ199" s="195"/>
    </row>
    <row r="200" spans="1:49" hidden="1" x14ac:dyDescent="0.2">
      <c r="A200" s="233"/>
      <c r="B200" s="233">
        <f>IF($AK177=5,SUM(B195:B199),IF($AK177=4,SUM(B195:B198),IF($AK177=3,SUM(B195:B197),IF($AK177=2,SUM(B195:B196),B195))))</f>
        <v>50</v>
      </c>
      <c r="C200" s="233"/>
      <c r="D200" s="233">
        <f>IF($AK177=5,SUM(D195:D199),IF($AK177=4,SUM(D195:D198),IF($AK177=3,SUM(D195:D197),IF($AK177=2,SUM(D195:D196),D195))))</f>
        <v>39</v>
      </c>
      <c r="E200" s="233">
        <f>IF($AK177=5,SUM(E195:E199),IF($AK177=4,SUM(E195:E198),IF($AK177=3,SUM(E195:E197),IF($AK177=2,SUM(E195:E196),E195))))</f>
        <v>50</v>
      </c>
      <c r="F200" s="233"/>
      <c r="G200" s="233">
        <f>IF($AK177=5,SUM(G195:G199),IF($AK177=4,SUM(G195:G198),IF($AK177=3,SUM(G195:G197),IF($AK177=2,SUM(G195:G196),G195))))</f>
        <v>35</v>
      </c>
      <c r="H200" s="233">
        <f>IF($AK177=5,SUM(H195:H199),IF($AK177=4,SUM(H195:H198),IF($AK177=3,SUM(H195:H197),IF($AK177=2,SUM(H195:H196),H195))))</f>
        <v>50</v>
      </c>
      <c r="I200" s="233"/>
      <c r="J200" s="233">
        <f>IF($AK177=5,SUM(J195:J199),IF($AK177=4,SUM(J195:J198),IF($AK177=3,SUM(J195:J197),IF($AK177=2,SUM(J195:J196),J195))))</f>
        <v>25</v>
      </c>
      <c r="K200" s="233">
        <f>IF($AK177=5,SUM(K195:K199),IF($AK177=4,SUM(K195:K198),IF($AK177=3,SUM(K195:K197),IF($AK177=2,SUM(K195:K196),K195))))</f>
        <v>50</v>
      </c>
      <c r="L200" s="233"/>
      <c r="M200" s="233">
        <f>IF($AK177=5,SUM(M195:M199),IF($AK177=4,SUM(M195:M198),IF($AK177=3,SUM(M195:M197),IF($AK177=2,SUM(M195:M196),M195))))</f>
        <v>29</v>
      </c>
      <c r="N200" s="233">
        <f>IF($AK177=5,SUM(N195:N199),IF($AK177=4,SUM(N195:N198),IF($AK177=3,SUM(N195:N197),IF($AK177=2,SUM(N195:N196),N195))))</f>
        <v>50</v>
      </c>
      <c r="O200" s="233"/>
      <c r="P200" s="233">
        <f>IF($AK177=5,SUM(P195:P199),IF($AK177=4,SUM(P195:P198),IF($AK177=3,SUM(P195:P197),IF($AK177=2,SUM(P195:P196),P195))))</f>
        <v>40</v>
      </c>
      <c r="Q200" s="233">
        <f>IF($AK177=5,SUM(Q195:Q199),IF($AK177=4,SUM(Q195:Q198),IF($AK177=3,SUM(Q195:Q197),IF($AK177=2,SUM(Q195:Q196),Q195))))</f>
        <v>50</v>
      </c>
      <c r="R200" s="233"/>
      <c r="S200" s="233">
        <f>IF($AK177=5,SUM(S195:S199),IF($AK177=4,SUM(S195:S198),IF($AK177=3,SUM(S195:S197),IF($AK177=2,SUM(S195:S196),S195))))</f>
        <v>42</v>
      </c>
      <c r="T200" s="233">
        <f>IF($AK177=5,SUM(T195:T199),IF($AK177=4,SUM(T195:T198),IF($AK177=3,SUM(T195:T197),IF($AK177=2,SUM(T195:T196),T195))))</f>
        <v>0</v>
      </c>
      <c r="U200" s="233"/>
      <c r="V200" s="233">
        <f>IF($AK177=5,SUM(V195:V199),IF($AK177=4,SUM(V195:V198),IF($AK177=3,SUM(V195:V197),IF($AK177=2,SUM(V195:V196),V195))))</f>
        <v>0</v>
      </c>
      <c r="W200" s="233">
        <f>IF($AK177=5,SUM(W195:W199),IF($AK177=4,SUM(W195:W198),IF($AK177=3,SUM(W195:W197),IF($AK177=2,SUM(W195:W196),W195))))</f>
        <v>0</v>
      </c>
      <c r="X200" s="233"/>
      <c r="Y200" s="233">
        <f>IF($AK177=5,SUM(Y195:Y199),IF($AK177=4,SUM(Y195:Y198),IF($AK177=3,SUM(Y195:Y197),IF($AK177=2,SUM(Y195:Y196),Y195))))</f>
        <v>0</v>
      </c>
      <c r="Z200" s="233">
        <f>IF($AK177=5,SUM(Z195:Z199),IF($AK177=4,SUM(Z195:Z198),IF($AK177=3,SUM(Z195:Z197),IF($AK177=2,SUM(Z195:Z196),Z195))))</f>
        <v>0</v>
      </c>
      <c r="AA200" s="233"/>
      <c r="AB200" s="233">
        <f>IF($AK177=5,SUM(AB195:AB199),IF($AK177=4,SUM(AB195:AB198),IF($AK177=3,SUM(AB195:AB197),IF($AK177=2,SUM(AB195:AB196),AB195))))</f>
        <v>0</v>
      </c>
      <c r="AC200" s="233">
        <f>IF($AK177=5,SUM(AC195:AC199),IF($AK177=4,SUM(AC195:AC198),IF($AK177=3,SUM(AC195:AC197),IF($AK177=2,SUM(AC195:AC196),AC195))))</f>
        <v>0</v>
      </c>
      <c r="AD200" s="233"/>
      <c r="AE200" s="233">
        <f>IF($AK177=5,SUM(AE195:AE199),IF($AK177=4,SUM(AE195:AE198),IF($AK177=3,SUM(AE195:AE197),IF($AK177=2,SUM(AE195:AE196),AE195))))</f>
        <v>0</v>
      </c>
      <c r="AF200" s="195"/>
      <c r="AG200" s="195"/>
      <c r="AH200" s="195"/>
      <c r="AI200" s="195"/>
      <c r="AJ200" s="195"/>
      <c r="AK200" s="195"/>
      <c r="AL200" s="195"/>
      <c r="AM200" s="195"/>
      <c r="AN200" s="195"/>
      <c r="AO200" s="195"/>
      <c r="AP200" s="195"/>
      <c r="AQ200" s="195"/>
    </row>
    <row r="201" spans="1:49" s="235" customFormat="1" ht="12.75" hidden="1" customHeight="1" x14ac:dyDescent="0.2">
      <c r="A201" s="235" t="s">
        <v>54</v>
      </c>
      <c r="B201" s="236">
        <f>IF(AND(B195&gt;D195,$AK178&gt;0,ISNUMBER(B195),ISNUMBER(D195)),1,0)</f>
        <v>1</v>
      </c>
      <c r="C201" s="236"/>
      <c r="D201" s="237">
        <f>IF(AND(D195&gt;B195,$AK178&gt;0,ISNUMBER(B195),ISNUMBER(D195)),1,0)</f>
        <v>0</v>
      </c>
      <c r="E201" s="236">
        <f>IF(AND(E195&gt;G195,$AK178&gt;1,ISNUMBER(E195),ISNUMBER(G195)),1,0)</f>
        <v>1</v>
      </c>
      <c r="F201" s="236"/>
      <c r="G201" s="237">
        <f>IF(AND(G195&gt;E195,$AK178&gt;1,ISNUMBER(E195),ISNUMBER(G195)),1,0)</f>
        <v>0</v>
      </c>
      <c r="H201" s="236">
        <f>IF(AND(H195&gt;J195,$AK178&gt;2,ISNUMBER(H195),ISNUMBER(J195)),1,0)</f>
        <v>1</v>
      </c>
      <c r="I201" s="236"/>
      <c r="J201" s="237">
        <f>IF(AND(J195&gt;H195,$AK178&gt;2,ISNUMBER(H195),ISNUMBER(J195)),1,0)</f>
        <v>0</v>
      </c>
      <c r="K201" s="236">
        <f>IF(AND(K195&gt;M195,$AK178&gt;3,ISNUMBER(K195),ISNUMBER(M195)),1,0)</f>
        <v>1</v>
      </c>
      <c r="L201" s="236"/>
      <c r="M201" s="237">
        <f>IF(AND(M195&gt;K195,$AK178&gt;3,ISNUMBER(K195),ISNUMBER(M195)),1,0)</f>
        <v>0</v>
      </c>
      <c r="N201" s="236">
        <f>IF(AND(N195&gt;P195,$AK178&gt;4,ISNUMBER(N195),ISNUMBER(P195)),1,0)</f>
        <v>1</v>
      </c>
      <c r="O201" s="236"/>
      <c r="P201" s="237">
        <f>IF(AND(P195&gt;N195,$AK178&gt;4,ISNUMBER(N195),ISNUMBER(P195)),1,0)</f>
        <v>0</v>
      </c>
      <c r="Q201" s="236">
        <f>IF(AND(Q195&gt;S195,$AK178&gt;5,ISNUMBER(Q195),ISNUMBER(S195)),1,0)</f>
        <v>1</v>
      </c>
      <c r="R201" s="236"/>
      <c r="S201" s="237">
        <f>IF(AND(S195&gt;Q195,$AK178&gt;5,ISNUMBER(Q195),ISNUMBER(S195)),1,0)</f>
        <v>0</v>
      </c>
      <c r="T201" s="236">
        <f>IF(AND(T195&gt;V195,$AK178&gt;6,ISNUMBER(T195),ISNUMBER(V195)),1,0)</f>
        <v>0</v>
      </c>
      <c r="U201" s="236"/>
      <c r="V201" s="237">
        <f>IF(AND(V195&gt;T195,$AK178&gt;6,ISNUMBER(T195),ISNUMBER(V195)),1,0)</f>
        <v>0</v>
      </c>
      <c r="W201" s="236">
        <f>IF(AND(W195&gt;Y195,$AK178&gt;7,ISNUMBER(W195),ISNUMBER(Y195)),1,0)</f>
        <v>0</v>
      </c>
      <c r="X201" s="236"/>
      <c r="Y201" s="237">
        <f>IF(AND(Y195&gt;W195,$AK178&gt;7,ISNUMBER(W195),ISNUMBER(Y195)),1,0)</f>
        <v>0</v>
      </c>
      <c r="Z201" s="236">
        <f>IF(AND(Z195&gt;AB195,$AK178&gt;8,ISNUMBER(Z195),ISNUMBER(AB195)),1,0)</f>
        <v>0</v>
      </c>
      <c r="AA201" s="236"/>
      <c r="AB201" s="237">
        <f>IF(AND(AB195&gt;Z195,$AK178&gt;8,ISNUMBER(Z195),ISNUMBER(AB195)),1,0)</f>
        <v>0</v>
      </c>
      <c r="AC201" s="236">
        <f>IF(AND(AC195&gt;AE195,$AK178&gt;9,ISNUMBER(AC195),ISNUMBER(AE195)),1,0)</f>
        <v>0</v>
      </c>
      <c r="AD201" s="236"/>
      <c r="AE201" s="237">
        <f>IF(AND(AE195&gt;AC195,$AK178&gt;9,ISNUMBER(AC195),ISNUMBER(AE195)),1,0)</f>
        <v>0</v>
      </c>
      <c r="AW201" s="238"/>
    </row>
    <row r="202" spans="1:49" s="235" customFormat="1" ht="12.75" hidden="1" customHeight="1" x14ac:dyDescent="0.2">
      <c r="A202" s="235" t="s">
        <v>55</v>
      </c>
      <c r="B202" s="236">
        <f>IF(AND(B196&gt;D196,$AK178&gt;0,$AK177&gt;1,ISNUMBER(B196),ISNUMBER(D196)),1,0)</f>
        <v>1</v>
      </c>
      <c r="C202" s="236"/>
      <c r="D202" s="237">
        <f>IF(AND(D196&gt;B196,$AK178&gt;0,$AK177&gt;1,ISNUMBER(B196),ISNUMBER(D196)),1,0)</f>
        <v>0</v>
      </c>
      <c r="E202" s="236">
        <f>IF(AND(E196&gt;G196,$AK178&gt;1,$AK177&gt;1,ISNUMBER(E196),ISNUMBER(G196)),1,0)</f>
        <v>1</v>
      </c>
      <c r="F202" s="236"/>
      <c r="G202" s="237">
        <f>IF(AND(G196&gt;E196,$AK178&gt;1,$AK177&gt;1,ISNUMBER(E196),ISNUMBER(G196)),1,0)</f>
        <v>0</v>
      </c>
      <c r="H202" s="236">
        <f>IF(AND(H196&gt;J196,$AK178&gt;2,$AK177&gt;1,ISNUMBER(H196),ISNUMBER(J196)),1,0)</f>
        <v>1</v>
      </c>
      <c r="I202" s="236"/>
      <c r="J202" s="237">
        <f>IF(AND(J196&gt;H196,$AK178&gt;2,$AK177&gt;1,ISNUMBER(H196),ISNUMBER(J196)),1,0)</f>
        <v>0</v>
      </c>
      <c r="K202" s="236">
        <f>IF(AND(K196&gt;M196,$AK178&gt;3,$AK177&gt;1,ISNUMBER(K196),ISNUMBER(M196)),1,0)</f>
        <v>1</v>
      </c>
      <c r="L202" s="236"/>
      <c r="M202" s="237">
        <f>IF(AND(M196&gt;K196,$AK178&gt;3,$AK177&gt;1,ISNUMBER(K196),ISNUMBER(M196)),1,0)</f>
        <v>0</v>
      </c>
      <c r="N202" s="236">
        <f>IF(AND(N196&gt;P196,$AK178&gt;4,$AK177&gt;1,ISNUMBER(N196),ISNUMBER(P196)),1,0)</f>
        <v>1</v>
      </c>
      <c r="O202" s="236"/>
      <c r="P202" s="237">
        <f>IF(AND(P196&gt;N196,$AK178&gt;4,$AK177&gt;1,ISNUMBER(N196),ISNUMBER(P196)),1,0)</f>
        <v>0</v>
      </c>
      <c r="Q202" s="236">
        <f>IF(AND(Q196&gt;S196,$AK178&gt;5,$AK177&gt;1,ISNUMBER(Q196),ISNUMBER(S196)),1,0)</f>
        <v>1</v>
      </c>
      <c r="R202" s="236"/>
      <c r="S202" s="237">
        <f>IF(AND(S196&gt;Q196,$AK178&gt;5,$AK177&gt;1,ISNUMBER(Q196),ISNUMBER(S196)),1,0)</f>
        <v>0</v>
      </c>
      <c r="T202" s="236">
        <f>IF(AND(T196&gt;V196,$AK178&gt;6,$AK177&gt;1,ISNUMBER(T196),ISNUMBER(V196)),1,0)</f>
        <v>0</v>
      </c>
      <c r="U202" s="236"/>
      <c r="V202" s="237">
        <f>IF(AND(V196&gt;T196,$AK178&gt;6,$AK177&gt;1,ISNUMBER(T196),ISNUMBER(V196)),1,0)</f>
        <v>0</v>
      </c>
      <c r="W202" s="236">
        <f>IF(AND(W196&gt;Y196,$AK178&gt;7,$AK177&gt;1,ISNUMBER(W196),ISNUMBER(Y196)),1,0)</f>
        <v>0</v>
      </c>
      <c r="X202" s="236"/>
      <c r="Y202" s="237">
        <f>IF(AND(Y196&gt;W196,$AK178&gt;7,$AK177&gt;1,ISNUMBER(W196),ISNUMBER(Y196)),1,0)</f>
        <v>0</v>
      </c>
      <c r="Z202" s="236">
        <f>IF(AND(Z196&gt;AB196,$AK178&gt;8,$AK177&gt;1,ISNUMBER(Z196),ISNUMBER(AB196)),1,0)</f>
        <v>0</v>
      </c>
      <c r="AA202" s="236"/>
      <c r="AB202" s="237">
        <f>IF(AND(AB196&gt;Z196,$AK178&gt;8,$AK177&gt;1,ISNUMBER(Z196),ISNUMBER(AB196)),1,0)</f>
        <v>0</v>
      </c>
      <c r="AC202" s="236">
        <f>IF(AND(AC196&gt;AE196,$AK178&gt;9,$AK177&gt;1,ISNUMBER(AC196),ISNUMBER(AE196)),1,0)</f>
        <v>0</v>
      </c>
      <c r="AD202" s="236"/>
      <c r="AE202" s="237">
        <f>IF(AND(AE196&gt;AC196,$AK178&gt;9,$AK177&gt;1,ISNUMBER(AC196),ISNUMBER(AE196)),1,0)</f>
        <v>0</v>
      </c>
      <c r="AW202" s="238"/>
    </row>
    <row r="203" spans="1:49" s="235" customFormat="1" ht="12.75" hidden="1" customHeight="1" x14ac:dyDescent="0.2">
      <c r="A203" s="235" t="s">
        <v>56</v>
      </c>
      <c r="B203" s="236">
        <f>IF(AND(B197&gt;D197,$AK178&gt;0,$AK177&gt;2,ISNUMBER(B197),ISNUMBER(D197)),1,0)</f>
        <v>0</v>
      </c>
      <c r="C203" s="236"/>
      <c r="D203" s="237">
        <f>IF(AND(D197&gt;B197,$AK178&gt;0,$AK177&gt;2,ISNUMBER(B197),ISNUMBER(D197)),1,0)</f>
        <v>0</v>
      </c>
      <c r="E203" s="236">
        <f>IF(AND(E197&gt;G197,$AK178&gt;1,$AK177&gt;2,ISNUMBER(E197),ISNUMBER(G197)),1,0)</f>
        <v>0</v>
      </c>
      <c r="F203" s="236"/>
      <c r="G203" s="237">
        <f>IF(AND(G197&gt;E197,$AK178&gt;1,$AK177&gt;2,ISNUMBER(E197),ISNUMBER(G197)),1,0)</f>
        <v>0</v>
      </c>
      <c r="H203" s="236">
        <f>IF(AND(H197&gt;J197,$AK178&gt;2,$AK177&gt;2,ISNUMBER(H197),ISNUMBER(J197)),1,0)</f>
        <v>0</v>
      </c>
      <c r="I203" s="236"/>
      <c r="J203" s="237">
        <f>IF(AND(J197&gt;H197,$AK178&gt;2,$AK177&gt;2,ISNUMBER(H197),ISNUMBER(J197)),1,0)</f>
        <v>0</v>
      </c>
      <c r="K203" s="236">
        <f>IF(AND(K197&gt;M197,$AK178&gt;3,$AK177&gt;2,ISNUMBER(K197),ISNUMBER(M197)),1,0)</f>
        <v>0</v>
      </c>
      <c r="L203" s="236"/>
      <c r="M203" s="237">
        <f>IF(AND(M197&gt;K197,$AK178&gt;3,$AK177&gt;2,ISNUMBER(K197),ISNUMBER(M197)),1,0)</f>
        <v>0</v>
      </c>
      <c r="N203" s="236">
        <f>IF(AND(N197&gt;P197,$AK178&gt;4,$AK177&gt;2,ISNUMBER(N197),ISNUMBER(P197)),1,0)</f>
        <v>0</v>
      </c>
      <c r="O203" s="236"/>
      <c r="P203" s="237">
        <f>IF(AND(P197&gt;N197,$AK178&gt;4,$AK177&gt;2,ISNUMBER(N197),ISNUMBER(P197)),1,0)</f>
        <v>0</v>
      </c>
      <c r="Q203" s="236">
        <f>IF(AND(Q197&gt;S197,$AK178&gt;5,$AK177&gt;2,ISNUMBER(Q197),ISNUMBER(S197)),1,0)</f>
        <v>0</v>
      </c>
      <c r="R203" s="236"/>
      <c r="S203" s="237">
        <f>IF(AND(S197&gt;Q197,$AK178&gt;5,$AK177&gt;2,ISNUMBER(Q197),ISNUMBER(S197)),1,0)</f>
        <v>0</v>
      </c>
      <c r="T203" s="236">
        <f>IF(AND(T197&gt;V197,$AK178&gt;6,$AK177&gt;2,ISNUMBER(T197),ISNUMBER(V197)),1,0)</f>
        <v>0</v>
      </c>
      <c r="U203" s="236"/>
      <c r="V203" s="237">
        <f>IF(AND(V197&gt;T197,$AK178&gt;6,$AK177&gt;2,ISNUMBER(T197),ISNUMBER(V197)),1,0)</f>
        <v>0</v>
      </c>
      <c r="W203" s="236">
        <f>IF(AND(W197&gt;Y197,$AK178&gt;7,$AK177&gt;2,ISNUMBER(W197),ISNUMBER(Y197)),1,0)</f>
        <v>0</v>
      </c>
      <c r="X203" s="236"/>
      <c r="Y203" s="237">
        <f>IF(AND(Y197&gt;W197,$AK178&gt;7,$AK177&gt;2,ISNUMBER(W197),ISNUMBER(Y197)),1,0)</f>
        <v>0</v>
      </c>
      <c r="Z203" s="236">
        <f>IF(AND(Z197&gt;AB197,$AK178&gt;8,$AK177&gt;2,ISNUMBER(Z197),ISNUMBER(AB197)),1,0)</f>
        <v>0</v>
      </c>
      <c r="AA203" s="236"/>
      <c r="AB203" s="237">
        <f>IF(AND(AB197&gt;Z197,$AK178&gt;8,$AK177&gt;2,ISNUMBER(Z197),ISNUMBER(AB197)),1,0)</f>
        <v>0</v>
      </c>
      <c r="AC203" s="236">
        <f>IF(AND(AC197&gt;AE197,$AK178&gt;9,$AK177&gt;2,ISNUMBER(AC197),ISNUMBER(AE197)),1,0)</f>
        <v>0</v>
      </c>
      <c r="AD203" s="236"/>
      <c r="AE203" s="237">
        <f>IF(AND(AE197&gt;AC197,$AK178&gt;9,$AK177&gt;2,ISNUMBER(AC197),ISNUMBER(AE197)),1,0)</f>
        <v>0</v>
      </c>
      <c r="AW203" s="238"/>
    </row>
    <row r="204" spans="1:49" s="235" customFormat="1" ht="12.75" hidden="1" customHeight="1" x14ac:dyDescent="0.2">
      <c r="A204" s="235" t="s">
        <v>57</v>
      </c>
      <c r="B204" s="236">
        <f>IF(AND(B198&gt;D198,$AK178&gt;0,$AK177&gt;3,ISNUMBER(B198),ISNUMBER(D198)),1,0)</f>
        <v>0</v>
      </c>
      <c r="C204" s="236"/>
      <c r="D204" s="237">
        <f>IF(AND(D198&gt;B198,$AK178&gt;0,$AK177&gt;3,ISNUMBER(B198),ISNUMBER(D198)),1,0)</f>
        <v>0</v>
      </c>
      <c r="E204" s="236">
        <f>IF(AND(E198&gt;G198,$AK178&gt;1,$AK177&gt;3,ISNUMBER(E198),ISNUMBER(G198)),1,0)</f>
        <v>0</v>
      </c>
      <c r="F204" s="236"/>
      <c r="G204" s="237">
        <f>IF(AND(G198&gt;E198,$AK178&gt;1,$AK177&gt;3,ISNUMBER(E198),ISNUMBER(G198)),1,0)</f>
        <v>0</v>
      </c>
      <c r="H204" s="236">
        <f>IF(AND(H198&gt;J198,$AK178&gt;2,$AK177&gt;3,ISNUMBER(H198),ISNUMBER(J198)),1,0)</f>
        <v>0</v>
      </c>
      <c r="I204" s="236"/>
      <c r="J204" s="237">
        <f>IF(AND(J198&gt;H198,$AK178&gt;2,$AK177&gt;3,ISNUMBER(H198),ISNUMBER(J198)),1,0)</f>
        <v>0</v>
      </c>
      <c r="K204" s="236">
        <f>IF(AND(K198&gt;M198,$AK178&gt;3,$AK177&gt;3,ISNUMBER(K198),ISNUMBER(M198)),1,0)</f>
        <v>0</v>
      </c>
      <c r="L204" s="236"/>
      <c r="M204" s="237">
        <f>IF(AND(M198&gt;K198,$AK178&gt;3,$AK177&gt;3,ISNUMBER(K198),ISNUMBER(M198)),1,0)</f>
        <v>0</v>
      </c>
      <c r="N204" s="236">
        <f>IF(AND(N198&gt;P198,$AK178&gt;4,$AK177&gt;3,ISNUMBER(N198),ISNUMBER(P198)),1,0)</f>
        <v>0</v>
      </c>
      <c r="O204" s="236"/>
      <c r="P204" s="237">
        <f>IF(AND(P198&gt;N198,$AK178&gt;4,$AK177&gt;3,ISNUMBER(N198),ISNUMBER(P198)),1,0)</f>
        <v>0</v>
      </c>
      <c r="Q204" s="236">
        <f>IF(AND(Q198&gt;S198,$AK178&gt;5,$AK177&gt;3,ISNUMBER(Q198),ISNUMBER(S198)),1,0)</f>
        <v>0</v>
      </c>
      <c r="R204" s="236"/>
      <c r="S204" s="237">
        <f>IF(AND(S198&gt;Q198,$AK178&gt;5,$AK177&gt;3,ISNUMBER(Q198),ISNUMBER(S198)),1,0)</f>
        <v>0</v>
      </c>
      <c r="T204" s="236">
        <f>IF(AND(T198&gt;V198,$AK178&gt;6,$AK177&gt;3,ISNUMBER(T198),ISNUMBER(V198)),1,0)</f>
        <v>0</v>
      </c>
      <c r="U204" s="236"/>
      <c r="V204" s="237">
        <f>IF(AND(V198&gt;T198,$AK178&gt;6,$AK177&gt;3,ISNUMBER(T198),ISNUMBER(V198)),1,0)</f>
        <v>0</v>
      </c>
      <c r="W204" s="236">
        <f>IF(AND(W198&gt;Y198,$AK178&gt;7,$AK177&gt;3,ISNUMBER(W198),ISNUMBER(Y198)),1,0)</f>
        <v>0</v>
      </c>
      <c r="X204" s="236"/>
      <c r="Y204" s="237">
        <f>IF(AND(Y198&gt;W198,$AK178&gt;7,$AK177&gt;3,ISNUMBER(W198),ISNUMBER(Y198)),1,0)</f>
        <v>0</v>
      </c>
      <c r="Z204" s="236">
        <f>IF(AND(Z198&gt;AB198,$AK178&gt;8,$AK177&gt;3,ISNUMBER(Z198),ISNUMBER(AB198)),1,0)</f>
        <v>0</v>
      </c>
      <c r="AA204" s="236"/>
      <c r="AB204" s="237">
        <f>IF(AND(AB198&gt;Z198,$AK178&gt;8,$AK177&gt;3,ISNUMBER(Z198),ISNUMBER(AB198)),1,0)</f>
        <v>0</v>
      </c>
      <c r="AC204" s="236">
        <f>IF(AND(AC198&gt;AE198,$AK178&gt;9,$AK177&gt;3,ISNUMBER(AC198),ISNUMBER(AE198)),1,0)</f>
        <v>0</v>
      </c>
      <c r="AD204" s="236"/>
      <c r="AE204" s="237">
        <f>IF(AND(AE198&gt;AC198,$AK178&gt;9,$AK177&gt;3,ISNUMBER(AC198),ISNUMBER(AE198)),1,0)</f>
        <v>0</v>
      </c>
      <c r="AW204" s="238"/>
    </row>
    <row r="205" spans="1:49" s="235" customFormat="1" ht="12.75" hidden="1" customHeight="1" x14ac:dyDescent="0.2">
      <c r="A205" s="235" t="s">
        <v>58</v>
      </c>
      <c r="B205" s="236">
        <f>IF(AND(B199&gt;D199,$AK178&gt;0,$AK177&gt;4,ISNUMBER(B199),ISNUMBER(D199)),1,0)</f>
        <v>0</v>
      </c>
      <c r="C205" s="236"/>
      <c r="D205" s="237">
        <f>IF(AND(D199&gt;B199,$AK178&gt;0,$AK177&gt;4,ISNUMBER(B199),ISNUMBER(D199)),1,0)</f>
        <v>0</v>
      </c>
      <c r="E205" s="236">
        <f>IF(AND(E199&gt;G199,$AK178&gt;1,$AK177&gt;4,ISNUMBER(E199),ISNUMBER(G199)),1,0)</f>
        <v>0</v>
      </c>
      <c r="F205" s="236"/>
      <c r="G205" s="237">
        <f>IF(AND(G199&gt;E199,$AK178&gt;1,$AK177&gt;4,ISNUMBER(E199),ISNUMBER(G199)),1,0)</f>
        <v>0</v>
      </c>
      <c r="H205" s="236">
        <f>IF(AND(H199&gt;J199,$AK178&gt;2,$AK177&gt;4,ISNUMBER(H199),ISNUMBER(J199)),1,0)</f>
        <v>0</v>
      </c>
      <c r="I205" s="236"/>
      <c r="J205" s="237">
        <f>IF(AND(J199&gt;H199,$AK178&gt;2,$AK177&gt;4,ISNUMBER(H199),ISNUMBER(J199)),1,0)</f>
        <v>0</v>
      </c>
      <c r="K205" s="236">
        <f>IF(AND(K199&gt;M199,$AK178&gt;3,$AK177&gt;4,ISNUMBER(K199),ISNUMBER(M199)),1,0)</f>
        <v>0</v>
      </c>
      <c r="L205" s="236"/>
      <c r="M205" s="237">
        <f>IF(AND(M199&gt;K199,$AK178&gt;3,$AK177&gt;4,ISNUMBER(K199),ISNUMBER(M199)),1,0)</f>
        <v>0</v>
      </c>
      <c r="N205" s="236">
        <f>IF(AND(N199&gt;P199,$AK178&gt;4,$AK177&gt;4,ISNUMBER(N199),ISNUMBER(P199)),1,0)</f>
        <v>0</v>
      </c>
      <c r="O205" s="236"/>
      <c r="P205" s="237">
        <f>IF(AND(P199&gt;N199,$AK178&gt;4,$AK177&gt;4,ISNUMBER(N199),ISNUMBER(P199)),1,0)</f>
        <v>0</v>
      </c>
      <c r="Q205" s="236">
        <f>IF(AND(Q199&gt;S199,$AK178&gt;5,$AK177&gt;4,ISNUMBER(Q199),ISNUMBER(S199)),1,0)</f>
        <v>0</v>
      </c>
      <c r="R205" s="236"/>
      <c r="S205" s="237">
        <f>IF(AND(S199&gt;Q199,$AK178&gt;5,$AK177&gt;4,ISNUMBER(Q199),ISNUMBER(S199)),1,0)</f>
        <v>0</v>
      </c>
      <c r="T205" s="236">
        <f>IF(AND(T199&gt;V199,$AK178&gt;6,$AK177&gt;4,ISNUMBER(T199),ISNUMBER(V199)),1,0)</f>
        <v>0</v>
      </c>
      <c r="U205" s="236"/>
      <c r="V205" s="237">
        <f>IF(AND(V199&gt;T199,$AK178&gt;6,$AK177&gt;4,ISNUMBER(T199),ISNUMBER(V199)),1,0)</f>
        <v>0</v>
      </c>
      <c r="W205" s="236">
        <f>IF(AND(W199&gt;Y199,$AK178&gt;7,$AK177&gt;4,ISNUMBER(W199),ISNUMBER(Y199)),1,0)</f>
        <v>0</v>
      </c>
      <c r="X205" s="236"/>
      <c r="Y205" s="237">
        <f>IF(AND(Y199&gt;W199,$AK178&gt;7,$AK177&gt;4,ISNUMBER(W199),ISNUMBER(Y199)),1,0)</f>
        <v>0</v>
      </c>
      <c r="Z205" s="236">
        <f>IF(AND(Z199&gt;AB199,$AK178&gt;8,$AK177&gt;4,ISNUMBER(Z199),ISNUMBER(AB199)),1,0)</f>
        <v>0</v>
      </c>
      <c r="AA205" s="236"/>
      <c r="AB205" s="237">
        <f>IF(AND(AB199&gt;Z199,$AK178&gt;8,$AK177&gt;4,ISNUMBER(Z199),ISNUMBER(AB199)),1,0)</f>
        <v>0</v>
      </c>
      <c r="AC205" s="236">
        <f>IF(AND(AC199&gt;AE199,$AK178&gt;9,$AK177&gt;4,ISNUMBER(AC199),ISNUMBER(AE199)),1,0)</f>
        <v>0</v>
      </c>
      <c r="AD205" s="236"/>
      <c r="AE205" s="237">
        <f>IF(AND(AE199&gt;AC199,$AK178&gt;9,$AK177&gt;4,ISNUMBER(AC199),ISNUMBER(AE199)),1,0)</f>
        <v>0</v>
      </c>
      <c r="AW205" s="238"/>
    </row>
    <row r="206" spans="1:49" s="235" customFormat="1" ht="38.25" hidden="1" customHeight="1" x14ac:dyDescent="0.2">
      <c r="A206" s="239" t="s">
        <v>59</v>
      </c>
      <c r="B206" s="235">
        <f>SUM(B201:B205)</f>
        <v>2</v>
      </c>
      <c r="D206" s="240">
        <f>SUM(D201:D205)</f>
        <v>0</v>
      </c>
      <c r="E206" s="235">
        <f>SUM(E201:E205)</f>
        <v>2</v>
      </c>
      <c r="G206" s="240">
        <f>SUM(G201:G205)</f>
        <v>0</v>
      </c>
      <c r="H206" s="235">
        <f>SUM(H201:H205)</f>
        <v>2</v>
      </c>
      <c r="J206" s="240">
        <f>SUM(J201:J205)</f>
        <v>0</v>
      </c>
      <c r="K206" s="235">
        <f>SUM(K201:K205)</f>
        <v>2</v>
      </c>
      <c r="M206" s="240">
        <f>SUM(M201:M205)</f>
        <v>0</v>
      </c>
      <c r="N206" s="235">
        <f>SUM(N201:N205)</f>
        <v>2</v>
      </c>
      <c r="P206" s="240">
        <f>SUM(P201:P205)</f>
        <v>0</v>
      </c>
      <c r="Q206" s="235">
        <f>SUM(Q201:Q205)</f>
        <v>2</v>
      </c>
      <c r="S206" s="240">
        <f>SUM(S201:S205)</f>
        <v>0</v>
      </c>
      <c r="T206" s="235">
        <f>SUM(T201:T205)</f>
        <v>0</v>
      </c>
      <c r="V206" s="240">
        <f>SUM(V201:V205)</f>
        <v>0</v>
      </c>
      <c r="W206" s="235">
        <f>SUM(W201:W205)</f>
        <v>0</v>
      </c>
      <c r="Y206" s="240">
        <f>SUM(Y201:Y205)</f>
        <v>0</v>
      </c>
      <c r="Z206" s="235">
        <f>SUM(Z201:Z205)</f>
        <v>0</v>
      </c>
      <c r="AB206" s="240">
        <f>SUM(AB201:AB205)</f>
        <v>0</v>
      </c>
      <c r="AC206" s="235">
        <f>SUM(AC201:AC205)</f>
        <v>0</v>
      </c>
      <c r="AE206" s="240">
        <f>SUM(AE201:AE205)</f>
        <v>0</v>
      </c>
      <c r="AW206" s="238"/>
    </row>
    <row r="207" spans="1:49" s="235" customFormat="1" ht="25.5" hidden="1" customHeight="1" x14ac:dyDescent="0.2">
      <c r="A207" s="239" t="s">
        <v>60</v>
      </c>
      <c r="B207" s="235">
        <f>IF(B206&gt;D206,IF(C241=AK177,1,IF(C241=AK177-1,1,0)),0)</f>
        <v>1</v>
      </c>
      <c r="C207" s="235">
        <f>B207+D207</f>
        <v>1</v>
      </c>
      <c r="D207" s="240">
        <f>IF(D206&gt;B206,IF(C241=AK177,1,IF(C241=AK177-1,1,0)),0)</f>
        <v>0</v>
      </c>
      <c r="E207" s="235">
        <f>IF(E206&gt;G206,IF(F241=AK177,1,IF(F241=AK177-1,1,0)),0)</f>
        <v>1</v>
      </c>
      <c r="F207" s="235">
        <f>E207+G207</f>
        <v>1</v>
      </c>
      <c r="G207" s="240">
        <f>IF(G206&gt;E206,IF(F241=AK177,1,IF(F241=AK177-1,1,0)),0)</f>
        <v>0</v>
      </c>
      <c r="H207" s="235">
        <f>IF(H206&gt;J206,IF(I241=AK177,1,IF(I241=AK177-1,1,0)),0)</f>
        <v>1</v>
      </c>
      <c r="I207" s="235">
        <f>H207+J207</f>
        <v>1</v>
      </c>
      <c r="J207" s="240">
        <f>IF(J206&gt;H206,IF(I241=AK177,1,IF(I241=AK177-1,1,0)),0)</f>
        <v>0</v>
      </c>
      <c r="K207" s="235">
        <f>IF(K206&gt;M206,IF(L241=AK177,1,IF(L241=AK177-1,1,0)),0)</f>
        <v>1</v>
      </c>
      <c r="L207" s="235">
        <f>K207+M207</f>
        <v>1</v>
      </c>
      <c r="M207" s="240">
        <f>IF(M206&gt;K206,IF(L241=AK177,1,IF(L241=AK177-1,1,0)),0)</f>
        <v>0</v>
      </c>
      <c r="N207" s="235">
        <f>IF(N206&gt;P206,IF(O241=AK177,1,IF(O241=AK177-1,1,0)),0)</f>
        <v>1</v>
      </c>
      <c r="O207" s="235">
        <f>N207+P207</f>
        <v>1</v>
      </c>
      <c r="P207" s="240">
        <f>IF(P206&gt;N206,IF(O241=AK177,1,IF(O241=AK177-1,1,0)),0)</f>
        <v>0</v>
      </c>
      <c r="Q207" s="235">
        <f>IF(Q206&gt;S206,IF(R241=AK177,1,IF(R241=AK177-1,1,0)),0)</f>
        <v>1</v>
      </c>
      <c r="R207" s="235">
        <f>Q207+S207</f>
        <v>1</v>
      </c>
      <c r="S207" s="240">
        <f>IF(S206&gt;Q206,IF(R241=AK177,1,IF(R241=AK177-1,1,0)),0)</f>
        <v>0</v>
      </c>
      <c r="T207" s="235">
        <f>IF(T206&gt;V206,IF(U241=AK177,1,IF(U241=AK177-1,1,0)),0)</f>
        <v>0</v>
      </c>
      <c r="U207" s="235">
        <f>T207+V207</f>
        <v>0</v>
      </c>
      <c r="V207" s="240">
        <f>IF(V206&gt;T206,IF(U241=AK177,1,IF(U241=AK177-1,1,0)),0)</f>
        <v>0</v>
      </c>
      <c r="W207" s="235">
        <f>IF(W206&gt;Y206,IF(X241=AK177,1,IF(X241=AK177-1,1,0)),0)</f>
        <v>0</v>
      </c>
      <c r="X207" s="235">
        <f>W207+Y207</f>
        <v>0</v>
      </c>
      <c r="Y207" s="240">
        <f>IF(Y206&gt;W206,IF(X241=AK177,1,IF(X241=AK177-1,1,0)),0)</f>
        <v>0</v>
      </c>
      <c r="Z207" s="235">
        <f>IF(Z206&gt;AB206,IF(AA241=AK177,1,IF(AA241=AK177-1,1,0)),0)</f>
        <v>0</v>
      </c>
      <c r="AA207" s="235">
        <f>Z207+AB207</f>
        <v>0</v>
      </c>
      <c r="AB207" s="240">
        <f>IF(AB206&gt;Z206,IF(AA241=AK177,1,IF(AA241=AK177-1,1,0)),0)</f>
        <v>0</v>
      </c>
      <c r="AC207" s="235">
        <f>IF(AC206&gt;AE206,IF(AD241=AK177,1,IF(AD241=AK177-1,1,0)),0)</f>
        <v>0</v>
      </c>
      <c r="AD207" s="235">
        <f>AC207+AE207</f>
        <v>0</v>
      </c>
      <c r="AE207" s="240">
        <f>IF(AE206&gt;AC206,IF(AD241=AK177,1,IF(AD241=AK177-1,1,0)),0)</f>
        <v>0</v>
      </c>
      <c r="AW207" s="238"/>
    </row>
    <row r="208" spans="1:49" s="235" customFormat="1" ht="25.5" hidden="1" customHeight="1" x14ac:dyDescent="0.2">
      <c r="A208" s="239"/>
      <c r="D208" s="240"/>
      <c r="G208" s="240"/>
      <c r="J208" s="240"/>
      <c r="M208" s="240"/>
      <c r="P208" s="240"/>
      <c r="S208" s="240"/>
      <c r="V208" s="240"/>
      <c r="Y208" s="240"/>
      <c r="AB208" s="240"/>
      <c r="AE208" s="240"/>
      <c r="AW208" s="238"/>
    </row>
    <row r="209" spans="1:49" s="235" customFormat="1" ht="12.75" hidden="1" customHeight="1" x14ac:dyDescent="0.2">
      <c r="A209" s="235" t="s">
        <v>61</v>
      </c>
      <c r="B209" s="235">
        <f>IF(B201=1,B195,0)</f>
        <v>25</v>
      </c>
      <c r="D209" s="240">
        <f t="shared" ref="D209:E213" si="21">IF(D201=1,D195,0)</f>
        <v>0</v>
      </c>
      <c r="E209" s="235">
        <f t="shared" si="21"/>
        <v>25</v>
      </c>
      <c r="G209" s="240">
        <f t="shared" ref="G209:H213" si="22">IF(G201=1,G195,0)</f>
        <v>0</v>
      </c>
      <c r="H209" s="235">
        <f t="shared" si="22"/>
        <v>25</v>
      </c>
      <c r="J209" s="240">
        <f t="shared" ref="J209:K213" si="23">IF(J201=1,J195,0)</f>
        <v>0</v>
      </c>
      <c r="K209" s="235">
        <f t="shared" si="23"/>
        <v>25</v>
      </c>
      <c r="M209" s="240">
        <f t="shared" ref="M209:N213" si="24">IF(M201=1,M195,0)</f>
        <v>0</v>
      </c>
      <c r="N209" s="235">
        <f t="shared" si="24"/>
        <v>25</v>
      </c>
      <c r="P209" s="240">
        <f t="shared" ref="P209:Q213" si="25">IF(P201=1,P195,0)</f>
        <v>0</v>
      </c>
      <c r="Q209" s="235">
        <f t="shared" si="25"/>
        <v>25</v>
      </c>
      <c r="S209" s="240">
        <f t="shared" ref="S209:T213" si="26">IF(S201=1,S195,0)</f>
        <v>0</v>
      </c>
      <c r="T209" s="235">
        <f t="shared" si="26"/>
        <v>0</v>
      </c>
      <c r="V209" s="240">
        <f t="shared" ref="V209:W213" si="27">IF(V201=1,V195,0)</f>
        <v>0</v>
      </c>
      <c r="W209" s="235">
        <f t="shared" si="27"/>
        <v>0</v>
      </c>
      <c r="Y209" s="240">
        <f t="shared" ref="Y209:Z213" si="28">IF(Y201=1,Y195,0)</f>
        <v>0</v>
      </c>
      <c r="Z209" s="235">
        <f t="shared" si="28"/>
        <v>0</v>
      </c>
      <c r="AB209" s="240">
        <f t="shared" ref="AB209:AC213" si="29">IF(AB201=1,AB195,0)</f>
        <v>0</v>
      </c>
      <c r="AC209" s="235">
        <f t="shared" si="29"/>
        <v>0</v>
      </c>
      <c r="AE209" s="240">
        <f>IF(AE201=1,AE195,0)</f>
        <v>0</v>
      </c>
      <c r="AW209" s="238"/>
    </row>
    <row r="210" spans="1:49" s="235" customFormat="1" ht="12.75" hidden="1" customHeight="1" x14ac:dyDescent="0.2">
      <c r="A210" s="235" t="s">
        <v>62</v>
      </c>
      <c r="B210" s="235">
        <f>IF(B202=1,B196,0)</f>
        <v>25</v>
      </c>
      <c r="D210" s="240">
        <f t="shared" si="21"/>
        <v>0</v>
      </c>
      <c r="E210" s="235">
        <f t="shared" si="21"/>
        <v>25</v>
      </c>
      <c r="G210" s="240">
        <f t="shared" si="22"/>
        <v>0</v>
      </c>
      <c r="H210" s="235">
        <f t="shared" si="22"/>
        <v>25</v>
      </c>
      <c r="J210" s="240">
        <f t="shared" si="23"/>
        <v>0</v>
      </c>
      <c r="K210" s="235">
        <f t="shared" si="23"/>
        <v>25</v>
      </c>
      <c r="M210" s="240">
        <f t="shared" si="24"/>
        <v>0</v>
      </c>
      <c r="N210" s="235">
        <f t="shared" si="24"/>
        <v>25</v>
      </c>
      <c r="P210" s="240">
        <f t="shared" si="25"/>
        <v>0</v>
      </c>
      <c r="Q210" s="235">
        <f t="shared" si="25"/>
        <v>25</v>
      </c>
      <c r="S210" s="240">
        <f t="shared" si="26"/>
        <v>0</v>
      </c>
      <c r="T210" s="235">
        <f t="shared" si="26"/>
        <v>0</v>
      </c>
      <c r="V210" s="240">
        <f t="shared" si="27"/>
        <v>0</v>
      </c>
      <c r="W210" s="235">
        <f t="shared" si="27"/>
        <v>0</v>
      </c>
      <c r="Y210" s="240">
        <f t="shared" si="28"/>
        <v>0</v>
      </c>
      <c r="Z210" s="235">
        <f t="shared" si="28"/>
        <v>0</v>
      </c>
      <c r="AB210" s="240">
        <f t="shared" si="29"/>
        <v>0</v>
      </c>
      <c r="AC210" s="235">
        <f t="shared" si="29"/>
        <v>0</v>
      </c>
      <c r="AE210" s="240">
        <f>IF(AE202=1,AE196,0)</f>
        <v>0</v>
      </c>
      <c r="AW210" s="238"/>
    </row>
    <row r="211" spans="1:49" s="235" customFormat="1" ht="12.75" hidden="1" customHeight="1" x14ac:dyDescent="0.2">
      <c r="A211" s="235" t="s">
        <v>63</v>
      </c>
      <c r="B211" s="235">
        <f>IF(B203=1,B197,0)</f>
        <v>0</v>
      </c>
      <c r="D211" s="240">
        <f t="shared" si="21"/>
        <v>0</v>
      </c>
      <c r="E211" s="235">
        <f t="shared" si="21"/>
        <v>0</v>
      </c>
      <c r="G211" s="240">
        <f t="shared" si="22"/>
        <v>0</v>
      </c>
      <c r="H211" s="235">
        <f t="shared" si="22"/>
        <v>0</v>
      </c>
      <c r="J211" s="240">
        <f t="shared" si="23"/>
        <v>0</v>
      </c>
      <c r="K211" s="235">
        <f t="shared" si="23"/>
        <v>0</v>
      </c>
      <c r="M211" s="240">
        <f t="shared" si="24"/>
        <v>0</v>
      </c>
      <c r="N211" s="235">
        <f t="shared" si="24"/>
        <v>0</v>
      </c>
      <c r="P211" s="240">
        <f t="shared" si="25"/>
        <v>0</v>
      </c>
      <c r="Q211" s="235">
        <f t="shared" si="25"/>
        <v>0</v>
      </c>
      <c r="S211" s="240">
        <f t="shared" si="26"/>
        <v>0</v>
      </c>
      <c r="T211" s="235">
        <f t="shared" si="26"/>
        <v>0</v>
      </c>
      <c r="V211" s="240">
        <f t="shared" si="27"/>
        <v>0</v>
      </c>
      <c r="W211" s="235">
        <f t="shared" si="27"/>
        <v>0</v>
      </c>
      <c r="Y211" s="240">
        <f t="shared" si="28"/>
        <v>0</v>
      </c>
      <c r="Z211" s="235">
        <f t="shared" si="28"/>
        <v>0</v>
      </c>
      <c r="AB211" s="240">
        <f t="shared" si="29"/>
        <v>0</v>
      </c>
      <c r="AC211" s="235">
        <f t="shared" si="29"/>
        <v>0</v>
      </c>
      <c r="AE211" s="240">
        <f>IF(AE203=1,AE197,0)</f>
        <v>0</v>
      </c>
      <c r="AW211" s="238"/>
    </row>
    <row r="212" spans="1:49" s="235" customFormat="1" ht="12.75" hidden="1" customHeight="1" x14ac:dyDescent="0.2">
      <c r="A212" s="235" t="s">
        <v>64</v>
      </c>
      <c r="B212" s="235">
        <f>IF(B204=1,B198,0)</f>
        <v>0</v>
      </c>
      <c r="D212" s="240">
        <f t="shared" si="21"/>
        <v>0</v>
      </c>
      <c r="E212" s="235">
        <f t="shared" si="21"/>
        <v>0</v>
      </c>
      <c r="G212" s="240">
        <f t="shared" si="22"/>
        <v>0</v>
      </c>
      <c r="H212" s="235">
        <f t="shared" si="22"/>
        <v>0</v>
      </c>
      <c r="J212" s="240">
        <f t="shared" si="23"/>
        <v>0</v>
      </c>
      <c r="K212" s="235">
        <f t="shared" si="23"/>
        <v>0</v>
      </c>
      <c r="M212" s="240">
        <f t="shared" si="24"/>
        <v>0</v>
      </c>
      <c r="N212" s="235">
        <f t="shared" si="24"/>
        <v>0</v>
      </c>
      <c r="P212" s="240">
        <f t="shared" si="25"/>
        <v>0</v>
      </c>
      <c r="Q212" s="235">
        <f t="shared" si="25"/>
        <v>0</v>
      </c>
      <c r="S212" s="240">
        <f t="shared" si="26"/>
        <v>0</v>
      </c>
      <c r="T212" s="235">
        <f t="shared" si="26"/>
        <v>0</v>
      </c>
      <c r="V212" s="240">
        <f t="shared" si="27"/>
        <v>0</v>
      </c>
      <c r="W212" s="235">
        <f t="shared" si="27"/>
        <v>0</v>
      </c>
      <c r="Y212" s="240">
        <f t="shared" si="28"/>
        <v>0</v>
      </c>
      <c r="Z212" s="235">
        <f t="shared" si="28"/>
        <v>0</v>
      </c>
      <c r="AB212" s="240">
        <f t="shared" si="29"/>
        <v>0</v>
      </c>
      <c r="AC212" s="235">
        <f t="shared" si="29"/>
        <v>0</v>
      </c>
      <c r="AE212" s="240">
        <f>IF(AE204=1,AE198,0)</f>
        <v>0</v>
      </c>
      <c r="AW212" s="238"/>
    </row>
    <row r="213" spans="1:49" s="235" customFormat="1" ht="12.75" hidden="1" customHeight="1" x14ac:dyDescent="0.2">
      <c r="A213" s="235" t="s">
        <v>65</v>
      </c>
      <c r="B213" s="235">
        <f>IF(B205=1,B199,0)</f>
        <v>0</v>
      </c>
      <c r="D213" s="240">
        <f t="shared" si="21"/>
        <v>0</v>
      </c>
      <c r="E213" s="235">
        <f t="shared" si="21"/>
        <v>0</v>
      </c>
      <c r="G213" s="240">
        <f t="shared" si="22"/>
        <v>0</v>
      </c>
      <c r="H213" s="235">
        <f t="shared" si="22"/>
        <v>0</v>
      </c>
      <c r="J213" s="240">
        <f t="shared" si="23"/>
        <v>0</v>
      </c>
      <c r="K213" s="235">
        <f t="shared" si="23"/>
        <v>0</v>
      </c>
      <c r="M213" s="240">
        <f t="shared" si="24"/>
        <v>0</v>
      </c>
      <c r="N213" s="235">
        <f t="shared" si="24"/>
        <v>0</v>
      </c>
      <c r="P213" s="240">
        <f t="shared" si="25"/>
        <v>0</v>
      </c>
      <c r="Q213" s="235">
        <f t="shared" si="25"/>
        <v>0</v>
      </c>
      <c r="S213" s="240">
        <f t="shared" si="26"/>
        <v>0</v>
      </c>
      <c r="T213" s="235">
        <f t="shared" si="26"/>
        <v>0</v>
      </c>
      <c r="V213" s="240">
        <f t="shared" si="27"/>
        <v>0</v>
      </c>
      <c r="W213" s="235">
        <f t="shared" si="27"/>
        <v>0</v>
      </c>
      <c r="Y213" s="240">
        <f t="shared" si="28"/>
        <v>0</v>
      </c>
      <c r="Z213" s="235">
        <f t="shared" si="28"/>
        <v>0</v>
      </c>
      <c r="AB213" s="240">
        <f t="shared" si="29"/>
        <v>0</v>
      </c>
      <c r="AC213" s="235">
        <f t="shared" si="29"/>
        <v>0</v>
      </c>
      <c r="AE213" s="240">
        <f>IF(AE205=1,AE199,0)</f>
        <v>0</v>
      </c>
      <c r="AW213" s="238"/>
    </row>
    <row r="214" spans="1:49" s="235" customFormat="1" ht="38.25" hidden="1" customHeight="1" x14ac:dyDescent="0.2">
      <c r="A214" s="239" t="s">
        <v>66</v>
      </c>
      <c r="B214" s="235">
        <f>SUM(B209:D213)</f>
        <v>50</v>
      </c>
      <c r="D214" s="240"/>
      <c r="E214" s="235">
        <f>SUM(E209:G213)</f>
        <v>50</v>
      </c>
      <c r="G214" s="240"/>
      <c r="H214" s="235">
        <f>SUM(H209:J213)</f>
        <v>50</v>
      </c>
      <c r="J214" s="240"/>
      <c r="K214" s="235">
        <f>SUM(K209:M213)</f>
        <v>50</v>
      </c>
      <c r="M214" s="240"/>
      <c r="N214" s="235">
        <f>SUM(N209:P213)</f>
        <v>50</v>
      </c>
      <c r="P214" s="240"/>
      <c r="Q214" s="235">
        <f>SUM(Q209:S213)</f>
        <v>50</v>
      </c>
      <c r="S214" s="240"/>
      <c r="T214" s="235">
        <f>SUM(T209:V213)</f>
        <v>0</v>
      </c>
      <c r="V214" s="240"/>
      <c r="W214" s="235">
        <f>SUM(W209:Y213)</f>
        <v>0</v>
      </c>
      <c r="Y214" s="240"/>
      <c r="Z214" s="235">
        <f>SUM(Z209:AB213)</f>
        <v>0</v>
      </c>
      <c r="AB214" s="240"/>
      <c r="AC214" s="235">
        <f>SUM(AC209:AE213)</f>
        <v>0</v>
      </c>
      <c r="AE214" s="240"/>
      <c r="AW214" s="238"/>
    </row>
    <row r="215" spans="1:49" s="235" customFormat="1" ht="38.25" hidden="1" customHeight="1" x14ac:dyDescent="0.2">
      <c r="A215" s="235" t="s">
        <v>67</v>
      </c>
      <c r="D215" s="240"/>
      <c r="G215" s="240"/>
      <c r="J215" s="240"/>
      <c r="M215" s="240"/>
      <c r="P215" s="240"/>
      <c r="S215" s="240"/>
      <c r="V215" s="240"/>
      <c r="Y215" s="240"/>
      <c r="AB215" s="240"/>
      <c r="AE215" s="240"/>
      <c r="AF215" s="239" t="s">
        <v>68</v>
      </c>
      <c r="AG215" s="235" t="s">
        <v>69</v>
      </c>
      <c r="AW215" s="238"/>
    </row>
    <row r="216" spans="1:49" s="235" customFormat="1" ht="12.75" hidden="1" customHeight="1" x14ac:dyDescent="0.2">
      <c r="A216" s="235" t="s">
        <v>70</v>
      </c>
      <c r="B216" s="235">
        <f>IF(B194=1,IF(B207=1,1,0),0)</f>
        <v>0</v>
      </c>
      <c r="D216" s="240">
        <f>IF(D194=1,IF(D207=1,1,0),0)</f>
        <v>0</v>
      </c>
      <c r="E216" s="235">
        <f>IF(E194=1,IF(E207=1,1,0),0)</f>
        <v>1</v>
      </c>
      <c r="G216" s="240">
        <f>IF(G194=1,IF(G207=1,1,0),0)</f>
        <v>0</v>
      </c>
      <c r="H216" s="235">
        <f>IF(H194=1,IF(H207=1,1,0),0)</f>
        <v>0</v>
      </c>
      <c r="J216" s="240">
        <f>IF(J194=1,IF(J207=1,1,0),0)</f>
        <v>0</v>
      </c>
      <c r="K216" s="235">
        <f>IF(K194=1,IF(K207=1,1,0),0)</f>
        <v>1</v>
      </c>
      <c r="M216" s="240">
        <f>IF(M194=1,IF(M207=1,1,0),0)</f>
        <v>0</v>
      </c>
      <c r="N216" s="235">
        <f>IF(N194=1,IF(N207=1,1,0),0)</f>
        <v>0</v>
      </c>
      <c r="P216" s="240">
        <f>IF(P194=1,IF(P207=1,1,0),0)</f>
        <v>0</v>
      </c>
      <c r="Q216" s="235">
        <f>IF(Q194=1,IF(Q207=1,1,0),0)</f>
        <v>1</v>
      </c>
      <c r="S216" s="240">
        <f>IF(S194=1,IF(S207=1,1,0),0)</f>
        <v>0</v>
      </c>
      <c r="T216" s="235">
        <f>IF(T194=1,IF(T207=1,1,0),0)</f>
        <v>0</v>
      </c>
      <c r="V216" s="240">
        <f>IF(V194=1,IF(V207=1,1,0),0)</f>
        <v>0</v>
      </c>
      <c r="W216" s="235">
        <f>IF(W194=1,IF(W207=1,1,0),0)</f>
        <v>0</v>
      </c>
      <c r="Y216" s="240">
        <f>IF(Y194=1,IF(Y207=1,1,0),0)</f>
        <v>0</v>
      </c>
      <c r="Z216" s="235">
        <f>IF(Z194=1,IF(Z207=1,1,0),0)</f>
        <v>0</v>
      </c>
      <c r="AB216" s="240">
        <f>IF(AB194=1,IF(AB207=1,1,0),0)</f>
        <v>0</v>
      </c>
      <c r="AC216" s="235">
        <f>IF(AC194=1,IF(AC207=1,1,0),0)</f>
        <v>0</v>
      </c>
      <c r="AE216" s="240">
        <f>IF(AE194=1,IF(AE207=1,1,0),0)</f>
        <v>0</v>
      </c>
      <c r="AF216" s="235">
        <f>SUM(B216:AE216)</f>
        <v>3</v>
      </c>
      <c r="AG216" s="235">
        <f>AF222-AF216</f>
        <v>0</v>
      </c>
      <c r="AW216" s="238"/>
    </row>
    <row r="217" spans="1:49" s="235" customFormat="1" ht="12.75" hidden="1" customHeight="1" x14ac:dyDescent="0.2">
      <c r="A217" s="235" t="s">
        <v>71</v>
      </c>
      <c r="B217" s="235">
        <f>IF(B194=2,IF(B207=1,1,0),0)</f>
        <v>1</v>
      </c>
      <c r="D217" s="240">
        <f>IF(D194=2,IF(D207=1,1,0),0)</f>
        <v>0</v>
      </c>
      <c r="E217" s="235">
        <f>IF(E194=2,IF(E207=1,1,0),0)</f>
        <v>0</v>
      </c>
      <c r="G217" s="240">
        <f>IF(G194=2,IF(G207=1,1,0),0)</f>
        <v>0</v>
      </c>
      <c r="H217" s="235">
        <f>IF(H194=2,IF(H207=1,1,0),0)</f>
        <v>1</v>
      </c>
      <c r="J217" s="240">
        <f>IF(J194=2,IF(J207=1,1,0),0)</f>
        <v>0</v>
      </c>
      <c r="K217" s="235">
        <f>IF(K194=2,IF(K207=1,1,0),0)</f>
        <v>0</v>
      </c>
      <c r="M217" s="240">
        <f>IF(M194=2,IF(M207=1,1,0),0)</f>
        <v>0</v>
      </c>
      <c r="N217" s="235">
        <f>IF(N194=2,IF(N207=1,1,0),0)</f>
        <v>0</v>
      </c>
      <c r="P217" s="240">
        <f>IF(P194=2,IF(P207=1,1,0),0)</f>
        <v>0</v>
      </c>
      <c r="Q217" s="235">
        <f>IF(Q194=2,IF(Q207=1,1,0),0)</f>
        <v>0</v>
      </c>
      <c r="S217" s="240">
        <f>IF(S194=2,IF(S207=1,1,0),0)</f>
        <v>0</v>
      </c>
      <c r="T217" s="235">
        <f>IF(T194=2,IF(T207=1,1,0),0)</f>
        <v>0</v>
      </c>
      <c r="V217" s="240">
        <f>IF(V194=2,IF(V207=1,1,0),0)</f>
        <v>0</v>
      </c>
      <c r="W217" s="235">
        <f>IF(W194=2,IF(W207=1,1,0),0)</f>
        <v>0</v>
      </c>
      <c r="Y217" s="240">
        <f>IF(Y194=2,IF(Y207=1,1,0),0)</f>
        <v>0</v>
      </c>
      <c r="Z217" s="235">
        <f>IF(Z194=2,IF(Z207=1,1,0),0)</f>
        <v>0</v>
      </c>
      <c r="AB217" s="240">
        <f>IF(AB194=2,IF(AB207=1,1,0),0)</f>
        <v>0</v>
      </c>
      <c r="AC217" s="235">
        <f>IF(AC194=2,IF(AC207=1,1,0),0)</f>
        <v>0</v>
      </c>
      <c r="AE217" s="240">
        <f>IF(AE194=2,IF(AE207=1,1,0),0)</f>
        <v>0</v>
      </c>
      <c r="AF217" s="235">
        <f>SUM(B217:AE217)</f>
        <v>2</v>
      </c>
      <c r="AG217" s="235">
        <f>AF223-AF217</f>
        <v>1</v>
      </c>
      <c r="AW217" s="238"/>
    </row>
    <row r="218" spans="1:49" s="235" customFormat="1" ht="12.75" hidden="1" customHeight="1" x14ac:dyDescent="0.2">
      <c r="A218" s="235" t="s">
        <v>72</v>
      </c>
      <c r="B218" s="235">
        <f>IF(B194=3,IF(B207=1,1,0),0)</f>
        <v>0</v>
      </c>
      <c r="D218" s="240">
        <f>IF(D194=3,IF(D207=1,1,0),0)</f>
        <v>0</v>
      </c>
      <c r="E218" s="235">
        <f>IF(E194=3,IF(E207=1,1,0),0)</f>
        <v>0</v>
      </c>
      <c r="G218" s="240">
        <f>IF(G194=3,IF(G207=1,1,0),0)</f>
        <v>0</v>
      </c>
      <c r="H218" s="235">
        <f>IF(H194=3,IF(H207=1,1,0),0)</f>
        <v>0</v>
      </c>
      <c r="J218" s="240">
        <f>IF(J194=3,IF(J207=1,1,0),0)</f>
        <v>0</v>
      </c>
      <c r="K218" s="235">
        <f>IF(K194=3,IF(K207=1,1,0),0)</f>
        <v>0</v>
      </c>
      <c r="M218" s="240">
        <f>IF(M194=3,IF(M207=1,1,0),0)</f>
        <v>0</v>
      </c>
      <c r="N218" s="235">
        <f>IF(N194=3,IF(N207=1,1,0),0)</f>
        <v>1</v>
      </c>
      <c r="P218" s="240">
        <f>IF(P194=3,IF(P207=1,1,0),0)</f>
        <v>0</v>
      </c>
      <c r="Q218" s="235">
        <f>IF(Q194=3,IF(Q207=1,1,0),0)</f>
        <v>0</v>
      </c>
      <c r="S218" s="240">
        <f>IF(S194=3,IF(S207=1,1,0),0)</f>
        <v>0</v>
      </c>
      <c r="T218" s="235">
        <f>IF(T194=3,IF(T207=1,1,0),0)</f>
        <v>0</v>
      </c>
      <c r="V218" s="240">
        <f>IF(V194=3,IF(V207=1,1,0),0)</f>
        <v>0</v>
      </c>
      <c r="W218" s="235">
        <f>IF(W194=3,IF(W207=1,1,0),0)</f>
        <v>0</v>
      </c>
      <c r="Y218" s="240">
        <f>IF(Y194=3,IF(Y207=1,1,0),0)</f>
        <v>0</v>
      </c>
      <c r="Z218" s="235">
        <f>IF(Z194=3,IF(Z207=1,1,0),0)</f>
        <v>0</v>
      </c>
      <c r="AB218" s="240">
        <f>IF(AB194=3,IF(AB207=1,1,0),0)</f>
        <v>0</v>
      </c>
      <c r="AC218" s="235">
        <f>IF(AC194=3,IF(AC207=1,1,0),0)</f>
        <v>0</v>
      </c>
      <c r="AE218" s="240">
        <f>IF(AE194=3,IF(AE207=1,1,0),0)</f>
        <v>0</v>
      </c>
      <c r="AF218" s="235">
        <f>SUM(B218:AE218)</f>
        <v>1</v>
      </c>
      <c r="AG218" s="235">
        <f>AF224-AF218</f>
        <v>2</v>
      </c>
      <c r="AW218" s="238"/>
    </row>
    <row r="219" spans="1:49" s="235" customFormat="1" ht="12.75" hidden="1" customHeight="1" x14ac:dyDescent="0.2">
      <c r="A219" s="235" t="s">
        <v>73</v>
      </c>
      <c r="B219" s="235">
        <f>IF(B194=4,IF(B207=1,1,0),0)</f>
        <v>0</v>
      </c>
      <c r="D219" s="240">
        <f>IF(D194=4,IF(D207=1,1,0),0)</f>
        <v>0</v>
      </c>
      <c r="E219" s="235">
        <f>IF(E194=4,IF(E207=1,1,0),0)</f>
        <v>0</v>
      </c>
      <c r="G219" s="240">
        <f>IF(G194=4,IF(G207=1,1,0),0)</f>
        <v>0</v>
      </c>
      <c r="H219" s="235">
        <f>IF(H194=4,IF(H207=1,1,0),0)</f>
        <v>0</v>
      </c>
      <c r="J219" s="240">
        <f>IF(J194=4,IF(J207=1,1,0),0)</f>
        <v>0</v>
      </c>
      <c r="K219" s="235">
        <f>IF(K194=4,IF(K207=1,1,0),0)</f>
        <v>0</v>
      </c>
      <c r="M219" s="240">
        <f>IF(M194=4,IF(M207=1,1,0),0)</f>
        <v>0</v>
      </c>
      <c r="N219" s="235">
        <f>IF(N194=4,IF(N207=1,1,0),0)</f>
        <v>0</v>
      </c>
      <c r="P219" s="240">
        <f>IF(P194=4,IF(P207=1,1,0),0)</f>
        <v>0</v>
      </c>
      <c r="Q219" s="235">
        <f>IF(Q194=4,IF(Q207=1,1,0),0)</f>
        <v>0</v>
      </c>
      <c r="S219" s="240">
        <f>IF(S194=4,IF(S207=1,1,0),0)</f>
        <v>0</v>
      </c>
      <c r="T219" s="235">
        <f>IF(T194=4,IF(T207=1,1,0),0)</f>
        <v>0</v>
      </c>
      <c r="V219" s="240">
        <f>IF(V194=4,IF(V207=1,1,0),0)</f>
        <v>0</v>
      </c>
      <c r="W219" s="235">
        <f>IF(W194=4,IF(W207=1,1,0),0)</f>
        <v>0</v>
      </c>
      <c r="Y219" s="240">
        <f>IF(Y194=4,IF(Y207=1,1,0),0)</f>
        <v>0</v>
      </c>
      <c r="Z219" s="235">
        <f>IF(Z194=4,IF(Z207=1,1,0),0)</f>
        <v>0</v>
      </c>
      <c r="AB219" s="240">
        <f>IF(AB194=4,IF(AB207=1,1,0),0)</f>
        <v>0</v>
      </c>
      <c r="AC219" s="235">
        <f>IF(AC194=4,IF(AC207=1,1,0),0)</f>
        <v>0</v>
      </c>
      <c r="AE219" s="240">
        <f>IF(AE194=4,IF(AE207=1,1,0),0)</f>
        <v>0</v>
      </c>
      <c r="AF219" s="235">
        <f>SUM(B219:AE219)</f>
        <v>0</v>
      </c>
      <c r="AG219" s="235">
        <f>AF225-AF219</f>
        <v>3</v>
      </c>
      <c r="AW219" s="238"/>
    </row>
    <row r="220" spans="1:49" s="235" customFormat="1" ht="12.75" hidden="1" customHeight="1" x14ac:dyDescent="0.2">
      <c r="A220" s="235" t="s">
        <v>74</v>
      </c>
      <c r="B220" s="235">
        <f>IF(B194=5,IF(B207=1,1,0),0)</f>
        <v>0</v>
      </c>
      <c r="D220" s="240">
        <f>IF(D194=5,IF(D207=1,1,0),0)</f>
        <v>0</v>
      </c>
      <c r="E220" s="235">
        <f>IF(E194=5,IF(E207=1,1,0),0)</f>
        <v>0</v>
      </c>
      <c r="G220" s="240">
        <f>IF(G194=5,IF(G207=1,1,0),0)</f>
        <v>0</v>
      </c>
      <c r="H220" s="235">
        <f>IF(H194=5,IF(H207=1,1,0),0)</f>
        <v>0</v>
      </c>
      <c r="J220" s="240">
        <f>IF(J194=5,IF(J207=1,1,0),0)</f>
        <v>0</v>
      </c>
      <c r="K220" s="235">
        <f>IF(K194=5,IF(K207=1,1,0),0)</f>
        <v>0</v>
      </c>
      <c r="M220" s="240">
        <f>IF(M194=5,IF(M207=1,1,0),0)</f>
        <v>0</v>
      </c>
      <c r="N220" s="235">
        <f>IF(N194=5,IF(N207=1,1,0),0)</f>
        <v>0</v>
      </c>
      <c r="P220" s="240">
        <f>IF(P194=5,IF(P207=1,1,0),0)</f>
        <v>0</v>
      </c>
      <c r="Q220" s="235">
        <f>IF(Q194=5,IF(Q207=1,1,0),0)</f>
        <v>0</v>
      </c>
      <c r="S220" s="240">
        <f>IF(S194=5,IF(S207=1,1,0),0)</f>
        <v>0</v>
      </c>
      <c r="T220" s="235">
        <f>IF(T194=5,IF(T207=1,1,0),0)</f>
        <v>0</v>
      </c>
      <c r="V220" s="240">
        <f>IF(V194=5,IF(V207=1,1,0),0)</f>
        <v>0</v>
      </c>
      <c r="W220" s="235">
        <f>IF(W194=5,IF(W207=1,1,0),0)</f>
        <v>0</v>
      </c>
      <c r="Y220" s="240">
        <f>IF(Y194=5,IF(Y207=1,1,0),0)</f>
        <v>0</v>
      </c>
      <c r="Z220" s="235">
        <f>IF(Z194=5,IF(Z207=1,1,0),0)</f>
        <v>0</v>
      </c>
      <c r="AB220" s="240">
        <f>IF(AB194=5,IF(AB207=1,1,0),0)</f>
        <v>0</v>
      </c>
      <c r="AC220" s="235">
        <f>IF(AC194=5,IF(AC207=1,1,0),0)</f>
        <v>0</v>
      </c>
      <c r="AE220" s="240">
        <f>IF(AE194=5,IF(AE207=1,1,0),0)</f>
        <v>0</v>
      </c>
      <c r="AF220" s="235">
        <f>SUM(B220:AE220)</f>
        <v>0</v>
      </c>
      <c r="AG220" s="235">
        <f>AF226-AF220</f>
        <v>0</v>
      </c>
      <c r="AW220" s="238"/>
    </row>
    <row r="221" spans="1:49" s="235" customFormat="1" ht="38.25" hidden="1" customHeight="1" x14ac:dyDescent="0.2">
      <c r="A221" s="239"/>
      <c r="D221" s="240"/>
      <c r="G221" s="240"/>
      <c r="J221" s="240"/>
      <c r="M221" s="240"/>
      <c r="P221" s="240"/>
      <c r="S221" s="240"/>
      <c r="V221" s="240"/>
      <c r="Y221" s="240"/>
      <c r="AB221" s="240"/>
      <c r="AE221" s="240"/>
      <c r="AF221" s="239" t="s">
        <v>75</v>
      </c>
      <c r="AW221" s="238"/>
    </row>
    <row r="222" spans="1:49" s="235" customFormat="1" ht="12.75" hidden="1" customHeight="1" x14ac:dyDescent="0.2">
      <c r="A222" s="235" t="s">
        <v>76</v>
      </c>
      <c r="B222" s="235">
        <f>IF(B194=1,IF(C207=1,1,0),0)</f>
        <v>0</v>
      </c>
      <c r="D222" s="240">
        <f>IF(D194=1,IF(C207=1,1,0),0)</f>
        <v>0</v>
      </c>
      <c r="E222" s="235">
        <f>IF(E194=1,IF(F207=1,1,0),0)</f>
        <v>1</v>
      </c>
      <c r="G222" s="240">
        <f>IF(G194=1,IF(F207=1,1,0),0)</f>
        <v>0</v>
      </c>
      <c r="H222" s="235">
        <f>IF(H194=1,IF(I207=1,1,0),0)</f>
        <v>0</v>
      </c>
      <c r="J222" s="240">
        <f>IF(J194=1,IF(I207=1,1,0),0)</f>
        <v>0</v>
      </c>
      <c r="K222" s="235">
        <f>IF(K194=1,IF(L207=1,1,0),0)</f>
        <v>1</v>
      </c>
      <c r="M222" s="240">
        <f>IF(M194=1,IF(L207=1,1,0),0)</f>
        <v>0</v>
      </c>
      <c r="N222" s="235">
        <f>IF(N194=1,IF(O207=1,1,0),0)</f>
        <v>0</v>
      </c>
      <c r="P222" s="240">
        <f>IF(P194=1,IF(O207=1,1,0),0)</f>
        <v>0</v>
      </c>
      <c r="Q222" s="235">
        <f>IF(Q194=1,IF(R207=1,1,0),0)</f>
        <v>1</v>
      </c>
      <c r="S222" s="240">
        <f>IF(S194=1,IF(R207=1,1,0),0)</f>
        <v>0</v>
      </c>
      <c r="T222" s="235">
        <f>IF(T194=1,IF(U207=1,1,0),0)</f>
        <v>0</v>
      </c>
      <c r="V222" s="240">
        <f>IF(V194=1,IF(U207=1,1,0),0)</f>
        <v>0</v>
      </c>
      <c r="W222" s="235">
        <f>IF(W194=1,IF(X207=1,1,0),0)</f>
        <v>0</v>
      </c>
      <c r="Y222" s="240">
        <f>IF(Y194=1,IF(X207=1,1,0),0)</f>
        <v>0</v>
      </c>
      <c r="Z222" s="235">
        <f>IF(Z194=1,IF(AA207=1,1,0),0)</f>
        <v>0</v>
      </c>
      <c r="AB222" s="240">
        <f>IF(AB194=1,IF(AA207=1,1,0),0)</f>
        <v>0</v>
      </c>
      <c r="AC222" s="235">
        <f>IF(AC194=1,IF(AD207=1,1,0),0)</f>
        <v>0</v>
      </c>
      <c r="AE222" s="240">
        <f>IF(AE194=1,IF(AD207=1,1,0),0)</f>
        <v>0</v>
      </c>
      <c r="AF222" s="235">
        <f>SUM(B222:AE222)</f>
        <v>3</v>
      </c>
      <c r="AW222" s="238"/>
    </row>
    <row r="223" spans="1:49" s="235" customFormat="1" ht="12.75" hidden="1" customHeight="1" x14ac:dyDescent="0.2">
      <c r="A223" s="235" t="s">
        <v>77</v>
      </c>
      <c r="B223" s="235">
        <f>IF(B194=2,IF(C207=1,1,0),0)</f>
        <v>1</v>
      </c>
      <c r="D223" s="240">
        <f>IF(D194=2,IF(C207=1,1,0),0)</f>
        <v>0</v>
      </c>
      <c r="E223" s="235">
        <f>IF(E194=2,IF(F207=1,1,0),0)</f>
        <v>0</v>
      </c>
      <c r="G223" s="240">
        <f>IF(G194=2,IF(F207=1,1,0),0)</f>
        <v>0</v>
      </c>
      <c r="H223" s="235">
        <f>IF(H194=2,IF(I207=1,1,0),0)</f>
        <v>1</v>
      </c>
      <c r="J223" s="240">
        <f>IF(J194=2,IF(I207=1,1,0),0)</f>
        <v>0</v>
      </c>
      <c r="K223" s="235">
        <f>IF(K194=2,IF(L207=1,1,0),0)</f>
        <v>0</v>
      </c>
      <c r="M223" s="240">
        <f>IF(M194=2,IF(L207=1,1,0),0)</f>
        <v>0</v>
      </c>
      <c r="N223" s="235">
        <f>IF(N194=2,IF(O207=1,1,0),0)</f>
        <v>0</v>
      </c>
      <c r="P223" s="240">
        <f>IF(P194=2,IF(O207=1,1,0),0)</f>
        <v>0</v>
      </c>
      <c r="Q223" s="235">
        <f>IF(Q194=2,IF(R207=1,1,0),0)</f>
        <v>0</v>
      </c>
      <c r="S223" s="240">
        <f>IF(S194=2,IF(R207=1,1,0),0)</f>
        <v>1</v>
      </c>
      <c r="T223" s="235">
        <f>IF(T194=2,IF(U207=1,1,0),0)</f>
        <v>0</v>
      </c>
      <c r="V223" s="240">
        <f>IF(V194=2,IF(U207=1,1,0),0)</f>
        <v>0</v>
      </c>
      <c r="W223" s="235">
        <f>IF(W194=2,IF(X207=1,1,0),0)</f>
        <v>0</v>
      </c>
      <c r="Y223" s="240">
        <f>IF(Y194=2,IF(X207=1,1,0),0)</f>
        <v>0</v>
      </c>
      <c r="Z223" s="235">
        <f>IF(Z194=2,IF(AA207=1,1,0),0)</f>
        <v>0</v>
      </c>
      <c r="AB223" s="240">
        <f>IF(AB194=2,IF(AA207=1,1,0),0)</f>
        <v>0</v>
      </c>
      <c r="AC223" s="235">
        <f>IF(AC194=2,IF(AD207=1,1,0),0)</f>
        <v>0</v>
      </c>
      <c r="AE223" s="240">
        <f>IF(AE194=2,IF(AD207=1,1,0),0)</f>
        <v>0</v>
      </c>
      <c r="AF223" s="235">
        <f>SUM(B223:AE223)</f>
        <v>3</v>
      </c>
      <c r="AW223" s="238"/>
    </row>
    <row r="224" spans="1:49" s="235" customFormat="1" ht="12.75" hidden="1" customHeight="1" x14ac:dyDescent="0.2">
      <c r="A224" s="235" t="s">
        <v>78</v>
      </c>
      <c r="B224" s="235">
        <f>IF(B194=3,IF(C207=1,1,0),0)</f>
        <v>0</v>
      </c>
      <c r="D224" s="240">
        <f>IF(D194=3,IF(C207=1,1,0),0)</f>
        <v>1</v>
      </c>
      <c r="E224" s="235">
        <f>IF(E194=3,IF(F207=1,1,0),0)</f>
        <v>0</v>
      </c>
      <c r="G224" s="240">
        <f>IF(G194=3,IF(F207=1,1,0),0)</f>
        <v>0</v>
      </c>
      <c r="H224" s="235">
        <f>IF(H194=3,IF(I207=1,1,0),0)</f>
        <v>0</v>
      </c>
      <c r="J224" s="240">
        <f>IF(J194=3,IF(I207=1,1,0),0)</f>
        <v>0</v>
      </c>
      <c r="K224" s="235">
        <f>IF(K194=3,IF(L207=1,1,0),0)</f>
        <v>0</v>
      </c>
      <c r="M224" s="240">
        <f>IF(M194=3,IF(L207=1,1,0),0)</f>
        <v>1</v>
      </c>
      <c r="N224" s="235">
        <f>IF(N194=3,IF(O207=1,1,0),0)</f>
        <v>1</v>
      </c>
      <c r="P224" s="240">
        <f>IF(P194=3,IF(O207=1,1,0),0)</f>
        <v>0</v>
      </c>
      <c r="Q224" s="235">
        <f>IF(Q194=3,IF(R207=1,1,0),0)</f>
        <v>0</v>
      </c>
      <c r="S224" s="240">
        <f>IF(S194=3,IF(R207=1,1,0),0)</f>
        <v>0</v>
      </c>
      <c r="T224" s="235">
        <f>IF(T194=3,IF(U207=1,1,0),0)</f>
        <v>0</v>
      </c>
      <c r="V224" s="240">
        <f>IF(V194=3,IF(U207=1,1,0),0)</f>
        <v>0</v>
      </c>
      <c r="W224" s="235">
        <f>IF(W194=3,IF(X207=1,1,0),0)</f>
        <v>0</v>
      </c>
      <c r="Y224" s="240">
        <f>IF(Y194=3,IF(X207=1,1,0),0)</f>
        <v>0</v>
      </c>
      <c r="Z224" s="235">
        <f>IF(Z194=3,IF(AA207=1,1,0),0)</f>
        <v>0</v>
      </c>
      <c r="AB224" s="240">
        <f>IF(AB194=3,IF(AA207=1,1,0),0)</f>
        <v>0</v>
      </c>
      <c r="AC224" s="235">
        <f>IF(AC194=3,IF(AD207=1,1,0),0)</f>
        <v>0</v>
      </c>
      <c r="AE224" s="240">
        <f>IF(AE194=3,IF(AD207=1,1,0),0)</f>
        <v>0</v>
      </c>
      <c r="AF224" s="235">
        <f>SUM(B224:AE224)</f>
        <v>3</v>
      </c>
      <c r="AW224" s="238"/>
    </row>
    <row r="225" spans="1:49" s="235" customFormat="1" ht="12.75" hidden="1" customHeight="1" x14ac:dyDescent="0.2">
      <c r="A225" s="235" t="s">
        <v>79</v>
      </c>
      <c r="B225" s="235">
        <f>IF(B194=4,IF(C207=1,1,0),0)</f>
        <v>0</v>
      </c>
      <c r="D225" s="240">
        <f>IF(D194=4,IF(C207=1,1,0),0)</f>
        <v>0</v>
      </c>
      <c r="E225" s="235">
        <f>IF(E194=4,IF(F207=1,1,0),0)</f>
        <v>0</v>
      </c>
      <c r="G225" s="240">
        <f>IF(G194=4,IF(F207=1,1,0),0)</f>
        <v>1</v>
      </c>
      <c r="H225" s="235">
        <f>IF(H194=4,IF(I207=1,1,0),0)</f>
        <v>0</v>
      </c>
      <c r="J225" s="240">
        <f>IF(J194=4,IF(I207=1,1,0),0)</f>
        <v>1</v>
      </c>
      <c r="K225" s="235">
        <f>IF(K194=4,IF(L207=1,1,0),0)</f>
        <v>0</v>
      </c>
      <c r="M225" s="240">
        <f>IF(M194=4,IF(L207=1,1,0),0)</f>
        <v>0</v>
      </c>
      <c r="N225" s="235">
        <f>IF(N194=4,IF(O207=1,1,0),0)</f>
        <v>0</v>
      </c>
      <c r="P225" s="240">
        <f>IF(P194=4,IF(O207=1,1,0),0)</f>
        <v>1</v>
      </c>
      <c r="Q225" s="235">
        <f>IF(Q194=4,IF(R207=1,1,0),0)</f>
        <v>0</v>
      </c>
      <c r="S225" s="240">
        <f>IF(S194=4,IF(R207=1,1,0),0)</f>
        <v>0</v>
      </c>
      <c r="T225" s="235">
        <f>IF(T194=4,IF(U207=1,1,0),0)</f>
        <v>0</v>
      </c>
      <c r="V225" s="240">
        <f>IF(V194=4,IF(U207=1,1,0),0)</f>
        <v>0</v>
      </c>
      <c r="W225" s="235">
        <f>IF(W194=4,IF(X207=1,1,0),0)</f>
        <v>0</v>
      </c>
      <c r="Y225" s="240">
        <f>IF(Y194=4,IF(X207=1,1,0),0)</f>
        <v>0</v>
      </c>
      <c r="Z225" s="235">
        <f>IF(Z194=4,IF(AA207=1,1,0),0)</f>
        <v>0</v>
      </c>
      <c r="AB225" s="240">
        <f>IF(AB194=4,IF(AA207=1,1,0),0)</f>
        <v>0</v>
      </c>
      <c r="AC225" s="235">
        <f>IF(AC194=4,IF(AD207=1,1,0),0)</f>
        <v>0</v>
      </c>
      <c r="AE225" s="240">
        <f>IF(AE194=4,IF(AD207=1,1,0),0)</f>
        <v>0</v>
      </c>
      <c r="AF225" s="235">
        <f>SUM(B225:AE225)</f>
        <v>3</v>
      </c>
      <c r="AW225" s="238"/>
    </row>
    <row r="226" spans="1:49" s="235" customFormat="1" ht="12.75" hidden="1" customHeight="1" x14ac:dyDescent="0.2">
      <c r="A226" s="235" t="s">
        <v>80</v>
      </c>
      <c r="B226" s="235">
        <f>IF(B194=5,IF(C207=1,1,0),0)</f>
        <v>0</v>
      </c>
      <c r="D226" s="240">
        <f>IF(D194=5,IF(C207=1,1,0),0)</f>
        <v>0</v>
      </c>
      <c r="E226" s="235">
        <f>IF(E194=5,IF(F207=1,1,0),0)</f>
        <v>0</v>
      </c>
      <c r="G226" s="240">
        <f>IF(G194=5,IF(F207=1,1,0),0)</f>
        <v>0</v>
      </c>
      <c r="H226" s="235">
        <f>IF(H194=5,IF(I207=1,1,0),0)</f>
        <v>0</v>
      </c>
      <c r="J226" s="240">
        <f>IF(J194=5,IF(I207=1,1,0),0)</f>
        <v>0</v>
      </c>
      <c r="K226" s="235">
        <f>IF(K194=5,IF(L207=1,1,0),0)</f>
        <v>0</v>
      </c>
      <c r="M226" s="240">
        <f>IF(M194=5,IF(L207=1,1,0),0)</f>
        <v>0</v>
      </c>
      <c r="N226" s="235">
        <f>IF(N194=5,IF(O207=1,1,0),0)</f>
        <v>0</v>
      </c>
      <c r="P226" s="240">
        <f>IF(P194=5,IF(O207=1,1,0),0)</f>
        <v>0</v>
      </c>
      <c r="Q226" s="235">
        <f>IF(Q194=5,IF(R207=1,1,0),0)</f>
        <v>0</v>
      </c>
      <c r="S226" s="240">
        <f>IF(S194=5,IF(R207=1,1,0),0)</f>
        <v>0</v>
      </c>
      <c r="T226" s="235">
        <f>IF(T194=5,IF(U207=1,1,0),0)</f>
        <v>0</v>
      </c>
      <c r="V226" s="240">
        <f>IF(V194=5,IF(U207=1,1,0),0)</f>
        <v>0</v>
      </c>
      <c r="W226" s="235">
        <f>IF(W194=5,IF(X207=1,1,0),0)</f>
        <v>0</v>
      </c>
      <c r="Y226" s="240">
        <f>IF(Y194=5,IF(X207=1,1,0),0)</f>
        <v>0</v>
      </c>
      <c r="Z226" s="235">
        <f>IF(Z194=5,IF(AA207=1,1,0),0)</f>
        <v>0</v>
      </c>
      <c r="AB226" s="240">
        <f>IF(AB194=5,IF(AA207=1,1,0),0)</f>
        <v>0</v>
      </c>
      <c r="AC226" s="235">
        <f>IF(AC194=5,IF(AD207=1,1,0),0)</f>
        <v>0</v>
      </c>
      <c r="AE226" s="240">
        <f>IF(AE194=5,IF(AD207=1,1,0),0)</f>
        <v>0</v>
      </c>
      <c r="AF226" s="235">
        <f>SUM(B226:AE226)</f>
        <v>0</v>
      </c>
      <c r="AW226" s="238"/>
    </row>
    <row r="227" spans="1:49" s="235" customFormat="1" ht="38.25" hidden="1" customHeight="1" x14ac:dyDescent="0.2">
      <c r="A227" s="239"/>
      <c r="D227" s="240"/>
      <c r="G227" s="240"/>
      <c r="J227" s="240"/>
      <c r="M227" s="240"/>
      <c r="P227" s="240"/>
      <c r="S227" s="240"/>
      <c r="V227" s="240"/>
      <c r="Y227" s="240"/>
      <c r="AB227" s="240"/>
      <c r="AE227" s="240"/>
      <c r="AF227" s="239" t="s">
        <v>81</v>
      </c>
      <c r="AG227" s="524"/>
      <c r="AH227" s="524"/>
      <c r="AI227" s="524"/>
      <c r="AJ227" s="524"/>
      <c r="AK227" s="524"/>
      <c r="AW227" s="238"/>
    </row>
    <row r="228" spans="1:49" s="235" customFormat="1" ht="12.75" hidden="1" customHeight="1" x14ac:dyDescent="0.2">
      <c r="A228" s="235" t="s">
        <v>76</v>
      </c>
      <c r="B228" s="235">
        <f>IF(B194=1,B214,0)</f>
        <v>0</v>
      </c>
      <c r="D228" s="240">
        <f>IF(D194=1,B214,0)</f>
        <v>0</v>
      </c>
      <c r="E228" s="235">
        <f>IF(E194=1,E214,0)</f>
        <v>50</v>
      </c>
      <c r="G228" s="240">
        <f>IF(G194=1,E214,0)</f>
        <v>0</v>
      </c>
      <c r="H228" s="235">
        <f>IF(H194=1,H214,0)</f>
        <v>0</v>
      </c>
      <c r="J228" s="240">
        <f>IF(J194=1,H214,0)</f>
        <v>0</v>
      </c>
      <c r="K228" s="235">
        <f>IF(K194=1,K214,0)</f>
        <v>50</v>
      </c>
      <c r="M228" s="240">
        <f>IF(M194=1,K214,0)</f>
        <v>0</v>
      </c>
      <c r="N228" s="235">
        <f>IF(N194=1,N214,0)</f>
        <v>0</v>
      </c>
      <c r="P228" s="240">
        <f>IF(P194=1,N214,0)</f>
        <v>0</v>
      </c>
      <c r="Q228" s="235">
        <f>IF(Q194=1,Q214,0)</f>
        <v>50</v>
      </c>
      <c r="S228" s="240">
        <f>IF(S194=1,Q214,0)</f>
        <v>0</v>
      </c>
      <c r="T228" s="235">
        <f>IF(T194=1,T214,0)</f>
        <v>0</v>
      </c>
      <c r="V228" s="240">
        <f>IF(V194=1,T214,0)</f>
        <v>0</v>
      </c>
      <c r="W228" s="235">
        <f>IF(W194=1,W214,0)</f>
        <v>0</v>
      </c>
      <c r="Y228" s="240">
        <f>IF(Y194=1,W214,0)</f>
        <v>0</v>
      </c>
      <c r="Z228" s="235">
        <f>IF(Z194=1,Z214,0)</f>
        <v>0</v>
      </c>
      <c r="AB228" s="240">
        <f>IF(AB194=1,Z214,0)</f>
        <v>0</v>
      </c>
      <c r="AC228" s="235">
        <f>IF(AC194=1,AC214,0)</f>
        <v>0</v>
      </c>
      <c r="AE228" s="240">
        <f>IF(AE194=1,AC214,0)</f>
        <v>0</v>
      </c>
      <c r="AF228" s="235">
        <f>SUM(B228:AE228)</f>
        <v>150</v>
      </c>
      <c r="AW228" s="238"/>
    </row>
    <row r="229" spans="1:49" s="235" customFormat="1" ht="12.75" hidden="1" customHeight="1" x14ac:dyDescent="0.2">
      <c r="A229" s="235" t="s">
        <v>77</v>
      </c>
      <c r="B229" s="235">
        <f>IF(B194=2,B214,0)</f>
        <v>50</v>
      </c>
      <c r="D229" s="240">
        <f>IF(D194=2,B214,0)</f>
        <v>0</v>
      </c>
      <c r="E229" s="235">
        <f>IF(E194=2,E214,0)</f>
        <v>0</v>
      </c>
      <c r="G229" s="240">
        <f>IF(G194=2,E214,0)</f>
        <v>0</v>
      </c>
      <c r="H229" s="235">
        <f>IF(H194=2,H214,0)</f>
        <v>50</v>
      </c>
      <c r="J229" s="240">
        <f>IF(J194=2,H214,0)</f>
        <v>0</v>
      </c>
      <c r="K229" s="235">
        <f>IF(K194=2,K214,0)</f>
        <v>0</v>
      </c>
      <c r="M229" s="240">
        <f>IF(M194=2,K214,0)</f>
        <v>0</v>
      </c>
      <c r="N229" s="235">
        <f>IF(N194=2,N214,0)</f>
        <v>0</v>
      </c>
      <c r="P229" s="240">
        <f>IF(P194=2,N214,0)</f>
        <v>0</v>
      </c>
      <c r="Q229" s="235">
        <f>IF(Q194=2,Q214,0)</f>
        <v>0</v>
      </c>
      <c r="S229" s="240">
        <f>IF(S194=2,Q214,0)</f>
        <v>50</v>
      </c>
      <c r="T229" s="235">
        <f>IF(T194=2,T214,0)</f>
        <v>0</v>
      </c>
      <c r="V229" s="240">
        <f>IF(V194=2,T214,0)</f>
        <v>0</v>
      </c>
      <c r="W229" s="235">
        <f>IF(W194=2,W214,0)</f>
        <v>0</v>
      </c>
      <c r="Y229" s="240">
        <f>IF(Y194=2,W214,0)</f>
        <v>0</v>
      </c>
      <c r="Z229" s="235">
        <f>IF(Z194=2,Z214,0)</f>
        <v>0</v>
      </c>
      <c r="AB229" s="240">
        <f>IF(AB194=2,Z214,0)</f>
        <v>0</v>
      </c>
      <c r="AC229" s="235">
        <f>IF(AC194=2,AC214,0)</f>
        <v>0</v>
      </c>
      <c r="AE229" s="240">
        <f>IF(AE194=2,AC214,0)</f>
        <v>0</v>
      </c>
      <c r="AF229" s="235">
        <f>SUM(B229:AE229)</f>
        <v>150</v>
      </c>
      <c r="AW229" s="238"/>
    </row>
    <row r="230" spans="1:49" s="235" customFormat="1" ht="12.75" hidden="1" customHeight="1" x14ac:dyDescent="0.2">
      <c r="A230" s="235" t="s">
        <v>78</v>
      </c>
      <c r="B230" s="235">
        <f>IF(B194=3,B214,0)</f>
        <v>0</v>
      </c>
      <c r="D230" s="240">
        <f>IF(D194=3,B214,0)</f>
        <v>50</v>
      </c>
      <c r="E230" s="235">
        <f>IF(E194=3,E214,0)</f>
        <v>0</v>
      </c>
      <c r="G230" s="240">
        <f>IF(G194=3,E214,0)</f>
        <v>0</v>
      </c>
      <c r="H230" s="235">
        <f>IF(H194=3,H214,0)</f>
        <v>0</v>
      </c>
      <c r="J230" s="240">
        <f>IF(J194=3,H214,0)</f>
        <v>0</v>
      </c>
      <c r="K230" s="235">
        <f>IF(K194=3,K214,0)</f>
        <v>0</v>
      </c>
      <c r="M230" s="240">
        <f>IF(M194=3,K214,0)</f>
        <v>50</v>
      </c>
      <c r="N230" s="235">
        <f>IF(N194=3,N214,0)</f>
        <v>50</v>
      </c>
      <c r="P230" s="240">
        <f>IF(P194=3,N214,0)</f>
        <v>0</v>
      </c>
      <c r="Q230" s="235">
        <f>IF(Q194=3,Q214,0)</f>
        <v>0</v>
      </c>
      <c r="S230" s="240">
        <f>IF(S194=3,Q214,0)</f>
        <v>0</v>
      </c>
      <c r="T230" s="235">
        <f>IF(T194=3,T214,0)</f>
        <v>0</v>
      </c>
      <c r="V230" s="240">
        <f>IF(V194=3,T214,0)</f>
        <v>0</v>
      </c>
      <c r="W230" s="235">
        <f>IF(W194=3,W214,0)</f>
        <v>0</v>
      </c>
      <c r="Y230" s="240">
        <f>IF(Y194=3,W214,0)</f>
        <v>0</v>
      </c>
      <c r="Z230" s="235">
        <f>IF(Z194=3,Z214,0)</f>
        <v>0</v>
      </c>
      <c r="AB230" s="240">
        <f>IF(AB194=3,Z214,0)</f>
        <v>0</v>
      </c>
      <c r="AC230" s="235">
        <f>IF(AC194=3,AC214,0)</f>
        <v>0</v>
      </c>
      <c r="AE230" s="240">
        <f>IF(AE194=3,AC214,0)</f>
        <v>0</v>
      </c>
      <c r="AF230" s="235">
        <f>SUM(B230:AE230)</f>
        <v>150</v>
      </c>
      <c r="AW230" s="238"/>
    </row>
    <row r="231" spans="1:49" s="235" customFormat="1" ht="12.75" hidden="1" customHeight="1" x14ac:dyDescent="0.2">
      <c r="A231" s="235" t="s">
        <v>79</v>
      </c>
      <c r="B231" s="235">
        <f>IF(B194=4,B214,0)</f>
        <v>0</v>
      </c>
      <c r="D231" s="240">
        <f>IF(D194=4,B214,0)</f>
        <v>0</v>
      </c>
      <c r="E231" s="235">
        <f>IF(E194=4,E214,0)</f>
        <v>0</v>
      </c>
      <c r="G231" s="240">
        <f>IF(G194=4,E214,0)</f>
        <v>50</v>
      </c>
      <c r="H231" s="235">
        <f>IF(H194=4,H214,0)</f>
        <v>0</v>
      </c>
      <c r="J231" s="240">
        <f>IF(J194=4,H214,0)</f>
        <v>50</v>
      </c>
      <c r="K231" s="235">
        <f>IF(K194=4,K214,0)</f>
        <v>0</v>
      </c>
      <c r="M231" s="240">
        <f>IF(M194=4,K214,0)</f>
        <v>0</v>
      </c>
      <c r="N231" s="235">
        <f>IF(N194=4,N214,0)</f>
        <v>0</v>
      </c>
      <c r="P231" s="240">
        <f>IF(P194=4,N214,0)</f>
        <v>50</v>
      </c>
      <c r="Q231" s="235">
        <f>IF(Q194=4,Q214,0)</f>
        <v>0</v>
      </c>
      <c r="S231" s="240">
        <f>IF(S194=4,Q214,0)</f>
        <v>0</v>
      </c>
      <c r="T231" s="235">
        <f>IF(T194=4,T214,0)</f>
        <v>0</v>
      </c>
      <c r="V231" s="240">
        <f>IF(V194=4,T214,0)</f>
        <v>0</v>
      </c>
      <c r="W231" s="235">
        <f>IF(W194=4,W214,0)</f>
        <v>0</v>
      </c>
      <c r="Y231" s="240">
        <f>IF(Y194=4,W214,0)</f>
        <v>0</v>
      </c>
      <c r="Z231" s="235">
        <f>IF(Z194=4,Z214,0)</f>
        <v>0</v>
      </c>
      <c r="AB231" s="240">
        <f>IF(AB194=4,Z214,0)</f>
        <v>0</v>
      </c>
      <c r="AC231" s="235">
        <f>IF(AC194=4,AC214,0)</f>
        <v>0</v>
      </c>
      <c r="AE231" s="240">
        <f>IF(AE194=4,AC214,0)</f>
        <v>0</v>
      </c>
      <c r="AF231" s="235">
        <f>SUM(B231:AE231)</f>
        <v>150</v>
      </c>
      <c r="AW231" s="238"/>
    </row>
    <row r="232" spans="1:49" s="235" customFormat="1" ht="12.75" hidden="1" customHeight="1" x14ac:dyDescent="0.2">
      <c r="A232" s="235" t="s">
        <v>80</v>
      </c>
      <c r="B232" s="235">
        <f>IF(B194=5,B214,0)</f>
        <v>0</v>
      </c>
      <c r="D232" s="240">
        <f>IF(D194=5,B214,0)</f>
        <v>0</v>
      </c>
      <c r="E232" s="235">
        <f>IF(E194=5,E214,0)</f>
        <v>0</v>
      </c>
      <c r="G232" s="240">
        <f>IF(G194=5,E214,0)</f>
        <v>0</v>
      </c>
      <c r="H232" s="235">
        <f>IF(H194=5,H214,0)</f>
        <v>0</v>
      </c>
      <c r="J232" s="240">
        <f>IF(J194=5,H214,0)</f>
        <v>0</v>
      </c>
      <c r="K232" s="235">
        <f>IF(K194=5,K214,0)</f>
        <v>0</v>
      </c>
      <c r="M232" s="240">
        <f>IF(M194=5,K214,0)</f>
        <v>0</v>
      </c>
      <c r="N232" s="235">
        <f>IF(N194=5,N214,0)</f>
        <v>0</v>
      </c>
      <c r="P232" s="240">
        <f>IF(P194=5,N214,0)</f>
        <v>0</v>
      </c>
      <c r="Q232" s="235">
        <f>IF(Q194=5,Q214,0)</f>
        <v>0</v>
      </c>
      <c r="S232" s="240">
        <f>IF(S194=5,Q214,0)</f>
        <v>0</v>
      </c>
      <c r="T232" s="235">
        <f>IF(T194=5,T214,0)</f>
        <v>0</v>
      </c>
      <c r="V232" s="240">
        <f>IF(V194=5,T214,0)</f>
        <v>0</v>
      </c>
      <c r="W232" s="235">
        <f>IF(W194=5,W214,0)</f>
        <v>0</v>
      </c>
      <c r="Y232" s="240">
        <f>IF(Y194=5,W214,0)</f>
        <v>0</v>
      </c>
      <c r="Z232" s="235">
        <f>IF(Z194=5,Z214,0)</f>
        <v>0</v>
      </c>
      <c r="AB232" s="240">
        <f>IF(AB194=5,Z214,0)</f>
        <v>0</v>
      </c>
      <c r="AC232" s="235">
        <f>IF(AC194=5,AC214,0)</f>
        <v>0</v>
      </c>
      <c r="AE232" s="240">
        <f>IF(AE194=5,AC214,0)</f>
        <v>0</v>
      </c>
      <c r="AF232" s="235">
        <f>SUM(B232:AE232)</f>
        <v>0</v>
      </c>
      <c r="AW232" s="238"/>
    </row>
    <row r="233" spans="1:49" s="235" customFormat="1" ht="38.25" hidden="1" customHeight="1" x14ac:dyDescent="0.2">
      <c r="A233" s="235" t="s">
        <v>82</v>
      </c>
      <c r="D233" s="240"/>
      <c r="G233" s="240"/>
      <c r="J233" s="240"/>
      <c r="M233" s="240"/>
      <c r="P233" s="240"/>
      <c r="S233" s="240"/>
      <c r="V233" s="240"/>
      <c r="Y233" s="240"/>
      <c r="AB233" s="240"/>
      <c r="AE233" s="240"/>
      <c r="AF233" s="239" t="s">
        <v>83</v>
      </c>
      <c r="AG233" s="235" t="s">
        <v>84</v>
      </c>
      <c r="AW233" s="238"/>
    </row>
    <row r="234" spans="1:49" s="235" customFormat="1" ht="12.75" hidden="1" customHeight="1" x14ac:dyDescent="0.2">
      <c r="A234" s="235" t="s">
        <v>70</v>
      </c>
      <c r="B234" s="235">
        <f>IF(B194=1,SUMIF(B201:B205,"&gt;0"),0)</f>
        <v>0</v>
      </c>
      <c r="D234" s="240">
        <f>IF(D194=1,SUMIF(D201:D205,"&gt;0"),0)</f>
        <v>0</v>
      </c>
      <c r="E234" s="235">
        <f>IF(E194=1,SUMIF(E201:E205,"&gt;0"),0)</f>
        <v>2</v>
      </c>
      <c r="G234" s="240">
        <f>IF(G194=1,SUMIF(G201:G205,"&gt;0"),0)</f>
        <v>0</v>
      </c>
      <c r="H234" s="235">
        <f>IF(H194=1,SUMIF(H201:H205,"&gt;0"),0)</f>
        <v>0</v>
      </c>
      <c r="J234" s="240">
        <f>IF(J194=1,SUMIF(J201:J205,"&gt;0"),0)</f>
        <v>0</v>
      </c>
      <c r="K234" s="235">
        <f>IF(K194=1,SUMIF(K201:K205,"&gt;0"),0)</f>
        <v>2</v>
      </c>
      <c r="M234" s="240">
        <f>IF(M194=1,SUMIF(M201:M205,"&gt;0"),0)</f>
        <v>0</v>
      </c>
      <c r="N234" s="235">
        <f>IF(N194=1,SUMIF(N201:N205,"&gt;0"),0)</f>
        <v>0</v>
      </c>
      <c r="P234" s="240">
        <f>IF(P194=1,SUMIF(P201:P205,"&gt;0"),0)</f>
        <v>0</v>
      </c>
      <c r="Q234" s="235">
        <f>IF(Q194=1,SUMIF(Q201:Q205,"&gt;0"),0)</f>
        <v>2</v>
      </c>
      <c r="S234" s="240">
        <f>IF(S194=1,SUMIF(S201:S205,"&gt;0"),0)</f>
        <v>0</v>
      </c>
      <c r="T234" s="235">
        <f>IF(T194=1,SUMIF(T201:T205,"&gt;0"),0)</f>
        <v>0</v>
      </c>
      <c r="V234" s="240">
        <f>IF(V194=1,SUMIF(V201:V205,"&gt;0"),0)</f>
        <v>0</v>
      </c>
      <c r="W234" s="235">
        <f>IF(W194=1,SUMIF(W201:W205,"&gt;0"),0)</f>
        <v>0</v>
      </c>
      <c r="Y234" s="240">
        <f>IF(Y194=1,SUMIF(Y201:Y205,"&gt;0"),0)</f>
        <v>0</v>
      </c>
      <c r="Z234" s="235">
        <f>IF(Z194=1,SUMIF(Z201:Z205,"&gt;0"),0)</f>
        <v>0</v>
      </c>
      <c r="AB234" s="240">
        <f>IF(AB194=1,SUMIF(AB201:AB205,"&gt;0"),0)</f>
        <v>0</v>
      </c>
      <c r="AC234" s="235">
        <f>IF(AC194=1,SUMIF(AC201:AC205,"&gt;0"),0)</f>
        <v>0</v>
      </c>
      <c r="AE234" s="240">
        <f>IF(AE194=1,SUMIF(AE201:AE205,"&gt;0"),0)</f>
        <v>0</v>
      </c>
      <c r="AF234" s="235">
        <f>SUM(B234:AE234)</f>
        <v>6</v>
      </c>
      <c r="AG234" s="235">
        <f>AF242-AF234</f>
        <v>0</v>
      </c>
      <c r="AW234" s="238"/>
    </row>
    <row r="235" spans="1:49" s="235" customFormat="1" ht="12.75" hidden="1" customHeight="1" x14ac:dyDescent="0.2">
      <c r="A235" s="235" t="s">
        <v>71</v>
      </c>
      <c r="B235" s="235">
        <f>IF(B194=2,SUMIF(B201:B205,"&gt;0"),0)</f>
        <v>2</v>
      </c>
      <c r="D235" s="240">
        <f>IF(D194=2,SUMIF(D201:D205,"&gt;0"),0)</f>
        <v>0</v>
      </c>
      <c r="E235" s="235">
        <f>IF(E194=2,SUMIF(E201:E205,"&gt;0"),0)</f>
        <v>0</v>
      </c>
      <c r="G235" s="240">
        <f>IF(G194=2,SUMIF(G201:G205,"&gt;0"),0)</f>
        <v>0</v>
      </c>
      <c r="H235" s="235">
        <f>IF(H194=2,SUMIF(H201:H205,"&gt;0"),0)</f>
        <v>2</v>
      </c>
      <c r="J235" s="240">
        <f>IF(J194=2,SUMIF(J201:J205,"&gt;0"),0)</f>
        <v>0</v>
      </c>
      <c r="K235" s="235">
        <f>IF(K194=2,SUMIF(K201:K205,"&gt;0"),0)</f>
        <v>0</v>
      </c>
      <c r="M235" s="240">
        <f>IF(M194=2,SUMIF(M201:M205,"&gt;0"),0)</f>
        <v>0</v>
      </c>
      <c r="N235" s="235">
        <f>IF(N194=2,SUMIF(N201:N205,"&gt;0"),0)</f>
        <v>0</v>
      </c>
      <c r="P235" s="240">
        <f>IF(P194=2,SUMIF(P201:P205,"&gt;0"),0)</f>
        <v>0</v>
      </c>
      <c r="Q235" s="235">
        <f>IF(Q194=2,SUMIF(Q201:Q205,"&gt;0"),0)</f>
        <v>0</v>
      </c>
      <c r="S235" s="240">
        <f>IF(S194=2,SUMIF(S201:S205,"&gt;0"),0)</f>
        <v>0</v>
      </c>
      <c r="T235" s="235">
        <f>IF(T194=2,SUMIF(T201:T205,"&gt;0"),0)</f>
        <v>0</v>
      </c>
      <c r="V235" s="240">
        <f>IF(V194=2,SUMIF(V201:V205,"&gt;0"),0)</f>
        <v>0</v>
      </c>
      <c r="W235" s="235">
        <f>IF(W194=2,SUMIF(W201:W205,"&gt;0"),0)</f>
        <v>0</v>
      </c>
      <c r="Y235" s="240">
        <f>IF(Y194=2,SUMIF(Y201:Y205,"&gt;0"),0)</f>
        <v>0</v>
      </c>
      <c r="Z235" s="235">
        <f>IF(Z194=2,SUMIF(Z201:Z205,"&gt;0"),0)</f>
        <v>0</v>
      </c>
      <c r="AB235" s="240">
        <f>IF(AB194=2,SUMIF(AB201:AB205,"&gt;0"),0)</f>
        <v>0</v>
      </c>
      <c r="AC235" s="235">
        <f>IF(AC194=2,SUMIF(AC201:AC205,"&gt;0"),0)</f>
        <v>0</v>
      </c>
      <c r="AE235" s="240">
        <f>IF(AE194=2,SUMIF(AE201:AE205,"&gt;0"),0)</f>
        <v>0</v>
      </c>
      <c r="AF235" s="235">
        <f>SUM(B235:AE235)</f>
        <v>4</v>
      </c>
      <c r="AG235" s="235">
        <f>AF243-AF235</f>
        <v>2</v>
      </c>
      <c r="AW235" s="238"/>
    </row>
    <row r="236" spans="1:49" s="235" customFormat="1" ht="12.75" hidden="1" customHeight="1" x14ac:dyDescent="0.2">
      <c r="A236" s="235" t="s">
        <v>72</v>
      </c>
      <c r="B236" s="235">
        <f>IF(B194=3,SUMIF(B201:B205,"&gt;0"),0)</f>
        <v>0</v>
      </c>
      <c r="D236" s="240">
        <f>IF(D194=3,SUMIF(D201:D205,"&gt;0"),0)</f>
        <v>0</v>
      </c>
      <c r="E236" s="235">
        <f>IF(E194=3,SUMIF(E201:E205,"&gt;0"),0)</f>
        <v>0</v>
      </c>
      <c r="G236" s="240">
        <f>IF(G194=3,SUMIF(G201:G205,"&gt;0"),0)</f>
        <v>0</v>
      </c>
      <c r="H236" s="235">
        <f>IF(H194=3,SUMIF(H201:H205,"&gt;0"),0)</f>
        <v>0</v>
      </c>
      <c r="J236" s="240">
        <f>IF(J194=3,SUMIF(J201:J205,"&gt;0"),0)</f>
        <v>0</v>
      </c>
      <c r="K236" s="235">
        <f>IF(K194=3,SUMIF(K201:K205,"&gt;0"),0)</f>
        <v>0</v>
      </c>
      <c r="M236" s="240">
        <f>IF(M194=3,SUMIF(M201:M205,"&gt;0"),0)</f>
        <v>0</v>
      </c>
      <c r="N236" s="235">
        <f>IF(N194=3,SUMIF(N201:N205,"&gt;0"),0)</f>
        <v>2</v>
      </c>
      <c r="P236" s="240">
        <f>IF(P194=3,SUMIF(P201:P205,"&gt;0"),0)</f>
        <v>0</v>
      </c>
      <c r="Q236" s="235">
        <f>IF(Q194=3,SUMIF(Q201:Q205,"&gt;0"),0)</f>
        <v>0</v>
      </c>
      <c r="S236" s="240">
        <f>IF(S194=3,SUMIF(S201:S205,"&gt;0"),0)</f>
        <v>0</v>
      </c>
      <c r="T236" s="235">
        <f>IF(T194=3,SUMIF(T201:T205,"&gt;0"),0)</f>
        <v>0</v>
      </c>
      <c r="V236" s="240">
        <f>IF(V194=3,SUMIF(V201:V205,"&gt;0"),0)</f>
        <v>0</v>
      </c>
      <c r="W236" s="235">
        <f>IF(W194=3,SUMIF(W201:W205,"&gt;0"),0)</f>
        <v>0</v>
      </c>
      <c r="Y236" s="240">
        <f>IF(Y194=3,SUMIF(Y201:Y205,"&gt;0"),0)</f>
        <v>0</v>
      </c>
      <c r="Z236" s="235">
        <f>IF(Z194=3,SUMIF(Z201:Z205,"&gt;0"),0)</f>
        <v>0</v>
      </c>
      <c r="AB236" s="240">
        <f>IF(AB194=3,SUMIF(AB201:AB205,"&gt;0"),0)</f>
        <v>0</v>
      </c>
      <c r="AC236" s="235">
        <f>IF(AC194=3,SUMIF(AC201:AC205,"&gt;0"),0)</f>
        <v>0</v>
      </c>
      <c r="AE236" s="240">
        <f>IF(AE194=3,SUMIF(AE201:AE205,"&gt;0"),0)</f>
        <v>0</v>
      </c>
      <c r="AF236" s="235">
        <f>SUM(B236:AE236)</f>
        <v>2</v>
      </c>
      <c r="AG236" s="235">
        <f>AF244-AF236</f>
        <v>4</v>
      </c>
      <c r="AW236" s="238"/>
    </row>
    <row r="237" spans="1:49" s="235" customFormat="1" ht="12.75" hidden="1" customHeight="1" x14ac:dyDescent="0.2">
      <c r="A237" s="235" t="s">
        <v>73</v>
      </c>
      <c r="B237" s="235">
        <f>IF(B194=4,SUMIF(B201:B205,"&gt;0"),0)</f>
        <v>0</v>
      </c>
      <c r="D237" s="240">
        <f>IF(D194=4,SUMIF(D201:D205,"&gt;0"),0)</f>
        <v>0</v>
      </c>
      <c r="E237" s="235">
        <f>IF(E194=4,SUMIF(E201:E205,"&gt;0"),0)</f>
        <v>0</v>
      </c>
      <c r="G237" s="240">
        <f>IF(G194=4,SUMIF(G201:G205,"&gt;0"),0)</f>
        <v>0</v>
      </c>
      <c r="H237" s="235">
        <f>IF(H194=4,SUMIF(H201:H205,"&gt;0"),0)</f>
        <v>0</v>
      </c>
      <c r="J237" s="240">
        <f>IF(J194=4,SUMIF(J201:J205,"&gt;0"),0)</f>
        <v>0</v>
      </c>
      <c r="K237" s="235">
        <f>IF(K194=4,SUMIF(K201:K205,"&gt;0"),0)</f>
        <v>0</v>
      </c>
      <c r="M237" s="240">
        <f>IF(M194=4,SUMIF(M201:M205,"&gt;0"),0)</f>
        <v>0</v>
      </c>
      <c r="N237" s="235">
        <f>IF(N194=4,SUMIF(N201:N205,"&gt;0"),0)</f>
        <v>0</v>
      </c>
      <c r="P237" s="240">
        <f>IF(P194=4,SUMIF(P201:P205,"&gt;0"),0)</f>
        <v>0</v>
      </c>
      <c r="Q237" s="235">
        <f>IF(Q194=4,SUMIF(Q201:Q205,"&gt;0"),0)</f>
        <v>0</v>
      </c>
      <c r="S237" s="240">
        <f>IF(S194=4,SUMIF(S201:S205,"&gt;0"),0)</f>
        <v>0</v>
      </c>
      <c r="T237" s="235">
        <f>IF(T194=4,SUMIF(T201:T205,"&gt;0"),0)</f>
        <v>0</v>
      </c>
      <c r="V237" s="240">
        <f>IF(V194=4,SUMIF(V201:V205,"&gt;0"),0)</f>
        <v>0</v>
      </c>
      <c r="W237" s="235">
        <f>IF(W194=4,SUMIF(W201:W205,"&gt;0"),0)</f>
        <v>0</v>
      </c>
      <c r="Y237" s="240">
        <f>IF(Y194=4,SUMIF(Y201:Y205,"&gt;0"),0)</f>
        <v>0</v>
      </c>
      <c r="Z237" s="235">
        <f>IF(Z194=4,SUMIF(Z201:Z205,"&gt;0"),0)</f>
        <v>0</v>
      </c>
      <c r="AB237" s="240">
        <f>IF(AB194=4,SUMIF(AB201:AB205,"&gt;0"),0)</f>
        <v>0</v>
      </c>
      <c r="AC237" s="235">
        <f>IF(AC194=4,SUMIF(AC201:AC205,"&gt;0"),0)</f>
        <v>0</v>
      </c>
      <c r="AE237" s="240">
        <f>IF(AE194=4,SUMIF(AE201:AE205,"&gt;0"),0)</f>
        <v>0</v>
      </c>
      <c r="AF237" s="235">
        <f>SUM(B237:AE237)</f>
        <v>0</v>
      </c>
      <c r="AG237" s="235">
        <f>AF245-AF237</f>
        <v>6</v>
      </c>
      <c r="AW237" s="238"/>
    </row>
    <row r="238" spans="1:49" s="235" customFormat="1" ht="12.75" hidden="1" customHeight="1" x14ac:dyDescent="0.2">
      <c r="A238" s="235" t="s">
        <v>74</v>
      </c>
      <c r="B238" s="235">
        <f>IF(B194=5,SUMIF(B201:B205,"&gt;0"),0)</f>
        <v>0</v>
      </c>
      <c r="D238" s="240">
        <f>IF(D194=5,SUMIF(D201:D205,"&gt;0"),0)</f>
        <v>0</v>
      </c>
      <c r="E238" s="235">
        <f>IF(E194=5,SUMIF(E201:E205,"&gt;0"),0)</f>
        <v>0</v>
      </c>
      <c r="G238" s="240">
        <f>IF(G194=5,SUMIF(G201:G205,"&gt;0"),0)</f>
        <v>0</v>
      </c>
      <c r="H238" s="235">
        <f>IF(H194=5,SUMIF(H201:H205,"&gt;0"),0)</f>
        <v>0</v>
      </c>
      <c r="J238" s="240">
        <f>IF(J194=5,SUMIF(J201:J205,"&gt;0"),0)</f>
        <v>0</v>
      </c>
      <c r="K238" s="235">
        <f>IF(K194=5,SUMIF(K201:K205,"&gt;0"),0)</f>
        <v>0</v>
      </c>
      <c r="M238" s="240">
        <f>IF(M194=5,SUMIF(M201:M205,"&gt;0"),0)</f>
        <v>0</v>
      </c>
      <c r="N238" s="235">
        <f>IF(N194=5,SUMIF(N201:N205,"&gt;0"),0)</f>
        <v>0</v>
      </c>
      <c r="P238" s="240">
        <f>IF(P194=5,SUMIF(P201:P205,"&gt;0"),0)</f>
        <v>0</v>
      </c>
      <c r="Q238" s="235">
        <f>IF(Q194=5,SUMIF(Q201:Q205,"&gt;0"),0)</f>
        <v>0</v>
      </c>
      <c r="S238" s="240">
        <f>IF(S194=5,SUMIF(S201:S205,"&gt;0"),0)</f>
        <v>0</v>
      </c>
      <c r="T238" s="235">
        <f>IF(T194=5,SUMIF(T201:T205,"&gt;0"),0)</f>
        <v>0</v>
      </c>
      <c r="V238" s="240">
        <f>IF(V194=5,SUMIF(V201:V205,"&gt;0"),0)</f>
        <v>0</v>
      </c>
      <c r="W238" s="235">
        <f>IF(W194=5,SUMIF(W201:W205,"&gt;0"),0)</f>
        <v>0</v>
      </c>
      <c r="Y238" s="240">
        <f>IF(Y194=5,SUMIF(Y201:Y205,"&gt;0"),0)</f>
        <v>0</v>
      </c>
      <c r="Z238" s="235">
        <f>IF(Z194=5,SUMIF(Z201:Z205,"&gt;0"),0)</f>
        <v>0</v>
      </c>
      <c r="AB238" s="240">
        <f>IF(AB194=5,SUMIF(AB201:AB205,"&gt;0"),0)</f>
        <v>0</v>
      </c>
      <c r="AC238" s="235">
        <f>IF(AC194=5,SUMIF(AC201:AC205,"&gt;0"),0)</f>
        <v>0</v>
      </c>
      <c r="AE238" s="240">
        <f>IF(AE194=5,SUMIF(AE201:AE205,"&gt;0"),0)</f>
        <v>0</v>
      </c>
      <c r="AF238" s="235">
        <f>SUM(B238:AE238)</f>
        <v>0</v>
      </c>
      <c r="AG238" s="235">
        <f>AF246-AF238</f>
        <v>0</v>
      </c>
      <c r="AW238" s="238"/>
    </row>
    <row r="239" spans="1:49" s="235" customFormat="1" ht="12.75" hidden="1" customHeight="1" x14ac:dyDescent="0.2">
      <c r="D239" s="240"/>
      <c r="G239" s="240"/>
      <c r="J239" s="240"/>
      <c r="M239" s="240"/>
      <c r="P239" s="240"/>
      <c r="S239" s="240"/>
      <c r="V239" s="240"/>
      <c r="Y239" s="240"/>
      <c r="AB239" s="240"/>
      <c r="AE239" s="240"/>
      <c r="AW239" s="238"/>
    </row>
    <row r="240" spans="1:49" s="235" customFormat="1" ht="12.75" hidden="1" customHeight="1" x14ac:dyDescent="0.2">
      <c r="D240" s="240"/>
      <c r="G240" s="240"/>
      <c r="J240" s="240"/>
      <c r="M240" s="240"/>
      <c r="P240" s="240"/>
      <c r="S240" s="240"/>
      <c r="V240" s="240"/>
      <c r="Y240" s="240"/>
      <c r="AB240" s="240"/>
      <c r="AE240" s="240"/>
      <c r="AW240" s="238"/>
    </row>
    <row r="241" spans="1:54" s="235" customFormat="1" ht="51" hidden="1" customHeight="1" x14ac:dyDescent="0.2">
      <c r="A241" s="239" t="s">
        <v>85</v>
      </c>
      <c r="C241" s="235">
        <f>SUMIF(B234:D238,"&gt;0")</f>
        <v>2</v>
      </c>
      <c r="D241" s="240"/>
      <c r="F241" s="235">
        <f>SUMIF(E234:G238,"&gt;0")</f>
        <v>2</v>
      </c>
      <c r="G241" s="240"/>
      <c r="I241" s="235">
        <f>SUMIF(H234:J238,"&gt;0")</f>
        <v>2</v>
      </c>
      <c r="J241" s="240"/>
      <c r="L241" s="235">
        <f>SUMIF(K234:M238,"&gt;0")</f>
        <v>2</v>
      </c>
      <c r="M241" s="240"/>
      <c r="O241" s="235">
        <f>SUMIF(N234:P238,"&gt;0")</f>
        <v>2</v>
      </c>
      <c r="P241" s="240"/>
      <c r="R241" s="235">
        <f>SUMIF(Q234:S238,"&gt;0")</f>
        <v>2</v>
      </c>
      <c r="S241" s="240"/>
      <c r="U241" s="235">
        <f>SUMIF(T234:V238,"&gt;0")</f>
        <v>0</v>
      </c>
      <c r="V241" s="240"/>
      <c r="X241" s="235">
        <f>SUMIF(W234:Y238,"&gt;0")</f>
        <v>0</v>
      </c>
      <c r="Y241" s="240"/>
      <c r="AA241" s="235">
        <f>SUMIF(Z234:AB238,"&gt;0")</f>
        <v>0</v>
      </c>
      <c r="AB241" s="240"/>
      <c r="AD241" s="235">
        <f>SUMIF(AC234:AE238,"&gt;0")</f>
        <v>0</v>
      </c>
      <c r="AE241" s="240"/>
      <c r="AF241" s="239" t="s">
        <v>86</v>
      </c>
      <c r="AW241" s="238"/>
    </row>
    <row r="242" spans="1:54" s="235" customFormat="1" ht="12.75" hidden="1" customHeight="1" x14ac:dyDescent="0.2">
      <c r="A242" s="235" t="s">
        <v>76</v>
      </c>
      <c r="B242" s="235">
        <f>IF(B194=1,C241,0)</f>
        <v>0</v>
      </c>
      <c r="D242" s="240">
        <f>IF(D194=1,C241,0)</f>
        <v>0</v>
      </c>
      <c r="E242" s="235">
        <f>IF(E194=1,F241,0)</f>
        <v>2</v>
      </c>
      <c r="G242" s="240">
        <f>IF(G194=1,F241,0)</f>
        <v>0</v>
      </c>
      <c r="H242" s="235">
        <f>IF(H194=1,I241,0)</f>
        <v>0</v>
      </c>
      <c r="J242" s="240">
        <f>IF(J194=1,I241,0)</f>
        <v>0</v>
      </c>
      <c r="K242" s="235">
        <f>IF(K194=1,L241,0)</f>
        <v>2</v>
      </c>
      <c r="M242" s="240">
        <f>IF(M194=1,L241,0)</f>
        <v>0</v>
      </c>
      <c r="N242" s="235">
        <f>IF(N194=1,O241,0)</f>
        <v>0</v>
      </c>
      <c r="P242" s="240">
        <f>IF(P194=1,O241,0)</f>
        <v>0</v>
      </c>
      <c r="Q242" s="235">
        <f>IF(Q194=1,R241,0)</f>
        <v>2</v>
      </c>
      <c r="S242" s="240">
        <f>IF(S194=1,R241,0)</f>
        <v>0</v>
      </c>
      <c r="T242" s="235">
        <f>IF(T194=1,U241,0)</f>
        <v>0</v>
      </c>
      <c r="V242" s="240">
        <f>IF(V194=1,U241,0)</f>
        <v>0</v>
      </c>
      <c r="W242" s="235">
        <f>IF(W194=1,X241,0)</f>
        <v>0</v>
      </c>
      <c r="Y242" s="240">
        <f>IF(Y194=1,X241,0)</f>
        <v>0</v>
      </c>
      <c r="Z242" s="235">
        <f>IF(Z194=1,AA241,0)</f>
        <v>0</v>
      </c>
      <c r="AB242" s="240">
        <f>IF(AB194=1,AA241,0)</f>
        <v>0</v>
      </c>
      <c r="AC242" s="235">
        <f>IF(AC194=1,AD241,0)</f>
        <v>0</v>
      </c>
      <c r="AE242" s="240">
        <f>IF(AE194=1,AD241,0)</f>
        <v>0</v>
      </c>
      <c r="AF242" s="235">
        <f>SUM(B242:AE242)</f>
        <v>6</v>
      </c>
      <c r="AW242" s="238"/>
    </row>
    <row r="243" spans="1:54" s="235" customFormat="1" ht="12.75" hidden="1" customHeight="1" x14ac:dyDescent="0.2">
      <c r="A243" s="235" t="s">
        <v>77</v>
      </c>
      <c r="B243" s="235">
        <f>IF(B194=2,C241,0)</f>
        <v>2</v>
      </c>
      <c r="D243" s="240">
        <f>IF(D194=2,C241,0)</f>
        <v>0</v>
      </c>
      <c r="E243" s="235">
        <f>IF(E194=2,F241,0)</f>
        <v>0</v>
      </c>
      <c r="G243" s="240">
        <f>IF(G194=2,F241,0)</f>
        <v>0</v>
      </c>
      <c r="H243" s="235">
        <f>IF(H194=2,I241,0)</f>
        <v>2</v>
      </c>
      <c r="J243" s="240">
        <f>IF(J194=2,I241,0)</f>
        <v>0</v>
      </c>
      <c r="K243" s="235">
        <f>IF(K194=2,L241,0)</f>
        <v>0</v>
      </c>
      <c r="M243" s="240">
        <f>IF(M194=2,L241,0)</f>
        <v>0</v>
      </c>
      <c r="N243" s="235">
        <f>IF(N194=2,O241,0)</f>
        <v>0</v>
      </c>
      <c r="P243" s="240">
        <f>IF(P194=2,O241,0)</f>
        <v>0</v>
      </c>
      <c r="Q243" s="235">
        <f>IF(Q194=2,R241,0)</f>
        <v>0</v>
      </c>
      <c r="S243" s="240">
        <f>IF(S194=2,R241,0)</f>
        <v>2</v>
      </c>
      <c r="T243" s="235">
        <f>IF(T194=2,U241,0)</f>
        <v>0</v>
      </c>
      <c r="V243" s="240">
        <f>IF(V194=2,U241,0)</f>
        <v>0</v>
      </c>
      <c r="W243" s="235">
        <f>IF(W194=2,X241,0)</f>
        <v>0</v>
      </c>
      <c r="Y243" s="240">
        <f>IF(Y194=2,X241,0)</f>
        <v>0</v>
      </c>
      <c r="Z243" s="235">
        <f>IF(Z194=2,AA241,0)</f>
        <v>0</v>
      </c>
      <c r="AB243" s="240">
        <f>IF(AB194=2,AA241,0)</f>
        <v>0</v>
      </c>
      <c r="AC243" s="235">
        <f>IF(AC194=2,AD241,0)</f>
        <v>0</v>
      </c>
      <c r="AE243" s="240">
        <f>IF(AE194=2,AD241,0)</f>
        <v>0</v>
      </c>
      <c r="AF243" s="235">
        <f>SUM(B243:AE243)</f>
        <v>6</v>
      </c>
      <c r="AW243" s="238"/>
    </row>
    <row r="244" spans="1:54" s="235" customFormat="1" ht="12.75" hidden="1" customHeight="1" x14ac:dyDescent="0.2">
      <c r="A244" s="235" t="s">
        <v>78</v>
      </c>
      <c r="B244" s="235">
        <f>IF(B194=3,C241,0)</f>
        <v>0</v>
      </c>
      <c r="D244" s="240">
        <f>IF(D194=3,C241,0)</f>
        <v>2</v>
      </c>
      <c r="E244" s="235">
        <f>IF(E194=3,F241,0)</f>
        <v>0</v>
      </c>
      <c r="G244" s="240">
        <f>IF(G194=3,F241,0)</f>
        <v>0</v>
      </c>
      <c r="H244" s="235">
        <f>IF(H194=3,I241,0)</f>
        <v>0</v>
      </c>
      <c r="J244" s="240">
        <f>IF(J194=3,I241,0)</f>
        <v>0</v>
      </c>
      <c r="K244" s="235">
        <f>IF(K194=3,L241,0)</f>
        <v>0</v>
      </c>
      <c r="M244" s="240">
        <f>IF(M194=3,L241,0)</f>
        <v>2</v>
      </c>
      <c r="N244" s="235">
        <f>IF(N194=3,O241,0)</f>
        <v>2</v>
      </c>
      <c r="P244" s="240">
        <f>IF(P194=3,O241,0)</f>
        <v>0</v>
      </c>
      <c r="Q244" s="235">
        <f>IF(Q194=3,R241,0)</f>
        <v>0</v>
      </c>
      <c r="S244" s="240">
        <f>IF(S194=3,R241,0)</f>
        <v>0</v>
      </c>
      <c r="T244" s="235">
        <f>IF(T194=3,U241,0)</f>
        <v>0</v>
      </c>
      <c r="V244" s="240">
        <f>IF(V194=3,U241,0)</f>
        <v>0</v>
      </c>
      <c r="W244" s="235">
        <f>IF(W194=3,X241,0)</f>
        <v>0</v>
      </c>
      <c r="Y244" s="240">
        <f>IF(Y194=3,X241,0)</f>
        <v>0</v>
      </c>
      <c r="Z244" s="235">
        <f>IF(Z194=3,AA241,0)</f>
        <v>0</v>
      </c>
      <c r="AB244" s="240">
        <f>IF(AB194=3,AA241,0)</f>
        <v>0</v>
      </c>
      <c r="AC244" s="235">
        <f>IF(AC194=3,AD241,0)</f>
        <v>0</v>
      </c>
      <c r="AE244" s="240">
        <f>IF(AE194=3,AD241,0)</f>
        <v>0</v>
      </c>
      <c r="AF244" s="235">
        <f>SUM(B244:AE244)</f>
        <v>6</v>
      </c>
      <c r="AW244" s="238"/>
    </row>
    <row r="245" spans="1:54" s="235" customFormat="1" ht="12.75" hidden="1" customHeight="1" x14ac:dyDescent="0.2">
      <c r="A245" s="235" t="s">
        <v>79</v>
      </c>
      <c r="B245" s="235">
        <f>IF(B194=4,C241,0)</f>
        <v>0</v>
      </c>
      <c r="D245" s="240">
        <f>IF(D194=4,C241,0)</f>
        <v>0</v>
      </c>
      <c r="E245" s="235">
        <f>IF(E194=4,F241,0)</f>
        <v>0</v>
      </c>
      <c r="G245" s="240">
        <f>IF(G194=4,F241,0)</f>
        <v>2</v>
      </c>
      <c r="H245" s="235">
        <f>IF(H194=4,I241,0)</f>
        <v>0</v>
      </c>
      <c r="J245" s="240">
        <f>IF(J194=4,I241,0)</f>
        <v>2</v>
      </c>
      <c r="K245" s="235">
        <f>IF(K194=4,L241,0)</f>
        <v>0</v>
      </c>
      <c r="M245" s="240">
        <f>IF(M194=4,L241,0)</f>
        <v>0</v>
      </c>
      <c r="N245" s="235">
        <f>IF(N194=4,O241,0)</f>
        <v>0</v>
      </c>
      <c r="P245" s="240">
        <f>IF(P194=4,O241,0)</f>
        <v>2</v>
      </c>
      <c r="Q245" s="235">
        <f>IF(Q194=4,R241,0)</f>
        <v>0</v>
      </c>
      <c r="S245" s="240">
        <f>IF(S194=4,R241,0)</f>
        <v>0</v>
      </c>
      <c r="T245" s="235">
        <f>IF(T194=4,U241,0)</f>
        <v>0</v>
      </c>
      <c r="V245" s="240">
        <f>IF(V194=4,U241,0)</f>
        <v>0</v>
      </c>
      <c r="W245" s="235">
        <f>IF(W194=4,X241,0)</f>
        <v>0</v>
      </c>
      <c r="Y245" s="240">
        <f>IF(Y194=4,X241,0)</f>
        <v>0</v>
      </c>
      <c r="Z245" s="235">
        <f>IF(Z194=4,AA241,0)</f>
        <v>0</v>
      </c>
      <c r="AB245" s="240">
        <f>IF(AB194=4,AA241,0)</f>
        <v>0</v>
      </c>
      <c r="AC245" s="235">
        <f>IF(AC194=4,AD241,0)</f>
        <v>0</v>
      </c>
      <c r="AE245" s="240">
        <f>IF(AE194=4,AD241,0)</f>
        <v>0</v>
      </c>
      <c r="AF245" s="235">
        <f>SUM(B245:AE245)</f>
        <v>6</v>
      </c>
      <c r="AW245" s="238"/>
    </row>
    <row r="246" spans="1:54" s="235" customFormat="1" ht="12.75" hidden="1" customHeight="1" x14ac:dyDescent="0.2">
      <c r="A246" s="235" t="s">
        <v>80</v>
      </c>
      <c r="B246" s="235">
        <f>IF(B194=5,C241,0)</f>
        <v>0</v>
      </c>
      <c r="D246" s="240">
        <f>IF(D194=5,C241,0)</f>
        <v>0</v>
      </c>
      <c r="E246" s="235">
        <f>IF(E194=5,F241,0)</f>
        <v>0</v>
      </c>
      <c r="G246" s="240">
        <f>IF(G194=5,F241,0)</f>
        <v>0</v>
      </c>
      <c r="H246" s="235">
        <f>IF(H194=5,I241,0)</f>
        <v>0</v>
      </c>
      <c r="J246" s="240">
        <f>IF(J194=5,I241,0)</f>
        <v>0</v>
      </c>
      <c r="K246" s="235">
        <f>IF(K194=5,L241,0)</f>
        <v>0</v>
      </c>
      <c r="M246" s="240">
        <f>IF(M194=5,L241,0)</f>
        <v>0</v>
      </c>
      <c r="N246" s="235">
        <f>IF(N194=5,O241,0)</f>
        <v>0</v>
      </c>
      <c r="P246" s="240">
        <f>IF(P194=5,O241,0)</f>
        <v>0</v>
      </c>
      <c r="Q246" s="235">
        <f>IF(Q194=5,R241,0)</f>
        <v>0</v>
      </c>
      <c r="S246" s="240">
        <f>IF(S194=5,R241,0)</f>
        <v>0</v>
      </c>
      <c r="T246" s="235">
        <f>IF(T194=5,U241,0)</f>
        <v>0</v>
      </c>
      <c r="V246" s="240">
        <f>IF(V194=5,U241,0)</f>
        <v>0</v>
      </c>
      <c r="W246" s="235">
        <f>IF(W194=5,X241,0)</f>
        <v>0</v>
      </c>
      <c r="Y246" s="240">
        <f>IF(Y194=5,X241,0)</f>
        <v>0</v>
      </c>
      <c r="Z246" s="235">
        <f>IF(Z194=5,AA241,0)</f>
        <v>0</v>
      </c>
      <c r="AB246" s="240">
        <f>IF(AB194=5,AA241,0)</f>
        <v>0</v>
      </c>
      <c r="AC246" s="235">
        <f>IF(AC194=5,AD241,0)</f>
        <v>0</v>
      </c>
      <c r="AE246" s="240">
        <f>IF(AE194=5,AD241,0)</f>
        <v>0</v>
      </c>
      <c r="AF246" s="235">
        <f>SUM(B246:AE246)</f>
        <v>0</v>
      </c>
      <c r="AW246" s="238"/>
    </row>
    <row r="247" spans="1:54" hidden="1" x14ac:dyDescent="0.2">
      <c r="A247" s="242"/>
      <c r="B247" s="242"/>
      <c r="C247" s="242"/>
      <c r="D247" s="242"/>
      <c r="E247" s="242"/>
      <c r="F247" s="242"/>
      <c r="G247" s="242"/>
      <c r="H247" s="242"/>
      <c r="I247" s="242"/>
      <c r="J247" s="242"/>
      <c r="K247" s="242"/>
      <c r="L247" s="242"/>
      <c r="M247" s="242"/>
      <c r="N247" s="242"/>
      <c r="O247" s="242"/>
      <c r="P247" s="242"/>
      <c r="Q247" s="242"/>
      <c r="R247" s="242"/>
      <c r="S247" s="242"/>
      <c r="T247" s="242"/>
      <c r="U247" s="242"/>
      <c r="V247" s="242"/>
      <c r="W247" s="242"/>
      <c r="X247" s="242"/>
      <c r="Y247" s="242"/>
      <c r="Z247" s="242"/>
      <c r="AA247" s="242"/>
      <c r="AB247" s="242"/>
      <c r="AC247" s="242"/>
      <c r="AD247" s="242"/>
      <c r="AE247" s="242"/>
      <c r="AF247" s="242"/>
      <c r="AG247" s="242"/>
      <c r="AH247" s="242"/>
      <c r="AI247" s="242"/>
      <c r="AJ247" s="242"/>
      <c r="AK247" s="242"/>
      <c r="AL247" s="242"/>
      <c r="AM247" s="242"/>
      <c r="AN247" s="243"/>
      <c r="AO247" s="243"/>
      <c r="AP247" s="243"/>
      <c r="AQ247" s="243"/>
      <c r="AR247" s="241"/>
      <c r="AS247" s="241"/>
      <c r="AT247" s="241"/>
      <c r="AU247" s="241"/>
      <c r="AV247" s="241"/>
      <c r="BB247" s="234"/>
    </row>
    <row r="248" spans="1:54" s="241" customFormat="1" hidden="1" x14ac:dyDescent="0.2">
      <c r="A248" s="244"/>
      <c r="B248" s="244"/>
      <c r="C248" s="244" t="s">
        <v>87</v>
      </c>
      <c r="D248" s="244">
        <v>1</v>
      </c>
      <c r="E248" s="244"/>
      <c r="F248" s="244"/>
      <c r="G248" s="244">
        <v>2</v>
      </c>
      <c r="H248" s="244"/>
      <c r="I248" s="244"/>
      <c r="J248" s="244">
        <v>3</v>
      </c>
      <c r="K248" s="244"/>
      <c r="L248" s="244"/>
      <c r="M248" s="244">
        <v>4</v>
      </c>
      <c r="N248" s="244"/>
      <c r="O248" s="244"/>
      <c r="P248" s="244">
        <v>5</v>
      </c>
      <c r="Q248" s="244"/>
      <c r="R248" s="244"/>
      <c r="S248" s="244">
        <v>6</v>
      </c>
      <c r="T248" s="244"/>
      <c r="U248" s="244"/>
      <c r="V248" s="244">
        <v>7</v>
      </c>
      <c r="W248" s="244"/>
      <c r="X248" s="244"/>
      <c r="Y248" s="244">
        <v>8</v>
      </c>
      <c r="Z248" s="244"/>
      <c r="AA248" s="244"/>
      <c r="AB248" s="244">
        <v>9</v>
      </c>
      <c r="AC248" s="244"/>
      <c r="AD248" s="244"/>
      <c r="AE248" s="244">
        <v>10</v>
      </c>
      <c r="AF248" s="188"/>
      <c r="AG248" s="244"/>
      <c r="AI248" s="245"/>
      <c r="AJ248" s="188"/>
      <c r="AK248" s="188"/>
      <c r="AL248" s="188"/>
      <c r="AM248" s="188"/>
      <c r="AN248" s="188"/>
      <c r="AO248" s="188"/>
      <c r="AT248" s="245" t="s">
        <v>88</v>
      </c>
      <c r="AW248" s="246"/>
      <c r="BB248" s="246"/>
    </row>
    <row r="249" spans="1:54" s="241" customFormat="1" hidden="1" x14ac:dyDescent="0.2">
      <c r="A249" s="247">
        <v>1</v>
      </c>
      <c r="B249" s="247" t="str">
        <f>E178</f>
        <v>Lake Murray 14 Black</v>
      </c>
      <c r="C249" s="247">
        <f>VLOOKUP(B249,AU$3:BB$33,3,FALSE)</f>
        <v>1838.133719846739</v>
      </c>
      <c r="D249" s="247">
        <f>IF(B242,B257,IF(D242,D257,C249))</f>
        <v>1838.133719846739</v>
      </c>
      <c r="E249" s="247"/>
      <c r="F249" s="247"/>
      <c r="G249" s="247">
        <f>IF(E242,E257,IF(G242,G257,D249))</f>
        <v>1859.3366692921529</v>
      </c>
      <c r="H249" s="247"/>
      <c r="I249" s="247"/>
      <c r="J249" s="247">
        <f>IF(H242,H257,IF(J242,J257,G249))</f>
        <v>1859.3366692921529</v>
      </c>
      <c r="K249" s="247"/>
      <c r="L249" s="247"/>
      <c r="M249" s="247">
        <f>IF(K242,K257,IF(M242,M257,J249))</f>
        <v>1879.057956038677</v>
      </c>
      <c r="N249" s="247"/>
      <c r="O249" s="247"/>
      <c r="P249" s="247">
        <f>IF(N242,N257,IF(P242,P257,M249))</f>
        <v>1879.057956038677</v>
      </c>
      <c r="Q249" s="247"/>
      <c r="R249" s="247"/>
      <c r="S249" s="247">
        <f>IF(Q242,Q257,IF(S242,S257,P249))</f>
        <v>1911.7845303285756</v>
      </c>
      <c r="T249" s="247"/>
      <c r="U249" s="247"/>
      <c r="V249" s="247">
        <f>IF(T242,T257,IF(V242,V257,S249))</f>
        <v>1911.7845303285756</v>
      </c>
      <c r="W249" s="247"/>
      <c r="X249" s="247"/>
      <c r="Y249" s="247">
        <f>IF(W242,W257,IF(Y242,Y257,V249))</f>
        <v>1911.7845303285756</v>
      </c>
      <c r="Z249" s="247"/>
      <c r="AA249" s="247"/>
      <c r="AB249" s="247">
        <f>IF(Z242,Z257,IF(AB242,AB257,Y249))</f>
        <v>1911.7845303285756</v>
      </c>
      <c r="AC249" s="247"/>
      <c r="AD249" s="247"/>
      <c r="AE249" s="247">
        <f>IF(AC242,AC257,IF(AE242,AE257,AB249))</f>
        <v>1911.7845303285756</v>
      </c>
      <c r="AF249" s="188"/>
      <c r="AG249" s="188"/>
      <c r="AJ249" s="188"/>
      <c r="AK249" s="188"/>
      <c r="AL249" s="188"/>
      <c r="AM249" s="188"/>
      <c r="AN249" s="188"/>
      <c r="AO249" s="188"/>
      <c r="AT249" s="241" t="str">
        <f>B249</f>
        <v>Lake Murray 14 Black</v>
      </c>
      <c r="AU249" s="241">
        <f>AE249</f>
        <v>1911.7845303285756</v>
      </c>
      <c r="AW249" s="246"/>
      <c r="BB249" s="246"/>
    </row>
    <row r="250" spans="1:54" s="241" customFormat="1" hidden="1" x14ac:dyDescent="0.2">
      <c r="A250" s="247">
        <v>2</v>
      </c>
      <c r="B250" s="247" t="str">
        <f>E180</f>
        <v>Extreme 14-2</v>
      </c>
      <c r="C250" s="247">
        <f>VLOOKUP(B250,AU$3:BB$33,3,FALSE)</f>
        <v>1847.2848952463767</v>
      </c>
      <c r="D250" s="247">
        <f>IF(B243,B257,IF(D243,D257,C250))</f>
        <v>1869.8210440071971</v>
      </c>
      <c r="E250" s="247"/>
      <c r="F250" s="247"/>
      <c r="G250" s="247">
        <f>IF(E243,E257,IF(G243,G257,D250))</f>
        <v>1869.8210440071971</v>
      </c>
      <c r="H250" s="247"/>
      <c r="I250" s="247"/>
      <c r="J250" s="247">
        <f>IF(H243,H257,IF(J243,J257,G250))</f>
        <v>1886.9479922143453</v>
      </c>
      <c r="K250" s="247"/>
      <c r="L250" s="247"/>
      <c r="M250" s="247">
        <f>IF(K243,K257,IF(M243,M257,J250))</f>
        <v>1886.9479922143453</v>
      </c>
      <c r="N250" s="247"/>
      <c r="O250" s="247"/>
      <c r="P250" s="247">
        <f>IF(N243,N257,IF(P243,P257,M250))</f>
        <v>1886.9479922143453</v>
      </c>
      <c r="Q250" s="247"/>
      <c r="R250" s="247"/>
      <c r="S250" s="247">
        <f>IF(Q243,Q257,IF(S243,S257,P250))</f>
        <v>1854.2214179244468</v>
      </c>
      <c r="T250" s="247"/>
      <c r="U250" s="247"/>
      <c r="V250" s="247">
        <f>IF(T243,T257,IF(V243,V257,S250))</f>
        <v>1854.2214179244468</v>
      </c>
      <c r="W250" s="247"/>
      <c r="X250" s="247"/>
      <c r="Y250" s="247">
        <f>IF(W243,W257,IF(Y243,Y257,V250))</f>
        <v>1854.2214179244468</v>
      </c>
      <c r="Z250" s="247"/>
      <c r="AA250" s="247"/>
      <c r="AB250" s="247">
        <f>IF(Z243,Z257,IF(AB243,AB257,Y250))</f>
        <v>1854.2214179244468</v>
      </c>
      <c r="AC250" s="247"/>
      <c r="AD250" s="247"/>
      <c r="AE250" s="247">
        <f>IF(AC243,AC257,IF(AE243,AE257,AB250))</f>
        <v>1854.2214179244468</v>
      </c>
      <c r="AF250" s="188"/>
      <c r="AG250" s="188"/>
      <c r="AJ250" s="188"/>
      <c r="AL250" s="188"/>
      <c r="AM250" s="188"/>
      <c r="AN250" s="188"/>
      <c r="AO250" s="188"/>
      <c r="AT250" s="241" t="str">
        <f>B250</f>
        <v>Extreme 14-2</v>
      </c>
      <c r="AU250" s="241">
        <f>AE250</f>
        <v>1854.2214179244468</v>
      </c>
      <c r="AW250" s="246"/>
      <c r="BB250" s="246"/>
    </row>
    <row r="251" spans="1:54" s="241" customFormat="1" hidden="1" x14ac:dyDescent="0.2">
      <c r="A251" s="247">
        <v>3</v>
      </c>
      <c r="B251" s="247" t="str">
        <f>E182</f>
        <v>Palm Strikers 14 Select</v>
      </c>
      <c r="C251" s="247">
        <f>VLOOKUP(B251,AU$3:BB$33,3,FALSE)</f>
        <v>1741.3689204677482</v>
      </c>
      <c r="D251" s="247">
        <f>IF(B244,B257,IF(D244,D257,C251))</f>
        <v>1718.8327717069278</v>
      </c>
      <c r="E251" s="247"/>
      <c r="F251" s="247"/>
      <c r="G251" s="247">
        <f>IF(E244,E257,IF(G244,G257,D251))</f>
        <v>1718.8327717069278</v>
      </c>
      <c r="H251" s="247"/>
      <c r="I251" s="247"/>
      <c r="J251" s="247">
        <f>IF(H244,H257,IF(J244,J257,G251))</f>
        <v>1718.8327717069278</v>
      </c>
      <c r="K251" s="247"/>
      <c r="L251" s="247"/>
      <c r="M251" s="247">
        <f>IF(K244,K257,IF(M244,M257,J251))</f>
        <v>1699.1114849604037</v>
      </c>
      <c r="N251" s="247"/>
      <c r="O251" s="247"/>
      <c r="P251" s="247">
        <f>IF(N244,N257,IF(P244,P257,M251))</f>
        <v>1729.1507888646631</v>
      </c>
      <c r="Q251" s="247"/>
      <c r="R251" s="247"/>
      <c r="S251" s="247">
        <f>IF(Q244,Q257,IF(S244,S257,P251))</f>
        <v>1729.1507888646631</v>
      </c>
      <c r="T251" s="247"/>
      <c r="U251" s="247"/>
      <c r="V251" s="247">
        <f>IF(T244,T257,IF(V244,V257,S251))</f>
        <v>1729.1507888646631</v>
      </c>
      <c r="W251" s="247"/>
      <c r="X251" s="247"/>
      <c r="Y251" s="247">
        <f>IF(W244,W257,IF(Y244,Y257,V251))</f>
        <v>1729.1507888646631</v>
      </c>
      <c r="Z251" s="247"/>
      <c r="AA251" s="247"/>
      <c r="AB251" s="247">
        <f>IF(Z244,Z257,IF(AB244,AB257,Y251))</f>
        <v>1729.1507888646631</v>
      </c>
      <c r="AC251" s="247"/>
      <c r="AD251" s="247"/>
      <c r="AE251" s="247">
        <f>IF(AC244,AC257,IF(AE244,AE257,AB251))</f>
        <v>1729.1507888646631</v>
      </c>
      <c r="AF251" s="188"/>
      <c r="AG251" s="188"/>
      <c r="AJ251" s="188"/>
      <c r="AL251" s="188"/>
      <c r="AM251" s="188"/>
      <c r="AN251" s="188"/>
      <c r="AO251" s="188"/>
      <c r="AT251" s="241" t="str">
        <f>B251</f>
        <v>Palm Strikers 14 Select</v>
      </c>
      <c r="AU251" s="241">
        <f>AE251</f>
        <v>1729.1507888646631</v>
      </c>
      <c r="AW251" s="246"/>
      <c r="BB251" s="246"/>
    </row>
    <row r="252" spans="1:54" s="241" customFormat="1" hidden="1" x14ac:dyDescent="0.2">
      <c r="A252" s="247">
        <v>4</v>
      </c>
      <c r="B252" s="247" t="str">
        <f>E184</f>
        <v>RHVC 14 Club Hunter</v>
      </c>
      <c r="C252" s="247">
        <f>VLOOKUP(B252,AU$3:BB$33,3,FALSE)</f>
        <v>1716.1266950832369</v>
      </c>
      <c r="D252" s="247">
        <f>IF(B245,B257,IF(D245,D257,C252))</f>
        <v>1716.1266950832369</v>
      </c>
      <c r="E252" s="247"/>
      <c r="F252" s="247"/>
      <c r="G252" s="247">
        <f>IF(E245,E257,IF(G245,G257,D252))</f>
        <v>1694.923745637823</v>
      </c>
      <c r="H252" s="247"/>
      <c r="I252" s="247"/>
      <c r="J252" s="247">
        <f>IF(H245,H257,IF(J245,J257,G252))</f>
        <v>1677.7967974306748</v>
      </c>
      <c r="K252" s="247"/>
      <c r="L252" s="247"/>
      <c r="M252" s="247">
        <f>IF(K245,K257,IF(M245,M257,J252))</f>
        <v>1677.7967974306748</v>
      </c>
      <c r="N252" s="247"/>
      <c r="O252" s="247"/>
      <c r="P252" s="247">
        <f>IF(N245,N257,IF(P245,P257,M252))</f>
        <v>1647.7574935264154</v>
      </c>
      <c r="Q252" s="247"/>
      <c r="R252" s="247"/>
      <c r="S252" s="247">
        <f>IF(Q245,Q257,IF(S245,S257,P252))</f>
        <v>1647.7574935264154</v>
      </c>
      <c r="T252" s="247"/>
      <c r="U252" s="247"/>
      <c r="V252" s="247">
        <f>IF(T245,T257,IF(V245,V257,S252))</f>
        <v>1647.7574935264154</v>
      </c>
      <c r="W252" s="247"/>
      <c r="X252" s="247"/>
      <c r="Y252" s="247">
        <f>IF(W245,W257,IF(Y245,Y257,V252))</f>
        <v>1647.7574935264154</v>
      </c>
      <c r="Z252" s="247"/>
      <c r="AA252" s="247"/>
      <c r="AB252" s="247">
        <f>IF(Z245,Z257,IF(AB245,AB257,Y252))</f>
        <v>1647.7574935264154</v>
      </c>
      <c r="AC252" s="247"/>
      <c r="AD252" s="247"/>
      <c r="AE252" s="247">
        <f>IF(AC245,AC257,IF(AE245,AE257,AB252))</f>
        <v>1647.7574935264154</v>
      </c>
      <c r="AF252" s="188"/>
      <c r="AG252" s="188"/>
      <c r="AJ252" s="188"/>
      <c r="AL252" s="188"/>
      <c r="AM252" s="188"/>
      <c r="AN252" s="188"/>
      <c r="AO252" s="188"/>
      <c r="AT252" s="241" t="str">
        <f>B252</f>
        <v>RHVC 14 Club Hunter</v>
      </c>
      <c r="AU252" s="241">
        <f>AE252</f>
        <v>1647.7574935264154</v>
      </c>
      <c r="AW252" s="246"/>
      <c r="BB252" s="246"/>
    </row>
    <row r="253" spans="1:54" s="241" customFormat="1" hidden="1" x14ac:dyDescent="0.2">
      <c r="A253" s="247">
        <v>5</v>
      </c>
      <c r="B253" s="247">
        <f>E186</f>
        <v>0</v>
      </c>
      <c r="C253" s="247" t="e">
        <f>VLOOKUP(B253,AU$3:BB$33,3,FALSE)</f>
        <v>#N/A</v>
      </c>
      <c r="D253" s="247" t="e">
        <f>IF(B246,B257,IF(D246,D257,C253))</f>
        <v>#N/A</v>
      </c>
      <c r="E253" s="247"/>
      <c r="F253" s="247"/>
      <c r="G253" s="247" t="e">
        <f>IF(E246,E257,IF(G246,G257,D253))</f>
        <v>#N/A</v>
      </c>
      <c r="H253" s="247"/>
      <c r="I253" s="247"/>
      <c r="J253" s="247" t="e">
        <f>IF(H246,H257,IF(J246,J257,G253))</f>
        <v>#N/A</v>
      </c>
      <c r="K253" s="247"/>
      <c r="L253" s="247"/>
      <c r="M253" s="247" t="e">
        <f>IF(K246,K257,IF(M246,M257,J253))</f>
        <v>#N/A</v>
      </c>
      <c r="N253" s="247"/>
      <c r="O253" s="247"/>
      <c r="P253" s="247" t="e">
        <f>IF(N246,N257,IF(P246,P257,M253))</f>
        <v>#N/A</v>
      </c>
      <c r="Q253" s="247"/>
      <c r="R253" s="247"/>
      <c r="S253" s="247" t="e">
        <f>IF(Q246,Q257,IF(S246,S257,P253))</f>
        <v>#N/A</v>
      </c>
      <c r="T253" s="247"/>
      <c r="U253" s="247"/>
      <c r="V253" s="247" t="e">
        <f>IF(T246,T257,IF(V246,V257,S253))</f>
        <v>#N/A</v>
      </c>
      <c r="W253" s="247"/>
      <c r="X253" s="247"/>
      <c r="Y253" s="247" t="e">
        <f>IF(W246,W257,IF(Y246,Y257,V253))</f>
        <v>#N/A</v>
      </c>
      <c r="Z253" s="247"/>
      <c r="AA253" s="247"/>
      <c r="AB253" s="247" t="e">
        <f>IF(Z246,Z257,IF(AB246,AB257,Y253))</f>
        <v>#N/A</v>
      </c>
      <c r="AC253" s="247"/>
      <c r="AD253" s="247"/>
      <c r="AE253" s="247" t="e">
        <f>IF(AC246,AC257,IF(AE246,AE257,AB253))</f>
        <v>#N/A</v>
      </c>
      <c r="AF253" s="188"/>
      <c r="AG253" s="188"/>
      <c r="AJ253" s="188"/>
      <c r="AL253" s="188"/>
      <c r="AM253" s="188"/>
      <c r="AN253" s="188"/>
      <c r="AO253" s="188"/>
      <c r="AT253" s="241">
        <f>B253</f>
        <v>0</v>
      </c>
      <c r="AU253" s="241" t="e">
        <f>AE253</f>
        <v>#N/A</v>
      </c>
      <c r="AW253" s="246"/>
      <c r="BB253" s="246"/>
    </row>
    <row r="254" spans="1:54" s="241" customFormat="1" hidden="1" x14ac:dyDescent="0.2">
      <c r="A254" s="247"/>
      <c r="B254" s="247"/>
      <c r="C254" s="247"/>
      <c r="D254" s="247"/>
      <c r="E254" s="247"/>
      <c r="F254" s="247"/>
      <c r="G254" s="247"/>
      <c r="H254" s="247"/>
      <c r="I254" s="247"/>
      <c r="J254" s="247"/>
      <c r="K254" s="247"/>
      <c r="L254" s="247"/>
      <c r="M254" s="247"/>
      <c r="N254" s="247"/>
      <c r="O254" s="247"/>
      <c r="P254" s="247"/>
      <c r="Q254" s="247"/>
      <c r="R254" s="247"/>
      <c r="S254" s="247"/>
      <c r="T254" s="247"/>
      <c r="U254" s="247"/>
      <c r="V254" s="247"/>
      <c r="W254" s="247"/>
      <c r="X254" s="247"/>
      <c r="Y254" s="247"/>
      <c r="Z254" s="247"/>
      <c r="AA254" s="247"/>
      <c r="AB254" s="247"/>
      <c r="AC254" s="247"/>
      <c r="AD254" s="247"/>
      <c r="AE254" s="247"/>
      <c r="AF254" s="188"/>
      <c r="AG254" s="188"/>
      <c r="AJ254" s="188"/>
      <c r="AL254" s="188"/>
      <c r="AM254" s="188"/>
      <c r="AN254" s="188"/>
      <c r="AO254" s="188"/>
      <c r="AW254" s="246"/>
      <c r="BB254" s="246"/>
    </row>
    <row r="255" spans="1:54" s="241" customFormat="1" hidden="1" x14ac:dyDescent="0.2">
      <c r="A255" s="247" t="s">
        <v>89</v>
      </c>
      <c r="B255" s="247">
        <f>VLOOKUP(B194,$A249:$AE253,3,FALSE)</f>
        <v>1847.2848952463767</v>
      </c>
      <c r="C255" s="247">
        <v>1</v>
      </c>
      <c r="D255" s="247">
        <f>VLOOKUP(D194,$A249:$AE253,3,FALSE)</f>
        <v>1741.3689204677482</v>
      </c>
      <c r="E255" s="247">
        <f>VLOOKUP(E194,$A249:$AE253,4,FALSE)</f>
        <v>1838.133719846739</v>
      </c>
      <c r="F255" s="247">
        <v>2</v>
      </c>
      <c r="G255" s="247">
        <f>VLOOKUP(G194,$A249:$AE253,4,FALSE)</f>
        <v>1716.1266950832369</v>
      </c>
      <c r="H255" s="247">
        <f>VLOOKUP(H194,$A249:$AE253,7,FALSE)</f>
        <v>1869.8210440071971</v>
      </c>
      <c r="I255" s="247">
        <v>3</v>
      </c>
      <c r="J255" s="247">
        <f>VLOOKUP(J194,$A249:$AE253,7,FALSE)</f>
        <v>1694.923745637823</v>
      </c>
      <c r="K255" s="247">
        <f>VLOOKUP(K194,$A249:$AE253,10,FALSE)</f>
        <v>1859.3366692921529</v>
      </c>
      <c r="L255" s="247">
        <v>4</v>
      </c>
      <c r="M255" s="247">
        <f>VLOOKUP(M194,$A249:$AE253,10,FALSE)</f>
        <v>1718.8327717069278</v>
      </c>
      <c r="N255" s="247">
        <f>VLOOKUP(N194,$A249:$AE253,13,FALSE)</f>
        <v>1699.1114849604037</v>
      </c>
      <c r="O255" s="247">
        <v>5</v>
      </c>
      <c r="P255" s="247">
        <f>VLOOKUP(P194,$A249:$AE253,13,FALSE)</f>
        <v>1677.7967974306748</v>
      </c>
      <c r="Q255" s="247">
        <f>VLOOKUP(Q194,$A249:$AE253,16,FALSE)</f>
        <v>1879.057956038677</v>
      </c>
      <c r="R255" s="247">
        <v>6</v>
      </c>
      <c r="S255" s="247">
        <f>VLOOKUP(S194,$A249:$AE253,16,FALSE)</f>
        <v>1886.9479922143453</v>
      </c>
      <c r="T255" s="247" t="e">
        <f>VLOOKUP(T194,$A249:$AE253,19,FALSE)</f>
        <v>#N/A</v>
      </c>
      <c r="U255" s="247">
        <v>7</v>
      </c>
      <c r="V255" s="247" t="e">
        <f>VLOOKUP(V194,$A249:$AE253,19,FALSE)</f>
        <v>#N/A</v>
      </c>
      <c r="W255" s="247" t="e">
        <f>VLOOKUP(W194,$A249:$AE253,22,FALSE)</f>
        <v>#N/A</v>
      </c>
      <c r="X255" s="247">
        <v>8</v>
      </c>
      <c r="Y255" s="247" t="e">
        <f>VLOOKUP(Y194,$A249:$AE253,22,FALSE)</f>
        <v>#N/A</v>
      </c>
      <c r="Z255" s="247" t="e">
        <f>VLOOKUP(Z194,$A249:$AE253,25,FALSE)</f>
        <v>#N/A</v>
      </c>
      <c r="AA255" s="247">
        <v>9</v>
      </c>
      <c r="AB255" s="247" t="e">
        <f>VLOOKUP(AB194,$A249:$AE253,25,FALSE)</f>
        <v>#N/A</v>
      </c>
      <c r="AC255" s="247" t="e">
        <f>VLOOKUP(AC194,$A249:$AE253,28,FALSE)</f>
        <v>#N/A</v>
      </c>
      <c r="AD255" s="247">
        <v>10</v>
      </c>
      <c r="AE255" s="247" t="e">
        <f>VLOOKUP(AE194,$A249:$AE253,28,FALSE)</f>
        <v>#N/A</v>
      </c>
      <c r="AF255" s="188"/>
      <c r="AG255" s="242"/>
      <c r="AH255" s="242"/>
      <c r="AI255" s="242"/>
      <c r="AJ255" s="242"/>
      <c r="AK255" s="242"/>
      <c r="AL255" s="242"/>
      <c r="AM255" s="242"/>
      <c r="AN255" s="243"/>
      <c r="AO255" s="243"/>
      <c r="AP255" s="243"/>
      <c r="AQ255" s="243"/>
      <c r="AW255" s="246"/>
      <c r="BB255" s="246"/>
    </row>
    <row r="256" spans="1:54" s="252" customFormat="1" hidden="1" x14ac:dyDescent="0.2">
      <c r="A256" s="248" t="s">
        <v>90</v>
      </c>
      <c r="B256" s="248">
        <f>1/(1+(10^-((B255-D255)/400)))*(B206+D206)</f>
        <v>1.2957453512243646</v>
      </c>
      <c r="C256" s="248"/>
      <c r="D256" s="248">
        <f>1/(1+(10^-((D255-B255)/400)))*(B206+D206)</f>
        <v>0.70425464877563526</v>
      </c>
      <c r="E256" s="248">
        <f>1/(1+(10^-((E255-G255)/400)))*(E206+G206)</f>
        <v>1.3374078298308196</v>
      </c>
      <c r="F256" s="248"/>
      <c r="G256" s="248">
        <f>1/(1+(10^-((G255-E255)/400)))*(E206+G206)</f>
        <v>0.66259217016918026</v>
      </c>
      <c r="H256" s="248">
        <f>1/(1+(10^-((H255-J255)/400)))*(H206+J206)</f>
        <v>1.464782868526616</v>
      </c>
      <c r="I256" s="248"/>
      <c r="J256" s="248">
        <f>1/(1+(10^-((J255-H255)/400)))*(H206+J206)</f>
        <v>0.53521713147338401</v>
      </c>
      <c r="K256" s="248">
        <f>1/(1+(10^-((K255-M255)/400)))*(K206+M206)</f>
        <v>1.3837097891711185</v>
      </c>
      <c r="L256" s="248"/>
      <c r="M256" s="248">
        <f>1/(1+(10^-((M255-K255)/400)))*(K206+M206)</f>
        <v>0.61629021082888147</v>
      </c>
      <c r="N256" s="248">
        <f>1/(1+(10^-((N255-P255)/400)))*(N206+P206)</f>
        <v>1.0612717529918951</v>
      </c>
      <c r="O256" s="248"/>
      <c r="P256" s="248">
        <f>1/(1+(10^-((P255-N255)/400)))*(N206+P206)</f>
        <v>0.93872824700810475</v>
      </c>
      <c r="Q256" s="248">
        <f>1/(1+(10^-((Q255-S255)/400)))*(Q206+S206)</f>
        <v>0.9772945534406704</v>
      </c>
      <c r="R256" s="248"/>
      <c r="S256" s="248">
        <f>1/(1+(10^-((S255-Q255)/400)))*(Q206+S206)</f>
        <v>1.0227054465593295</v>
      </c>
      <c r="T256" s="248" t="e">
        <f>1/(1+(10^-((T255-V255)/400)))*(T206+V206)</f>
        <v>#N/A</v>
      </c>
      <c r="U256" s="248"/>
      <c r="V256" s="248" t="e">
        <f>1/(1+(10^-((V255-T255)/400)))*(T206+V206)</f>
        <v>#N/A</v>
      </c>
      <c r="W256" s="248" t="e">
        <f>1/(1+(10^-((W255-Y255)/400)))*(W206+Y206)</f>
        <v>#N/A</v>
      </c>
      <c r="X256" s="248"/>
      <c r="Y256" s="248" t="e">
        <f>1/(1+(10^-((Y255-W255)/400)))*(W206+Y206)</f>
        <v>#N/A</v>
      </c>
      <c r="Z256" s="248" t="e">
        <f>1/(1+(10^-((Z255-AB255)/400)))*(Z206+AB206)</f>
        <v>#N/A</v>
      </c>
      <c r="AA256" s="248"/>
      <c r="AB256" s="248" t="e">
        <f>1/(1+(10^-((AB255-Z255)/400)))*(Z206+AB206)</f>
        <v>#N/A</v>
      </c>
      <c r="AC256" s="248" t="e">
        <f>1/(1+(10^-((AC255-AE255)/400)))*(AC206+AE206)</f>
        <v>#N/A</v>
      </c>
      <c r="AD256" s="248"/>
      <c r="AE256" s="248" t="e">
        <f>1/(1+(10^-((AE255-AC255)/400)))*(AC206+AE206)</f>
        <v>#N/A</v>
      </c>
      <c r="AF256" s="249"/>
      <c r="AG256" s="250"/>
      <c r="AH256" s="250"/>
      <c r="AI256" s="250"/>
      <c r="AJ256" s="250"/>
      <c r="AK256" s="250"/>
      <c r="AL256" s="250"/>
      <c r="AM256" s="250"/>
      <c r="AN256" s="251"/>
      <c r="AO256" s="251"/>
      <c r="AP256" s="251"/>
      <c r="AQ256" s="251"/>
      <c r="AW256" s="253"/>
      <c r="BB256" s="253"/>
    </row>
    <row r="257" spans="1:54" s="258" customFormat="1" hidden="1" x14ac:dyDescent="0.2">
      <c r="A257" s="254" t="s">
        <v>91</v>
      </c>
      <c r="B257" s="254">
        <f>B255+(B206-B256)*$BA$1</f>
        <v>1869.8210440071971</v>
      </c>
      <c r="C257" s="254"/>
      <c r="D257" s="254">
        <f>D255+(D206-D256)*$BA$1</f>
        <v>1718.8327717069278</v>
      </c>
      <c r="E257" s="254">
        <f>E255+(E206-E256)*$BA$1</f>
        <v>1859.3366692921529</v>
      </c>
      <c r="F257" s="254"/>
      <c r="G257" s="254">
        <f>G255+(G206-G256)*$BA$1</f>
        <v>1694.923745637823</v>
      </c>
      <c r="H257" s="254">
        <f>H255+(H206-H256)*$BA$1</f>
        <v>1886.9479922143453</v>
      </c>
      <c r="I257" s="254"/>
      <c r="J257" s="254">
        <f>J255+(J206-J256)*$BA$1</f>
        <v>1677.7967974306748</v>
      </c>
      <c r="K257" s="254">
        <f>K255+(K206-K256)*$BA$1</f>
        <v>1879.057956038677</v>
      </c>
      <c r="L257" s="254"/>
      <c r="M257" s="254">
        <f>M255+(M206-M256)*$BA$1</f>
        <v>1699.1114849604037</v>
      </c>
      <c r="N257" s="254">
        <f>N255+(N206-N256)*$BA$1</f>
        <v>1729.1507888646631</v>
      </c>
      <c r="O257" s="254"/>
      <c r="P257" s="254">
        <f>P255+(P206-P256)*$BA$1</f>
        <v>1647.7574935264154</v>
      </c>
      <c r="Q257" s="254">
        <f>Q255+(Q206-Q256)*$BA$1</f>
        <v>1911.7845303285756</v>
      </c>
      <c r="R257" s="254"/>
      <c r="S257" s="254">
        <f>S255+(S206-S256)*$BA$1</f>
        <v>1854.2214179244468</v>
      </c>
      <c r="T257" s="254" t="e">
        <f>T255+(T206-T256)*$BA$1</f>
        <v>#N/A</v>
      </c>
      <c r="U257" s="254"/>
      <c r="V257" s="254" t="e">
        <f>V255+(V206-V256)*$BA$1</f>
        <v>#N/A</v>
      </c>
      <c r="W257" s="254" t="e">
        <f>W255+(W206-W256)*$BA$1</f>
        <v>#N/A</v>
      </c>
      <c r="X257" s="254"/>
      <c r="Y257" s="254" t="e">
        <f>Y255+(Y206-Y256)*$BA$1</f>
        <v>#N/A</v>
      </c>
      <c r="Z257" s="254" t="e">
        <f>Z255+(Z206-Z256)*$BA$1</f>
        <v>#N/A</v>
      </c>
      <c r="AA257" s="254"/>
      <c r="AB257" s="254" t="e">
        <f>AB255+(AB206-AB256)*$BA$1</f>
        <v>#N/A</v>
      </c>
      <c r="AC257" s="254" t="e">
        <f>AC255+(AC206-AC256)*$BA$1</f>
        <v>#N/A</v>
      </c>
      <c r="AD257" s="254"/>
      <c r="AE257" s="254" t="e">
        <f>AE255+(AE206-AE256)*$BA$1</f>
        <v>#N/A</v>
      </c>
      <c r="AF257" s="255"/>
      <c r="AG257" s="256"/>
      <c r="AH257" s="256"/>
      <c r="AI257" s="256"/>
      <c r="AJ257" s="256"/>
      <c r="AK257" s="256"/>
      <c r="AL257" s="256"/>
      <c r="AM257" s="256"/>
      <c r="AN257" s="257"/>
      <c r="AO257" s="257"/>
      <c r="AP257" s="257"/>
      <c r="AQ257" s="257"/>
      <c r="AW257" s="259"/>
      <c r="BB257" s="259"/>
    </row>
    <row r="258" spans="1:54" s="258" customFormat="1" hidden="1" x14ac:dyDescent="0.2">
      <c r="A258" s="254"/>
      <c r="B258" s="254"/>
      <c r="C258" s="254"/>
      <c r="D258" s="254"/>
      <c r="E258" s="254"/>
      <c r="F258" s="254"/>
      <c r="G258" s="254"/>
      <c r="H258" s="254"/>
      <c r="I258" s="254"/>
      <c r="J258" s="254"/>
      <c r="K258" s="254"/>
      <c r="L258" s="254"/>
      <c r="M258" s="254"/>
      <c r="N258" s="254"/>
      <c r="O258" s="254"/>
      <c r="P258" s="254"/>
      <c r="Q258" s="254"/>
      <c r="R258" s="254"/>
      <c r="S258" s="254"/>
      <c r="T258" s="254"/>
      <c r="U258" s="254"/>
      <c r="V258" s="254"/>
      <c r="W258" s="254"/>
      <c r="X258" s="254"/>
      <c r="Y258" s="254"/>
      <c r="Z258" s="254"/>
      <c r="AA258" s="254"/>
      <c r="AB258" s="254"/>
      <c r="AC258" s="254"/>
      <c r="AD258" s="254"/>
      <c r="AE258" s="254"/>
      <c r="AF258" s="255"/>
      <c r="AG258" s="256"/>
      <c r="AH258" s="256"/>
      <c r="AI258" s="256"/>
      <c r="AJ258" s="256"/>
      <c r="AK258" s="256"/>
      <c r="AL258" s="256"/>
      <c r="AM258" s="256"/>
      <c r="AN258" s="257"/>
      <c r="AO258" s="257"/>
      <c r="AP258" s="257"/>
      <c r="AQ258" s="257"/>
      <c r="AW258" s="259"/>
      <c r="BB258" s="259"/>
    </row>
    <row r="259" spans="1:54" s="241" customFormat="1" x14ac:dyDescent="0.2">
      <c r="A259" s="525" t="str">
        <f>IF($AK180=1,"Pool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Tiereaker : 1) Matches Won vs Lost (if 3 way tie then #4)  2) Head to Head  3) Game Win %  4) Total Pool Net Points  5) Flip a Coin</v>
      </c>
      <c r="B259" s="525"/>
      <c r="C259" s="525"/>
      <c r="D259" s="525"/>
      <c r="E259" s="525"/>
      <c r="F259" s="525"/>
      <c r="G259" s="525"/>
      <c r="H259" s="525"/>
      <c r="I259" s="525"/>
      <c r="J259" s="525"/>
      <c r="K259" s="525"/>
      <c r="L259" s="525"/>
      <c r="M259" s="525"/>
      <c r="N259" s="525"/>
      <c r="O259" s="525"/>
      <c r="P259" s="525"/>
      <c r="Q259" s="525"/>
      <c r="R259" s="525"/>
      <c r="S259" s="525"/>
      <c r="T259" s="525"/>
      <c r="U259" s="525"/>
      <c r="V259" s="525"/>
      <c r="W259" s="525"/>
      <c r="X259" s="525"/>
      <c r="Y259" s="525"/>
      <c r="Z259" s="525"/>
      <c r="AA259" s="525"/>
      <c r="AB259" s="525"/>
      <c r="AC259" s="525"/>
      <c r="AD259" s="525"/>
      <c r="AE259" s="525"/>
      <c r="AF259" s="525"/>
      <c r="AG259" s="525"/>
      <c r="AH259" s="525"/>
      <c r="AI259" s="525"/>
      <c r="AJ259" s="525"/>
      <c r="AK259" s="525"/>
      <c r="AL259" s="525"/>
      <c r="AM259" s="525"/>
      <c r="AN259" s="432"/>
      <c r="AO259" s="432"/>
      <c r="AP259" s="432"/>
      <c r="AQ259" s="432"/>
      <c r="AW259" s="246"/>
    </row>
    <row r="260" spans="1:54" s="241" customFormat="1" x14ac:dyDescent="0.2">
      <c r="A260" s="526"/>
      <c r="B260" s="526"/>
      <c r="C260" s="526"/>
      <c r="D260" s="526"/>
      <c r="E260" s="526"/>
      <c r="F260" s="526"/>
      <c r="G260" s="526"/>
      <c r="H260" s="526"/>
      <c r="I260" s="526"/>
      <c r="J260" s="526"/>
      <c r="K260" s="526"/>
      <c r="L260" s="526"/>
      <c r="M260" s="526"/>
      <c r="N260" s="526"/>
      <c r="O260" s="526"/>
      <c r="P260" s="526"/>
      <c r="Q260" s="526"/>
      <c r="R260" s="526"/>
      <c r="S260" s="526"/>
      <c r="T260" s="526"/>
      <c r="U260" s="526"/>
      <c r="V260" s="526"/>
      <c r="W260" s="526"/>
      <c r="X260" s="526"/>
      <c r="Y260" s="526"/>
      <c r="Z260" s="526"/>
      <c r="AA260" s="526"/>
      <c r="AB260" s="526"/>
      <c r="AC260" s="526"/>
      <c r="AD260" s="526"/>
      <c r="AE260" s="526"/>
      <c r="AF260" s="526"/>
      <c r="AG260" s="526"/>
      <c r="AH260" s="526"/>
      <c r="AI260" s="526"/>
      <c r="AJ260" s="526"/>
      <c r="AK260" s="526"/>
      <c r="AL260" s="526"/>
      <c r="AM260" s="526"/>
      <c r="AN260" s="526"/>
      <c r="AO260" s="526"/>
      <c r="AP260" s="526"/>
      <c r="AQ260" s="526"/>
      <c r="AW260" s="246"/>
    </row>
    <row r="261" spans="1:54" ht="21" thickBot="1" x14ac:dyDescent="0.35">
      <c r="A261" s="515" t="s">
        <v>93</v>
      </c>
      <c r="B261" s="515"/>
      <c r="C261" s="515"/>
      <c r="D261" s="515"/>
      <c r="E261" s="515"/>
      <c r="F261" s="515"/>
      <c r="G261" s="515"/>
      <c r="H261" s="515"/>
      <c r="I261" s="515"/>
      <c r="J261" s="515"/>
      <c r="K261" s="515"/>
      <c r="L261" s="515"/>
      <c r="M261" s="515"/>
      <c r="N261" s="515"/>
      <c r="O261" s="515"/>
      <c r="P261" s="515"/>
      <c r="Q261" s="515"/>
      <c r="R261" s="515"/>
      <c r="S261" s="515"/>
      <c r="T261" s="515"/>
      <c r="U261" s="515"/>
      <c r="V261" s="515"/>
      <c r="W261" s="515"/>
      <c r="X261" s="515"/>
      <c r="Y261" s="515"/>
      <c r="Z261" s="515"/>
      <c r="AA261" s="515"/>
      <c r="AB261" s="515"/>
      <c r="AC261" s="515"/>
      <c r="AD261" s="515"/>
      <c r="AE261" s="515"/>
      <c r="AF261" s="515"/>
      <c r="AG261" s="515"/>
      <c r="AH261" s="515"/>
      <c r="AI261" s="515"/>
      <c r="AJ261" s="515"/>
      <c r="AK261" s="515"/>
      <c r="AL261" s="515"/>
      <c r="AM261" s="515"/>
      <c r="AN261" s="515"/>
      <c r="AO261" s="515"/>
      <c r="AP261" s="515"/>
      <c r="AQ261" s="515"/>
    </row>
    <row r="262" spans="1:54" ht="13.5" thickBot="1" x14ac:dyDescent="0.25">
      <c r="A262" s="516" t="s">
        <v>94</v>
      </c>
      <c r="B262" s="518" t="s">
        <v>95</v>
      </c>
      <c r="C262" s="519"/>
      <c r="D262" s="519"/>
      <c r="E262" s="519"/>
      <c r="F262" s="519"/>
      <c r="G262" s="519"/>
      <c r="H262" s="519"/>
      <c r="I262" s="519"/>
      <c r="J262" s="519"/>
      <c r="K262" s="519"/>
      <c r="L262" s="520"/>
      <c r="M262" s="518" t="s">
        <v>96</v>
      </c>
      <c r="N262" s="519"/>
      <c r="O262" s="519"/>
      <c r="P262" s="519"/>
      <c r="Q262" s="519"/>
      <c r="R262" s="519"/>
      <c r="S262" s="519"/>
      <c r="T262" s="519"/>
      <c r="U262" s="519"/>
      <c r="V262" s="519"/>
      <c r="W262" s="520"/>
      <c r="X262" s="499" t="s">
        <v>97</v>
      </c>
      <c r="Y262" s="500"/>
      <c r="Z262" s="500"/>
      <c r="AA262" s="500"/>
      <c r="AB262" s="500"/>
      <c r="AC262" s="500"/>
      <c r="AD262" s="500"/>
      <c r="AE262" s="500"/>
      <c r="AF262" s="500"/>
      <c r="AG262" s="501"/>
      <c r="AH262" s="499" t="s">
        <v>98</v>
      </c>
      <c r="AI262" s="500"/>
      <c r="AJ262" s="500"/>
      <c r="AK262" s="500"/>
      <c r="AL262" s="500"/>
      <c r="AM262" s="500"/>
      <c r="AN262" s="500"/>
      <c r="AO262" s="500"/>
      <c r="AP262" s="501"/>
    </row>
    <row r="263" spans="1:54" ht="13.5" thickBot="1" x14ac:dyDescent="0.25">
      <c r="A263" s="517"/>
      <c r="B263" s="514" t="s">
        <v>7</v>
      </c>
      <c r="C263" s="508"/>
      <c r="D263" s="508"/>
      <c r="E263" s="508"/>
      <c r="F263" s="508" t="s">
        <v>99</v>
      </c>
      <c r="G263" s="508"/>
      <c r="H263" s="508"/>
      <c r="I263" s="508"/>
      <c r="J263" s="508" t="s">
        <v>143</v>
      </c>
      <c r="K263" s="508"/>
      <c r="L263" s="322" t="s">
        <v>6</v>
      </c>
      <c r="M263" s="514" t="s">
        <v>7</v>
      </c>
      <c r="N263" s="508"/>
      <c r="O263" s="508"/>
      <c r="P263" s="508"/>
      <c r="Q263" s="508"/>
      <c r="R263" s="508" t="s">
        <v>99</v>
      </c>
      <c r="S263" s="508"/>
      <c r="T263" s="508"/>
      <c r="U263" s="508" t="s">
        <v>143</v>
      </c>
      <c r="V263" s="508"/>
      <c r="W263" s="323" t="s">
        <v>6</v>
      </c>
      <c r="X263" s="514" t="s">
        <v>7</v>
      </c>
      <c r="Y263" s="508"/>
      <c r="Z263" s="508"/>
      <c r="AA263" s="508"/>
      <c r="AB263" s="508"/>
      <c r="AC263" s="508" t="s">
        <v>99</v>
      </c>
      <c r="AD263" s="508"/>
      <c r="AE263" s="508"/>
      <c r="AF263" s="321" t="s">
        <v>143</v>
      </c>
      <c r="AG263" s="323" t="s">
        <v>6</v>
      </c>
      <c r="AH263" s="514" t="s">
        <v>7</v>
      </c>
      <c r="AI263" s="508"/>
      <c r="AJ263" s="508"/>
      <c r="AK263" s="508" t="s">
        <v>99</v>
      </c>
      <c r="AL263" s="508"/>
      <c r="AM263" s="508"/>
      <c r="AN263" s="508" t="s">
        <v>143</v>
      </c>
      <c r="AO263" s="508"/>
      <c r="AP263" s="323" t="s">
        <v>6</v>
      </c>
    </row>
    <row r="264" spans="1:54" x14ac:dyDescent="0.2">
      <c r="A264" s="260" t="s">
        <v>100</v>
      </c>
      <c r="B264" s="509" t="str">
        <f>IF($AF$8=1,$E$8,IF($AF$10=1,$E$10,IF($AF$12=1,$E$12,IF($AF$14=1,$E$14,IF($AF$16=1,$E$16,"1st Place "&amp;$A264)))))</f>
        <v>NETVC 14AMy</v>
      </c>
      <c r="C264" s="510"/>
      <c r="D264" s="510"/>
      <c r="E264" s="510"/>
      <c r="F264" s="506" t="str">
        <f>IF($AF$8=1,$E$9,IF($AF$10=1,$E$11,IF($AF$12=1,$E$13,IF($AF$14=1,$E$15,IF($AF$16=1,$E$17,"1st Place "&amp;$A264)))))</f>
        <v>fj4netvc3so</v>
      </c>
      <c r="G264" s="506"/>
      <c r="H264" s="506"/>
      <c r="I264" s="506"/>
      <c r="J264" s="507">
        <f>IF($AF$8=1,$Z$8,IF($AF$10=1,$Z$10,IF($AF$12=1,$Z$12,IF($AF$14=1,$Z$14,IF($AF$16=1,$Z$16,0)))))</f>
        <v>0.24378109452736318</v>
      </c>
      <c r="K264" s="507"/>
      <c r="L264" s="324">
        <f>IF(AND(J264=0,J265=0,J266=0),0,IF(OR(AND(J264&gt;J265,J264&gt;J266),AND(J264=J265,J264=J266),AND(J264=J265,J264&gt;J266),AND(J264=J266,J264&gt;J265)),1,IF(OR(J264&gt;J265,J264&gt;J266,J264=J265,J264=J266),2,3)))</f>
        <v>3</v>
      </c>
      <c r="M264" s="509" t="str">
        <f>IF($AF$8=2,$E$8,IF($AF$10=2,$E$10,IF($AF$12=2,$E$12,IF($AF$14=2,$E$14,IF($AF$16=2,$E$16,"2nd Place "&amp;$A264)))))</f>
        <v>Sumter VBC 14</v>
      </c>
      <c r="N264" s="510"/>
      <c r="O264" s="510"/>
      <c r="P264" s="510"/>
      <c r="Q264" s="510"/>
      <c r="R264" s="506" t="str">
        <f>IF($AF$8=2,$E$9,IF($AF$10=2,$E$11,IF($AF$12=2,$E$13,IF($AF$14=2,$E$15,IF($AF$16=2,$E$17,"2nd Place "&amp;$A264)))))</f>
        <v>fj4sumtr1pm</v>
      </c>
      <c r="S264" s="506"/>
      <c r="T264" s="506"/>
      <c r="U264" s="507">
        <f>IF($AF$8=2,$Z$8,IF($AF$10=2,$Z$10,IF($AF$12=2,$Z$12,IF($AF$14=2,$Z$14,IF($AF$16=2,$Z$16,0)))))</f>
        <v>6.4676616915422883E-2</v>
      </c>
      <c r="V264" s="507"/>
      <c r="W264" s="325">
        <f>IF(AND(J264=0,J265=0,J266=0),0,IF(OR(AND(U264&gt;U265,U264&gt;U266),AND(U264=U265,U264=U266),AND(U264=U265,U264&gt;U266),AND(U264=U266,U264&gt;U265)),1,IF(OR(U264&gt;U265,U264&gt;U266,U264=U265,U264=U266),2,3)))</f>
        <v>3</v>
      </c>
      <c r="X264" s="511" t="str">
        <f>IF($AF$8=3,$E$8,IF($AF$10=3,$E$10,IF($AF$12=3,$E$12,IF($AF$14=3,$E$14,IF($AF$16=3,$E$16,"3rd Place "&amp;$A264)))))</f>
        <v>BVA 14W</v>
      </c>
      <c r="Y264" s="512"/>
      <c r="Z264" s="512"/>
      <c r="AA264" s="512"/>
      <c r="AB264" s="512"/>
      <c r="AC264" s="513" t="str">
        <f>IF($AF$8=3,$E$9,IF($AF$10=3,$E$11,IF($AF$12=3,$E$13,IF($AF$14=3,$E$15,IF($AF$16=3,$E$17,"3rd Place "&amp;$A264)))))</f>
        <v>fj4biltm3cr</v>
      </c>
      <c r="AD264" s="513"/>
      <c r="AE264" s="513"/>
      <c r="AF264" s="326">
        <f>IF($AF$8=3,$Z$8,IF($AF$10=3,$Z$10,IF($AF$12=3,$Z$12,IF($AF$14=3,$Z$14,IF($AF$16=3,$Z$16,0)))))</f>
        <v>-1.9607843137254902E-2</v>
      </c>
      <c r="AG264" s="325">
        <f>IF(AND(J264=0,J265=0,J266=0),0,IF(OR(AND(AF264&gt;AF265,AF264&gt;AF266),AND(AF264=AF265,AF264=AF266),AND(AF264=AF265,AF264&gt;AF266),AND(AF264=AF266,AF264&gt;AF265)),1,IF(OR(AF264&gt;AF265,AF264&gt;AF266,AF264=AF265,AF264=AF266),2,3)))</f>
        <v>1</v>
      </c>
      <c r="AH264" s="509" t="str">
        <f>IF($AF$8=4,$E$8,IF($AF$10=4,$E$10,IF($AF$12=4,$E$12,IF($AF$14=4,$E$14,IF($AF$16=4,$E$16,"4th Place "&amp;$A264)))))</f>
        <v>SC Midlands 14 Garnet</v>
      </c>
      <c r="AI264" s="510"/>
      <c r="AJ264" s="510"/>
      <c r="AK264" s="506" t="str">
        <f>IF($AF$8=4,$E$9,IF($AF$10=4,$E$11,IF($AF$12=4,$E$13,IF($AF$14=4,$E$15,IF($AF$16=4,$E$17,"4th Place "&amp;$A264)))))</f>
        <v>fj4scmid4pm</v>
      </c>
      <c r="AL264" s="506"/>
      <c r="AM264" s="506"/>
      <c r="AN264" s="507">
        <f>IF($AF$8=4,$Z$8,IF($AF$10=4,$Z$10,IF($AF$12=4,$Z$12,IF($AF$14=4,$Z$14,IF($AF$16=4,$Z$16,0)))))</f>
        <v>0</v>
      </c>
      <c r="AO264" s="507"/>
      <c r="AP264" s="325">
        <f>IF(AND(J264=0,J265=0,J266=0),0,IF(OR(AND(AN264&gt;AN265,AN264&gt;AN266),AND(AN264=AN265,AN264=AN266),AND(AN264=AN265,AN264&gt;AN266),AND(AN264=AN266,AN264&gt;AN265)),1,IF(OR(AN264&gt;AN265,AN264&gt;AN266,AN264=AN265,AN264=AN266),2,3)))</f>
        <v>1</v>
      </c>
    </row>
    <row r="265" spans="1:54" x14ac:dyDescent="0.2">
      <c r="A265" s="260" t="s">
        <v>101</v>
      </c>
      <c r="B265" s="502" t="str">
        <f>IF($AF$93=1,$E$93,IF($AF$95=1,$E$95,IF($AF$97=1,$E$97,IF($AF$99=1,$E$99,IF($AF$101=1,$E$101,"1st Place "&amp;$A265)))))</f>
        <v>TC Extreme 14 Miranda</v>
      </c>
      <c r="C265" s="503"/>
      <c r="D265" s="503"/>
      <c r="E265" s="503"/>
      <c r="F265" s="504" t="str">
        <f>IF($AF$93=1,$E$94,IF($AF$95=1,$E$96,IF($AF$97=1,$E$98,IF($AF$99=1,$E$100,IF($AF$101=1,$E$102,"1st Place "&amp;$A265)))))</f>
        <v>fj4triex2so</v>
      </c>
      <c r="G265" s="504"/>
      <c r="H265" s="504"/>
      <c r="I265" s="504"/>
      <c r="J265" s="505">
        <f>IF($AF$93=1,$Z$93,IF($AF$95=1,$Z$95,IF($AF$97=1,$Z$97,IF($AF$99=1,$Z$99,IF($AF$101=1,$Z$101,0)))))</f>
        <v>0.32</v>
      </c>
      <c r="K265" s="505"/>
      <c r="L265" s="328">
        <f>IF(AND(J264=0,J265=0,J266=0),0,IF(OR(AND(J265&gt;J264,J265&gt;J266),AND(J265=J266,J265&gt;J264)),1,IF(OR(J265&gt;J264,J265&gt;J266,AND(J265=J264,J265=J266),J265=J266),2,3)))</f>
        <v>1</v>
      </c>
      <c r="M265" s="502" t="str">
        <f>IF($AF$93=2,$E$93,IF($AF$95=2,$E$95,IF($AF$97=2,$E$97,IF($AF$99=2,$E$99,IF($AF$101=2,$E$101,"2nd Place "&amp;$A265)))))</f>
        <v>Vision 14 Regional</v>
      </c>
      <c r="N265" s="503"/>
      <c r="O265" s="503"/>
      <c r="P265" s="503"/>
      <c r="Q265" s="503"/>
      <c r="R265" s="504" t="str">
        <f>IF($AF$93=2,$E$94,IF($AF$95=2,$E$96,IF($AF$97=2,$E$98,IF($AF$99=2,$E$100,IF($AF$101=2,$E$102,"2nd Place "&amp;$A265)))))</f>
        <v>fj4vison2pm</v>
      </c>
      <c r="S265" s="504"/>
      <c r="T265" s="504"/>
      <c r="U265" s="505">
        <f>IF($AF$93=2,$Z$93,IF($AF$95=2,$Z$95,IF($AF$97=2,$Z$97,IF($AF$99=2,$Z$99,IF($AF$101=2,$Z$101,0)))))</f>
        <v>0.35</v>
      </c>
      <c r="V265" s="505"/>
      <c r="W265" s="329">
        <f>IF(AND(J264=0,J265=0,J266=0),0,IF(OR(AND(U265&gt;U264,U265&gt;U266),AND(U265=U266,U265&gt;U264)),1,IF(OR(U265&gt;U264,U265&gt;U266,AND(U265=U264,U265=U266),U265=U266),2,3)))</f>
        <v>1</v>
      </c>
      <c r="X265" s="502" t="str">
        <f>IF($AF$93=3,$E$93,IF($AF$95=3,$E$95,IF($AF$97=3,$E$97,IF($AF$99=3,$E$99,IF($AF$101=3,$E$101,"3rd Place "&amp;$A265)))))</f>
        <v>Extreme 14 Marion</v>
      </c>
      <c r="Y265" s="503"/>
      <c r="Z265" s="503"/>
      <c r="AA265" s="503"/>
      <c r="AB265" s="503"/>
      <c r="AC265" s="504" t="str">
        <f>IF($AF$93=3,$E$94,IF($AF$95=3,$E$96,IF($AF$97=3,$E$98,IF($AF$99=3,$E$100,IF($AF$101=3,$E$102,"3rd Place "&amp;$A265)))))</f>
        <v>fj4triex4so</v>
      </c>
      <c r="AD265" s="504"/>
      <c r="AE265" s="504"/>
      <c r="AF265" s="327">
        <f>IF($AF$93=3,$Z$93,IF($AF$95=3,$Z$95,IF($AF$97=3,$Z$97,IF($AF$99=3,$Z$99,IF($AF$101=3,$Z$101,0)))))</f>
        <v>-0.04</v>
      </c>
      <c r="AG265" s="329">
        <f>IF(AND(J264=0,J265=0,J266=0),0,IF(OR(AND(AF265&gt;AF264,AF265&gt;AF266),AND(AF265=AF266,AF265&gt;AF264)),1,IF(OR(AF265&gt;AF264,AF265&gt;AF266,AND(AF265=AF264,AF265=AF266),AF265=AF266),2,3)))</f>
        <v>2</v>
      </c>
      <c r="AH265" s="502" t="str">
        <f>IF($AF$93=4,$E$93,IF($AF$95=4,$E$95,IF($AF$97=4,$E$97,IF($AF$99=4,$E$99,IF($AF$101=4,$E$101,"4th Place "&amp;$A265)))))</f>
        <v>SC Midlands 14 Black</v>
      </c>
      <c r="AI265" s="503"/>
      <c r="AJ265" s="503"/>
      <c r="AK265" s="504" t="str">
        <f>IF($AF$93=4,$E$94,IF($AF$95=4,$E$96,IF($AF$97=4,$E$98,IF($AF$99=4,$E$100,IF($AF$101=4,$E$102,"4th Place "&amp;$A265)))))</f>
        <v>fj4scmid3pm</v>
      </c>
      <c r="AL265" s="504"/>
      <c r="AM265" s="504"/>
      <c r="AN265" s="505">
        <f>IF($AF$93=4,$Z$93,IF($AF$95=4,$Z$95,IF($AF$97=4,$Z$97,IF($AF$99=4,$Z$99,IF($AF$101=4,$Z$101,0)))))</f>
        <v>-0.22500000000000001</v>
      </c>
      <c r="AO265" s="505"/>
      <c r="AP265" s="329">
        <f>IF(AND(J264=0,J265=0,J266=0),0,IF(OR(AND(AN265&gt;AN264,AN265&gt;AN266),AND(AN265=AN266,AN265&gt;AN264)),1,IF(OR(AN265&gt;AN264,AN265&gt;AN266,AND(AN265=AN264,AN265=AN266),AN265=AN266),2,3)))</f>
        <v>2</v>
      </c>
    </row>
    <row r="266" spans="1:54" ht="13.5" thickBot="1" x14ac:dyDescent="0.25">
      <c r="A266" s="261" t="s">
        <v>144</v>
      </c>
      <c r="B266" s="491" t="str">
        <f>IF($AF$178=1,$E$178,IF($AF$180=1,$E$180,IF($AF$182=1,$E$182,IF($AF$184=1,$E$184,IF($AF$186=1,$E$186,"1st Place "&amp;$A266)))))</f>
        <v>Lake Murray 14 Black</v>
      </c>
      <c r="C266" s="492"/>
      <c r="D266" s="492"/>
      <c r="E266" s="492"/>
      <c r="F266" s="490" t="str">
        <f>IF($AF$178=1,$E$179,IF($AF$180=1,$E$181,IF($AF$182=1,$E$183,IF($AF$184=1,$E$185,IF($AF$186=1,$E$187,"1st Place "&amp;$A266)))))</f>
        <v>fj4lakem2pm</v>
      </c>
      <c r="G266" s="490"/>
      <c r="H266" s="490"/>
      <c r="I266" s="490"/>
      <c r="J266" s="493">
        <f>IF($AF$178=1,$Z$178,IF($AF$180=1,$Z$180,IF($AF$182=1,$Z$182,IF($AF$184=1,$Z$184,IF($AF$186=1,$Z$186,0)))))</f>
        <v>0.29333333333333333</v>
      </c>
      <c r="K266" s="493"/>
      <c r="L266" s="331">
        <f>IF(AND(J264=0,J265=0,J266=0),0,IF(AND(J266&gt;J264,J266&gt;J265),1,IF(OR(J266&gt;J264,J266&gt;J265),2,3)))</f>
        <v>2</v>
      </c>
      <c r="M266" s="491" t="str">
        <f>IF($AF$178=2,$E$178,IF($AF$180=2,$E$180,IF($AF$182=2,$E$182,IF($AF$184=2,$E$184,IF($AF$186=2,$E$186,"2nd Place "&amp;$A266)))))</f>
        <v>Extreme 14-2</v>
      </c>
      <c r="N266" s="492"/>
      <c r="O266" s="492"/>
      <c r="P266" s="492"/>
      <c r="Q266" s="492"/>
      <c r="R266" s="490" t="str">
        <f>IF($AF$178=2,$E$179,IF($AF$180=2,$E$181,IF($AF$182=2,$E$183,IF($AF$184=2,$E$185,IF($AF$186=2,$E$187,"2nd Place "&amp;$A266)))))</f>
        <v>fj4extvb2so</v>
      </c>
      <c r="S266" s="490"/>
      <c r="T266" s="490"/>
      <c r="U266" s="493">
        <f>IF($AF$178=2,$Z$178,IF($AF$180=2,$Z$180,IF($AF$182=2,$Z$182,IF($AF$184=2,$Z$184,IF($AF$186=2,$Z$186,0)))))</f>
        <v>0.18666666666666668</v>
      </c>
      <c r="V266" s="493"/>
      <c r="W266" s="332">
        <f>IF(AND(J264=0,J265=0,J266=0),0,IF(AND(U266&gt;U264,U266&gt;U265),1,IF(OR(U266&gt;U264,U266&gt;U265),2,3)))</f>
        <v>2</v>
      </c>
      <c r="X266" s="491" t="str">
        <f>IF($AF$178=3,$E$178,IF($AF$180=3,$E$180,IF($AF$182=3,$E$182,IF($AF$184=3,$E$184,IF($AF$186=3,$E$186,"3rd Place "&amp;$A266)))))</f>
        <v>Palm Strikers 14 Select</v>
      </c>
      <c r="Y266" s="492"/>
      <c r="Z266" s="492"/>
      <c r="AA266" s="492"/>
      <c r="AB266" s="492"/>
      <c r="AC266" s="490" t="str">
        <f>IF($AF$178=3,$E$179,IF($AF$180=3,$E$181,IF($AF$182=3,$E$183,IF($AF$184=3,$E$185,IF($AF$186=3,$E$187,"3rd Place "&amp;$A266)))))</f>
        <v>fj4pstri2pm</v>
      </c>
      <c r="AD266" s="490"/>
      <c r="AE266" s="490"/>
      <c r="AF266" s="330">
        <f>IF($AF$178=3,$Z$178,IF($AF$180=3,$Z$180,IF($AF$182=3,$Z$182,IF($AF$184=3,$Z$184,IF($AF$186=3,$Z$186,0)))))</f>
        <v>-0.14666666666666667</v>
      </c>
      <c r="AG266" s="332">
        <f>IF(AND(J264=0,J265=0,J266=0),0,IF(AND(AF266&gt;AF264,AF266&gt;AF265),1,IF(OR(AF266&gt;AF264,AF266&gt;AF265),2,3)))</f>
        <v>3</v>
      </c>
      <c r="AH266" s="491" t="str">
        <f>IF($AF$178=4,$E$178,IF($AF$180=4,$E$180,IF($AF$182=4,$E$182,IF($AF$184=4,$E$184,IF($AF$186=4,$E$186,"4th Place "&amp;$A266)))))</f>
        <v>RHVC 14 Club Hunter</v>
      </c>
      <c r="AI266" s="492"/>
      <c r="AJ266" s="492"/>
      <c r="AK266" s="490" t="str">
        <f>IF($AF$178=4,$E$179,IF($AF$180=4,$E$181,IF($AF$182=4,$E$183,IF($AF$184=4,$E$185,IF($AF$186=4,$E$187,"4th Place "&amp;$A266)))))</f>
        <v>fj4rockh2pm</v>
      </c>
      <c r="AL266" s="490"/>
      <c r="AM266" s="490"/>
      <c r="AN266" s="493">
        <f>IF($AF$178=4,$Z$178,IF($AF$180=4,$Z$180,IF($AF$182=4,$Z$182,IF($AF$184=4,$Z$184,IF($AF$186=4,$Z$186,0)))))</f>
        <v>-0.33333333333333331</v>
      </c>
      <c r="AO266" s="493"/>
      <c r="AP266" s="332">
        <f>IF(AND(J264=0,J265=0,J266=0),0,IF(AND(AN266&gt;AN264,AN266&gt;AN265),1,IF(OR(AN266&gt;AN264,AN266&gt;AN265),2,3)))</f>
        <v>3</v>
      </c>
    </row>
    <row r="267" spans="1:54" ht="13.5" thickBot="1" x14ac:dyDescent="0.25">
      <c r="A267" s="494" t="s">
        <v>145</v>
      </c>
      <c r="B267" s="496" t="s">
        <v>146</v>
      </c>
      <c r="C267" s="497"/>
      <c r="D267" s="497"/>
      <c r="E267" s="497"/>
      <c r="F267" s="497"/>
      <c r="G267" s="497"/>
      <c r="H267" s="497"/>
      <c r="I267" s="497"/>
      <c r="J267" s="497"/>
      <c r="K267" s="497"/>
      <c r="L267" s="498"/>
      <c r="M267" s="499" t="s">
        <v>147</v>
      </c>
      <c r="N267" s="500"/>
      <c r="O267" s="500"/>
      <c r="P267" s="500"/>
      <c r="Q267" s="500"/>
      <c r="R267" s="500"/>
      <c r="S267" s="500"/>
      <c r="T267" s="500"/>
      <c r="U267" s="500"/>
      <c r="V267" s="500"/>
      <c r="W267" s="501"/>
      <c r="X267" s="499" t="s">
        <v>148</v>
      </c>
      <c r="Y267" s="500"/>
      <c r="Z267" s="500"/>
      <c r="AA267" s="500"/>
      <c r="AB267" s="500"/>
      <c r="AC267" s="500"/>
      <c r="AD267" s="500"/>
      <c r="AE267" s="500"/>
      <c r="AF267" s="500"/>
      <c r="AG267" s="501"/>
      <c r="AH267" s="499" t="s">
        <v>149</v>
      </c>
      <c r="AI267" s="500"/>
      <c r="AJ267" s="500"/>
      <c r="AK267" s="500"/>
      <c r="AL267" s="500"/>
      <c r="AM267" s="500"/>
      <c r="AN267" s="500"/>
      <c r="AO267" s="500"/>
      <c r="AP267" s="501"/>
    </row>
    <row r="268" spans="1:54" ht="13.5" thickBot="1" x14ac:dyDescent="0.25">
      <c r="A268" s="495"/>
      <c r="B268" s="485" t="s">
        <v>7</v>
      </c>
      <c r="C268" s="486"/>
      <c r="D268" s="486"/>
      <c r="E268" s="486"/>
      <c r="F268" s="486"/>
      <c r="G268" s="486"/>
      <c r="H268" s="487"/>
      <c r="I268" s="485" t="s">
        <v>8</v>
      </c>
      <c r="J268" s="486"/>
      <c r="K268" s="486"/>
      <c r="L268" s="487"/>
      <c r="M268" s="473" t="s">
        <v>7</v>
      </c>
      <c r="N268" s="474"/>
      <c r="O268" s="474"/>
      <c r="P268" s="474"/>
      <c r="Q268" s="474"/>
      <c r="R268" s="474"/>
      <c r="S268" s="475"/>
      <c r="T268" s="473" t="s">
        <v>8</v>
      </c>
      <c r="U268" s="474"/>
      <c r="V268" s="474"/>
      <c r="W268" s="475"/>
      <c r="X268" s="473" t="s">
        <v>7</v>
      </c>
      <c r="Y268" s="474"/>
      <c r="Z268" s="474"/>
      <c r="AA268" s="474"/>
      <c r="AB268" s="474"/>
      <c r="AC268" s="474"/>
      <c r="AD268" s="474"/>
      <c r="AE268" s="475"/>
      <c r="AF268" s="473" t="s">
        <v>8</v>
      </c>
      <c r="AG268" s="475"/>
      <c r="AH268" s="488" t="s">
        <v>7</v>
      </c>
      <c r="AI268" s="488"/>
      <c r="AJ268" s="488"/>
      <c r="AK268" s="488"/>
      <c r="AL268" s="488"/>
      <c r="AM268" s="489"/>
      <c r="AN268" s="473" t="s">
        <v>8</v>
      </c>
      <c r="AO268" s="474"/>
      <c r="AP268" s="475"/>
    </row>
    <row r="269" spans="1:54" x14ac:dyDescent="0.2">
      <c r="A269" s="276" t="s">
        <v>150</v>
      </c>
      <c r="B269" s="476" t="str">
        <f>IF(L264=1,B264,IF(L265=1,B265,IF(L266=1,B266,"#1 1st Place")))</f>
        <v>TC Extreme 14 Miranda</v>
      </c>
      <c r="C269" s="477"/>
      <c r="D269" s="477"/>
      <c r="E269" s="477"/>
      <c r="F269" s="477"/>
      <c r="G269" s="477"/>
      <c r="H269" s="477"/>
      <c r="I269" s="478" t="str">
        <f>IF(L264=1,F264,IF(L265=1,F265,IF(L266=1,F266,"#1 1st Place")))</f>
        <v>fj4triex2so</v>
      </c>
      <c r="J269" s="478"/>
      <c r="K269" s="478"/>
      <c r="L269" s="479"/>
      <c r="M269" s="480" t="str">
        <f>IF(W264=1,M264,IF(W265=1,M265,IF(W266=1,M266,"#1 2nd Place")))</f>
        <v>Vision 14 Regional</v>
      </c>
      <c r="N269" s="481"/>
      <c r="O269" s="481"/>
      <c r="P269" s="481"/>
      <c r="Q269" s="481"/>
      <c r="R269" s="481"/>
      <c r="S269" s="481"/>
      <c r="T269" s="482" t="str">
        <f>IF(W264=1,R264,IF(W265=1,R265,IF(W266=1,R266,"#1 2nd Place")))</f>
        <v>fj4vison2pm</v>
      </c>
      <c r="U269" s="482"/>
      <c r="V269" s="482"/>
      <c r="W269" s="483"/>
      <c r="X269" s="480" t="str">
        <f>IF(AG264=1,X264,IF(AG265=1,X265,IF(AG266=1,X266,"#1 3rd Place")))</f>
        <v>BVA 14W</v>
      </c>
      <c r="Y269" s="481"/>
      <c r="Z269" s="481"/>
      <c r="AA269" s="481"/>
      <c r="AB269" s="481"/>
      <c r="AC269" s="481"/>
      <c r="AD269" s="481"/>
      <c r="AE269" s="481"/>
      <c r="AF269" s="482" t="str">
        <f>IF(AG264=1,AC264,IF(AG265=1,AC265,IF(AG266=1,AC266,"#1 3rd Place")))</f>
        <v>fj4biltm3cr</v>
      </c>
      <c r="AG269" s="483"/>
      <c r="AH269" s="484" t="str">
        <f>IF(AP264=1,AH264,IF(AP265=1,AH265,IF(AP266=1,AH266,"#1 4th Place")))</f>
        <v>SC Midlands 14 Garnet</v>
      </c>
      <c r="AI269" s="481"/>
      <c r="AJ269" s="481"/>
      <c r="AK269" s="481"/>
      <c r="AL269" s="481"/>
      <c r="AM269" s="481"/>
      <c r="AN269" s="482" t="str">
        <f>IF(AP264=1,AK264,IF(AP265=1,AK265,IF(AP266=1,AK266,"#1 4th Place")))</f>
        <v>fj4scmid4pm</v>
      </c>
      <c r="AO269" s="482"/>
      <c r="AP269" s="483"/>
    </row>
    <row r="270" spans="1:54" x14ac:dyDescent="0.2">
      <c r="A270" s="276" t="s">
        <v>151</v>
      </c>
      <c r="B270" s="468" t="str">
        <f>IF(L264=2,B264,IF(L265=2,B265,IF(L266=2,B266,"#2 1st Place")))</f>
        <v>Lake Murray 14 Black</v>
      </c>
      <c r="C270" s="469"/>
      <c r="D270" s="469"/>
      <c r="E270" s="469"/>
      <c r="F270" s="469"/>
      <c r="G270" s="469"/>
      <c r="H270" s="469"/>
      <c r="I270" s="470" t="str">
        <f>IF(L264=2,F264,IF(L265=2,F265,IF(L266=2,F266,"#2 1st Place")))</f>
        <v>fj4lakem2pm</v>
      </c>
      <c r="J270" s="470"/>
      <c r="K270" s="470"/>
      <c r="L270" s="471"/>
      <c r="M270" s="472" t="str">
        <f>IF(W264=2,M264,IF(W265=2,M265,IF(W266=2,M266,"#2 2nd Place")))</f>
        <v>Extreme 14-2</v>
      </c>
      <c r="N270" s="460"/>
      <c r="O270" s="460"/>
      <c r="P270" s="460"/>
      <c r="Q270" s="460"/>
      <c r="R270" s="460"/>
      <c r="S270" s="460"/>
      <c r="T270" s="461" t="str">
        <f>IF(W264=2,R264,IF(W265=2,R265,IF(W266=2,R266,"#2 2nd Place")))</f>
        <v>fj4extvb2so</v>
      </c>
      <c r="U270" s="461"/>
      <c r="V270" s="461"/>
      <c r="W270" s="462"/>
      <c r="X270" s="472" t="str">
        <f>IF(AG264=2,X264,IF(AG265=2,X265,IF(AG266=2,X266,"#2 3rd Place")))</f>
        <v>Extreme 14 Marion</v>
      </c>
      <c r="Y270" s="460"/>
      <c r="Z270" s="460"/>
      <c r="AA270" s="460"/>
      <c r="AB270" s="460"/>
      <c r="AC270" s="460"/>
      <c r="AD270" s="460"/>
      <c r="AE270" s="460"/>
      <c r="AF270" s="461" t="str">
        <f>IF(AG264=2,AC264,IF(AG265=2,AC265,IF(AG266=2,AC266,"#2 3rd Place")))</f>
        <v>fj4triex4so</v>
      </c>
      <c r="AG270" s="462"/>
      <c r="AH270" s="459" t="str">
        <f>IF(AP264=2,AH264,IF(AP265=2,AH265,IF(AP266=2,AH266,"#2 4th Place")))</f>
        <v>SC Midlands 14 Black</v>
      </c>
      <c r="AI270" s="460"/>
      <c r="AJ270" s="460"/>
      <c r="AK270" s="460"/>
      <c r="AL270" s="460"/>
      <c r="AM270" s="460"/>
      <c r="AN270" s="461" t="str">
        <f>IF(AP264=2,AK264,IF(AP265=2,AK265,IF(AP266=2,AK266,"#2 4th Place")))</f>
        <v>fj4scmid3pm</v>
      </c>
      <c r="AO270" s="461"/>
      <c r="AP270" s="462"/>
    </row>
    <row r="271" spans="1:54" s="191" customFormat="1" ht="13.5" thickBot="1" x14ac:dyDescent="0.25">
      <c r="A271" s="310" t="s">
        <v>152</v>
      </c>
      <c r="B271" s="463" t="str">
        <f>IF(L264=3,B264,IF(L265=3,B265,IF(L266=3,B266,"#3 1st Place")))</f>
        <v>NETVC 14AMy</v>
      </c>
      <c r="C271" s="464"/>
      <c r="D271" s="464"/>
      <c r="E271" s="464"/>
      <c r="F271" s="464"/>
      <c r="G271" s="464"/>
      <c r="H271" s="464"/>
      <c r="I271" s="465" t="str">
        <f>IF(L264=3,F264,IF(L265=3,F265,IF(L266=3,F266,"#3 1st Place")))</f>
        <v>fj4netvc3so</v>
      </c>
      <c r="J271" s="465"/>
      <c r="K271" s="465"/>
      <c r="L271" s="466"/>
      <c r="M271" s="463" t="str">
        <f>IF(W264=3,M264,IF(W265=3,M265,IF(W266=3,M266,"#3 2nd Place")))</f>
        <v>Sumter VBC 14</v>
      </c>
      <c r="N271" s="464"/>
      <c r="O271" s="464"/>
      <c r="P271" s="464"/>
      <c r="Q271" s="464"/>
      <c r="R271" s="464"/>
      <c r="S271" s="464"/>
      <c r="T271" s="465" t="str">
        <f>IF(W264=3,R264,IF(W265=3,R265,IF(W266=3,R266,"#3 2nd Place")))</f>
        <v>fj4sumtr1pm</v>
      </c>
      <c r="U271" s="465"/>
      <c r="V271" s="465"/>
      <c r="W271" s="466"/>
      <c r="X271" s="463" t="str">
        <f>IF(AG264=3,X264,IF(AG265=3,X265,IF(AG266=3,X266,"#3 3rd Place")))</f>
        <v>Palm Strikers 14 Select</v>
      </c>
      <c r="Y271" s="464"/>
      <c r="Z271" s="464"/>
      <c r="AA271" s="464"/>
      <c r="AB271" s="464"/>
      <c r="AC271" s="464"/>
      <c r="AD271" s="464"/>
      <c r="AE271" s="464"/>
      <c r="AF271" s="465" t="str">
        <f>IF(AG264=3,AC264,IF(AG265=3,AC265,IF(AG266=3,AC266,"#3 3rd Place")))</f>
        <v>fj4pstri2pm</v>
      </c>
      <c r="AG271" s="466"/>
      <c r="AH271" s="467" t="str">
        <f>IF(AP264=3,AH264,IF(AP265=3,AH265,IF(AP266=3,AH266,"#3 4th Place")))</f>
        <v>RHVC 14 Club Hunter</v>
      </c>
      <c r="AI271" s="464"/>
      <c r="AJ271" s="464"/>
      <c r="AK271" s="464"/>
      <c r="AL271" s="464"/>
      <c r="AM271" s="464"/>
      <c r="AN271" s="465" t="str">
        <f>IF(AP264=3,AK264,IF(AP265=3,AK265,IF(AP266=3,AK266,"#3 4th Place")))</f>
        <v>fj4rockh2pm</v>
      </c>
      <c r="AO271" s="465"/>
      <c r="AP271" s="466"/>
      <c r="AW271" s="234"/>
      <c r="AX271" s="188"/>
      <c r="AY271" s="188"/>
      <c r="AZ271" s="188"/>
      <c r="BA271" s="188"/>
    </row>
    <row r="272" spans="1:54" s="191" customFormat="1" x14ac:dyDescent="0.2">
      <c r="A272" s="274"/>
      <c r="B272" s="262"/>
      <c r="C272" s="262"/>
      <c r="D272" s="262"/>
      <c r="E272" s="262"/>
      <c r="F272" s="262"/>
      <c r="G272" s="262"/>
      <c r="H272" s="262"/>
      <c r="I272" s="262"/>
      <c r="J272" s="262"/>
      <c r="K272" s="262"/>
      <c r="L272" s="262"/>
      <c r="M272" s="333"/>
      <c r="N272" s="333"/>
      <c r="O272" s="333"/>
      <c r="P272" s="333"/>
      <c r="Q272" s="333"/>
      <c r="R272" s="333"/>
      <c r="S272" s="333"/>
      <c r="T272" s="333"/>
      <c r="U272" s="333"/>
      <c r="V272" s="333"/>
      <c r="W272" s="333"/>
      <c r="AW272" s="234"/>
      <c r="AX272" s="188"/>
      <c r="AY272" s="188"/>
      <c r="AZ272" s="188"/>
      <c r="BA272" s="188"/>
    </row>
    <row r="273" spans="1:56" ht="15.75" x14ac:dyDescent="0.25">
      <c r="A273" s="455" t="s">
        <v>102</v>
      </c>
      <c r="B273" s="455"/>
      <c r="C273" s="455"/>
      <c r="D273" s="455"/>
      <c r="E273" s="455"/>
      <c r="F273" s="455"/>
      <c r="G273" s="455"/>
      <c r="H273" s="455"/>
      <c r="I273" s="455"/>
      <c r="J273" s="455"/>
      <c r="K273" s="455"/>
      <c r="L273" s="455"/>
      <c r="M273" s="455"/>
      <c r="N273" s="455"/>
      <c r="O273" s="455"/>
      <c r="P273" s="455"/>
      <c r="Q273" s="455"/>
      <c r="R273" s="455"/>
      <c r="S273" s="455"/>
      <c r="T273" s="455"/>
      <c r="U273" s="455"/>
      <c r="V273" s="455"/>
      <c r="W273" s="455"/>
      <c r="X273" s="455"/>
      <c r="Y273" s="455"/>
      <c r="Z273" s="455"/>
      <c r="AA273" s="455"/>
      <c r="AB273" s="455"/>
      <c r="AC273" s="455"/>
      <c r="AD273" s="455"/>
      <c r="AE273" s="455"/>
      <c r="AF273" s="455"/>
      <c r="AG273" s="455"/>
      <c r="AH273" s="455"/>
      <c r="AI273" s="455"/>
      <c r="AJ273" s="455"/>
      <c r="AK273" s="455"/>
      <c r="AL273" s="455"/>
      <c r="AM273" s="455"/>
      <c r="AN273" s="455"/>
      <c r="AO273" s="455"/>
      <c r="AP273" s="455"/>
      <c r="AQ273" s="455"/>
      <c r="AT273" s="264"/>
      <c r="AU273" s="264"/>
      <c r="AV273" s="264"/>
    </row>
    <row r="274" spans="1:56" ht="18" x14ac:dyDescent="0.25">
      <c r="A274" s="456" t="s">
        <v>1168</v>
      </c>
      <c r="B274" s="456"/>
      <c r="C274" s="456"/>
      <c r="D274" s="456"/>
      <c r="E274" s="456"/>
      <c r="F274" s="456"/>
      <c r="G274" s="456"/>
      <c r="H274" s="456"/>
      <c r="I274" s="456"/>
      <c r="J274" s="456"/>
      <c r="K274" s="456"/>
      <c r="L274" s="456"/>
      <c r="M274" s="456"/>
      <c r="N274" s="456"/>
      <c r="O274" s="456"/>
      <c r="P274" s="456"/>
      <c r="Q274" s="456"/>
      <c r="R274" s="456"/>
      <c r="S274" s="456"/>
      <c r="T274" s="456"/>
      <c r="U274" s="456"/>
      <c r="V274" s="456"/>
      <c r="W274" s="456"/>
      <c r="X274" s="456"/>
      <c r="Y274" s="456"/>
      <c r="Z274" s="456"/>
      <c r="AA274" s="456"/>
      <c r="AB274" s="456"/>
      <c r="AC274" s="456"/>
      <c r="AD274" s="456"/>
      <c r="AE274" s="456"/>
      <c r="AF274" s="456"/>
      <c r="AG274" s="456"/>
      <c r="AH274" s="456"/>
      <c r="AI274" s="456"/>
      <c r="AJ274" s="456"/>
      <c r="AK274" s="456"/>
      <c r="AL274" s="456"/>
      <c r="AM274" s="456"/>
      <c r="AN274" s="456"/>
      <c r="AO274" s="456"/>
      <c r="AP274" s="456"/>
      <c r="AQ274" s="456"/>
    </row>
    <row r="275" spans="1:56" x14ac:dyDescent="0.2">
      <c r="A275" s="457" t="s">
        <v>1169</v>
      </c>
      <c r="B275" s="457"/>
      <c r="C275" s="457"/>
      <c r="D275" s="457"/>
      <c r="E275" s="457"/>
      <c r="F275" s="457"/>
      <c r="G275" s="457"/>
      <c r="H275" s="457"/>
      <c r="I275" s="457"/>
      <c r="J275" s="457"/>
      <c r="K275" s="457"/>
      <c r="L275" s="457"/>
      <c r="M275" s="457"/>
      <c r="N275" s="457"/>
      <c r="O275" s="457"/>
      <c r="P275" s="457"/>
      <c r="Q275" s="457"/>
      <c r="R275" s="457"/>
      <c r="S275" s="457"/>
      <c r="T275" s="457"/>
      <c r="U275" s="457"/>
      <c r="V275" s="457"/>
      <c r="W275" s="457"/>
      <c r="X275" s="457"/>
      <c r="Y275" s="457"/>
      <c r="Z275" s="457"/>
      <c r="AA275" s="457"/>
      <c r="AB275" s="457"/>
      <c r="AC275" s="457"/>
      <c r="AD275" s="457"/>
      <c r="AE275" s="457"/>
      <c r="AF275" s="457"/>
      <c r="AG275" s="457"/>
      <c r="AH275" s="457"/>
      <c r="AI275" s="457"/>
      <c r="AJ275" s="457"/>
      <c r="AK275" s="457"/>
      <c r="AL275" s="457"/>
      <c r="AM275" s="457"/>
      <c r="AN275" s="457"/>
      <c r="AO275" s="457"/>
      <c r="AP275" s="457"/>
      <c r="AQ275" s="457"/>
    </row>
    <row r="276" spans="1:56" x14ac:dyDescent="0.2">
      <c r="A276" s="457" t="s">
        <v>153</v>
      </c>
      <c r="B276" s="457"/>
      <c r="C276" s="457"/>
      <c r="D276" s="457"/>
      <c r="E276" s="457"/>
      <c r="F276" s="457"/>
      <c r="G276" s="457"/>
      <c r="H276" s="457"/>
      <c r="I276" s="457"/>
      <c r="J276" s="457"/>
      <c r="K276" s="457"/>
      <c r="L276" s="457"/>
      <c r="M276" s="457"/>
      <c r="N276" s="457"/>
      <c r="O276" s="457"/>
      <c r="P276" s="457"/>
      <c r="Q276" s="457"/>
      <c r="R276" s="457"/>
      <c r="S276" s="457"/>
      <c r="T276" s="457"/>
      <c r="U276" s="457"/>
      <c r="V276" s="457"/>
      <c r="W276" s="457"/>
      <c r="X276" s="457"/>
      <c r="Y276" s="457"/>
      <c r="Z276" s="457"/>
      <c r="AA276" s="457"/>
      <c r="AB276" s="457"/>
      <c r="AC276" s="457"/>
      <c r="AD276" s="457"/>
      <c r="AE276" s="457"/>
      <c r="AF276" s="457"/>
      <c r="AG276" s="457"/>
      <c r="AH276" s="457"/>
      <c r="AI276" s="457"/>
      <c r="AJ276" s="457"/>
      <c r="AK276" s="457"/>
      <c r="AL276" s="457"/>
      <c r="AM276" s="457"/>
      <c r="AN276" s="457"/>
      <c r="AO276" s="457"/>
      <c r="AP276" s="457"/>
      <c r="AQ276" s="457"/>
    </row>
    <row r="277" spans="1:56" x14ac:dyDescent="0.2">
      <c r="A277" s="458" t="s">
        <v>104</v>
      </c>
      <c r="B277" s="458"/>
      <c r="C277" s="458"/>
      <c r="D277" s="458"/>
      <c r="E277" s="458"/>
      <c r="F277" s="458"/>
      <c r="G277" s="458"/>
      <c r="H277" s="458"/>
      <c r="I277" s="458"/>
      <c r="J277" s="458"/>
      <c r="K277" s="458"/>
      <c r="L277" s="265"/>
    </row>
    <row r="278" spans="1:56" x14ac:dyDescent="0.2">
      <c r="C278" s="191"/>
      <c r="D278" s="191"/>
      <c r="E278" s="191"/>
      <c r="L278" s="265"/>
    </row>
    <row r="279" spans="1:56" x14ac:dyDescent="0.2">
      <c r="A279" s="432" t="s">
        <v>105</v>
      </c>
      <c r="B279" s="432"/>
      <c r="C279" s="432"/>
      <c r="D279" s="432"/>
      <c r="E279" s="432"/>
      <c r="F279" s="432"/>
      <c r="G279" s="432"/>
      <c r="H279" s="432"/>
      <c r="I279" s="432"/>
      <c r="J279" s="432"/>
      <c r="K279" s="432"/>
      <c r="L279" s="432"/>
      <c r="M279" s="432"/>
      <c r="N279" s="432"/>
      <c r="O279" s="432"/>
      <c r="P279" s="432"/>
      <c r="Q279" s="234"/>
      <c r="S279" s="432" t="s">
        <v>106</v>
      </c>
      <c r="T279" s="432"/>
      <c r="U279" s="432"/>
      <c r="V279" s="432"/>
      <c r="W279" s="432"/>
      <c r="X279" s="432"/>
      <c r="Y279" s="432"/>
      <c r="Z279" s="432"/>
      <c r="AA279" s="432"/>
      <c r="AB279" s="432"/>
      <c r="AC279" s="432"/>
      <c r="AD279" s="432"/>
      <c r="AE279" s="432"/>
      <c r="AF279" s="432"/>
      <c r="AG279" s="432"/>
    </row>
    <row r="281" spans="1:56" ht="13.5" thickBot="1" x14ac:dyDescent="0.25">
      <c r="A281" s="402" t="str">
        <f>IF(B309=1,B301,IF(B309=2,B302,IF(B309=3,B303,IF(B309=4,B304,IF(OR(B309="B",B309="b"),"BYE","invalid")))))</f>
        <v>NETVC 14AMy</v>
      </c>
      <c r="B281" s="402"/>
      <c r="C281" s="402"/>
      <c r="D281" s="402"/>
      <c r="E281" s="402"/>
      <c r="F281" s="266"/>
      <c r="G281" s="266"/>
      <c r="H281" s="266"/>
      <c r="I281" s="266"/>
      <c r="J281" s="266"/>
      <c r="K281" s="266"/>
      <c r="L281" s="266"/>
      <c r="M281" s="266"/>
      <c r="N281" s="266"/>
      <c r="O281" s="266"/>
      <c r="T281" s="267"/>
      <c r="U281" s="267"/>
      <c r="V281" s="402" t="str">
        <f>IF(W309=1,X301,IF(W309=2,X302,IF(W309=3,X303,IF(W309=4,X304,IF(OR(W309="B",W309="b"),"BYE","invalid")))))</f>
        <v>Extreme 14-2</v>
      </c>
      <c r="W281" s="402"/>
      <c r="X281" s="402"/>
      <c r="Y281" s="402"/>
      <c r="Z281" s="402"/>
      <c r="AA281" s="402"/>
      <c r="AB281" s="402"/>
      <c r="AC281" s="266"/>
      <c r="AD281" s="266"/>
      <c r="AE281" s="266"/>
      <c r="AF281" s="266"/>
    </row>
    <row r="282" spans="1:56" x14ac:dyDescent="0.2">
      <c r="A282" s="404" t="s">
        <v>107</v>
      </c>
      <c r="B282" s="404"/>
      <c r="C282" s="404"/>
      <c r="D282" s="404"/>
      <c r="E282" s="404"/>
      <c r="F282" s="268"/>
      <c r="G282" s="266"/>
      <c r="H282" s="266"/>
      <c r="I282" s="266"/>
      <c r="J282" s="266"/>
      <c r="K282" s="266"/>
      <c r="L282" s="266"/>
      <c r="M282" s="266"/>
      <c r="N282" s="266"/>
      <c r="O282" s="266"/>
      <c r="T282" s="269"/>
      <c r="U282" s="269"/>
      <c r="V282" s="426" t="s">
        <v>154</v>
      </c>
      <c r="W282" s="426"/>
      <c r="X282" s="426"/>
      <c r="Y282" s="426"/>
      <c r="Z282" s="426"/>
      <c r="AA282" s="426"/>
      <c r="AB282" s="427"/>
      <c r="AC282" s="266"/>
      <c r="AD282" s="266"/>
      <c r="AE282" s="266"/>
      <c r="AF282" s="266"/>
    </row>
    <row r="283" spans="1:56" x14ac:dyDescent="0.2">
      <c r="A283" s="266"/>
      <c r="B283" s="266"/>
      <c r="C283" s="266"/>
      <c r="D283" s="266"/>
      <c r="E283" s="266"/>
      <c r="F283" s="268"/>
      <c r="G283" s="266"/>
      <c r="H283" s="266"/>
      <c r="I283" s="266"/>
      <c r="J283" s="266"/>
      <c r="K283" s="266"/>
      <c r="L283" s="266"/>
      <c r="M283" s="266"/>
      <c r="N283" s="266"/>
      <c r="O283" s="266"/>
      <c r="S283" s="266"/>
      <c r="T283" s="266"/>
      <c r="U283" s="266"/>
      <c r="V283" s="266"/>
      <c r="W283" s="266"/>
      <c r="X283" s="266"/>
      <c r="Y283" s="266"/>
      <c r="Z283" s="266"/>
      <c r="AA283" s="266"/>
      <c r="AB283" s="306"/>
      <c r="AC283" s="266"/>
      <c r="AD283" s="266"/>
      <c r="AE283" s="266"/>
      <c r="AF283" s="266"/>
    </row>
    <row r="284" spans="1:56" ht="13.5" thickBot="1" x14ac:dyDescent="0.25">
      <c r="A284" s="426" t="str">
        <f>B303&amp;" ref"</f>
        <v>Lake Murray 14 Black ref</v>
      </c>
      <c r="B284" s="426"/>
      <c r="C284" s="426"/>
      <c r="D284" s="426"/>
      <c r="E284" s="427"/>
      <c r="F284" s="421" t="str">
        <f>IF(H309=1,B301,IF(H309=2,B302,IF(H309=3,B303,IF(H309=4,B304,"Winner Match 1"))))</f>
        <v>NETVC 14AMy</v>
      </c>
      <c r="G284" s="422"/>
      <c r="H284" s="422"/>
      <c r="I284" s="422"/>
      <c r="J284" s="422"/>
      <c r="K284" s="422"/>
      <c r="L284" s="422"/>
      <c r="M284" s="422"/>
      <c r="N284" s="422"/>
      <c r="O284" s="266"/>
      <c r="Q284" s="270"/>
      <c r="R284" s="270"/>
      <c r="S284" s="270"/>
      <c r="T284" s="270"/>
      <c r="U284" s="426" t="str">
        <f>X303&amp;" ref"</f>
        <v>BVA 14W ref</v>
      </c>
      <c r="V284" s="426"/>
      <c r="W284" s="426"/>
      <c r="X284" s="426"/>
      <c r="Y284" s="426"/>
      <c r="Z284" s="426"/>
      <c r="AA284" s="426"/>
      <c r="AB284" s="427"/>
      <c r="AC284" s="421" t="str">
        <f>IF(AC309=1,X301,IF(AC309=2,X302,IF(AC309=3,X303,IF(AC309=4,X304,"Winner Match 1"))))</f>
        <v>Extreme 14-2</v>
      </c>
      <c r="AD284" s="422"/>
      <c r="AE284" s="422"/>
      <c r="AF284" s="422"/>
      <c r="AG284" s="422"/>
      <c r="AH284" s="422"/>
      <c r="AI284" s="422"/>
    </row>
    <row r="285" spans="1:56" x14ac:dyDescent="0.2">
      <c r="A285" s="419" t="s">
        <v>109</v>
      </c>
      <c r="B285" s="419"/>
      <c r="C285" s="419"/>
      <c r="D285" s="419"/>
      <c r="E285" s="419"/>
      <c r="F285" s="428"/>
      <c r="G285" s="429"/>
      <c r="H285" s="429"/>
      <c r="I285" s="430"/>
      <c r="J285" s="417"/>
      <c r="K285" s="418"/>
      <c r="L285" s="418"/>
      <c r="M285" s="418"/>
      <c r="N285" s="418"/>
      <c r="O285" s="266"/>
      <c r="P285" s="266"/>
      <c r="Q285" s="271"/>
      <c r="R285" s="194"/>
      <c r="S285" s="272"/>
      <c r="T285" s="272"/>
      <c r="U285" s="454" t="s">
        <v>110</v>
      </c>
      <c r="V285" s="454"/>
      <c r="W285" s="454"/>
      <c r="X285" s="454"/>
      <c r="Y285" s="454"/>
      <c r="Z285" s="454"/>
      <c r="AA285" s="454"/>
      <c r="AB285" s="306"/>
      <c r="AC285" s="428"/>
      <c r="AD285" s="429"/>
      <c r="AE285" s="429"/>
      <c r="AF285" s="430"/>
      <c r="AG285" s="417"/>
      <c r="AH285" s="418"/>
      <c r="AI285" s="418"/>
    </row>
    <row r="286" spans="1:56" ht="13.5" thickBot="1" x14ac:dyDescent="0.25">
      <c r="A286" s="402" t="str">
        <f>IF(D309=1,B301,IF(D309=2,B302,IF(D309=3,B303,IF(D309=4,B304,IF(OR(D309="B",D309="b"),"BYE","invalid")))))</f>
        <v>Vision 14 Regional</v>
      </c>
      <c r="B286" s="402"/>
      <c r="C286" s="402"/>
      <c r="D286" s="402"/>
      <c r="E286" s="403"/>
      <c r="F286" s="268"/>
      <c r="G286" s="266"/>
      <c r="H286" s="266"/>
      <c r="I286" s="266"/>
      <c r="J286" s="268"/>
      <c r="K286" s="266"/>
      <c r="L286" s="266"/>
      <c r="M286" s="266"/>
      <c r="N286" s="266"/>
      <c r="O286" s="266"/>
      <c r="P286" s="266"/>
      <c r="Q286" s="266"/>
      <c r="U286" s="266"/>
      <c r="V286" s="402" t="str">
        <f>IF(Y309=1,X301,IF(Y309=2,X302,IF(Y309=3,X303,IF(Y309=4,X304,IF(OR(Y309="B",Y309="b"),"BYE","invalid")))))</f>
        <v>Extreme 14 Marion</v>
      </c>
      <c r="W286" s="402"/>
      <c r="X286" s="402"/>
      <c r="Y286" s="402"/>
      <c r="Z286" s="402"/>
      <c r="AA286" s="402"/>
      <c r="AB286" s="403"/>
      <c r="AC286" s="266"/>
      <c r="AD286" s="266"/>
      <c r="AE286" s="266"/>
      <c r="AF286" s="306"/>
      <c r="AG286" s="266"/>
      <c r="AH286" s="266"/>
      <c r="AW286" s="238"/>
      <c r="AX286" s="235"/>
      <c r="AY286" s="235"/>
      <c r="AZ286" s="235"/>
      <c r="BA286" s="235"/>
    </row>
    <row r="287" spans="1:56" x14ac:dyDescent="0.2">
      <c r="A287" s="404" t="s">
        <v>155</v>
      </c>
      <c r="B287" s="404"/>
      <c r="C287" s="404"/>
      <c r="D287" s="404"/>
      <c r="E287" s="404"/>
      <c r="F287" s="266"/>
      <c r="G287" s="266"/>
      <c r="H287" s="266"/>
      <c r="I287" s="266"/>
      <c r="J287" s="268"/>
      <c r="K287" s="266"/>
      <c r="L287" s="266"/>
      <c r="M287" s="266"/>
      <c r="N287" s="266"/>
      <c r="O287" s="266"/>
      <c r="P287" s="266"/>
      <c r="Q287" s="266"/>
      <c r="V287" s="453" t="s">
        <v>156</v>
      </c>
      <c r="W287" s="453"/>
      <c r="X287" s="453"/>
      <c r="Y287" s="453"/>
      <c r="Z287" s="453"/>
      <c r="AA287" s="453"/>
      <c r="AB287" s="453"/>
      <c r="AC287" s="266"/>
      <c r="AD287" s="266"/>
      <c r="AE287" s="266"/>
      <c r="AF287" s="306"/>
      <c r="AG287" s="266"/>
      <c r="AH287" s="266"/>
      <c r="AR287" s="273"/>
      <c r="AS287" s="273"/>
      <c r="AW287" s="238"/>
      <c r="AX287" s="235"/>
      <c r="AY287" s="235"/>
      <c r="AZ287" s="235"/>
      <c r="BA287" s="235"/>
      <c r="BB287" s="273"/>
      <c r="BC287" s="273"/>
      <c r="BD287" s="273"/>
    </row>
    <row r="288" spans="1:56" x14ac:dyDescent="0.2">
      <c r="A288" s="266"/>
      <c r="B288" s="266"/>
      <c r="C288" s="266"/>
      <c r="D288" s="266"/>
      <c r="E288" s="266"/>
      <c r="F288" s="413" t="s">
        <v>113</v>
      </c>
      <c r="G288" s="413"/>
      <c r="H288" s="413"/>
      <c r="I288" s="423"/>
      <c r="J288" s="268"/>
      <c r="K288" s="266"/>
      <c r="L288" s="266"/>
      <c r="M288" s="266"/>
      <c r="N288" s="266"/>
      <c r="O288" s="266"/>
      <c r="P288" s="266"/>
      <c r="Q288" s="266"/>
      <c r="S288" s="266"/>
      <c r="T288" s="266"/>
      <c r="U288" s="266"/>
      <c r="V288" s="266"/>
      <c r="W288" s="266"/>
      <c r="X288" s="270"/>
      <c r="Y288" s="270"/>
      <c r="Z288" s="270"/>
      <c r="AB288" s="270"/>
      <c r="AC288" s="413" t="s">
        <v>113</v>
      </c>
      <c r="AD288" s="413"/>
      <c r="AE288" s="413"/>
      <c r="AF288" s="423"/>
      <c r="AG288" s="266"/>
      <c r="AH288" s="266"/>
      <c r="AW288" s="238"/>
      <c r="AX288" s="235"/>
      <c r="AY288" s="235"/>
      <c r="AZ288" s="235"/>
      <c r="BA288" s="235"/>
    </row>
    <row r="289" spans="1:53" ht="13.5" thickBot="1" x14ac:dyDescent="0.25">
      <c r="A289" s="266"/>
      <c r="B289" s="266"/>
      <c r="C289" s="266"/>
      <c r="D289" s="266"/>
      <c r="E289" s="266"/>
      <c r="F289" s="266"/>
      <c r="G289" s="266"/>
      <c r="H289" s="266"/>
      <c r="I289" s="266"/>
      <c r="J289" s="424" t="str">
        <f>IF(K314=1,B301,IF(K314=2,B302,IF(K314=3,B303,IF(K314=4,B304,"Division Winner"))))</f>
        <v>NETVC 14AMy</v>
      </c>
      <c r="K289" s="425"/>
      <c r="L289" s="425"/>
      <c r="M289" s="425"/>
      <c r="N289" s="425"/>
      <c r="O289" s="425"/>
      <c r="P289" s="425"/>
      <c r="Q289" s="425"/>
      <c r="R289" s="267"/>
      <c r="S289" s="266"/>
      <c r="T289" s="266"/>
      <c r="U289" s="266"/>
      <c r="V289" s="266"/>
      <c r="W289" s="266"/>
      <c r="X289" s="266"/>
      <c r="Y289" s="266"/>
      <c r="Z289" s="266"/>
      <c r="AA289" s="266"/>
      <c r="AB289" s="275"/>
      <c r="AC289" s="275"/>
      <c r="AD289" s="275"/>
      <c r="AE289" s="275"/>
      <c r="AF289" s="308"/>
      <c r="AG289" s="424" t="str">
        <f>IF(AF314=1,X301,IF(AF314=2,X302,IF(AF314=3,X303,IF(AF314=4,X304,"Division Winner"))))</f>
        <v>BVA 14W</v>
      </c>
      <c r="AH289" s="425"/>
      <c r="AI289" s="425"/>
      <c r="AJ289" s="425"/>
      <c r="AK289" s="425"/>
      <c r="AL289" s="425"/>
      <c r="AW289" s="238"/>
      <c r="AX289" s="235"/>
      <c r="AY289" s="235"/>
      <c r="AZ289" s="235"/>
      <c r="BA289" s="235"/>
    </row>
    <row r="290" spans="1:53" ht="13.5" thickBot="1" x14ac:dyDescent="0.25">
      <c r="A290" s="402" t="str">
        <f>IF(E309=1,B301,IF(E309=2,B302,IF(E309=3,B303,IF(E309=4,B304,IF(OR(E309="B",E309="b"),"BYE","invalid")))))</f>
        <v>TC Extreme 14 Miranda</v>
      </c>
      <c r="B290" s="402"/>
      <c r="C290" s="402"/>
      <c r="D290" s="402"/>
      <c r="E290" s="402"/>
      <c r="F290" s="419" t="s">
        <v>114</v>
      </c>
      <c r="G290" s="419"/>
      <c r="H290" s="419"/>
      <c r="I290" s="419"/>
      <c r="J290" s="412" t="s">
        <v>115</v>
      </c>
      <c r="K290" s="413"/>
      <c r="L290" s="413"/>
      <c r="M290" s="413"/>
      <c r="N290" s="413"/>
      <c r="O290" s="413"/>
      <c r="P290" s="413"/>
      <c r="Q290" s="413"/>
      <c r="S290" s="275"/>
      <c r="T290" s="275"/>
      <c r="U290" s="275"/>
      <c r="V290" s="402" t="str">
        <f>IF(Z309=1,X301,IF(Z309=2,X302,IF(Z309=3,X303,IF(Z309=4,X304,IF(OR(Z309="B",Z309="b"),"BYE","invalid")))))</f>
        <v>Sumter VBC 14</v>
      </c>
      <c r="W290" s="402"/>
      <c r="X290" s="402"/>
      <c r="Y290" s="402"/>
      <c r="Z290" s="402"/>
      <c r="AA290" s="402"/>
      <c r="AB290" s="402"/>
      <c r="AC290" s="419" t="s">
        <v>116</v>
      </c>
      <c r="AD290" s="419"/>
      <c r="AE290" s="419"/>
      <c r="AF290" s="420"/>
      <c r="AG290" s="412" t="s">
        <v>117</v>
      </c>
      <c r="AH290" s="413"/>
      <c r="AI290" s="413"/>
      <c r="AJ290" s="413"/>
      <c r="AK290" s="413"/>
      <c r="AL290" s="413"/>
      <c r="AW290" s="238"/>
      <c r="AX290" s="235"/>
      <c r="AY290" s="235"/>
      <c r="AZ290" s="235"/>
      <c r="BA290" s="235"/>
    </row>
    <row r="291" spans="1:53" x14ac:dyDescent="0.2">
      <c r="A291" s="404" t="s">
        <v>118</v>
      </c>
      <c r="B291" s="404"/>
      <c r="C291" s="404"/>
      <c r="D291" s="404"/>
      <c r="E291" s="404"/>
      <c r="F291" s="268"/>
      <c r="G291" s="266"/>
      <c r="H291" s="266"/>
      <c r="I291" s="266"/>
      <c r="J291" s="412"/>
      <c r="K291" s="413"/>
      <c r="L291" s="413"/>
      <c r="M291" s="413"/>
      <c r="N291" s="413"/>
      <c r="O291" s="413"/>
      <c r="P291" s="413"/>
      <c r="Q291" s="413"/>
      <c r="R291" s="266"/>
      <c r="S291" s="273"/>
      <c r="T291" s="273"/>
      <c r="U291" s="273"/>
      <c r="V291" s="426" t="s">
        <v>157</v>
      </c>
      <c r="W291" s="426"/>
      <c r="X291" s="426"/>
      <c r="Y291" s="426"/>
      <c r="Z291" s="426"/>
      <c r="AA291" s="426"/>
      <c r="AB291" s="427"/>
      <c r="AC291" s="266"/>
      <c r="AD291" s="266"/>
      <c r="AE291" s="266"/>
      <c r="AF291" s="306"/>
      <c r="AG291" s="266"/>
      <c r="AH291" s="266"/>
      <c r="AW291" s="238"/>
      <c r="AX291" s="235"/>
      <c r="AY291" s="235"/>
      <c r="AZ291" s="235"/>
      <c r="BA291" s="235"/>
    </row>
    <row r="292" spans="1:53" x14ac:dyDescent="0.2">
      <c r="A292" s="266"/>
      <c r="B292" s="266"/>
      <c r="C292" s="266"/>
      <c r="D292" s="266"/>
      <c r="E292" s="266"/>
      <c r="F292" s="268"/>
      <c r="G292" s="266"/>
      <c r="H292" s="266"/>
      <c r="I292" s="266"/>
      <c r="J292" s="268"/>
      <c r="K292" s="266"/>
      <c r="L292" s="266"/>
      <c r="M292" s="266"/>
      <c r="N292" s="266"/>
      <c r="O292" s="266"/>
      <c r="Q292" s="266"/>
      <c r="R292" s="266"/>
      <c r="S292" s="266"/>
      <c r="T292" s="266"/>
      <c r="U292" s="266"/>
      <c r="V292" s="266"/>
      <c r="W292" s="266"/>
      <c r="X292" s="266"/>
      <c r="Y292" s="266"/>
      <c r="Z292" s="266"/>
      <c r="AA292" s="266"/>
      <c r="AB292" s="306"/>
      <c r="AC292" s="268"/>
      <c r="AD292" s="266"/>
      <c r="AE292" s="266"/>
      <c r="AF292" s="306"/>
      <c r="AG292" s="266"/>
      <c r="AH292" s="266"/>
      <c r="AW292" s="238"/>
      <c r="AX292" s="235"/>
      <c r="AY292" s="235"/>
      <c r="AZ292" s="235"/>
      <c r="BA292" s="235"/>
    </row>
    <row r="293" spans="1:53" ht="13.5" thickBot="1" x14ac:dyDescent="0.25">
      <c r="A293" s="413" t="s">
        <v>120</v>
      </c>
      <c r="B293" s="413"/>
      <c r="C293" s="413"/>
      <c r="D293" s="413"/>
      <c r="E293" s="271"/>
      <c r="F293" s="414"/>
      <c r="G293" s="415"/>
      <c r="H293" s="415"/>
      <c r="I293" s="416"/>
      <c r="J293" s="417"/>
      <c r="K293" s="418"/>
      <c r="L293" s="418"/>
      <c r="M293" s="418"/>
      <c r="N293" s="418"/>
      <c r="O293" s="266"/>
      <c r="R293" s="270"/>
      <c r="S293" s="270"/>
      <c r="T293" s="270"/>
      <c r="U293" s="413" t="s">
        <v>120</v>
      </c>
      <c r="V293" s="413"/>
      <c r="W293" s="413"/>
      <c r="X293" s="413"/>
      <c r="Y293" s="413"/>
      <c r="Z293" s="413"/>
      <c r="AA293" s="413"/>
      <c r="AB293" s="266"/>
      <c r="AC293" s="414"/>
      <c r="AD293" s="415"/>
      <c r="AE293" s="415"/>
      <c r="AF293" s="416"/>
      <c r="AG293" s="417"/>
      <c r="AH293" s="418"/>
      <c r="AI293" s="418"/>
      <c r="AW293" s="238"/>
      <c r="AX293" s="235"/>
      <c r="AY293" s="235"/>
      <c r="AZ293" s="235"/>
      <c r="BA293" s="235"/>
    </row>
    <row r="294" spans="1:53" x14ac:dyDescent="0.2">
      <c r="A294" s="419" t="s">
        <v>109</v>
      </c>
      <c r="B294" s="419"/>
      <c r="C294" s="419"/>
      <c r="D294" s="419"/>
      <c r="E294" s="420"/>
      <c r="F294" s="421" t="str">
        <f>IF(J309=1,B301,IF(J309=2,B302,IF(J309=3,B303,IF(J309=4,B304,"Winner Match 2"))))</f>
        <v>Lake Murray 14 Black</v>
      </c>
      <c r="G294" s="422"/>
      <c r="H294" s="422"/>
      <c r="I294" s="422"/>
      <c r="J294" s="422"/>
      <c r="K294" s="422"/>
      <c r="L294" s="422"/>
      <c r="M294" s="422"/>
      <c r="N294" s="422"/>
      <c r="O294" s="266"/>
      <c r="Q294" s="271"/>
      <c r="R294" s="271"/>
      <c r="T294" s="272"/>
      <c r="U294" s="419" t="s">
        <v>110</v>
      </c>
      <c r="V294" s="419"/>
      <c r="W294" s="419"/>
      <c r="X294" s="419"/>
      <c r="Y294" s="419"/>
      <c r="Z294" s="419"/>
      <c r="AA294" s="419"/>
      <c r="AB294" s="306"/>
      <c r="AC294" s="421" t="str">
        <f>IF(AE309=1,X301,IF(AE309=2,X302,IF(AE309=3,X303,IF(AE309=4,X304,"Winner Match 2"))))</f>
        <v>BVA 14W</v>
      </c>
      <c r="AD294" s="422"/>
      <c r="AE294" s="422"/>
      <c r="AF294" s="422"/>
      <c r="AG294" s="422"/>
      <c r="AH294" s="422"/>
      <c r="AI294" s="422"/>
      <c r="AW294" s="238"/>
      <c r="AX294" s="235"/>
      <c r="AY294" s="235"/>
      <c r="AZ294" s="235"/>
      <c r="BA294" s="235"/>
    </row>
    <row r="295" spans="1:53" ht="13.5" thickBot="1" x14ac:dyDescent="0.25">
      <c r="A295" s="402" t="str">
        <f>IF(G309=1,B301,IF(G309=2,B302,IF(G309=3,B303,IF(G309=4,B304,IF(OR(G309="B",G309="b"),"BYE","invalid")))))</f>
        <v>Lake Murray 14 Black</v>
      </c>
      <c r="B295" s="402"/>
      <c r="C295" s="402"/>
      <c r="D295" s="402"/>
      <c r="E295" s="403"/>
      <c r="F295" s="268"/>
      <c r="G295" s="266"/>
      <c r="H295" s="266"/>
      <c r="I295" s="266"/>
      <c r="J295" s="266"/>
      <c r="K295" s="266"/>
      <c r="L295" s="266"/>
      <c r="M295" s="266"/>
      <c r="N295" s="266"/>
      <c r="O295" s="266"/>
      <c r="Q295" s="266"/>
      <c r="R295" s="266"/>
      <c r="S295" s="266"/>
      <c r="T295" s="275"/>
      <c r="U295" s="275"/>
      <c r="V295" s="402" t="str">
        <f>IF(AB309=1,X301,IF(AB309=2,X302,IF(AB309=3,X303,IF(AB309=4,X304,IF(OR(AB309="B",AB309="b"),"BYE","invalid")))))</f>
        <v>BVA 14W</v>
      </c>
      <c r="W295" s="402"/>
      <c r="X295" s="402"/>
      <c r="Y295" s="402"/>
      <c r="Z295" s="402"/>
      <c r="AA295" s="402"/>
      <c r="AB295" s="403"/>
      <c r="AC295" s="266"/>
      <c r="AD295" s="266"/>
      <c r="AE295" s="266"/>
      <c r="AF295" s="266"/>
      <c r="AW295" s="238"/>
      <c r="AX295" s="235"/>
      <c r="AY295" s="235"/>
      <c r="AZ295" s="235"/>
      <c r="BA295" s="235"/>
    </row>
    <row r="296" spans="1:53" x14ac:dyDescent="0.2">
      <c r="A296" s="404" t="s">
        <v>1170</v>
      </c>
      <c r="B296" s="404"/>
      <c r="C296" s="404"/>
      <c r="D296" s="404"/>
      <c r="E296" s="404"/>
      <c r="T296" s="273"/>
      <c r="U296" s="273"/>
      <c r="V296" s="426" t="s">
        <v>159</v>
      </c>
      <c r="W296" s="426"/>
      <c r="X296" s="426"/>
      <c r="Y296" s="426"/>
      <c r="Z296" s="426"/>
      <c r="AA296" s="426"/>
      <c r="AB296" s="426"/>
      <c r="AW296" s="238"/>
      <c r="AX296" s="235"/>
      <c r="AY296" s="235"/>
      <c r="AZ296" s="235"/>
      <c r="BA296" s="235"/>
    </row>
    <row r="297" spans="1:53" x14ac:dyDescent="0.2">
      <c r="AT297" s="235"/>
      <c r="AU297" s="235"/>
      <c r="AV297" s="235"/>
      <c r="AW297" s="238"/>
      <c r="AX297" s="235"/>
      <c r="AY297" s="235"/>
      <c r="AZ297" s="235"/>
      <c r="BA297" s="235"/>
    </row>
    <row r="298" spans="1:53" x14ac:dyDescent="0.2">
      <c r="AT298" s="235"/>
      <c r="AU298" s="235"/>
      <c r="AV298" s="235"/>
      <c r="AW298" s="238"/>
      <c r="AX298" s="235"/>
      <c r="AY298" s="235"/>
      <c r="AZ298" s="235"/>
      <c r="BA298" s="235"/>
    </row>
    <row r="299" spans="1:53" ht="16.5" thickBot="1" x14ac:dyDescent="0.3">
      <c r="A299" s="405" t="s">
        <v>123</v>
      </c>
      <c r="B299" s="405"/>
      <c r="C299" s="405"/>
      <c r="D299" s="405"/>
      <c r="E299" s="405"/>
      <c r="F299" s="405"/>
      <c r="G299" s="405"/>
      <c r="H299" s="405"/>
      <c r="I299" s="405"/>
      <c r="J299" s="405"/>
      <c r="K299" s="311"/>
      <c r="R299" s="263"/>
      <c r="S299" s="263"/>
      <c r="T299" s="263"/>
      <c r="U299" s="405" t="s">
        <v>124</v>
      </c>
      <c r="V299" s="405"/>
      <c r="W299" s="405"/>
      <c r="X299" s="405"/>
      <c r="Y299" s="405"/>
      <c r="Z299" s="405"/>
      <c r="AA299" s="405"/>
      <c r="AB299" s="405"/>
      <c r="AC299" s="405"/>
      <c r="AD299" s="405"/>
      <c r="AE299" s="405"/>
      <c r="AF299" s="405"/>
      <c r="AT299" s="235"/>
      <c r="AU299" s="235"/>
      <c r="AV299" s="235"/>
      <c r="AW299" s="238"/>
      <c r="AX299" s="235"/>
      <c r="AY299" s="235"/>
      <c r="AZ299" s="235"/>
      <c r="BA299" s="235"/>
    </row>
    <row r="300" spans="1:53" ht="13.5" thickBot="1" x14ac:dyDescent="0.25">
      <c r="A300" s="277" t="s">
        <v>125</v>
      </c>
      <c r="B300" s="406" t="s">
        <v>126</v>
      </c>
      <c r="C300" s="407"/>
      <c r="D300" s="407"/>
      <c r="E300" s="407"/>
      <c r="F300" s="407"/>
      <c r="G300" s="407"/>
      <c r="H300" s="407"/>
      <c r="I300" s="407"/>
      <c r="J300" s="408"/>
      <c r="K300" s="409" t="s">
        <v>127</v>
      </c>
      <c r="L300" s="410"/>
      <c r="M300" s="410"/>
      <c r="N300" s="410"/>
      <c r="O300" s="410"/>
      <c r="P300" s="410"/>
      <c r="Q300" s="411"/>
      <c r="R300" s="266"/>
      <c r="U300" s="450" t="s">
        <v>125</v>
      </c>
      <c r="V300" s="451"/>
      <c r="W300" s="452"/>
      <c r="X300" s="406" t="s">
        <v>126</v>
      </c>
      <c r="Y300" s="407"/>
      <c r="Z300" s="407"/>
      <c r="AA300" s="407"/>
      <c r="AB300" s="407"/>
      <c r="AC300" s="407"/>
      <c r="AD300" s="407"/>
      <c r="AE300" s="407"/>
      <c r="AF300" s="408"/>
      <c r="AG300" s="409" t="s">
        <v>127</v>
      </c>
      <c r="AH300" s="410"/>
      <c r="AI300" s="410"/>
      <c r="AJ300" s="410"/>
      <c r="AK300" s="410"/>
      <c r="AL300" s="410"/>
      <c r="AM300" s="411"/>
      <c r="AT300" s="235"/>
      <c r="AU300" s="235"/>
      <c r="AV300" s="235"/>
      <c r="AW300" s="238"/>
      <c r="AX300" s="235"/>
      <c r="AY300" s="235"/>
      <c r="AZ300" s="235"/>
      <c r="BA300" s="235"/>
    </row>
    <row r="301" spans="1:53" ht="13.5" thickBot="1" x14ac:dyDescent="0.25">
      <c r="A301" s="277">
        <v>1</v>
      </c>
      <c r="B301" s="396" t="str">
        <f>B264</f>
        <v>NETVC 14AMy</v>
      </c>
      <c r="C301" s="397"/>
      <c r="D301" s="397"/>
      <c r="E301" s="397"/>
      <c r="F301" s="397"/>
      <c r="G301" s="397"/>
      <c r="H301" s="397"/>
      <c r="I301" s="397"/>
      <c r="J301" s="398"/>
      <c r="K301" s="399" t="str">
        <f>F264</f>
        <v>fj4netvc3so</v>
      </c>
      <c r="L301" s="400"/>
      <c r="M301" s="400"/>
      <c r="N301" s="400"/>
      <c r="O301" s="400"/>
      <c r="P301" s="400"/>
      <c r="Q301" s="401"/>
      <c r="R301" s="266"/>
      <c r="U301" s="450">
        <v>1</v>
      </c>
      <c r="V301" s="451"/>
      <c r="W301" s="452"/>
      <c r="X301" s="396" t="str">
        <f>M270</f>
        <v>Extreme 14-2</v>
      </c>
      <c r="Y301" s="397"/>
      <c r="Z301" s="397"/>
      <c r="AA301" s="397"/>
      <c r="AB301" s="397"/>
      <c r="AC301" s="397"/>
      <c r="AD301" s="397"/>
      <c r="AE301" s="397"/>
      <c r="AF301" s="398"/>
      <c r="AG301" s="399" t="str">
        <f>T270</f>
        <v>fj4extvb2so</v>
      </c>
      <c r="AH301" s="400"/>
      <c r="AI301" s="400"/>
      <c r="AJ301" s="400"/>
      <c r="AK301" s="400"/>
      <c r="AL301" s="400"/>
      <c r="AM301" s="401"/>
      <c r="AT301" s="235"/>
      <c r="AU301" s="235"/>
      <c r="AV301" s="235"/>
      <c r="AW301" s="238"/>
      <c r="AX301" s="235"/>
      <c r="AY301" s="235"/>
      <c r="AZ301" s="235"/>
      <c r="BA301" s="235"/>
    </row>
    <row r="302" spans="1:53" ht="13.5" thickBot="1" x14ac:dyDescent="0.25">
      <c r="A302" s="277">
        <v>2</v>
      </c>
      <c r="B302" s="396" t="str">
        <f>B265</f>
        <v>TC Extreme 14 Miranda</v>
      </c>
      <c r="C302" s="397"/>
      <c r="D302" s="397"/>
      <c r="E302" s="397"/>
      <c r="F302" s="397"/>
      <c r="G302" s="397"/>
      <c r="H302" s="397"/>
      <c r="I302" s="397"/>
      <c r="J302" s="398"/>
      <c r="K302" s="399" t="str">
        <f>F265</f>
        <v>fj4triex2so</v>
      </c>
      <c r="L302" s="400"/>
      <c r="M302" s="400"/>
      <c r="N302" s="400"/>
      <c r="O302" s="400"/>
      <c r="P302" s="400"/>
      <c r="Q302" s="401"/>
      <c r="R302" s="266"/>
      <c r="U302" s="450">
        <v>2</v>
      </c>
      <c r="V302" s="451"/>
      <c r="W302" s="452"/>
      <c r="X302" s="396" t="str">
        <f>M271</f>
        <v>Sumter VBC 14</v>
      </c>
      <c r="Y302" s="397"/>
      <c r="Z302" s="397"/>
      <c r="AA302" s="397"/>
      <c r="AB302" s="397"/>
      <c r="AC302" s="397"/>
      <c r="AD302" s="397"/>
      <c r="AE302" s="397"/>
      <c r="AF302" s="398"/>
      <c r="AG302" s="399" t="str">
        <f>T271</f>
        <v>fj4sumtr1pm</v>
      </c>
      <c r="AH302" s="400"/>
      <c r="AI302" s="400"/>
      <c r="AJ302" s="400"/>
      <c r="AK302" s="400"/>
      <c r="AL302" s="400"/>
      <c r="AM302" s="401"/>
      <c r="AT302" s="235"/>
      <c r="AU302" s="235"/>
      <c r="AV302" s="235"/>
      <c r="AW302" s="238"/>
      <c r="AX302" s="235"/>
      <c r="AY302" s="235"/>
      <c r="AZ302" s="235"/>
      <c r="BA302" s="235"/>
    </row>
    <row r="303" spans="1:53" ht="13.5" thickBot="1" x14ac:dyDescent="0.25">
      <c r="A303" s="277">
        <v>3</v>
      </c>
      <c r="B303" s="396" t="str">
        <f>B266</f>
        <v>Lake Murray 14 Black</v>
      </c>
      <c r="C303" s="397"/>
      <c r="D303" s="397"/>
      <c r="E303" s="397"/>
      <c r="F303" s="397"/>
      <c r="G303" s="397"/>
      <c r="H303" s="397"/>
      <c r="I303" s="397"/>
      <c r="J303" s="398"/>
      <c r="K303" s="399" t="str">
        <f>F266</f>
        <v>fj4lakem2pm</v>
      </c>
      <c r="L303" s="400"/>
      <c r="M303" s="400"/>
      <c r="N303" s="400"/>
      <c r="O303" s="400"/>
      <c r="P303" s="400"/>
      <c r="Q303" s="401"/>
      <c r="R303" s="266"/>
      <c r="U303" s="450">
        <v>3</v>
      </c>
      <c r="V303" s="451"/>
      <c r="W303" s="452"/>
      <c r="X303" s="396" t="str">
        <f>X269</f>
        <v>BVA 14W</v>
      </c>
      <c r="Y303" s="397"/>
      <c r="Z303" s="397"/>
      <c r="AA303" s="397"/>
      <c r="AB303" s="397"/>
      <c r="AC303" s="397"/>
      <c r="AD303" s="397"/>
      <c r="AE303" s="397"/>
      <c r="AF303" s="398"/>
      <c r="AG303" s="399" t="str">
        <f>AF269</f>
        <v>fj4biltm3cr</v>
      </c>
      <c r="AH303" s="400"/>
      <c r="AI303" s="400"/>
      <c r="AJ303" s="400"/>
      <c r="AK303" s="400"/>
      <c r="AL303" s="400"/>
      <c r="AM303" s="401"/>
      <c r="AT303" s="235"/>
      <c r="AU303" s="235"/>
      <c r="AV303" s="235"/>
      <c r="AW303" s="238"/>
      <c r="AX303" s="235"/>
      <c r="AY303" s="235"/>
      <c r="AZ303" s="235"/>
      <c r="BA303" s="235"/>
    </row>
    <row r="304" spans="1:53" ht="13.5" thickBot="1" x14ac:dyDescent="0.25">
      <c r="A304" s="277">
        <v>4</v>
      </c>
      <c r="B304" s="447" t="str">
        <f>M269</f>
        <v>Vision 14 Regional</v>
      </c>
      <c r="C304" s="448"/>
      <c r="D304" s="448"/>
      <c r="E304" s="448"/>
      <c r="F304" s="448"/>
      <c r="G304" s="448"/>
      <c r="H304" s="448"/>
      <c r="I304" s="448"/>
      <c r="J304" s="449"/>
      <c r="K304" s="399" t="str">
        <f>T269</f>
        <v>fj4vison2pm</v>
      </c>
      <c r="L304" s="400"/>
      <c r="M304" s="400"/>
      <c r="N304" s="400"/>
      <c r="O304" s="400"/>
      <c r="P304" s="400"/>
      <c r="Q304" s="401"/>
      <c r="R304" s="266"/>
      <c r="U304" s="450">
        <v>4</v>
      </c>
      <c r="V304" s="451"/>
      <c r="W304" s="452"/>
      <c r="X304" s="396" t="str">
        <f>X270</f>
        <v>Extreme 14 Marion</v>
      </c>
      <c r="Y304" s="397"/>
      <c r="Z304" s="397"/>
      <c r="AA304" s="397"/>
      <c r="AB304" s="397"/>
      <c r="AC304" s="397"/>
      <c r="AD304" s="397"/>
      <c r="AE304" s="397"/>
      <c r="AF304" s="398"/>
      <c r="AG304" s="399" t="str">
        <f>AF270</f>
        <v>fj4triex4so</v>
      </c>
      <c r="AH304" s="400"/>
      <c r="AI304" s="400"/>
      <c r="AJ304" s="400"/>
      <c r="AK304" s="400"/>
      <c r="AL304" s="400"/>
      <c r="AM304" s="401"/>
      <c r="AT304" s="235"/>
      <c r="AU304" s="235"/>
      <c r="AV304" s="235"/>
      <c r="AW304" s="238"/>
      <c r="AX304" s="235"/>
      <c r="AY304" s="235"/>
      <c r="AZ304" s="235"/>
      <c r="BA304" s="235"/>
    </row>
    <row r="305" spans="1:71" ht="13.5" thickBot="1" x14ac:dyDescent="0.25">
      <c r="AT305" s="235"/>
      <c r="AU305" s="235"/>
      <c r="AV305" s="235"/>
      <c r="AW305" s="238"/>
      <c r="AX305" s="235"/>
      <c r="AY305" s="235"/>
      <c r="AZ305" s="235"/>
      <c r="BA305" s="235"/>
    </row>
    <row r="306" spans="1:71" x14ac:dyDescent="0.2">
      <c r="B306" s="372" t="s">
        <v>128</v>
      </c>
      <c r="C306" s="373"/>
      <c r="D306" s="374"/>
      <c r="E306" s="375" t="s">
        <v>128</v>
      </c>
      <c r="F306" s="373"/>
      <c r="G306" s="374"/>
      <c r="H306" s="375" t="s">
        <v>11</v>
      </c>
      <c r="I306" s="373"/>
      <c r="J306" s="376"/>
      <c r="K306" s="377" t="s">
        <v>129</v>
      </c>
      <c r="L306" s="378"/>
      <c r="M306" s="378"/>
      <c r="N306" s="378"/>
      <c r="O306" s="378"/>
      <c r="P306" s="378"/>
      <c r="Q306" s="379"/>
      <c r="R306" s="278"/>
      <c r="S306" s="278"/>
      <c r="T306" s="278"/>
      <c r="U306" s="278"/>
      <c r="W306" s="372" t="s">
        <v>128</v>
      </c>
      <c r="X306" s="373"/>
      <c r="Y306" s="374"/>
      <c r="Z306" s="375" t="s">
        <v>128</v>
      </c>
      <c r="AA306" s="373"/>
      <c r="AB306" s="374"/>
      <c r="AC306" s="375" t="s">
        <v>11</v>
      </c>
      <c r="AD306" s="373"/>
      <c r="AE306" s="376"/>
      <c r="AF306" s="377" t="s">
        <v>129</v>
      </c>
      <c r="AG306" s="437"/>
      <c r="AH306" s="437"/>
      <c r="AI306" s="437"/>
      <c r="AJ306" s="438"/>
      <c r="AW306" s="238"/>
      <c r="AX306" s="235"/>
      <c r="AY306" s="235"/>
      <c r="AZ306" s="235"/>
      <c r="BA306" s="235"/>
    </row>
    <row r="307" spans="1:71" x14ac:dyDescent="0.2">
      <c r="A307" s="221" t="s">
        <v>130</v>
      </c>
      <c r="B307" s="386">
        <v>3</v>
      </c>
      <c r="C307" s="387"/>
      <c r="D307" s="388"/>
      <c r="E307" s="389" t="s">
        <v>131</v>
      </c>
      <c r="F307" s="387"/>
      <c r="G307" s="388"/>
      <c r="H307" s="389" t="s">
        <v>132</v>
      </c>
      <c r="I307" s="387"/>
      <c r="J307" s="390"/>
      <c r="K307" s="380"/>
      <c r="L307" s="381"/>
      <c r="M307" s="381"/>
      <c r="N307" s="381"/>
      <c r="O307" s="381"/>
      <c r="P307" s="381"/>
      <c r="Q307" s="382"/>
      <c r="R307" s="278"/>
      <c r="S307" s="278"/>
      <c r="T307" s="445" t="s">
        <v>130</v>
      </c>
      <c r="U307" s="445"/>
      <c r="V307" s="446"/>
      <c r="W307" s="386">
        <v>3</v>
      </c>
      <c r="X307" s="387"/>
      <c r="Y307" s="388"/>
      <c r="Z307" s="389" t="s">
        <v>131</v>
      </c>
      <c r="AA307" s="387"/>
      <c r="AB307" s="388"/>
      <c r="AC307" s="389" t="s">
        <v>132</v>
      </c>
      <c r="AD307" s="387"/>
      <c r="AE307" s="390"/>
      <c r="AF307" s="439"/>
      <c r="AG307" s="440"/>
      <c r="AH307" s="440"/>
      <c r="AI307" s="440"/>
      <c r="AJ307" s="441"/>
      <c r="AW307" s="238"/>
      <c r="AX307" s="235"/>
      <c r="AY307" s="235"/>
      <c r="AZ307" s="235"/>
      <c r="BA307" s="235"/>
    </row>
    <row r="308" spans="1:71" ht="13.5" thickBot="1" x14ac:dyDescent="0.25">
      <c r="A308" s="195"/>
      <c r="B308" s="391" t="s">
        <v>43</v>
      </c>
      <c r="C308" s="392"/>
      <c r="D308" s="393"/>
      <c r="E308" s="394" t="s">
        <v>133</v>
      </c>
      <c r="F308" s="392"/>
      <c r="G308" s="393"/>
      <c r="H308" s="394" t="s">
        <v>134</v>
      </c>
      <c r="I308" s="392"/>
      <c r="J308" s="395"/>
      <c r="K308" s="383"/>
      <c r="L308" s="384"/>
      <c r="M308" s="384"/>
      <c r="N308" s="384"/>
      <c r="O308" s="384"/>
      <c r="P308" s="384"/>
      <c r="Q308" s="385"/>
      <c r="R308" s="278"/>
      <c r="S308" s="278"/>
      <c r="T308" s="433"/>
      <c r="U308" s="433"/>
      <c r="V308" s="434"/>
      <c r="W308" s="391" t="s">
        <v>43</v>
      </c>
      <c r="X308" s="392"/>
      <c r="Y308" s="393"/>
      <c r="Z308" s="394" t="s">
        <v>133</v>
      </c>
      <c r="AA308" s="392"/>
      <c r="AB308" s="393"/>
      <c r="AC308" s="394" t="s">
        <v>134</v>
      </c>
      <c r="AD308" s="392"/>
      <c r="AE308" s="395"/>
      <c r="AF308" s="442"/>
      <c r="AG308" s="443"/>
      <c r="AH308" s="443"/>
      <c r="AI308" s="443"/>
      <c r="AJ308" s="444"/>
      <c r="AW308" s="238"/>
      <c r="AX308" s="235"/>
      <c r="AY308" s="235"/>
      <c r="AZ308" s="235"/>
      <c r="BA308" s="235"/>
    </row>
    <row r="309" spans="1:71" ht="13.5" thickBot="1" x14ac:dyDescent="0.25">
      <c r="A309" s="195"/>
      <c r="B309" s="279">
        <v>1</v>
      </c>
      <c r="C309" s="280" t="s">
        <v>51</v>
      </c>
      <c r="D309" s="281">
        <v>4</v>
      </c>
      <c r="E309" s="282">
        <v>2</v>
      </c>
      <c r="F309" s="280" t="s">
        <v>51</v>
      </c>
      <c r="G309" s="281">
        <v>3</v>
      </c>
      <c r="H309" s="283">
        <f>IF(OR(AND(OR(B313&gt;0,D313&gt;0),B313&gt;D313),OR(D309="b",D309="B")),B309,IF(OR(AND(OR(B313&gt;0,D313&gt;0),D313&gt;B313),OR(B309="b",B309="B")),D309,"W1"))</f>
        <v>1</v>
      </c>
      <c r="I309" s="284" t="s">
        <v>51</v>
      </c>
      <c r="J309" s="285">
        <f>IF(OR(AND(OR(E313&gt;0,G313&gt;0),E313&gt;G313),OR(G309="b",G309="B")),E309,IF(OR(AND(OR(E313&gt;0,G313&gt;0),G313&gt;E313),OR(E309="b",E309="B")),G309,"W2"))</f>
        <v>3</v>
      </c>
      <c r="K309" s="359" t="s">
        <v>135</v>
      </c>
      <c r="L309" s="360"/>
      <c r="M309" s="360"/>
      <c r="N309" s="361"/>
      <c r="R309" s="278"/>
      <c r="S309" s="278"/>
      <c r="T309" s="433"/>
      <c r="U309" s="433"/>
      <c r="V309" s="434"/>
      <c r="W309" s="279">
        <v>1</v>
      </c>
      <c r="X309" s="280" t="s">
        <v>51</v>
      </c>
      <c r="Y309" s="281">
        <v>4</v>
      </c>
      <c r="Z309" s="282">
        <v>2</v>
      </c>
      <c r="AA309" s="280" t="s">
        <v>51</v>
      </c>
      <c r="AB309" s="281">
        <v>3</v>
      </c>
      <c r="AC309" s="283">
        <f>IF(OR(AND(OR(W313&gt;0,Y313&gt;0),W313&gt;Y313),OR(Y309="b",Y309="B")),W309,IF(OR(AND(OR(W313&gt;0,Y313&gt;0),Y313&gt;W313),OR(W309="b",W309="B")),Y309,"W1"))</f>
        <v>1</v>
      </c>
      <c r="AD309" s="284" t="s">
        <v>51</v>
      </c>
      <c r="AE309" s="285">
        <f>IF(OR(AND(OR(Z313&gt;0,AB313&gt;0),Z313&gt;AB313),OR(AB313="b",AB313="B")),Z309,IF(OR(AND(OR(Z313&gt;0,AB313&gt;0),AB313&gt;Z313),OR(Z313="b",Z313="B")),AB309,"W2"))</f>
        <v>3</v>
      </c>
      <c r="AF309" s="359" t="s">
        <v>135</v>
      </c>
      <c r="AG309" s="361"/>
      <c r="AH309" s="278"/>
      <c r="AI309" s="278"/>
      <c r="AJ309" s="278"/>
      <c r="AW309" s="238"/>
      <c r="AX309" s="235"/>
      <c r="AY309" s="235"/>
      <c r="AZ309" s="235"/>
      <c r="BA309" s="235"/>
    </row>
    <row r="310" spans="1:71" ht="13.5" hidden="1" customHeight="1" x14ac:dyDescent="0.2">
      <c r="A310" s="195"/>
      <c r="B310" s="288">
        <f>IF(B314&gt;D314,1,0)</f>
        <v>1</v>
      </c>
      <c r="C310" s="289"/>
      <c r="D310" s="290">
        <f>IF(D314&gt;B314,1,0)</f>
        <v>0</v>
      </c>
      <c r="E310" s="288">
        <f>IF(E314&gt;G314,1,0)</f>
        <v>0</v>
      </c>
      <c r="F310" s="289"/>
      <c r="G310" s="290">
        <f>IF(G314&gt;E314,1,0)</f>
        <v>1</v>
      </c>
      <c r="H310" s="288">
        <f>IF(H314&gt;J314,1,0)</f>
        <v>1</v>
      </c>
      <c r="I310" s="289"/>
      <c r="J310" s="290">
        <f>IF(J314&gt;H314,1,0)</f>
        <v>0</v>
      </c>
      <c r="K310" s="291"/>
      <c r="L310" s="292"/>
      <c r="M310" s="292"/>
      <c r="N310" s="293"/>
      <c r="R310" s="278"/>
      <c r="S310" s="278"/>
      <c r="T310" s="433"/>
      <c r="U310" s="433"/>
      <c r="V310" s="434"/>
      <c r="W310" s="288">
        <f>IF(W314&gt;Y314,1,0)</f>
        <v>1</v>
      </c>
      <c r="X310" s="289"/>
      <c r="Y310" s="290">
        <f>IF(Y314&gt;W314,1,0)</f>
        <v>0</v>
      </c>
      <c r="Z310" s="288">
        <f>IF(Z314&gt;AB314,1,0)</f>
        <v>0</v>
      </c>
      <c r="AA310" s="289"/>
      <c r="AB310" s="290">
        <f>IF(AB314&gt;Z314,1,0)</f>
        <v>1</v>
      </c>
      <c r="AC310" s="288">
        <f>IF(AC314&gt;AE314,1,0)</f>
        <v>1</v>
      </c>
      <c r="AD310" s="289"/>
      <c r="AE310" s="290">
        <f>IF(AE314&gt;AC314,1,0)</f>
        <v>0</v>
      </c>
      <c r="AF310" s="286"/>
      <c r="AG310" s="287"/>
      <c r="AH310" s="278"/>
      <c r="AI310" s="278"/>
      <c r="AJ310" s="278"/>
      <c r="AW310" s="238"/>
      <c r="AX310" s="235"/>
      <c r="AY310" s="235"/>
      <c r="AZ310" s="235"/>
      <c r="BA310" s="235"/>
    </row>
    <row r="311" spans="1:71" ht="13.5" hidden="1" customHeight="1" x14ac:dyDescent="0.2">
      <c r="A311" s="195"/>
      <c r="B311" s="288">
        <f>IF(B315&gt;D315,1,0)</f>
        <v>0</v>
      </c>
      <c r="C311" s="289"/>
      <c r="D311" s="290">
        <f>IF(D315&gt;B315,1,0)</f>
        <v>0</v>
      </c>
      <c r="E311" s="288">
        <f>IF(E315&gt;G315,1,0)</f>
        <v>0</v>
      </c>
      <c r="F311" s="289"/>
      <c r="G311" s="290">
        <f>IF(G315&gt;E315,1,0)</f>
        <v>0</v>
      </c>
      <c r="H311" s="288">
        <f>IF(H315&gt;J315,1,0)</f>
        <v>1</v>
      </c>
      <c r="I311" s="289"/>
      <c r="J311" s="290">
        <f>IF(J315&gt;H315,1,0)</f>
        <v>0</v>
      </c>
      <c r="K311" s="291"/>
      <c r="L311" s="292"/>
      <c r="M311" s="292"/>
      <c r="N311" s="293"/>
      <c r="R311" s="278"/>
      <c r="S311" s="278"/>
      <c r="T311" s="433"/>
      <c r="U311" s="433"/>
      <c r="V311" s="434"/>
      <c r="W311" s="288">
        <f>IF(W315&gt;Y315,1,0)</f>
        <v>0</v>
      </c>
      <c r="X311" s="289"/>
      <c r="Y311" s="290">
        <f>IF(Y315&gt;W315,1,0)</f>
        <v>0</v>
      </c>
      <c r="Z311" s="288">
        <f>IF(Z315&gt;AB315,1,0)</f>
        <v>0</v>
      </c>
      <c r="AA311" s="289"/>
      <c r="AB311" s="290">
        <f>IF(AB315&gt;Z315,1,0)</f>
        <v>0</v>
      </c>
      <c r="AC311" s="288">
        <f>IF(AC315&gt;AE315,1,0)</f>
        <v>0</v>
      </c>
      <c r="AD311" s="289"/>
      <c r="AE311" s="290">
        <f>IF(AE315&gt;AC315,1,0)</f>
        <v>1</v>
      </c>
      <c r="AF311" s="286"/>
      <c r="AG311" s="287"/>
      <c r="AH311" s="278"/>
      <c r="AI311" s="278"/>
      <c r="AJ311" s="278"/>
      <c r="AW311" s="238"/>
      <c r="AX311" s="235"/>
      <c r="AY311" s="235"/>
      <c r="AZ311" s="235"/>
      <c r="BA311" s="235"/>
    </row>
    <row r="312" spans="1:71" ht="13.5" hidden="1" customHeight="1" thickBot="1" x14ac:dyDescent="0.25">
      <c r="A312" s="195"/>
      <c r="B312" s="288">
        <f>IF(B316&gt;D316,1,0)</f>
        <v>0</v>
      </c>
      <c r="C312" s="289"/>
      <c r="D312" s="290">
        <f>IF(D316&gt;B316,1,0)</f>
        <v>0</v>
      </c>
      <c r="E312" s="288">
        <f>IF(E316&gt;G316,1,0)</f>
        <v>0</v>
      </c>
      <c r="F312" s="289"/>
      <c r="G312" s="290">
        <f>IF(G316&gt;E316,1,0)</f>
        <v>0</v>
      </c>
      <c r="H312" s="288">
        <f>IF(H316&gt;J316,1,0)</f>
        <v>0</v>
      </c>
      <c r="I312" s="289"/>
      <c r="J312" s="290">
        <f>IF(J316&gt;H316,1,0)</f>
        <v>0</v>
      </c>
      <c r="K312" s="291"/>
      <c r="L312" s="292"/>
      <c r="M312" s="292"/>
      <c r="N312" s="293"/>
      <c r="R312" s="278"/>
      <c r="S312" s="278"/>
      <c r="T312" s="433"/>
      <c r="U312" s="433"/>
      <c r="V312" s="434"/>
      <c r="W312" s="288">
        <f>IF(W316&gt;Y316,1,0)</f>
        <v>0</v>
      </c>
      <c r="X312" s="289"/>
      <c r="Y312" s="290">
        <f>IF(Y316&gt;W316,1,0)</f>
        <v>0</v>
      </c>
      <c r="Z312" s="288">
        <f>IF(Z316&gt;AB316,1,0)</f>
        <v>0</v>
      </c>
      <c r="AA312" s="289"/>
      <c r="AB312" s="290">
        <f>IF(AB316&gt;Z316,1,0)</f>
        <v>0</v>
      </c>
      <c r="AC312" s="288">
        <f>IF(AC316&gt;AE316,1,0)</f>
        <v>0</v>
      </c>
      <c r="AD312" s="289"/>
      <c r="AE312" s="290">
        <f>IF(AE316&gt;AC316,1,0)</f>
        <v>1</v>
      </c>
      <c r="AF312" s="286"/>
      <c r="AG312" s="287"/>
      <c r="AH312" s="278"/>
      <c r="AI312" s="278"/>
      <c r="AJ312" s="278"/>
      <c r="AW312" s="238"/>
      <c r="AX312" s="235"/>
      <c r="AY312" s="235"/>
      <c r="AZ312" s="235"/>
      <c r="BA312" s="235"/>
    </row>
    <row r="313" spans="1:71" ht="13.5" hidden="1" customHeight="1" x14ac:dyDescent="0.2">
      <c r="A313" s="195"/>
      <c r="B313" s="288">
        <f>SUM(B310:B312)</f>
        <v>1</v>
      </c>
      <c r="C313" s="289"/>
      <c r="D313" s="288">
        <f>SUM(D310:D312)</f>
        <v>0</v>
      </c>
      <c r="E313" s="288">
        <f>SUM(E310:E312)</f>
        <v>0</v>
      </c>
      <c r="F313" s="289"/>
      <c r="G313" s="288">
        <f>SUM(G310:G312)</f>
        <v>1</v>
      </c>
      <c r="H313" s="288">
        <f>SUM(H310:H312)</f>
        <v>2</v>
      </c>
      <c r="I313" s="289"/>
      <c r="J313" s="288">
        <f>SUM(J310:J312)</f>
        <v>0</v>
      </c>
      <c r="K313" s="291"/>
      <c r="L313" s="292"/>
      <c r="M313" s="292"/>
      <c r="N313" s="293"/>
      <c r="R313" s="278"/>
      <c r="S313" s="278"/>
      <c r="T313" s="433"/>
      <c r="U313" s="433"/>
      <c r="V313" s="434"/>
      <c r="W313" s="288">
        <f>SUM(W310:W312)</f>
        <v>1</v>
      </c>
      <c r="X313" s="289"/>
      <c r="Y313" s="288">
        <f>SUM(Y310:Y312)</f>
        <v>0</v>
      </c>
      <c r="Z313" s="288">
        <f>SUM(Z310:Z312)</f>
        <v>0</v>
      </c>
      <c r="AA313" s="289"/>
      <c r="AB313" s="288">
        <f>SUM(AB310:AB312)</f>
        <v>1</v>
      </c>
      <c r="AC313" s="288">
        <f>SUM(AC310:AC312)</f>
        <v>1</v>
      </c>
      <c r="AD313" s="289"/>
      <c r="AE313" s="288">
        <f>SUM(AE310:AE312)</f>
        <v>2</v>
      </c>
      <c r="AF313" s="286"/>
      <c r="AG313" s="287"/>
      <c r="AH313" s="278"/>
      <c r="AI313" s="278"/>
      <c r="AJ313" s="278"/>
      <c r="AW313" s="238"/>
      <c r="AX313" s="235"/>
      <c r="AY313" s="235"/>
      <c r="AZ313" s="235"/>
      <c r="BA313" s="235"/>
    </row>
    <row r="314" spans="1:71" ht="12.75" customHeight="1" x14ac:dyDescent="0.2">
      <c r="A314" s="193" t="s">
        <v>52</v>
      </c>
      <c r="B314" s="294">
        <v>25</v>
      </c>
      <c r="C314" s="230" t="s">
        <v>53</v>
      </c>
      <c r="D314" s="295">
        <v>22</v>
      </c>
      <c r="E314" s="296">
        <v>17</v>
      </c>
      <c r="F314" s="230" t="s">
        <v>53</v>
      </c>
      <c r="G314" s="295">
        <v>25</v>
      </c>
      <c r="H314" s="296">
        <v>25</v>
      </c>
      <c r="I314" s="230" t="s">
        <v>53</v>
      </c>
      <c r="J314" s="297">
        <v>18</v>
      </c>
      <c r="K314" s="362">
        <f>IF(AND(OR(H313&gt;0,J313&gt;0),AND(1&lt;=H309,H309&lt;=4),AND(1&lt;=J309,J309&lt;=4)),IF(H313&gt;J313,H309,IF(J313&gt;H313,J309,"")),"")</f>
        <v>1</v>
      </c>
      <c r="L314" s="363"/>
      <c r="M314" s="363"/>
      <c r="N314" s="364"/>
      <c r="R314" s="278"/>
      <c r="S314" s="278"/>
      <c r="T314" s="298"/>
      <c r="U314" s="298"/>
      <c r="V314" s="193" t="s">
        <v>52</v>
      </c>
      <c r="W314" s="294">
        <v>25</v>
      </c>
      <c r="X314" s="230" t="s">
        <v>53</v>
      </c>
      <c r="Y314" s="295">
        <v>15</v>
      </c>
      <c r="Z314" s="296">
        <v>20</v>
      </c>
      <c r="AA314" s="230" t="s">
        <v>53</v>
      </c>
      <c r="AB314" s="295">
        <v>25</v>
      </c>
      <c r="AC314" s="296">
        <v>25</v>
      </c>
      <c r="AD314" s="230" t="s">
        <v>53</v>
      </c>
      <c r="AE314" s="297">
        <v>15</v>
      </c>
      <c r="AF314" s="362">
        <f>IF(AND(OR(AC313&gt;0,AE313&gt;0),AND(1&lt;=AC309,AC309&lt;=4),AND(1&lt;=AE309,AE309&lt;=4)),IF(AC313&gt;AE313,AC309,IF(AE313&gt;AC313,AE309,"")),"")</f>
        <v>3</v>
      </c>
      <c r="AG314" s="364"/>
      <c r="AH314" s="278"/>
      <c r="AI314" s="278"/>
      <c r="AJ314" s="278"/>
      <c r="AW314" s="238"/>
      <c r="AX314" s="235"/>
      <c r="AY314" s="235"/>
      <c r="AZ314" s="235"/>
      <c r="BA314" s="235"/>
    </row>
    <row r="315" spans="1:71" ht="12.75" customHeight="1" x14ac:dyDescent="0.2">
      <c r="A315" s="193" t="s">
        <v>136</v>
      </c>
      <c r="B315" s="294"/>
      <c r="C315" s="230" t="s">
        <v>53</v>
      </c>
      <c r="D315" s="295"/>
      <c r="E315" s="296"/>
      <c r="F315" s="230" t="s">
        <v>53</v>
      </c>
      <c r="G315" s="295"/>
      <c r="H315" s="296">
        <v>25</v>
      </c>
      <c r="I315" s="230" t="s">
        <v>53</v>
      </c>
      <c r="J315" s="297">
        <v>21</v>
      </c>
      <c r="K315" s="365"/>
      <c r="L315" s="366"/>
      <c r="M315" s="366"/>
      <c r="N315" s="367"/>
      <c r="R315" s="278"/>
      <c r="S315" s="278"/>
      <c r="T315" s="298"/>
      <c r="U315" s="298"/>
      <c r="V315" s="193" t="s">
        <v>136</v>
      </c>
      <c r="W315" s="294"/>
      <c r="X315" s="230" t="s">
        <v>53</v>
      </c>
      <c r="Y315" s="295"/>
      <c r="Z315" s="296"/>
      <c r="AA315" s="230" t="s">
        <v>53</v>
      </c>
      <c r="AB315" s="295"/>
      <c r="AC315" s="296">
        <v>18</v>
      </c>
      <c r="AD315" s="230" t="s">
        <v>53</v>
      </c>
      <c r="AE315" s="297">
        <v>25</v>
      </c>
      <c r="AF315" s="365"/>
      <c r="AG315" s="367"/>
      <c r="AH315" s="278"/>
      <c r="AI315" s="278"/>
      <c r="AJ315" s="278"/>
      <c r="AW315" s="238"/>
      <c r="AX315" s="235"/>
      <c r="AY315" s="235"/>
      <c r="AZ315" s="235"/>
      <c r="BA315" s="235"/>
    </row>
    <row r="316" spans="1:71" ht="13.5" customHeight="1" thickBot="1" x14ac:dyDescent="0.25">
      <c r="A316" s="193" t="s">
        <v>137</v>
      </c>
      <c r="B316" s="299"/>
      <c r="C316" s="300" t="s">
        <v>53</v>
      </c>
      <c r="D316" s="301"/>
      <c r="E316" s="302"/>
      <c r="F316" s="300" t="s">
        <v>53</v>
      </c>
      <c r="G316" s="301"/>
      <c r="H316" s="302"/>
      <c r="I316" s="300" t="s">
        <v>53</v>
      </c>
      <c r="J316" s="303"/>
      <c r="K316" s="368"/>
      <c r="L316" s="369"/>
      <c r="M316" s="369"/>
      <c r="N316" s="370"/>
      <c r="R316" s="278"/>
      <c r="S316" s="278"/>
      <c r="T316" s="298"/>
      <c r="U316" s="298"/>
      <c r="V316" s="193" t="s">
        <v>137</v>
      </c>
      <c r="W316" s="299"/>
      <c r="X316" s="300" t="s">
        <v>53</v>
      </c>
      <c r="Y316" s="301"/>
      <c r="Z316" s="302"/>
      <c r="AA316" s="300" t="s">
        <v>53</v>
      </c>
      <c r="AB316" s="301"/>
      <c r="AC316" s="302">
        <v>12</v>
      </c>
      <c r="AD316" s="300" t="s">
        <v>53</v>
      </c>
      <c r="AE316" s="303">
        <v>15</v>
      </c>
      <c r="AF316" s="368"/>
      <c r="AG316" s="370"/>
      <c r="AH316" s="278"/>
      <c r="AI316" s="278"/>
      <c r="AJ316" s="278"/>
      <c r="AW316" s="238"/>
      <c r="AX316" s="235"/>
      <c r="AY316" s="235"/>
      <c r="AZ316" s="235"/>
      <c r="BA316" s="235"/>
    </row>
    <row r="317" spans="1:71" hidden="1" x14ac:dyDescent="0.2">
      <c r="B317" s="191"/>
      <c r="C317" s="304" t="s">
        <v>87</v>
      </c>
      <c r="D317" s="191" t="s">
        <v>138</v>
      </c>
      <c r="E317" s="191"/>
      <c r="F317" s="304"/>
      <c r="G317" s="188" t="s">
        <v>139</v>
      </c>
      <c r="J317" s="188" t="s">
        <v>140</v>
      </c>
      <c r="W317" s="191"/>
      <c r="X317" s="304" t="s">
        <v>87</v>
      </c>
      <c r="Y317" s="191" t="s">
        <v>138</v>
      </c>
      <c r="Z317" s="191"/>
      <c r="AA317" s="304"/>
      <c r="AB317" s="188" t="s">
        <v>139</v>
      </c>
      <c r="AE317" s="188" t="s">
        <v>140</v>
      </c>
      <c r="AT317" s="188" t="str">
        <f>B318</f>
        <v>NETVC 14AMy</v>
      </c>
      <c r="AU317" s="188">
        <f>J318</f>
        <v>2226.2113243175049</v>
      </c>
      <c r="AW317" s="238"/>
      <c r="AX317" s="235"/>
      <c r="AY317" s="235"/>
      <c r="AZ317" s="235"/>
      <c r="BA317" s="235"/>
      <c r="BB317" s="238"/>
      <c r="BC317" s="235"/>
      <c r="BD317" s="235"/>
      <c r="BE317" s="238"/>
      <c r="BF317" s="235"/>
      <c r="BG317" s="235"/>
      <c r="BH317" s="238"/>
      <c r="BI317" s="235"/>
      <c r="BJ317" s="235"/>
      <c r="BK317" s="238"/>
      <c r="BL317" s="235"/>
      <c r="BM317" s="235"/>
      <c r="BN317" s="238"/>
      <c r="BO317" s="235"/>
      <c r="BP317" s="235"/>
      <c r="BQ317" s="238"/>
      <c r="BR317" s="235"/>
      <c r="BS317" s="235"/>
    </row>
    <row r="318" spans="1:71" hidden="1" x14ac:dyDescent="0.2">
      <c r="A318" s="188">
        <v>1</v>
      </c>
      <c r="B318" s="188" t="str">
        <f>B301</f>
        <v>NETVC 14AMy</v>
      </c>
      <c r="C318" s="188">
        <f>VLOOKUP(B318,AU$2:AY$22,4,FALSE)</f>
        <v>2219.9725103389865</v>
      </c>
      <c r="D318" s="188">
        <f>IF(A318=B309,B324,IF(A318=D309,D324,C318))</f>
        <v>2221.2872031377306</v>
      </c>
      <c r="G318" s="188">
        <f>IF(A318=E309,E324,IF(A318=G309,G324,D318))</f>
        <v>2221.2872031377306</v>
      </c>
      <c r="J318" s="188">
        <f>IF(A318=H309,H324,IF(A318=J309,J324,G318))</f>
        <v>2226.2113243175049</v>
      </c>
      <c r="U318" s="305"/>
      <c r="V318" s="305">
        <v>1</v>
      </c>
      <c r="W318" s="188" t="str">
        <f>X301</f>
        <v>Extreme 14-2</v>
      </c>
      <c r="X318" s="188">
        <f>VLOOKUP(W318,AU$2:AY$22,4,FALSE)</f>
        <v>1854.2214179244468</v>
      </c>
      <c r="Y318" s="188">
        <f>IF(V318=W309,W324,IF(V318=Y309,Y324,X318))</f>
        <v>1857.9375629914898</v>
      </c>
      <c r="AB318" s="188">
        <f>IF(V318=Z309,Z324,IF(V318=AB309,AB324,Y318))</f>
        <v>1857.9375629914898</v>
      </c>
      <c r="AE318" s="188">
        <f>IF(V318=AC309,AC324,IF(V318=AE309,AE324,AB318))</f>
        <v>1847.4634591582353</v>
      </c>
      <c r="AT318" s="188" t="str">
        <f>B319</f>
        <v>TC Extreme 14 Miranda</v>
      </c>
      <c r="AU318" s="188">
        <f>J319</f>
        <v>2183.3270107723647</v>
      </c>
      <c r="AW318" s="238"/>
      <c r="AX318" s="235"/>
      <c r="AY318" s="235"/>
      <c r="AZ318" s="235"/>
      <c r="BA318" s="235"/>
      <c r="BB318" s="238"/>
      <c r="BC318" s="235"/>
      <c r="BD318" s="235"/>
      <c r="BE318" s="238"/>
      <c r="BF318" s="235"/>
      <c r="BG318" s="235"/>
      <c r="BH318" s="238"/>
      <c r="BI318" s="235"/>
      <c r="BJ318" s="235"/>
      <c r="BK318" s="238"/>
      <c r="BL318" s="235"/>
      <c r="BM318" s="235"/>
      <c r="BN318" s="238"/>
      <c r="BO318" s="235"/>
      <c r="BP318" s="235"/>
      <c r="BQ318" s="238"/>
      <c r="BR318" s="235"/>
      <c r="BS318" s="235"/>
    </row>
    <row r="319" spans="1:71" hidden="1" x14ac:dyDescent="0.2">
      <c r="A319" s="188">
        <v>2</v>
      </c>
      <c r="B319" s="188" t="str">
        <f>B302</f>
        <v>TC Extreme 14 Miranda</v>
      </c>
      <c r="C319" s="188">
        <f>VLOOKUP(B319,AU$2:AY$22,4,FALSE)</f>
        <v>2196.7281517451793</v>
      </c>
      <c r="D319" s="188">
        <f>IF(A319=B309,B324,IF(A319=D309,D324,C319))</f>
        <v>2196.7281517451793</v>
      </c>
      <c r="G319" s="188">
        <f>IF(A319=E309,E324,IF(A319=G309,G324,D319))</f>
        <v>2183.3270107723647</v>
      </c>
      <c r="J319" s="188">
        <f>IF(A319=H309,H324,IF(A319=J309,J324,G319))</f>
        <v>2183.3270107723647</v>
      </c>
      <c r="U319" s="305"/>
      <c r="V319" s="305">
        <v>2</v>
      </c>
      <c r="W319" s="188" t="str">
        <f>X302</f>
        <v>Sumter VBC 14</v>
      </c>
      <c r="X319" s="188">
        <f>VLOOKUP(W319,AU$2:AY$22,4,FALSE)</f>
        <v>1839.7546501288846</v>
      </c>
      <c r="Y319" s="188">
        <f>IF(V319=W309,W324,IF(V319=Y309,Y324,X319))</f>
        <v>1839.7546501288846</v>
      </c>
      <c r="AB319" s="188">
        <f>IF(V319=Z309,Z324,IF(V319=AB309,AB324,Y319))</f>
        <v>1831.1486890310628</v>
      </c>
      <c r="AE319" s="188">
        <f>IF(V319=AC309,AC324,IF(V319=AE309,AE324,AB319))</f>
        <v>1831.1486890310628</v>
      </c>
      <c r="AT319" s="188" t="str">
        <f>B320</f>
        <v>Lake Murray 14 Black</v>
      </c>
      <c r="AU319" s="188">
        <f>J320</f>
        <v>1920.2615501216155</v>
      </c>
      <c r="AW319" s="238"/>
      <c r="AX319" s="235"/>
      <c r="AY319" s="235"/>
      <c r="AZ319" s="235"/>
      <c r="BA319" s="235"/>
      <c r="BB319" s="238"/>
      <c r="BC319" s="235"/>
      <c r="BD319" s="235"/>
      <c r="BE319" s="238"/>
      <c r="BF319" s="235"/>
      <c r="BG319" s="235"/>
      <c r="BH319" s="238"/>
      <c r="BI319" s="235"/>
      <c r="BJ319" s="235"/>
      <c r="BK319" s="238"/>
      <c r="BL319" s="235"/>
      <c r="BM319" s="235"/>
      <c r="BN319" s="238"/>
      <c r="BO319" s="235"/>
      <c r="BP319" s="235"/>
      <c r="BQ319" s="238"/>
      <c r="BR319" s="235"/>
      <c r="BS319" s="235"/>
    </row>
    <row r="320" spans="1:71" hidden="1" x14ac:dyDescent="0.2">
      <c r="A320" s="188">
        <v>3</v>
      </c>
      <c r="B320" s="188" t="str">
        <f>B303</f>
        <v>Lake Murray 14 Black</v>
      </c>
      <c r="C320" s="188">
        <f>VLOOKUP(B320,AU$2:AY$22,4,FALSE)</f>
        <v>1911.7845303285756</v>
      </c>
      <c r="D320" s="188">
        <f>IF(A320=B309,B324,IF(A320=D309,D324,C320))</f>
        <v>1911.7845303285756</v>
      </c>
      <c r="G320" s="188">
        <f>IF(A320=E309,E324,IF(A320=G309,G324,D320))</f>
        <v>1925.1856713013901</v>
      </c>
      <c r="J320" s="188">
        <f>IF(A320=H309,H324,IF(A320=J309,J324,G320))</f>
        <v>1920.2615501216155</v>
      </c>
      <c r="U320" s="305"/>
      <c r="V320" s="305">
        <v>3</v>
      </c>
      <c r="W320" s="188" t="str">
        <f>X303</f>
        <v>BVA 14W</v>
      </c>
      <c r="X320" s="188">
        <f>VLOOKUP(W320,AU$2:AY$22,4,FALSE)</f>
        <v>1813.3875911750119</v>
      </c>
      <c r="Y320" s="188">
        <f>IF(V320=W309,W324,IF(V320=Y309,Y324,X320))</f>
        <v>1813.3875911750119</v>
      </c>
      <c r="AB320" s="188">
        <f>IF(V320=Z309,Z324,IF(V320=AB309,AB324,Y320))</f>
        <v>1821.9935522728338</v>
      </c>
      <c r="AE320" s="188">
        <f>IF(V320=AC309,AC324,IF(V320=AE309,AE324,AB320))</f>
        <v>1832.4676561060883</v>
      </c>
      <c r="AT320" s="188" t="str">
        <f>B321</f>
        <v>Vision 14 Regional</v>
      </c>
      <c r="AU320" s="188">
        <f>J321</f>
        <v>1799.434316797571</v>
      </c>
      <c r="AW320" s="238"/>
      <c r="AX320" s="235"/>
      <c r="AY320" s="235"/>
      <c r="AZ320" s="235"/>
      <c r="BA320" s="235"/>
      <c r="BB320" s="238"/>
      <c r="BC320" s="235"/>
      <c r="BD320" s="235"/>
      <c r="BE320" s="238"/>
      <c r="BF320" s="235"/>
      <c r="BG320" s="235"/>
      <c r="BH320" s="238"/>
      <c r="BI320" s="235"/>
      <c r="BJ320" s="235"/>
      <c r="BK320" s="238"/>
      <c r="BL320" s="235"/>
      <c r="BM320" s="235"/>
      <c r="BN320" s="238"/>
      <c r="BO320" s="235"/>
      <c r="BP320" s="235"/>
      <c r="BQ320" s="238"/>
      <c r="BR320" s="235"/>
      <c r="BS320" s="235"/>
    </row>
    <row r="321" spans="1:71" hidden="1" x14ac:dyDescent="0.2">
      <c r="A321" s="188">
        <v>4</v>
      </c>
      <c r="B321" s="188" t="str">
        <f>B304</f>
        <v>Vision 14 Regional</v>
      </c>
      <c r="C321" s="188">
        <f>VLOOKUP(B321,AU$2:AY$22,4,FALSE)</f>
        <v>1800.7490095963151</v>
      </c>
      <c r="D321" s="188">
        <f>IF(A321=B309,B324,IF(A321=D309,D324,C321))</f>
        <v>1799.434316797571</v>
      </c>
      <c r="G321" s="188">
        <f>IF(A321=E309,E324,IF(A321=G309,G324,D321))</f>
        <v>1799.434316797571</v>
      </c>
      <c r="J321" s="188">
        <f>IF(A321=H309,H324,IF(A321=J309,J324,G321))</f>
        <v>1799.434316797571</v>
      </c>
      <c r="U321" s="305"/>
      <c r="V321" s="305">
        <v>4</v>
      </c>
      <c r="W321" s="188" t="str">
        <f>X304</f>
        <v>Extreme 14 Marion</v>
      </c>
      <c r="X321" s="188">
        <f>VLOOKUP(W321,AU$2:AY$22,4,FALSE)</f>
        <v>1646.5246100135871</v>
      </c>
      <c r="Y321" s="188">
        <f>IF(V321=W309,W324,IF(V321=Y309,Y324,X321))</f>
        <v>1642.8084649465441</v>
      </c>
      <c r="AB321" s="188">
        <f>IF(V321=Z309,Z324,IF(V321=AB309,AB324,Y321))</f>
        <v>1642.8084649465441</v>
      </c>
      <c r="AE321" s="188">
        <f>IF(V321=AC309,AC324,IF(V321=AE309,AE324,AB321))</f>
        <v>1642.8084649465441</v>
      </c>
      <c r="AT321" s="188" t="str">
        <f>W318</f>
        <v>Extreme 14-2</v>
      </c>
      <c r="AU321" s="188">
        <f>AE318</f>
        <v>1847.4634591582353</v>
      </c>
      <c r="AW321" s="238"/>
      <c r="AX321" s="235"/>
      <c r="AY321" s="235"/>
      <c r="AZ321" s="235"/>
      <c r="BA321" s="235"/>
      <c r="BB321" s="238"/>
      <c r="BC321" s="235"/>
      <c r="BD321" s="235"/>
      <c r="BE321" s="238"/>
      <c r="BF321" s="235"/>
      <c r="BG321" s="235"/>
      <c r="BH321" s="238"/>
      <c r="BI321" s="235"/>
      <c r="BJ321" s="235"/>
      <c r="BK321" s="238"/>
      <c r="BL321" s="235"/>
      <c r="BM321" s="235"/>
      <c r="BN321" s="238"/>
      <c r="BO321" s="235"/>
      <c r="BP321" s="235"/>
      <c r="BQ321" s="238"/>
      <c r="BR321" s="235"/>
      <c r="BS321" s="235"/>
    </row>
    <row r="322" spans="1:71" hidden="1" x14ac:dyDescent="0.2">
      <c r="A322" s="188" t="s">
        <v>89</v>
      </c>
      <c r="B322" s="188">
        <f>VLOOKUP(B309,$A318:$J321,3,FALSE)</f>
        <v>2219.9725103389865</v>
      </c>
      <c r="D322" s="188">
        <f>VLOOKUP(D309,$A318:$J321,3,FALSE)</f>
        <v>1800.7490095963151</v>
      </c>
      <c r="E322" s="188">
        <f>VLOOKUP(E309,$A318:$J321,4,FALSE)</f>
        <v>2196.7281517451793</v>
      </c>
      <c r="G322" s="188">
        <f>VLOOKUP(G309,$A318:$J321,4,FALSE)</f>
        <v>1911.7845303285756</v>
      </c>
      <c r="H322" s="188">
        <f>VLOOKUP(H309,$A318:$J321,7,FALSE)</f>
        <v>2221.2872031377306</v>
      </c>
      <c r="J322" s="188">
        <f>VLOOKUP(J309,$A318:$J321,7,FALSE)</f>
        <v>1925.1856713013901</v>
      </c>
      <c r="T322" s="435" t="s">
        <v>89</v>
      </c>
      <c r="U322" s="435"/>
      <c r="V322" s="435"/>
      <c r="W322" s="188">
        <f>VLOOKUP(W309,$V318:$AE321,3,FALSE)</f>
        <v>1854.2214179244468</v>
      </c>
      <c r="Y322" s="188">
        <f>VLOOKUP(Y309,$V318:$AE321,3,FALSE)</f>
        <v>1646.5246100135871</v>
      </c>
      <c r="Z322" s="188">
        <f>VLOOKUP(Z309,$V318:$AE321,4,FALSE)</f>
        <v>1839.7546501288846</v>
      </c>
      <c r="AB322" s="188">
        <f>VLOOKUP(AB309,$V318:$AE321,4,FALSE)</f>
        <v>1813.3875911750119</v>
      </c>
      <c r="AC322" s="188">
        <f>VLOOKUP(AC309,$V318:$AE321,7,FALSE)</f>
        <v>1857.9375629914898</v>
      </c>
      <c r="AE322" s="188">
        <f>VLOOKUP(AE309,$V318:$AE321,7,FALSE)</f>
        <v>1821.9935522728338</v>
      </c>
      <c r="AT322" s="188" t="str">
        <f>W319</f>
        <v>Sumter VBC 14</v>
      </c>
      <c r="AU322" s="188">
        <f>AE319</f>
        <v>1831.1486890310628</v>
      </c>
      <c r="AW322" s="238"/>
      <c r="AX322" s="235"/>
      <c r="AY322" s="235"/>
      <c r="AZ322" s="235"/>
      <c r="BA322" s="235"/>
      <c r="BB322" s="238"/>
      <c r="BC322" s="235"/>
      <c r="BD322" s="235"/>
      <c r="BE322" s="238"/>
      <c r="BF322" s="235"/>
      <c r="BG322" s="235"/>
      <c r="BH322" s="238"/>
      <c r="BI322" s="235"/>
      <c r="BJ322" s="235"/>
      <c r="BK322" s="238"/>
      <c r="BL322" s="235"/>
      <c r="BM322" s="235"/>
      <c r="BN322" s="238"/>
      <c r="BO322" s="235"/>
      <c r="BP322" s="235"/>
      <c r="BQ322" s="238"/>
      <c r="BR322" s="235"/>
      <c r="BS322" s="235"/>
    </row>
    <row r="323" spans="1:71" hidden="1" x14ac:dyDescent="0.2">
      <c r="A323" s="249" t="s">
        <v>90</v>
      </c>
      <c r="B323" s="249">
        <f>1/(1+(10^-((B322-D322)/400)))*(B313+D313)</f>
        <v>0.91783170007849346</v>
      </c>
      <c r="C323" s="249"/>
      <c r="D323" s="249">
        <f>1/(1+(10^-((D322-B322)/400)))*(B313+D313)</f>
        <v>8.2168299921506593E-2</v>
      </c>
      <c r="E323" s="249">
        <f>1/(1+(10^-((E322-G322)/400)))*(E313+G313)</f>
        <v>0.83757131080090697</v>
      </c>
      <c r="G323" s="249">
        <f>1/(1+(10^-((G322-E322)/400)))*(E313+G313)</f>
        <v>0.16242868919909303</v>
      </c>
      <c r="H323" s="249">
        <f>1/(1+(10^-((H322-J322)/400)))*(H313+J313)</f>
        <v>1.6922424262640878</v>
      </c>
      <c r="J323" s="249">
        <f>1/(1+(10^-((J322-H322)/400)))*(H313+J313)</f>
        <v>0.30775757373591217</v>
      </c>
      <c r="T323" s="436" t="s">
        <v>90</v>
      </c>
      <c r="U323" s="436"/>
      <c r="V323" s="436"/>
      <c r="W323" s="249">
        <f>1/(1+(10^-((W322-Y322)/400)))*(W313+Y313)</f>
        <v>0.76774093330980475</v>
      </c>
      <c r="X323" s="249"/>
      <c r="Y323" s="249">
        <f>1/(1+(10^-((Y322-W322)/400)))*(W313+Y313)</f>
        <v>0.23225906669019522</v>
      </c>
      <c r="Z323" s="249">
        <f>1/(1+(10^-((Z322-AB322)/400)))*(Z313+AB313)</f>
        <v>0.53787256861386545</v>
      </c>
      <c r="AB323" s="249">
        <f>1/(1+(10^-((AB322-Z322)/400)))*(Z313+AB313)</f>
        <v>0.46212743138613455</v>
      </c>
      <c r="AC323" s="249">
        <f>1/(1+(10^-((AC322-AE322)/400)))*(AC313+AE313)</f>
        <v>1.6546314895783993</v>
      </c>
      <c r="AE323" s="249">
        <f>1/(1+(10^-((AE322-AC322)/400)))*(AC313+AE313)</f>
        <v>1.3453685104216007</v>
      </c>
      <c r="AT323" s="188" t="str">
        <f>W320</f>
        <v>BVA 14W</v>
      </c>
      <c r="AU323" s="188">
        <f>AE320</f>
        <v>1832.4676561060883</v>
      </c>
      <c r="AW323" s="238"/>
      <c r="AX323" s="235"/>
      <c r="AY323" s="235"/>
      <c r="AZ323" s="235"/>
      <c r="BA323" s="235"/>
      <c r="BB323" s="238"/>
      <c r="BC323" s="235"/>
      <c r="BD323" s="235"/>
      <c r="BE323" s="238"/>
      <c r="BF323" s="235"/>
      <c r="BG323" s="235"/>
      <c r="BH323" s="238"/>
      <c r="BI323" s="235"/>
      <c r="BJ323" s="235"/>
      <c r="BK323" s="238"/>
      <c r="BL323" s="235"/>
      <c r="BM323" s="235"/>
      <c r="BN323" s="238"/>
      <c r="BO323" s="235"/>
      <c r="BP323" s="235"/>
      <c r="BQ323" s="238"/>
      <c r="BR323" s="235"/>
      <c r="BS323" s="235"/>
    </row>
    <row r="324" spans="1:71" hidden="1" x14ac:dyDescent="0.2">
      <c r="A324" s="255" t="s">
        <v>91</v>
      </c>
      <c r="B324" s="255">
        <f>B322+(B313-B323)*$BA$2</f>
        <v>2221.2872031377306</v>
      </c>
      <c r="C324" s="255"/>
      <c r="D324" s="255">
        <f>D322+(D313-D323)*$BA$2</f>
        <v>1799.434316797571</v>
      </c>
      <c r="E324" s="255">
        <f>E322+(E313-E323)*$BA$2</f>
        <v>2183.3270107723647</v>
      </c>
      <c r="G324" s="255">
        <f>G322+(G313-G323)*$BA$2</f>
        <v>1925.1856713013901</v>
      </c>
      <c r="H324" s="255">
        <f>H322+(H313-H323)*$BA$2</f>
        <v>2226.2113243175049</v>
      </c>
      <c r="J324" s="255">
        <f>J322+(J313-J323)*$BA$2</f>
        <v>1920.2615501216155</v>
      </c>
      <c r="T324" s="431" t="s">
        <v>91</v>
      </c>
      <c r="U324" s="431"/>
      <c r="V324" s="431"/>
      <c r="W324" s="255">
        <f>W322+(W313-W323)*$BA$2</f>
        <v>1857.9375629914898</v>
      </c>
      <c r="X324" s="255"/>
      <c r="Y324" s="255">
        <f>Y322+(Y313-Y323)*$BA$2</f>
        <v>1642.8084649465441</v>
      </c>
      <c r="Z324" s="255">
        <f>Z322+(Z313-Z323)*$BA$2</f>
        <v>1831.1486890310628</v>
      </c>
      <c r="AB324" s="255">
        <f>AB322+(AB313-AB323)*$BA$2</f>
        <v>1821.9935522728338</v>
      </c>
      <c r="AC324" s="255">
        <f>AC322+(AC313-AC323)*$BA$2</f>
        <v>1847.4634591582353</v>
      </c>
      <c r="AE324" s="255">
        <f>AE322+(AE313-AE323)*$BA$2</f>
        <v>1832.4676561060883</v>
      </c>
      <c r="AT324" s="188" t="str">
        <f>W321</f>
        <v>Extreme 14 Marion</v>
      </c>
      <c r="AU324" s="188">
        <f>AE321</f>
        <v>1642.8084649465441</v>
      </c>
      <c r="AW324" s="238"/>
      <c r="AX324" s="235"/>
      <c r="AY324" s="235"/>
      <c r="AZ324" s="235"/>
      <c r="BA324" s="235"/>
      <c r="BB324" s="238"/>
      <c r="BC324" s="235"/>
      <c r="BD324" s="235"/>
      <c r="BE324" s="238"/>
      <c r="BF324" s="235"/>
      <c r="BG324" s="235"/>
      <c r="BH324" s="238"/>
      <c r="BI324" s="235"/>
      <c r="BJ324" s="235"/>
      <c r="BK324" s="238"/>
      <c r="BL324" s="235"/>
      <c r="BM324" s="235"/>
      <c r="BN324" s="238"/>
      <c r="BO324" s="235"/>
      <c r="BP324" s="235"/>
      <c r="BQ324" s="238"/>
      <c r="BR324" s="235"/>
      <c r="BS324" s="235"/>
    </row>
    <row r="325" spans="1:71" x14ac:dyDescent="0.2">
      <c r="A325" s="371" t="s">
        <v>141</v>
      </c>
      <c r="B325" s="371"/>
      <c r="C325" s="371"/>
      <c r="D325" s="371"/>
      <c r="E325" s="371"/>
      <c r="F325" s="371"/>
      <c r="G325" s="371"/>
      <c r="H325" s="371"/>
      <c r="I325" s="371"/>
      <c r="J325" s="371"/>
      <c r="K325" s="371"/>
      <c r="L325" s="371"/>
      <c r="M325" s="371"/>
      <c r="R325" s="278"/>
      <c r="S325" s="278"/>
      <c r="T325" s="298"/>
      <c r="U325" s="298"/>
      <c r="V325" s="371" t="s">
        <v>141</v>
      </c>
      <c r="W325" s="371"/>
      <c r="X325" s="371"/>
      <c r="Y325" s="371"/>
      <c r="Z325" s="371"/>
      <c r="AA325" s="371"/>
      <c r="AB325" s="371"/>
      <c r="AC325" s="371"/>
      <c r="AD325" s="371"/>
      <c r="AE325" s="371"/>
      <c r="AF325" s="371"/>
      <c r="AG325" s="371"/>
      <c r="AH325" s="278"/>
      <c r="AI325" s="278"/>
      <c r="AJ325" s="278"/>
      <c r="AW325" s="238"/>
      <c r="AX325" s="235"/>
      <c r="AY325" s="235"/>
      <c r="AZ325" s="235"/>
      <c r="BA325" s="235"/>
    </row>
    <row r="326" spans="1:71" x14ac:dyDescent="0.2">
      <c r="AT326" s="235"/>
      <c r="AU326" s="235"/>
      <c r="AV326" s="235"/>
      <c r="AW326" s="238"/>
      <c r="AX326" s="235"/>
      <c r="AY326" s="235"/>
      <c r="AZ326" s="235"/>
      <c r="BA326" s="235"/>
    </row>
    <row r="327" spans="1:71" x14ac:dyDescent="0.2">
      <c r="A327" s="432" t="s">
        <v>160</v>
      </c>
      <c r="B327" s="432"/>
      <c r="C327" s="432"/>
      <c r="D327" s="432"/>
      <c r="E327" s="432"/>
      <c r="F327" s="432"/>
      <c r="G327" s="432"/>
      <c r="H327" s="432"/>
      <c r="I327" s="432"/>
      <c r="J327" s="432"/>
      <c r="K327" s="432"/>
      <c r="L327" s="432"/>
      <c r="M327" s="432"/>
      <c r="N327" s="432"/>
      <c r="O327" s="432"/>
      <c r="P327" s="432"/>
      <c r="Q327" s="234"/>
      <c r="S327" s="334"/>
      <c r="T327" s="334"/>
      <c r="U327" s="334"/>
      <c r="V327" s="334"/>
      <c r="W327" s="334"/>
      <c r="X327" s="334"/>
      <c r="Y327" s="334"/>
      <c r="Z327" s="334"/>
      <c r="AA327" s="334"/>
      <c r="AB327" s="334"/>
      <c r="AC327" s="334"/>
      <c r="AD327" s="334"/>
      <c r="AE327" s="334"/>
      <c r="AF327" s="334"/>
      <c r="AG327" s="334"/>
      <c r="AH327" s="278"/>
      <c r="AI327" s="278"/>
      <c r="AJ327" s="278"/>
      <c r="AK327" s="278"/>
      <c r="AL327" s="278"/>
      <c r="AM327" s="278"/>
      <c r="AT327" s="235"/>
      <c r="AU327" s="235"/>
      <c r="AV327" s="235"/>
      <c r="AW327" s="238"/>
      <c r="AX327" s="235"/>
      <c r="AY327" s="235"/>
      <c r="AZ327" s="235"/>
      <c r="BA327" s="235"/>
    </row>
    <row r="328" spans="1:71" x14ac:dyDescent="0.2">
      <c r="S328" s="278"/>
      <c r="T328" s="278"/>
      <c r="U328" s="278"/>
      <c r="V328" s="278"/>
      <c r="W328" s="278"/>
      <c r="X328" s="278"/>
      <c r="Y328" s="278"/>
      <c r="Z328" s="278"/>
      <c r="AA328" s="278"/>
      <c r="AB328" s="278"/>
      <c r="AC328" s="278"/>
      <c r="AD328" s="278"/>
      <c r="AE328" s="278"/>
      <c r="AF328" s="278"/>
      <c r="AG328" s="278"/>
      <c r="AH328" s="278"/>
      <c r="AI328" s="278"/>
      <c r="AJ328" s="278"/>
      <c r="AK328" s="278"/>
      <c r="AL328" s="278"/>
      <c r="AM328" s="278"/>
      <c r="AT328" s="235"/>
      <c r="AU328" s="235"/>
      <c r="AV328" s="235"/>
      <c r="AW328" s="238"/>
      <c r="AX328" s="235"/>
      <c r="AY328" s="235"/>
      <c r="AZ328" s="235"/>
      <c r="BA328" s="235"/>
    </row>
    <row r="329" spans="1:71" ht="13.5" thickBot="1" x14ac:dyDescent="0.25">
      <c r="A329" s="402" t="str">
        <f>IF(B357=1,B349,IF(B357=2,B350,IF(B357=3,B351,IF(B357=4,B352,IF(OR(B357="B",B357="b"),"BYE","invalid")))))</f>
        <v>Palm Strikers 14 Select</v>
      </c>
      <c r="B329" s="402"/>
      <c r="C329" s="402"/>
      <c r="D329" s="402"/>
      <c r="E329" s="402"/>
      <c r="F329" s="266"/>
      <c r="G329" s="266"/>
      <c r="H329" s="266"/>
      <c r="I329" s="266"/>
      <c r="J329" s="266"/>
      <c r="K329" s="266"/>
      <c r="L329" s="266"/>
      <c r="M329" s="266"/>
      <c r="N329" s="266"/>
      <c r="O329" s="266"/>
      <c r="S329" s="278"/>
      <c r="T329" s="304"/>
      <c r="U329" s="304"/>
      <c r="V329" s="298"/>
      <c r="W329" s="298"/>
      <c r="X329" s="298"/>
      <c r="Y329" s="298"/>
      <c r="Z329" s="298"/>
      <c r="AA329" s="298"/>
      <c r="AB329" s="298"/>
      <c r="AC329" s="278"/>
      <c r="AD329" s="278"/>
      <c r="AE329" s="278"/>
      <c r="AF329" s="278"/>
      <c r="AG329" s="278"/>
      <c r="AH329" s="278"/>
      <c r="AI329" s="278"/>
      <c r="AJ329" s="278"/>
      <c r="AK329" s="278"/>
      <c r="AL329" s="278"/>
      <c r="AM329" s="278"/>
      <c r="AT329" s="235"/>
      <c r="AU329" s="235"/>
      <c r="AV329" s="235"/>
      <c r="AW329" s="238"/>
      <c r="AX329" s="235"/>
      <c r="AY329" s="235"/>
      <c r="AZ329" s="235"/>
      <c r="BA329" s="235"/>
    </row>
    <row r="330" spans="1:71" x14ac:dyDescent="0.2">
      <c r="A330" s="404" t="s">
        <v>161</v>
      </c>
      <c r="B330" s="404"/>
      <c r="C330" s="404"/>
      <c r="D330" s="404"/>
      <c r="E330" s="404"/>
      <c r="F330" s="268"/>
      <c r="G330" s="266"/>
      <c r="H330" s="266"/>
      <c r="I330" s="266"/>
      <c r="J330" s="266"/>
      <c r="K330" s="266"/>
      <c r="L330" s="266"/>
      <c r="M330" s="266"/>
      <c r="N330" s="266"/>
      <c r="O330" s="266"/>
      <c r="S330" s="278"/>
      <c r="T330" s="335"/>
      <c r="U330" s="335"/>
      <c r="V330" s="336"/>
      <c r="W330" s="336"/>
      <c r="X330" s="336"/>
      <c r="Y330" s="336"/>
      <c r="Z330" s="336"/>
      <c r="AA330" s="336"/>
      <c r="AB330" s="336"/>
      <c r="AC330" s="278"/>
      <c r="AD330" s="278"/>
      <c r="AE330" s="278"/>
      <c r="AF330" s="278"/>
      <c r="AG330" s="278"/>
      <c r="AH330" s="278"/>
      <c r="AI330" s="278"/>
      <c r="AJ330" s="278"/>
      <c r="AK330" s="278"/>
      <c r="AL330" s="278"/>
      <c r="AM330" s="278"/>
      <c r="AT330" s="235"/>
      <c r="AU330" s="235"/>
      <c r="AV330" s="235"/>
      <c r="AW330" s="238"/>
      <c r="AX330" s="235"/>
      <c r="AY330" s="235"/>
      <c r="AZ330" s="235"/>
      <c r="BA330" s="235"/>
    </row>
    <row r="331" spans="1:71" x14ac:dyDescent="0.2">
      <c r="A331" s="266"/>
      <c r="B331" s="266"/>
      <c r="C331" s="307"/>
      <c r="D331" s="266"/>
      <c r="E331" s="266"/>
      <c r="F331" s="268"/>
      <c r="G331" s="266"/>
      <c r="H331" s="266"/>
      <c r="I331" s="266"/>
      <c r="J331" s="266"/>
      <c r="K331" s="266"/>
      <c r="L331" s="266"/>
      <c r="M331" s="266"/>
      <c r="N331" s="266"/>
      <c r="O331" s="266"/>
      <c r="S331" s="278"/>
      <c r="T331" s="278"/>
      <c r="U331" s="278"/>
      <c r="V331" s="278"/>
      <c r="W331" s="278"/>
      <c r="X331" s="278"/>
      <c r="Y331" s="278"/>
      <c r="Z331" s="278"/>
      <c r="AA331" s="278"/>
      <c r="AB331" s="278"/>
      <c r="AC331" s="278"/>
      <c r="AD331" s="278"/>
      <c r="AE331" s="278"/>
      <c r="AF331" s="278"/>
      <c r="AG331" s="278"/>
      <c r="AH331" s="278"/>
      <c r="AI331" s="278"/>
      <c r="AJ331" s="278"/>
      <c r="AK331" s="278"/>
      <c r="AL331" s="278"/>
      <c r="AM331" s="278"/>
      <c r="AT331" s="235"/>
      <c r="AU331" s="235"/>
      <c r="AV331" s="235"/>
      <c r="AW331" s="238"/>
      <c r="AX331" s="235"/>
      <c r="AY331" s="235"/>
      <c r="AZ331" s="235"/>
      <c r="BA331" s="235"/>
    </row>
    <row r="332" spans="1:71" ht="13.5" thickBot="1" x14ac:dyDescent="0.25">
      <c r="A332" s="426" t="str">
        <f>B351&amp;" ref"</f>
        <v>SC Midlands 14 Black ref</v>
      </c>
      <c r="B332" s="426"/>
      <c r="C332" s="426"/>
      <c r="D332" s="426"/>
      <c r="E332" s="427"/>
      <c r="F332" s="421" t="str">
        <f>IF(H357=1,B349,IF(H357=2,B350,IF(H357=3,B351,IF(H357=4,B352,"Winner Match 1"))))</f>
        <v>Palm Strikers 14 Select</v>
      </c>
      <c r="G332" s="422"/>
      <c r="H332" s="422"/>
      <c r="I332" s="422"/>
      <c r="J332" s="422"/>
      <c r="K332" s="422"/>
      <c r="L332" s="422"/>
      <c r="M332" s="422"/>
      <c r="N332" s="422"/>
      <c r="O332" s="266"/>
      <c r="Q332" s="270"/>
      <c r="R332" s="270"/>
      <c r="S332" s="334"/>
      <c r="T332" s="334"/>
      <c r="U332" s="334"/>
      <c r="V332" s="334"/>
      <c r="W332" s="334"/>
      <c r="X332" s="334"/>
      <c r="Y332" s="334"/>
      <c r="Z332" s="334"/>
      <c r="AA332" s="334"/>
      <c r="AB332" s="278"/>
      <c r="AC332" s="298"/>
      <c r="AD332" s="298"/>
      <c r="AE332" s="298"/>
      <c r="AF332" s="298"/>
      <c r="AG332" s="298"/>
      <c r="AH332" s="298"/>
      <c r="AI332" s="298"/>
      <c r="AJ332" s="278"/>
      <c r="AK332" s="278"/>
      <c r="AL332" s="278"/>
      <c r="AM332" s="278"/>
      <c r="AT332" s="235"/>
      <c r="AU332" s="235"/>
      <c r="AV332" s="235"/>
    </row>
    <row r="333" spans="1:71" x14ac:dyDescent="0.2">
      <c r="A333" s="419" t="s">
        <v>165</v>
      </c>
      <c r="B333" s="419"/>
      <c r="C333" s="419"/>
      <c r="D333" s="419"/>
      <c r="E333" s="419"/>
      <c r="F333" s="428"/>
      <c r="G333" s="429"/>
      <c r="H333" s="429"/>
      <c r="I333" s="430"/>
      <c r="J333" s="417"/>
      <c r="K333" s="418"/>
      <c r="L333" s="418"/>
      <c r="M333" s="418"/>
      <c r="N333" s="418"/>
      <c r="O333" s="266"/>
      <c r="P333" s="266"/>
      <c r="Q333" s="271"/>
      <c r="R333" s="194"/>
      <c r="S333" s="337"/>
      <c r="T333" s="337"/>
      <c r="U333" s="338"/>
      <c r="V333" s="338"/>
      <c r="W333" s="338"/>
      <c r="X333" s="338"/>
      <c r="Y333" s="338"/>
      <c r="Z333" s="338"/>
      <c r="AA333" s="338"/>
      <c r="AB333" s="278"/>
      <c r="AC333" s="334"/>
      <c r="AD333" s="334"/>
      <c r="AE333" s="334"/>
      <c r="AF333" s="334"/>
      <c r="AG333" s="334"/>
      <c r="AH333" s="334"/>
      <c r="AI333" s="334"/>
      <c r="AJ333" s="278"/>
      <c r="AK333" s="278"/>
      <c r="AL333" s="278"/>
      <c r="AM333" s="278"/>
      <c r="AT333" s="235"/>
      <c r="AU333" s="235"/>
      <c r="AV333" s="235"/>
      <c r="AW333" s="246"/>
      <c r="AX333" s="241"/>
      <c r="AY333" s="241"/>
      <c r="AZ333" s="241"/>
      <c r="BA333" s="241"/>
    </row>
    <row r="334" spans="1:71" ht="13.5" thickBot="1" x14ac:dyDescent="0.25">
      <c r="A334" s="402" t="str">
        <f>IF(D357=1,B349,IF(D357=2,B350,IF(D357=3,B351,IF(D357=4,B352,IF(OR(D357="B",D357="b"),"BYE","invalid")))))</f>
        <v>RHVC 14 Club Hunter</v>
      </c>
      <c r="B334" s="402"/>
      <c r="C334" s="402"/>
      <c r="D334" s="402"/>
      <c r="E334" s="403"/>
      <c r="F334" s="268"/>
      <c r="G334" s="266"/>
      <c r="H334" s="266"/>
      <c r="I334" s="266"/>
      <c r="J334" s="268"/>
      <c r="K334" s="266"/>
      <c r="L334" s="266"/>
      <c r="M334" s="266"/>
      <c r="N334" s="266"/>
      <c r="O334" s="266"/>
      <c r="P334" s="266"/>
      <c r="Q334" s="266"/>
      <c r="S334" s="278"/>
      <c r="T334" s="278"/>
      <c r="U334" s="278"/>
      <c r="V334" s="298"/>
      <c r="W334" s="298"/>
      <c r="X334" s="298"/>
      <c r="Y334" s="298"/>
      <c r="Z334" s="298"/>
      <c r="AA334" s="298"/>
      <c r="AB334" s="298"/>
      <c r="AC334" s="278"/>
      <c r="AD334" s="278"/>
      <c r="AE334" s="278"/>
      <c r="AF334" s="278"/>
      <c r="AG334" s="278"/>
      <c r="AH334" s="278"/>
      <c r="AI334" s="278"/>
      <c r="AJ334" s="278"/>
      <c r="AK334" s="278"/>
      <c r="AL334" s="278"/>
      <c r="AM334" s="278"/>
      <c r="AT334" s="235"/>
      <c r="AU334" s="235"/>
      <c r="AV334" s="235"/>
      <c r="AW334" s="246"/>
      <c r="AX334" s="241"/>
      <c r="AY334" s="241"/>
      <c r="AZ334" s="241"/>
      <c r="BA334" s="241"/>
    </row>
    <row r="335" spans="1:71" x14ac:dyDescent="0.2">
      <c r="A335" s="404" t="s">
        <v>169</v>
      </c>
      <c r="B335" s="404"/>
      <c r="C335" s="404"/>
      <c r="D335" s="404"/>
      <c r="E335" s="404"/>
      <c r="F335" s="266"/>
      <c r="G335" s="266"/>
      <c r="H335" s="266"/>
      <c r="I335" s="266"/>
      <c r="J335" s="268"/>
      <c r="K335" s="266"/>
      <c r="L335" s="266"/>
      <c r="M335" s="266"/>
      <c r="N335" s="266"/>
      <c r="O335" s="266"/>
      <c r="P335" s="266"/>
      <c r="Q335" s="266"/>
      <c r="S335" s="278"/>
      <c r="T335" s="278"/>
      <c r="U335" s="278"/>
      <c r="V335" s="336"/>
      <c r="W335" s="336"/>
      <c r="X335" s="336"/>
      <c r="Y335" s="336"/>
      <c r="Z335" s="336"/>
      <c r="AA335" s="336"/>
      <c r="AB335" s="336"/>
      <c r="AC335" s="278"/>
      <c r="AD335" s="278"/>
      <c r="AE335" s="278"/>
      <c r="AF335" s="278"/>
      <c r="AG335" s="278"/>
      <c r="AH335" s="278"/>
      <c r="AI335" s="278"/>
      <c r="AJ335" s="278"/>
      <c r="AK335" s="278"/>
      <c r="AL335" s="278"/>
      <c r="AM335" s="278"/>
      <c r="AR335" s="273"/>
      <c r="AS335" s="273"/>
      <c r="AT335" s="235"/>
      <c r="AU335" s="235"/>
      <c r="AV335" s="235"/>
      <c r="AW335" s="246"/>
      <c r="AX335" s="241"/>
      <c r="AY335" s="241"/>
      <c r="AZ335" s="241"/>
      <c r="BA335" s="241"/>
      <c r="BB335" s="273"/>
      <c r="BC335" s="273"/>
      <c r="BD335" s="273"/>
    </row>
    <row r="336" spans="1:71" x14ac:dyDescent="0.2">
      <c r="A336" s="266"/>
      <c r="B336" s="266"/>
      <c r="C336" s="266"/>
      <c r="D336" s="266"/>
      <c r="E336" s="266"/>
      <c r="F336" s="413" t="s">
        <v>113</v>
      </c>
      <c r="G336" s="413"/>
      <c r="H336" s="413"/>
      <c r="I336" s="423"/>
      <c r="J336" s="268"/>
      <c r="K336" s="266"/>
      <c r="L336" s="266"/>
      <c r="M336" s="266"/>
      <c r="N336" s="266"/>
      <c r="O336" s="266"/>
      <c r="P336" s="266"/>
      <c r="Q336" s="266"/>
      <c r="S336" s="278"/>
      <c r="T336" s="278"/>
      <c r="U336" s="278"/>
      <c r="V336" s="278"/>
      <c r="W336" s="278"/>
      <c r="X336" s="334"/>
      <c r="Y336" s="334"/>
      <c r="Z336" s="334"/>
      <c r="AA336" s="278"/>
      <c r="AB336" s="334"/>
      <c r="AC336" s="334"/>
      <c r="AD336" s="334"/>
      <c r="AE336" s="334"/>
      <c r="AF336" s="334"/>
      <c r="AG336" s="278"/>
      <c r="AH336" s="278"/>
      <c r="AI336" s="278"/>
      <c r="AJ336" s="278"/>
      <c r="AK336" s="278"/>
      <c r="AL336" s="278"/>
      <c r="AM336" s="278"/>
      <c r="AT336" s="235"/>
      <c r="AU336" s="235"/>
      <c r="AV336" s="235"/>
      <c r="AW336" s="246"/>
      <c r="AX336" s="241"/>
      <c r="AY336" s="241"/>
      <c r="AZ336" s="241"/>
      <c r="BA336" s="241"/>
    </row>
    <row r="337" spans="1:53" ht="13.5" thickBot="1" x14ac:dyDescent="0.25">
      <c r="A337" s="266"/>
      <c r="B337" s="266"/>
      <c r="C337" s="266"/>
      <c r="D337" s="266"/>
      <c r="E337" s="266"/>
      <c r="F337" s="266"/>
      <c r="G337" s="266"/>
      <c r="H337" s="266"/>
      <c r="I337" s="266"/>
      <c r="J337" s="424" t="str">
        <f>IF(K362=1,B349,IF(K362=2,B350,IF(K362=3,B351,IF(K362=4,B352,"Division Winner"))))</f>
        <v>Palm Strikers 14 Select</v>
      </c>
      <c r="K337" s="425"/>
      <c r="L337" s="425"/>
      <c r="M337" s="425"/>
      <c r="N337" s="425"/>
      <c r="O337" s="425"/>
      <c r="P337" s="425"/>
      <c r="Q337" s="425"/>
      <c r="R337" s="267"/>
      <c r="S337" s="278"/>
      <c r="T337" s="278"/>
      <c r="U337" s="278"/>
      <c r="V337" s="278"/>
      <c r="W337" s="278"/>
      <c r="X337" s="278"/>
      <c r="Y337" s="278"/>
      <c r="Z337" s="278"/>
      <c r="AA337" s="278"/>
      <c r="AB337" s="298"/>
      <c r="AC337" s="298"/>
      <c r="AD337" s="298"/>
      <c r="AE337" s="298"/>
      <c r="AF337" s="298"/>
      <c r="AG337" s="339"/>
      <c r="AH337" s="339"/>
      <c r="AI337" s="339"/>
      <c r="AJ337" s="339"/>
      <c r="AK337" s="339"/>
      <c r="AL337" s="298"/>
      <c r="AM337" s="278"/>
      <c r="AT337" s="235"/>
      <c r="AU337" s="235"/>
      <c r="AV337" s="235"/>
      <c r="AW337" s="246"/>
      <c r="AX337" s="241"/>
      <c r="AY337" s="241"/>
      <c r="AZ337" s="241"/>
      <c r="BA337" s="241"/>
    </row>
    <row r="338" spans="1:53" ht="13.5" thickBot="1" x14ac:dyDescent="0.25">
      <c r="A338" s="402" t="str">
        <f>IF(E357=1,B349,IF(E357=2,B350,IF(E357=3,B351,IF(E357=4,B352,IF(OR(E357="B",E357="b"),"BYE","invalid")))))</f>
        <v>SC Midlands 14 Garnet</v>
      </c>
      <c r="B338" s="402"/>
      <c r="C338" s="402"/>
      <c r="D338" s="402"/>
      <c r="E338" s="402"/>
      <c r="F338" s="419" t="s">
        <v>162</v>
      </c>
      <c r="G338" s="419"/>
      <c r="H338" s="419"/>
      <c r="I338" s="419"/>
      <c r="J338" s="412" t="s">
        <v>163</v>
      </c>
      <c r="K338" s="413"/>
      <c r="L338" s="413"/>
      <c r="M338" s="413"/>
      <c r="N338" s="413"/>
      <c r="O338" s="413"/>
      <c r="P338" s="413"/>
      <c r="Q338" s="413"/>
      <c r="S338" s="298"/>
      <c r="T338" s="298"/>
      <c r="U338" s="298"/>
      <c r="V338" s="298"/>
      <c r="W338" s="298"/>
      <c r="X338" s="298"/>
      <c r="Y338" s="298"/>
      <c r="Z338" s="298"/>
      <c r="AA338" s="298"/>
      <c r="AB338" s="298"/>
      <c r="AC338" s="337"/>
      <c r="AD338" s="337"/>
      <c r="AE338" s="337"/>
      <c r="AF338" s="337"/>
      <c r="AG338" s="334"/>
      <c r="AH338" s="334"/>
      <c r="AI338" s="334"/>
      <c r="AJ338" s="334"/>
      <c r="AK338" s="334"/>
      <c r="AL338" s="278"/>
      <c r="AM338" s="278"/>
      <c r="AT338" s="235"/>
      <c r="AU338" s="235"/>
      <c r="AV338" s="235"/>
      <c r="AW338" s="246"/>
      <c r="AX338" s="241"/>
      <c r="AY338" s="241"/>
      <c r="AZ338" s="241"/>
      <c r="BA338" s="241"/>
    </row>
    <row r="339" spans="1:53" x14ac:dyDescent="0.2">
      <c r="A339" s="404" t="s">
        <v>164</v>
      </c>
      <c r="B339" s="404"/>
      <c r="C339" s="404"/>
      <c r="D339" s="404"/>
      <c r="E339" s="404"/>
      <c r="F339" s="268"/>
      <c r="G339" s="266"/>
      <c r="H339" s="266"/>
      <c r="I339" s="266"/>
      <c r="J339" s="412"/>
      <c r="K339" s="413"/>
      <c r="L339" s="413"/>
      <c r="M339" s="413"/>
      <c r="N339" s="413"/>
      <c r="O339" s="413"/>
      <c r="P339" s="413"/>
      <c r="Q339" s="413"/>
      <c r="R339" s="266"/>
      <c r="S339" s="336"/>
      <c r="T339" s="336"/>
      <c r="U339" s="336"/>
      <c r="V339" s="336"/>
      <c r="W339" s="336"/>
      <c r="X339" s="336"/>
      <c r="Y339" s="336"/>
      <c r="Z339" s="336"/>
      <c r="AA339" s="336"/>
      <c r="AB339" s="336"/>
      <c r="AC339" s="278"/>
      <c r="AD339" s="278"/>
      <c r="AE339" s="278"/>
      <c r="AF339" s="278"/>
      <c r="AG339" s="278"/>
      <c r="AH339" s="278"/>
      <c r="AI339" s="278"/>
      <c r="AJ339" s="278"/>
      <c r="AK339" s="278"/>
      <c r="AL339" s="278"/>
      <c r="AM339" s="278"/>
      <c r="AT339" s="235"/>
      <c r="AU339" s="235"/>
      <c r="AV339" s="235"/>
      <c r="AW339" s="246"/>
      <c r="AX339" s="241"/>
      <c r="AY339" s="241"/>
      <c r="AZ339" s="241"/>
      <c r="BA339" s="241"/>
    </row>
    <row r="340" spans="1:53" x14ac:dyDescent="0.2">
      <c r="A340" s="266"/>
      <c r="B340" s="266"/>
      <c r="C340" s="266"/>
      <c r="D340" s="266"/>
      <c r="E340" s="266"/>
      <c r="F340" s="268"/>
      <c r="G340" s="266"/>
      <c r="H340" s="266"/>
      <c r="I340" s="266"/>
      <c r="J340" s="268"/>
      <c r="K340" s="266"/>
      <c r="L340" s="266"/>
      <c r="M340" s="266"/>
      <c r="N340" s="266"/>
      <c r="O340" s="266"/>
      <c r="Q340" s="266"/>
      <c r="R340" s="266"/>
      <c r="S340" s="278"/>
      <c r="T340" s="278"/>
      <c r="U340" s="278"/>
      <c r="V340" s="278"/>
      <c r="W340" s="278"/>
      <c r="X340" s="278"/>
      <c r="Y340" s="278"/>
      <c r="Z340" s="278"/>
      <c r="AA340" s="278"/>
      <c r="AB340" s="278"/>
      <c r="AC340" s="278"/>
      <c r="AD340" s="278"/>
      <c r="AE340" s="278"/>
      <c r="AF340" s="278"/>
      <c r="AG340" s="278"/>
      <c r="AH340" s="278"/>
      <c r="AI340" s="278"/>
      <c r="AJ340" s="278"/>
      <c r="AK340" s="278"/>
      <c r="AL340" s="278"/>
      <c r="AM340" s="278"/>
      <c r="AT340" s="235"/>
      <c r="AU340" s="235"/>
      <c r="AV340" s="235"/>
      <c r="AW340" s="246"/>
      <c r="AX340" s="241"/>
      <c r="AY340" s="241"/>
      <c r="AZ340" s="241"/>
      <c r="BA340" s="241"/>
    </row>
    <row r="341" spans="1:53" ht="13.5" thickBot="1" x14ac:dyDescent="0.25">
      <c r="A341" s="413" t="s">
        <v>120</v>
      </c>
      <c r="B341" s="413"/>
      <c r="C341" s="413"/>
      <c r="D341" s="413"/>
      <c r="E341" s="271"/>
      <c r="F341" s="414"/>
      <c r="G341" s="415"/>
      <c r="H341" s="415"/>
      <c r="I341" s="416"/>
      <c r="J341" s="417"/>
      <c r="K341" s="418"/>
      <c r="L341" s="418"/>
      <c r="M341" s="418"/>
      <c r="N341" s="418"/>
      <c r="O341" s="266"/>
      <c r="R341" s="270"/>
      <c r="S341" s="334"/>
      <c r="T341" s="334"/>
      <c r="U341" s="334"/>
      <c r="V341" s="334"/>
      <c r="W341" s="334"/>
      <c r="X341" s="334"/>
      <c r="Y341" s="334"/>
      <c r="Z341" s="334"/>
      <c r="AA341" s="334"/>
      <c r="AB341" s="278"/>
      <c r="AC341" s="334"/>
      <c r="AD341" s="334"/>
      <c r="AE341" s="334"/>
      <c r="AF341" s="334"/>
      <c r="AG341" s="334"/>
      <c r="AH341" s="334"/>
      <c r="AI341" s="334"/>
      <c r="AJ341" s="278"/>
      <c r="AK341" s="278"/>
      <c r="AL341" s="278"/>
      <c r="AM341" s="278"/>
      <c r="AT341" s="235"/>
      <c r="AU341" s="235"/>
      <c r="AV341" s="235"/>
      <c r="AW341" s="253"/>
      <c r="AX341" s="252"/>
      <c r="AY341" s="252"/>
      <c r="AZ341" s="252"/>
      <c r="BA341" s="252"/>
    </row>
    <row r="342" spans="1:53" x14ac:dyDescent="0.2">
      <c r="A342" s="419" t="s">
        <v>165</v>
      </c>
      <c r="B342" s="419"/>
      <c r="C342" s="419"/>
      <c r="D342" s="419"/>
      <c r="E342" s="420"/>
      <c r="F342" s="421" t="str">
        <f>IF(J357=1,B349,IF(J357=2,B350,IF(J357=3,B351,IF(J357=4,B352,"Winner Match 2"))))</f>
        <v>SC Midlands 14 Black</v>
      </c>
      <c r="G342" s="422"/>
      <c r="H342" s="422"/>
      <c r="I342" s="422"/>
      <c r="J342" s="422"/>
      <c r="K342" s="422"/>
      <c r="L342" s="422"/>
      <c r="M342" s="422"/>
      <c r="N342" s="422"/>
      <c r="O342" s="266"/>
      <c r="Q342" s="271"/>
      <c r="R342" s="271"/>
      <c r="S342" s="278"/>
      <c r="T342" s="337"/>
      <c r="U342" s="337"/>
      <c r="V342" s="337"/>
      <c r="W342" s="337"/>
      <c r="X342" s="337"/>
      <c r="Y342" s="337"/>
      <c r="Z342" s="337"/>
      <c r="AA342" s="337"/>
      <c r="AB342" s="278"/>
      <c r="AC342" s="298"/>
      <c r="AD342" s="298"/>
      <c r="AE342" s="298"/>
      <c r="AF342" s="298"/>
      <c r="AG342" s="298"/>
      <c r="AH342" s="298"/>
      <c r="AI342" s="298"/>
      <c r="AJ342" s="278"/>
      <c r="AK342" s="278"/>
      <c r="AL342" s="278"/>
      <c r="AM342" s="278"/>
      <c r="AT342" s="235"/>
      <c r="AU342" s="235"/>
      <c r="AV342" s="235"/>
      <c r="AW342" s="259"/>
      <c r="AX342" s="258"/>
      <c r="AY342" s="258"/>
      <c r="AZ342" s="258"/>
      <c r="BA342" s="258"/>
    </row>
    <row r="343" spans="1:53" ht="13.5" thickBot="1" x14ac:dyDescent="0.25">
      <c r="A343" s="402" t="str">
        <f>IF(G357=1,B349,IF(G357=2,B350,IF(G357=3,B351,IF(G357=4,B352,IF(OR(G357="B",G357="b"),"BYE","invalid")))))</f>
        <v>SC Midlands 14 Black</v>
      </c>
      <c r="B343" s="402"/>
      <c r="C343" s="402"/>
      <c r="D343" s="402"/>
      <c r="E343" s="403"/>
      <c r="F343" s="268"/>
      <c r="G343" s="266"/>
      <c r="H343" s="266"/>
      <c r="I343" s="266"/>
      <c r="J343" s="266"/>
      <c r="K343" s="266"/>
      <c r="L343" s="266"/>
      <c r="M343" s="266"/>
      <c r="N343" s="266"/>
      <c r="O343" s="266"/>
      <c r="Q343" s="266"/>
      <c r="R343" s="266"/>
      <c r="S343" s="278"/>
      <c r="T343" s="298"/>
      <c r="U343" s="298"/>
      <c r="V343" s="298"/>
      <c r="W343" s="298"/>
      <c r="X343" s="298"/>
      <c r="Y343" s="298"/>
      <c r="Z343" s="298"/>
      <c r="AA343" s="298"/>
      <c r="AB343" s="298"/>
      <c r="AC343" s="278"/>
      <c r="AD343" s="278"/>
      <c r="AE343" s="278"/>
      <c r="AF343" s="278"/>
      <c r="AG343" s="278"/>
      <c r="AH343" s="278"/>
      <c r="AI343" s="278"/>
      <c r="AJ343" s="278"/>
      <c r="AK343" s="278"/>
      <c r="AL343" s="278"/>
      <c r="AM343" s="278"/>
      <c r="AT343" s="235"/>
      <c r="AU343" s="235"/>
      <c r="AV343" s="235"/>
      <c r="AW343" s="259"/>
      <c r="AX343" s="258"/>
      <c r="AY343" s="258"/>
      <c r="AZ343" s="258"/>
      <c r="BA343" s="258"/>
    </row>
    <row r="344" spans="1:53" x14ac:dyDescent="0.2">
      <c r="A344" s="404" t="s">
        <v>166</v>
      </c>
      <c r="B344" s="404"/>
      <c r="C344" s="404"/>
      <c r="D344" s="404"/>
      <c r="E344" s="404"/>
      <c r="S344" s="278"/>
      <c r="T344" s="336"/>
      <c r="U344" s="336"/>
      <c r="V344" s="336"/>
      <c r="W344" s="336"/>
      <c r="X344" s="336"/>
      <c r="Y344" s="336"/>
      <c r="Z344" s="336"/>
      <c r="AA344" s="336"/>
      <c r="AB344" s="336"/>
      <c r="AC344" s="278"/>
      <c r="AD344" s="278"/>
      <c r="AE344" s="278"/>
      <c r="AF344" s="278"/>
      <c r="AG344" s="278"/>
      <c r="AH344" s="278"/>
      <c r="AI344" s="278"/>
      <c r="AJ344" s="278"/>
      <c r="AK344" s="278"/>
      <c r="AL344" s="278"/>
      <c r="AM344" s="278"/>
      <c r="AT344" s="235"/>
      <c r="AU344" s="235"/>
      <c r="AV344" s="235"/>
      <c r="AW344" s="246"/>
      <c r="AX344" s="241"/>
      <c r="AY344" s="241"/>
      <c r="AZ344" s="241"/>
      <c r="BA344" s="241"/>
    </row>
    <row r="345" spans="1:53" x14ac:dyDescent="0.2">
      <c r="S345" s="278"/>
      <c r="T345" s="278"/>
      <c r="U345" s="278"/>
      <c r="V345" s="278"/>
      <c r="W345" s="278"/>
      <c r="X345" s="278"/>
      <c r="Y345" s="278"/>
      <c r="Z345" s="278"/>
      <c r="AA345" s="278"/>
      <c r="AB345" s="278"/>
      <c r="AC345" s="278"/>
      <c r="AD345" s="278"/>
      <c r="AE345" s="278"/>
      <c r="AF345" s="278"/>
      <c r="AG345" s="278"/>
      <c r="AH345" s="278"/>
      <c r="AI345" s="278"/>
      <c r="AJ345" s="278"/>
      <c r="AK345" s="278"/>
      <c r="AL345" s="278"/>
      <c r="AM345" s="278"/>
      <c r="AT345" s="235"/>
      <c r="AU345" s="235"/>
      <c r="AV345" s="235"/>
      <c r="AW345" s="246"/>
      <c r="AX345" s="241"/>
      <c r="AY345" s="241"/>
      <c r="AZ345" s="241"/>
      <c r="BA345" s="241"/>
    </row>
    <row r="346" spans="1:53" x14ac:dyDescent="0.2">
      <c r="S346" s="278"/>
      <c r="T346" s="278"/>
      <c r="U346" s="278"/>
      <c r="V346" s="278"/>
      <c r="W346" s="278"/>
      <c r="X346" s="278"/>
      <c r="Y346" s="278"/>
      <c r="Z346" s="278"/>
      <c r="AA346" s="278"/>
      <c r="AB346" s="278"/>
      <c r="AC346" s="278"/>
      <c r="AD346" s="278"/>
      <c r="AE346" s="278"/>
      <c r="AF346" s="278"/>
      <c r="AG346" s="278"/>
      <c r="AH346" s="278"/>
      <c r="AI346" s="278"/>
      <c r="AJ346" s="278"/>
      <c r="AK346" s="278"/>
      <c r="AL346" s="278"/>
      <c r="AM346" s="278"/>
      <c r="AT346" s="235"/>
      <c r="AU346" s="235"/>
      <c r="AV346" s="235"/>
    </row>
    <row r="347" spans="1:53" ht="16.5" thickBot="1" x14ac:dyDescent="0.3">
      <c r="A347" s="405" t="s">
        <v>167</v>
      </c>
      <c r="B347" s="405"/>
      <c r="C347" s="405"/>
      <c r="D347" s="405"/>
      <c r="E347" s="405"/>
      <c r="F347" s="405"/>
      <c r="G347" s="405"/>
      <c r="H347" s="405"/>
      <c r="I347" s="405"/>
      <c r="J347" s="405"/>
      <c r="K347" s="311"/>
      <c r="R347" s="263"/>
      <c r="S347" s="340"/>
      <c r="T347" s="340"/>
      <c r="U347" s="341"/>
      <c r="V347" s="341"/>
      <c r="W347" s="341"/>
      <c r="X347" s="341"/>
      <c r="Y347" s="341"/>
      <c r="Z347" s="341"/>
      <c r="AA347" s="341"/>
      <c r="AB347" s="341"/>
      <c r="AC347" s="341"/>
      <c r="AD347" s="341"/>
      <c r="AE347" s="341"/>
      <c r="AF347" s="341"/>
      <c r="AG347" s="278"/>
      <c r="AH347" s="278"/>
      <c r="AI347" s="278"/>
      <c r="AJ347" s="278"/>
      <c r="AK347" s="278"/>
      <c r="AL347" s="278"/>
      <c r="AM347" s="278"/>
      <c r="AT347" s="235"/>
      <c r="AU347" s="235"/>
      <c r="AV347" s="235"/>
    </row>
    <row r="348" spans="1:53" ht="13.5" thickBot="1" x14ac:dyDescent="0.25">
      <c r="A348" s="277" t="s">
        <v>125</v>
      </c>
      <c r="B348" s="406" t="s">
        <v>126</v>
      </c>
      <c r="C348" s="407"/>
      <c r="D348" s="407"/>
      <c r="E348" s="407"/>
      <c r="F348" s="407"/>
      <c r="G348" s="407"/>
      <c r="H348" s="407"/>
      <c r="I348" s="407"/>
      <c r="J348" s="408"/>
      <c r="K348" s="409" t="s">
        <v>127</v>
      </c>
      <c r="L348" s="410"/>
      <c r="M348" s="410"/>
      <c r="N348" s="410"/>
      <c r="O348" s="410"/>
      <c r="P348" s="410"/>
      <c r="Q348" s="411"/>
      <c r="R348" s="266"/>
      <c r="S348" s="278"/>
      <c r="T348" s="278"/>
      <c r="U348" s="298"/>
      <c r="V348" s="298"/>
      <c r="W348" s="298"/>
      <c r="X348" s="298"/>
      <c r="Y348" s="278"/>
      <c r="Z348" s="278"/>
      <c r="AA348" s="278"/>
      <c r="AB348" s="278"/>
      <c r="AC348" s="278"/>
      <c r="AD348" s="278"/>
      <c r="AE348" s="278"/>
      <c r="AF348" s="278"/>
      <c r="AG348" s="278"/>
      <c r="AH348" s="278"/>
      <c r="AI348" s="278"/>
      <c r="AJ348" s="278"/>
      <c r="AK348" s="278"/>
      <c r="AL348" s="278"/>
      <c r="AM348" s="278"/>
      <c r="AT348" s="235"/>
      <c r="AU348" s="235"/>
      <c r="AV348" s="235"/>
    </row>
    <row r="349" spans="1:53" ht="13.5" thickBot="1" x14ac:dyDescent="0.25">
      <c r="A349" s="277">
        <v>1</v>
      </c>
      <c r="B349" s="396" t="str">
        <f>X271</f>
        <v>Palm Strikers 14 Select</v>
      </c>
      <c r="C349" s="397"/>
      <c r="D349" s="397"/>
      <c r="E349" s="397"/>
      <c r="F349" s="397"/>
      <c r="G349" s="397"/>
      <c r="H349" s="397"/>
      <c r="I349" s="397"/>
      <c r="J349" s="398"/>
      <c r="K349" s="399" t="str">
        <f>AF271</f>
        <v>fj4pstri2pm</v>
      </c>
      <c r="L349" s="400"/>
      <c r="M349" s="400"/>
      <c r="N349" s="400"/>
      <c r="O349" s="400"/>
      <c r="P349" s="400"/>
      <c r="Q349" s="401"/>
      <c r="R349" s="266"/>
      <c r="S349" s="278"/>
      <c r="T349" s="278"/>
      <c r="U349" s="298"/>
      <c r="V349" s="298"/>
      <c r="W349" s="298"/>
      <c r="X349" s="334"/>
      <c r="Y349" s="334"/>
      <c r="Z349" s="334"/>
      <c r="AA349" s="334"/>
      <c r="AB349" s="334"/>
      <c r="AC349" s="334"/>
      <c r="AD349" s="334"/>
      <c r="AE349" s="334"/>
      <c r="AF349" s="334"/>
      <c r="AG349" s="278"/>
      <c r="AH349" s="278"/>
      <c r="AI349" s="278"/>
      <c r="AJ349" s="278"/>
      <c r="AK349" s="278"/>
      <c r="AL349" s="278"/>
      <c r="AM349" s="278"/>
      <c r="AT349" s="235"/>
      <c r="AU349" s="235"/>
      <c r="AV349" s="235"/>
    </row>
    <row r="350" spans="1:53" ht="13.5" thickBot="1" x14ac:dyDescent="0.25">
      <c r="A350" s="277">
        <v>2</v>
      </c>
      <c r="B350" s="396" t="str">
        <f>AH264</f>
        <v>SC Midlands 14 Garnet</v>
      </c>
      <c r="C350" s="397"/>
      <c r="D350" s="397"/>
      <c r="E350" s="397"/>
      <c r="F350" s="397"/>
      <c r="G350" s="397"/>
      <c r="H350" s="397"/>
      <c r="I350" s="397"/>
      <c r="J350" s="398"/>
      <c r="K350" s="399" t="str">
        <f>AK264</f>
        <v>fj4scmid4pm</v>
      </c>
      <c r="L350" s="400"/>
      <c r="M350" s="400"/>
      <c r="N350" s="400"/>
      <c r="O350" s="400"/>
      <c r="P350" s="400"/>
      <c r="Q350" s="401"/>
      <c r="R350" s="266"/>
      <c r="S350" s="278"/>
      <c r="T350" s="278"/>
      <c r="U350" s="298"/>
      <c r="V350" s="298"/>
      <c r="W350" s="298"/>
      <c r="X350" s="334"/>
      <c r="Y350" s="334"/>
      <c r="Z350" s="334"/>
      <c r="AA350" s="334"/>
      <c r="AB350" s="334"/>
      <c r="AC350" s="334"/>
      <c r="AD350" s="334"/>
      <c r="AE350" s="334"/>
      <c r="AF350" s="334"/>
      <c r="AG350" s="278"/>
      <c r="AH350" s="278"/>
      <c r="AI350" s="278"/>
      <c r="AJ350" s="278"/>
      <c r="AK350" s="278"/>
      <c r="AL350" s="278"/>
      <c r="AM350" s="278"/>
      <c r="AT350" s="235"/>
      <c r="AU350" s="235"/>
      <c r="AV350" s="235"/>
    </row>
    <row r="351" spans="1:53" ht="13.5" thickBot="1" x14ac:dyDescent="0.25">
      <c r="A351" s="277">
        <v>3</v>
      </c>
      <c r="B351" s="396" t="str">
        <f>AH265</f>
        <v>SC Midlands 14 Black</v>
      </c>
      <c r="C351" s="397"/>
      <c r="D351" s="397"/>
      <c r="E351" s="397"/>
      <c r="F351" s="397"/>
      <c r="G351" s="397"/>
      <c r="H351" s="397"/>
      <c r="I351" s="397"/>
      <c r="J351" s="398"/>
      <c r="K351" s="399" t="str">
        <f>AK265</f>
        <v>fj4scmid3pm</v>
      </c>
      <c r="L351" s="400"/>
      <c r="M351" s="400"/>
      <c r="N351" s="400"/>
      <c r="O351" s="400"/>
      <c r="P351" s="400"/>
      <c r="Q351" s="401"/>
      <c r="R351" s="266"/>
      <c r="S351" s="278"/>
      <c r="T351" s="278"/>
      <c r="U351" s="298"/>
      <c r="V351" s="298"/>
      <c r="W351" s="298"/>
      <c r="X351" s="334"/>
      <c r="Y351" s="334"/>
      <c r="Z351" s="334"/>
      <c r="AA351" s="334"/>
      <c r="AB351" s="334"/>
      <c r="AC351" s="334"/>
      <c r="AD351" s="334"/>
      <c r="AE351" s="334"/>
      <c r="AF351" s="334"/>
      <c r="AG351" s="278"/>
      <c r="AH351" s="278"/>
      <c r="AI351" s="278"/>
      <c r="AJ351" s="278"/>
      <c r="AK351" s="278"/>
      <c r="AL351" s="278"/>
      <c r="AM351" s="278"/>
      <c r="AT351" s="235"/>
      <c r="AU351" s="235"/>
      <c r="AV351" s="235"/>
    </row>
    <row r="352" spans="1:53" ht="13.5" thickBot="1" x14ac:dyDescent="0.25">
      <c r="A352" s="277">
        <v>4</v>
      </c>
      <c r="B352" s="396" t="str">
        <f>AH266</f>
        <v>RHVC 14 Club Hunter</v>
      </c>
      <c r="C352" s="397"/>
      <c r="D352" s="397"/>
      <c r="E352" s="397"/>
      <c r="F352" s="397"/>
      <c r="G352" s="397"/>
      <c r="H352" s="397"/>
      <c r="I352" s="397"/>
      <c r="J352" s="398"/>
      <c r="K352" s="399" t="str">
        <f>AK266</f>
        <v>fj4rockh2pm</v>
      </c>
      <c r="L352" s="400"/>
      <c r="M352" s="400"/>
      <c r="N352" s="400"/>
      <c r="O352" s="400"/>
      <c r="P352" s="400"/>
      <c r="Q352" s="401"/>
      <c r="R352" s="266"/>
      <c r="S352" s="278"/>
      <c r="T352" s="278"/>
      <c r="U352" s="298"/>
      <c r="V352" s="298"/>
      <c r="W352" s="298"/>
      <c r="X352" s="334"/>
      <c r="Y352" s="334"/>
      <c r="Z352" s="334"/>
      <c r="AA352" s="334"/>
      <c r="AB352" s="334"/>
      <c r="AC352" s="334"/>
      <c r="AD352" s="334"/>
      <c r="AE352" s="334"/>
      <c r="AF352" s="334"/>
      <c r="AG352" s="278"/>
      <c r="AH352" s="278"/>
      <c r="AI352" s="278"/>
      <c r="AJ352" s="278"/>
      <c r="AK352" s="278"/>
      <c r="AL352" s="278"/>
      <c r="AM352" s="278"/>
      <c r="AT352" s="235"/>
      <c r="AU352" s="235"/>
      <c r="AV352" s="235"/>
    </row>
    <row r="353" spans="1:71" ht="13.5" thickBot="1" x14ac:dyDescent="0.25">
      <c r="S353" s="278"/>
      <c r="T353" s="278"/>
      <c r="U353" s="278"/>
      <c r="V353" s="278"/>
      <c r="W353" s="278"/>
      <c r="X353" s="278"/>
      <c r="Y353" s="278"/>
      <c r="Z353" s="278"/>
      <c r="AA353" s="278"/>
      <c r="AB353" s="278"/>
      <c r="AC353" s="278"/>
      <c r="AD353" s="278"/>
      <c r="AE353" s="278"/>
      <c r="AF353" s="278"/>
      <c r="AG353" s="278"/>
      <c r="AH353" s="278"/>
      <c r="AI353" s="278"/>
      <c r="AJ353" s="278"/>
      <c r="AK353" s="278"/>
      <c r="AL353" s="278"/>
      <c r="AM353" s="278"/>
      <c r="AT353" s="235"/>
      <c r="AU353" s="235"/>
      <c r="AV353" s="235"/>
    </row>
    <row r="354" spans="1:71" x14ac:dyDescent="0.2">
      <c r="B354" s="372" t="s">
        <v>128</v>
      </c>
      <c r="C354" s="373"/>
      <c r="D354" s="374"/>
      <c r="E354" s="375" t="s">
        <v>128</v>
      </c>
      <c r="F354" s="373"/>
      <c r="G354" s="374"/>
      <c r="H354" s="375" t="s">
        <v>11</v>
      </c>
      <c r="I354" s="373"/>
      <c r="J354" s="376"/>
      <c r="K354" s="377" t="s">
        <v>129</v>
      </c>
      <c r="L354" s="378"/>
      <c r="M354" s="378"/>
      <c r="N354" s="378"/>
      <c r="O354" s="378"/>
      <c r="P354" s="378"/>
      <c r="Q354" s="379"/>
      <c r="S354" s="278"/>
      <c r="T354" s="278"/>
      <c r="U354" s="278"/>
      <c r="V354" s="278"/>
      <c r="W354" s="278"/>
      <c r="X354" s="342"/>
      <c r="Y354" s="342"/>
      <c r="Z354" s="342"/>
      <c r="AA354" s="342"/>
      <c r="AB354" s="342"/>
      <c r="AC354" s="342"/>
      <c r="AD354" s="342"/>
      <c r="AE354" s="342"/>
      <c r="AF354" s="342"/>
      <c r="AG354" s="278"/>
      <c r="AH354" s="278"/>
      <c r="AI354" s="278"/>
      <c r="AJ354" s="278"/>
      <c r="AK354" s="278"/>
      <c r="AL354" s="278"/>
      <c r="AM354" s="278"/>
      <c r="AT354" s="235"/>
      <c r="AU354" s="235"/>
      <c r="AV354" s="235"/>
    </row>
    <row r="355" spans="1:71" x14ac:dyDescent="0.2">
      <c r="A355" s="221" t="s">
        <v>130</v>
      </c>
      <c r="B355" s="386">
        <v>3</v>
      </c>
      <c r="C355" s="387"/>
      <c r="D355" s="388"/>
      <c r="E355" s="389" t="s">
        <v>131</v>
      </c>
      <c r="F355" s="387"/>
      <c r="G355" s="388"/>
      <c r="H355" s="389" t="s">
        <v>132</v>
      </c>
      <c r="I355" s="387"/>
      <c r="J355" s="390"/>
      <c r="K355" s="380"/>
      <c r="L355" s="381"/>
      <c r="M355" s="381"/>
      <c r="N355" s="381"/>
      <c r="O355" s="381"/>
      <c r="P355" s="381"/>
      <c r="Q355" s="382"/>
      <c r="S355" s="278"/>
      <c r="T355" s="278"/>
      <c r="U355" s="278"/>
      <c r="V355" s="278"/>
      <c r="W355" s="343"/>
      <c r="X355" s="344"/>
      <c r="Y355" s="344"/>
      <c r="Z355" s="344"/>
      <c r="AA355" s="344"/>
      <c r="AB355" s="344"/>
      <c r="AC355" s="344"/>
      <c r="AD355" s="344"/>
      <c r="AE355" s="344"/>
      <c r="AF355" s="344"/>
      <c r="AG355" s="278"/>
      <c r="AH355" s="278"/>
      <c r="AI355" s="278"/>
      <c r="AJ355" s="278"/>
      <c r="AK355" s="278"/>
      <c r="AL355" s="278"/>
      <c r="AM355" s="278"/>
      <c r="AT355" s="241"/>
      <c r="AU355" s="241"/>
      <c r="AV355" s="241"/>
    </row>
    <row r="356" spans="1:71" ht="13.5" thickBot="1" x14ac:dyDescent="0.25">
      <c r="A356" s="195"/>
      <c r="B356" s="391" t="s">
        <v>43</v>
      </c>
      <c r="C356" s="392"/>
      <c r="D356" s="393"/>
      <c r="E356" s="394" t="s">
        <v>133</v>
      </c>
      <c r="F356" s="392"/>
      <c r="G356" s="393"/>
      <c r="H356" s="394" t="s">
        <v>134</v>
      </c>
      <c r="I356" s="392"/>
      <c r="J356" s="395"/>
      <c r="K356" s="383"/>
      <c r="L356" s="384"/>
      <c r="M356" s="384"/>
      <c r="N356" s="384"/>
      <c r="O356" s="384"/>
      <c r="P356" s="384"/>
      <c r="Q356" s="385"/>
      <c r="S356" s="278"/>
      <c r="T356" s="278"/>
      <c r="U356" s="298"/>
      <c r="V356" s="298"/>
      <c r="W356" s="298"/>
      <c r="X356" s="345"/>
      <c r="Y356" s="345"/>
      <c r="Z356" s="345"/>
      <c r="AA356" s="345"/>
      <c r="AB356" s="345"/>
      <c r="AC356" s="345"/>
      <c r="AD356" s="345"/>
      <c r="AE356" s="345"/>
      <c r="AF356" s="345"/>
      <c r="AG356" s="278"/>
      <c r="AH356" s="278"/>
      <c r="AI356" s="278"/>
      <c r="AJ356" s="278"/>
      <c r="AK356" s="278"/>
      <c r="AL356" s="278"/>
      <c r="AM356" s="278"/>
      <c r="AT356" s="241"/>
      <c r="AU356" s="241"/>
      <c r="AV356" s="241"/>
    </row>
    <row r="357" spans="1:71" ht="13.5" thickBot="1" x14ac:dyDescent="0.25">
      <c r="A357" s="195"/>
      <c r="B357" s="279">
        <v>1</v>
      </c>
      <c r="C357" s="280" t="s">
        <v>51</v>
      </c>
      <c r="D357" s="281">
        <v>4</v>
      </c>
      <c r="E357" s="282">
        <v>2</v>
      </c>
      <c r="F357" s="280" t="s">
        <v>51</v>
      </c>
      <c r="G357" s="281">
        <v>3</v>
      </c>
      <c r="H357" s="283">
        <f>IF(OR(AND(OR(B361&gt;0,D361&gt;0),B361&gt;D361),OR(D357="b",D357="B")),B357,IF(OR(AND(OR(B361&gt;0,D361&gt;0),D361&gt;B361),OR(B357="b",B357="B")),D357,"W1"))</f>
        <v>1</v>
      </c>
      <c r="I357" s="284" t="s">
        <v>51</v>
      </c>
      <c r="J357" s="285">
        <f>IF(OR(AND(OR(E361&gt;0,G361&gt;0),E361&gt;G361),OR(G357="b",G357="B")),E357,IF(OR(AND(OR(E361&gt;0,G361&gt;0),G361&gt;E361),OR(E357="b",E357="B")),G357,"W2"))</f>
        <v>3</v>
      </c>
      <c r="K357" s="359" t="s">
        <v>135</v>
      </c>
      <c r="L357" s="360"/>
      <c r="M357" s="360"/>
      <c r="N357" s="361"/>
      <c r="S357" s="278"/>
      <c r="T357" s="278"/>
      <c r="U357" s="298"/>
      <c r="V357" s="298"/>
      <c r="W357" s="298"/>
      <c r="X357" s="346"/>
      <c r="Y357" s="347"/>
      <c r="Z357" s="348"/>
      <c r="AA357" s="346"/>
      <c r="AB357" s="347"/>
      <c r="AC357" s="348"/>
      <c r="AD357" s="346"/>
      <c r="AE357" s="347"/>
      <c r="AF357" s="348"/>
      <c r="AG357" s="345"/>
      <c r="AH357" s="345"/>
      <c r="AI357" s="278"/>
      <c r="AJ357" s="278"/>
      <c r="AK357" s="278"/>
      <c r="AL357" s="278"/>
      <c r="AM357" s="278"/>
    </row>
    <row r="358" spans="1:71" ht="12.75" hidden="1" customHeight="1" x14ac:dyDescent="0.2">
      <c r="A358" s="195"/>
      <c r="B358" s="288">
        <f>IF(B362&gt;D362,1,0)</f>
        <v>1</v>
      </c>
      <c r="C358" s="289"/>
      <c r="D358" s="290">
        <f>IF(D362&gt;B362,1,0)</f>
        <v>0</v>
      </c>
      <c r="E358" s="288">
        <f>IF(E362&gt;G362,1,0)</f>
        <v>0</v>
      </c>
      <c r="F358" s="289"/>
      <c r="G358" s="290">
        <f>IF(G362&gt;E362,1,0)</f>
        <v>1</v>
      </c>
      <c r="H358" s="288">
        <f>IF(H362&gt;J362,1,0)</f>
        <v>1</v>
      </c>
      <c r="I358" s="289"/>
      <c r="J358" s="290">
        <f>IF(J362&gt;H362,1,0)</f>
        <v>0</v>
      </c>
      <c r="K358" s="291"/>
      <c r="L358" s="292"/>
      <c r="M358" s="292"/>
      <c r="N358" s="293"/>
      <c r="S358" s="278"/>
      <c r="T358" s="278"/>
      <c r="U358" s="298"/>
      <c r="V358" s="298"/>
      <c r="W358" s="298"/>
      <c r="X358" s="349"/>
      <c r="Y358" s="304"/>
      <c r="Z358" s="350"/>
      <c r="AA358" s="349"/>
      <c r="AB358" s="304"/>
      <c r="AC358" s="350"/>
      <c r="AD358" s="349"/>
      <c r="AE358" s="304"/>
      <c r="AF358" s="350"/>
      <c r="AG358" s="351"/>
      <c r="AH358" s="351"/>
      <c r="AI358" s="278"/>
      <c r="AJ358" s="278"/>
      <c r="AK358" s="278"/>
      <c r="AL358" s="278"/>
      <c r="AM358" s="278"/>
    </row>
    <row r="359" spans="1:71" ht="12.75" hidden="1" customHeight="1" x14ac:dyDescent="0.2">
      <c r="A359" s="195"/>
      <c r="B359" s="288">
        <f>IF(B363&gt;D363,1,0)</f>
        <v>0</v>
      </c>
      <c r="C359" s="289"/>
      <c r="D359" s="290">
        <f>IF(D363&gt;B363,1,0)</f>
        <v>0</v>
      </c>
      <c r="E359" s="288">
        <f>IF(E363&gt;G363,1,0)</f>
        <v>0</v>
      </c>
      <c r="F359" s="289"/>
      <c r="G359" s="290">
        <f>IF(G363&gt;E363,1,0)</f>
        <v>0</v>
      </c>
      <c r="H359" s="288">
        <f>IF(H363&gt;J363,1,0)</f>
        <v>1</v>
      </c>
      <c r="I359" s="289"/>
      <c r="J359" s="290">
        <f>IF(J363&gt;H363,1,0)</f>
        <v>0</v>
      </c>
      <c r="K359" s="291"/>
      <c r="L359" s="292"/>
      <c r="M359" s="292"/>
      <c r="N359" s="293"/>
      <c r="S359" s="278"/>
      <c r="T359" s="278"/>
      <c r="U359" s="298"/>
      <c r="V359" s="298"/>
      <c r="W359" s="298"/>
      <c r="X359" s="349"/>
      <c r="Y359" s="304"/>
      <c r="Z359" s="350"/>
      <c r="AA359" s="349"/>
      <c r="AB359" s="304"/>
      <c r="AC359" s="350"/>
      <c r="AD359" s="349"/>
      <c r="AE359" s="304"/>
      <c r="AF359" s="350"/>
      <c r="AG359" s="351"/>
      <c r="AH359" s="351"/>
      <c r="AI359" s="278"/>
      <c r="AJ359" s="278"/>
      <c r="AK359" s="278"/>
      <c r="AL359" s="278"/>
      <c r="AM359" s="278"/>
    </row>
    <row r="360" spans="1:71" ht="13.5" hidden="1" customHeight="1" thickBot="1" x14ac:dyDescent="0.25">
      <c r="A360" s="195"/>
      <c r="B360" s="288">
        <f>IF(B364&gt;D364,1,0)</f>
        <v>0</v>
      </c>
      <c r="C360" s="289"/>
      <c r="D360" s="290">
        <f>IF(D364&gt;B364,1,0)</f>
        <v>0</v>
      </c>
      <c r="E360" s="288">
        <f>IF(E364&gt;G364,1,0)</f>
        <v>0</v>
      </c>
      <c r="F360" s="289"/>
      <c r="G360" s="290">
        <f>IF(G364&gt;E364,1,0)</f>
        <v>0</v>
      </c>
      <c r="H360" s="288">
        <f>IF(H364&gt;J364,1,0)</f>
        <v>0</v>
      </c>
      <c r="I360" s="289"/>
      <c r="J360" s="290">
        <f>IF(J364&gt;H364,1,0)</f>
        <v>0</v>
      </c>
      <c r="K360" s="291"/>
      <c r="L360" s="292"/>
      <c r="M360" s="292"/>
      <c r="N360" s="293"/>
      <c r="S360" s="278"/>
      <c r="T360" s="278"/>
      <c r="U360" s="298"/>
      <c r="V360" s="298"/>
      <c r="W360" s="298"/>
      <c r="X360" s="349"/>
      <c r="Y360" s="304"/>
      <c r="Z360" s="350"/>
      <c r="AA360" s="349"/>
      <c r="AB360" s="304"/>
      <c r="AC360" s="350"/>
      <c r="AD360" s="349"/>
      <c r="AE360" s="304"/>
      <c r="AF360" s="350"/>
      <c r="AG360" s="351"/>
      <c r="AH360" s="351"/>
      <c r="AI360" s="278"/>
      <c r="AJ360" s="278"/>
      <c r="AK360" s="278"/>
      <c r="AL360" s="278"/>
      <c r="AM360" s="278"/>
    </row>
    <row r="361" spans="1:71" ht="13.5" hidden="1" thickBot="1" x14ac:dyDescent="0.25">
      <c r="A361" s="195"/>
      <c r="B361" s="288">
        <f>SUM(B358:B360)</f>
        <v>1</v>
      </c>
      <c r="C361" s="289"/>
      <c r="D361" s="288">
        <f>SUM(D358:D360)</f>
        <v>0</v>
      </c>
      <c r="E361" s="288">
        <f>SUM(E358:E360)</f>
        <v>0</v>
      </c>
      <c r="F361" s="289"/>
      <c r="G361" s="288">
        <f>SUM(G358:G360)</f>
        <v>1</v>
      </c>
      <c r="H361" s="288">
        <f>SUM(H358:H360)</f>
        <v>2</v>
      </c>
      <c r="I361" s="289"/>
      <c r="J361" s="288">
        <f>SUM(J358:J360)</f>
        <v>0</v>
      </c>
      <c r="K361" s="291"/>
      <c r="L361" s="292"/>
      <c r="M361" s="292"/>
      <c r="N361" s="293"/>
      <c r="S361" s="278"/>
      <c r="T361" s="278"/>
      <c r="U361" s="298"/>
      <c r="V361" s="298"/>
      <c r="W361" s="298"/>
      <c r="X361" s="298"/>
      <c r="Y361" s="298"/>
      <c r="Z361" s="298"/>
      <c r="AA361" s="298"/>
      <c r="AB361" s="298"/>
      <c r="AC361" s="298"/>
      <c r="AD361" s="298"/>
      <c r="AE361" s="298"/>
      <c r="AF361" s="298"/>
      <c r="AG361" s="298"/>
      <c r="AH361" s="298"/>
      <c r="AI361" s="278"/>
      <c r="AJ361" s="278"/>
      <c r="AK361" s="278"/>
      <c r="AL361" s="278"/>
      <c r="AM361" s="278"/>
    </row>
    <row r="362" spans="1:71" x14ac:dyDescent="0.2">
      <c r="A362" s="193" t="s">
        <v>52</v>
      </c>
      <c r="B362" s="294">
        <v>25</v>
      </c>
      <c r="C362" s="230" t="s">
        <v>53</v>
      </c>
      <c r="D362" s="295">
        <v>15</v>
      </c>
      <c r="E362" s="296">
        <v>27</v>
      </c>
      <c r="F362" s="230" t="s">
        <v>53</v>
      </c>
      <c r="G362" s="295">
        <v>29</v>
      </c>
      <c r="H362" s="296">
        <v>25</v>
      </c>
      <c r="I362" s="230" t="s">
        <v>53</v>
      </c>
      <c r="J362" s="297">
        <v>15</v>
      </c>
      <c r="K362" s="362">
        <f>IF(AND(OR(H361&gt;0,J361&gt;0),AND(1&lt;=H357,H357&lt;=4),AND(1&lt;=J357,J357&lt;=4)),IF(H361&gt;J361,H357,IF(J361&gt;H361,J357,"")),"")</f>
        <v>1</v>
      </c>
      <c r="L362" s="363"/>
      <c r="M362" s="363"/>
      <c r="N362" s="364"/>
    </row>
    <row r="363" spans="1:71" x14ac:dyDescent="0.2">
      <c r="A363" s="193" t="s">
        <v>136</v>
      </c>
      <c r="B363" s="294"/>
      <c r="C363" s="230" t="s">
        <v>53</v>
      </c>
      <c r="D363" s="295"/>
      <c r="E363" s="296"/>
      <c r="F363" s="230" t="s">
        <v>53</v>
      </c>
      <c r="G363" s="295"/>
      <c r="H363" s="296">
        <v>25</v>
      </c>
      <c r="I363" s="230" t="s">
        <v>53</v>
      </c>
      <c r="J363" s="297">
        <v>18</v>
      </c>
      <c r="K363" s="365"/>
      <c r="L363" s="366"/>
      <c r="M363" s="366"/>
      <c r="N363" s="367"/>
    </row>
    <row r="364" spans="1:71" ht="13.5" thickBot="1" x14ac:dyDescent="0.25">
      <c r="A364" s="193" t="s">
        <v>137</v>
      </c>
      <c r="B364" s="299"/>
      <c r="C364" s="300" t="s">
        <v>53</v>
      </c>
      <c r="D364" s="301"/>
      <c r="E364" s="302"/>
      <c r="F364" s="300" t="s">
        <v>53</v>
      </c>
      <c r="G364" s="301"/>
      <c r="H364" s="302"/>
      <c r="I364" s="300" t="s">
        <v>53</v>
      </c>
      <c r="J364" s="303"/>
      <c r="K364" s="368"/>
      <c r="L364" s="369"/>
      <c r="M364" s="369"/>
      <c r="N364" s="370"/>
    </row>
    <row r="365" spans="1:71" hidden="1" x14ac:dyDescent="0.2">
      <c r="B365" s="191"/>
      <c r="C365" s="304" t="s">
        <v>87</v>
      </c>
      <c r="D365" s="191" t="s">
        <v>138</v>
      </c>
      <c r="E365" s="191"/>
      <c r="F365" s="304"/>
      <c r="G365" s="188" t="s">
        <v>139</v>
      </c>
      <c r="J365" s="188" t="s">
        <v>140</v>
      </c>
      <c r="AT365" s="188" t="str">
        <f>B366</f>
        <v>Palm Strikers 14 Select</v>
      </c>
      <c r="AU365" s="188">
        <f>J366</f>
        <v>1745.7532376061822</v>
      </c>
      <c r="BB365" s="234"/>
      <c r="BE365" s="234"/>
      <c r="BH365" s="238"/>
      <c r="BI365" s="235"/>
      <c r="BJ365" s="235"/>
      <c r="BK365" s="238"/>
      <c r="BL365" s="235"/>
      <c r="BM365" s="235"/>
      <c r="BN365" s="238"/>
      <c r="BO365" s="235"/>
      <c r="BP365" s="235"/>
      <c r="BQ365" s="238"/>
      <c r="BR365" s="235"/>
      <c r="BS365" s="235"/>
    </row>
    <row r="366" spans="1:71" hidden="1" x14ac:dyDescent="0.2">
      <c r="A366" s="188">
        <v>1</v>
      </c>
      <c r="B366" s="188" t="str">
        <f>B349</f>
        <v>Palm Strikers 14 Select</v>
      </c>
      <c r="C366" s="188">
        <f>VLOOKUP(B366,AU$2:AY$22,4,FALSE)</f>
        <v>1729.1507888646631</v>
      </c>
      <c r="D366" s="188">
        <f>IF(A366=B357,B372,IF(A366=D357,D372,C366))</f>
        <v>1735.3101882711262</v>
      </c>
      <c r="G366" s="188">
        <f>IF(A366=E357,E372,IF(A366=G357,G372,D366))</f>
        <v>1735.3101882711262</v>
      </c>
      <c r="J366" s="188">
        <f>IF(A366=H357,H372,IF(A366=J357,J372,G366))</f>
        <v>1745.7532376061822</v>
      </c>
      <c r="AT366" s="188" t="str">
        <f>B367</f>
        <v>SC Midlands 14 Garnet</v>
      </c>
      <c r="AU366" s="188">
        <f>J367</f>
        <v>1722.2995681426601</v>
      </c>
      <c r="BB366" s="234"/>
      <c r="BE366" s="234"/>
      <c r="BH366" s="238"/>
      <c r="BI366" s="235"/>
      <c r="BJ366" s="235"/>
      <c r="BK366" s="238"/>
      <c r="BL366" s="235"/>
      <c r="BM366" s="235"/>
      <c r="BN366" s="238"/>
      <c r="BO366" s="235"/>
      <c r="BP366" s="235"/>
      <c r="BQ366" s="238"/>
      <c r="BR366" s="235"/>
      <c r="BS366" s="235"/>
    </row>
    <row r="367" spans="1:71" hidden="1" x14ac:dyDescent="0.2">
      <c r="A367" s="188">
        <v>2</v>
      </c>
      <c r="B367" s="188" t="str">
        <f>B350</f>
        <v>SC Midlands 14 Garnet</v>
      </c>
      <c r="C367" s="188">
        <f>VLOOKUP(B367,AU$2:AY$22,4,FALSE)</f>
        <v>1733.2566986071022</v>
      </c>
      <c r="D367" s="188">
        <f>IF(A367=B357,B372,IF(A367=D357,D372,C367))</f>
        <v>1733.2566986071022</v>
      </c>
      <c r="G367" s="188">
        <f>IF(A367=E357,E372,IF(A367=G357,G372,D367))</f>
        <v>1722.2995681426601</v>
      </c>
      <c r="J367" s="188">
        <f>IF(A367=H357,H372,IF(A367=J357,J372,G367))</f>
        <v>1722.2995681426601</v>
      </c>
      <c r="AT367" s="188" t="str">
        <f>B368</f>
        <v>SC Midlands 14 Black</v>
      </c>
      <c r="AU367" s="188">
        <f>J368</f>
        <v>1598.9631396964801</v>
      </c>
      <c r="BB367" s="234"/>
      <c r="BE367" s="234"/>
      <c r="BH367" s="238"/>
      <c r="BI367" s="235"/>
      <c r="BJ367" s="235"/>
      <c r="BK367" s="238"/>
      <c r="BL367" s="235"/>
      <c r="BM367" s="235"/>
      <c r="BN367" s="238"/>
      <c r="BO367" s="235"/>
      <c r="BP367" s="235"/>
      <c r="BQ367" s="238"/>
      <c r="BR367" s="235"/>
      <c r="BS367" s="235"/>
    </row>
    <row r="368" spans="1:71" hidden="1" x14ac:dyDescent="0.2">
      <c r="A368" s="188">
        <v>3</v>
      </c>
      <c r="B368" s="188" t="str">
        <f>B351</f>
        <v>SC Midlands 14 Black</v>
      </c>
      <c r="C368" s="188">
        <f>VLOOKUP(B368,AU$2:AY$22,4,FALSE)</f>
        <v>1598.449058567094</v>
      </c>
      <c r="D368" s="188">
        <f>IF(A368=B357,B372,IF(A368=D357,D372,C368))</f>
        <v>1598.449058567094</v>
      </c>
      <c r="G368" s="188">
        <f>IF(A368=E357,E372,IF(A368=G357,G372,D368))</f>
        <v>1609.4061890315361</v>
      </c>
      <c r="J368" s="188">
        <f>IF(A368=H357,H372,IF(A368=J357,J372,G368))</f>
        <v>1598.9631396964801</v>
      </c>
      <c r="AT368" s="188" t="str">
        <f>B369</f>
        <v>RHVC 14 Club Hunter</v>
      </c>
      <c r="AU368" s="188">
        <f>J369</f>
        <v>1641.5980941199523</v>
      </c>
      <c r="BB368" s="234"/>
      <c r="BE368" s="234"/>
      <c r="BH368" s="238"/>
      <c r="BI368" s="235"/>
      <c r="BJ368" s="235"/>
      <c r="BK368" s="238"/>
      <c r="BL368" s="235"/>
      <c r="BM368" s="235"/>
      <c r="BN368" s="238"/>
      <c r="BO368" s="235"/>
      <c r="BP368" s="235"/>
      <c r="BQ368" s="238"/>
      <c r="BR368" s="235"/>
      <c r="BS368" s="235"/>
    </row>
    <row r="369" spans="1:71" hidden="1" x14ac:dyDescent="0.2">
      <c r="A369" s="188">
        <v>4</v>
      </c>
      <c r="B369" s="188" t="str">
        <f>B352</f>
        <v>RHVC 14 Club Hunter</v>
      </c>
      <c r="C369" s="188">
        <f>VLOOKUP(B369,AU$2:AY$22,4,FALSE)</f>
        <v>1647.7574935264154</v>
      </c>
      <c r="D369" s="188">
        <f>IF(A369=B357,B372,IF(A369=D357,D372,C369))</f>
        <v>1641.5980941199523</v>
      </c>
      <c r="G369" s="188">
        <f>IF(A369=E357,E372,IF(A369=G357,G372,D369))</f>
        <v>1641.5980941199523</v>
      </c>
      <c r="J369" s="188">
        <f>IF(A369=H357,H372,IF(A369=J357,J372,G369))</f>
        <v>1641.5980941199523</v>
      </c>
      <c r="AT369" s="188">
        <f>W366</f>
        <v>0</v>
      </c>
      <c r="AU369" s="188">
        <f>AE366</f>
        <v>0</v>
      </c>
      <c r="BB369" s="234"/>
      <c r="BE369" s="234"/>
      <c r="BH369" s="238"/>
      <c r="BI369" s="235"/>
      <c r="BJ369" s="235"/>
      <c r="BK369" s="238"/>
      <c r="BL369" s="235"/>
      <c r="BM369" s="235"/>
      <c r="BN369" s="238"/>
      <c r="BO369" s="235"/>
      <c r="BP369" s="235"/>
      <c r="BQ369" s="238"/>
      <c r="BR369" s="235"/>
      <c r="BS369" s="235"/>
    </row>
    <row r="370" spans="1:71" hidden="1" x14ac:dyDescent="0.2">
      <c r="A370" s="188" t="s">
        <v>89</v>
      </c>
      <c r="B370" s="188">
        <f>VLOOKUP(B357,$A366:$J369,3,FALSE)</f>
        <v>1729.1507888646631</v>
      </c>
      <c r="D370" s="188">
        <f>VLOOKUP(D357,$A366:$J369,3,FALSE)</f>
        <v>1647.7574935264154</v>
      </c>
      <c r="E370" s="188">
        <f>VLOOKUP(E357,$A366:$J369,4,FALSE)</f>
        <v>1733.2566986071022</v>
      </c>
      <c r="G370" s="188">
        <f>VLOOKUP(G357,$A366:$J369,4,FALSE)</f>
        <v>1598.449058567094</v>
      </c>
      <c r="H370" s="188">
        <f>VLOOKUP(H357,$A366:$J369,7,FALSE)</f>
        <v>1735.3101882711262</v>
      </c>
      <c r="J370" s="188">
        <f>VLOOKUP(J357,$A366:$J369,7,FALSE)</f>
        <v>1609.4061890315361</v>
      </c>
      <c r="AT370" s="188">
        <f>W367</f>
        <v>0</v>
      </c>
      <c r="AU370" s="188">
        <f>AE367</f>
        <v>0</v>
      </c>
      <c r="BB370" s="234"/>
      <c r="BE370" s="234"/>
      <c r="BH370" s="238"/>
      <c r="BI370" s="235"/>
      <c r="BJ370" s="235"/>
      <c r="BK370" s="238"/>
      <c r="BL370" s="235"/>
      <c r="BM370" s="235"/>
      <c r="BN370" s="238"/>
      <c r="BO370" s="235"/>
      <c r="BP370" s="235"/>
      <c r="BQ370" s="238"/>
      <c r="BR370" s="235"/>
      <c r="BS370" s="235"/>
    </row>
    <row r="371" spans="1:71" hidden="1" x14ac:dyDescent="0.2">
      <c r="A371" s="249" t="s">
        <v>90</v>
      </c>
      <c r="B371" s="249">
        <f>1/(1+(10^-((B370-D370)/400)))*(B361+D361)</f>
        <v>0.61503753709605302</v>
      </c>
      <c r="C371" s="249"/>
      <c r="D371" s="249">
        <f>1/(1+(10^-((D370-B370)/400)))*(B361+D361)</f>
        <v>0.38496246290394692</v>
      </c>
      <c r="E371" s="249">
        <f>1/(1+(10^-((E370-G370)/400)))*(E361+G361)</f>
        <v>0.68482065402763581</v>
      </c>
      <c r="G371" s="249">
        <f>1/(1+(10^-((G370-E370)/400)))*(E361+G361)</f>
        <v>0.31517934597236413</v>
      </c>
      <c r="H371" s="249">
        <f>1/(1+(10^-((H370-J370)/400)))*(H361+J361)</f>
        <v>1.3473094165590014</v>
      </c>
      <c r="J371" s="249">
        <f>1/(1+(10^-((J370-H370)/400)))*(H361+J361)</f>
        <v>0.65269058344099862</v>
      </c>
      <c r="AT371" s="188">
        <f>W368</f>
        <v>0</v>
      </c>
      <c r="AU371" s="188">
        <f>AE368</f>
        <v>0</v>
      </c>
      <c r="AW371" s="238"/>
      <c r="AX371" s="235"/>
      <c r="AY371" s="235"/>
      <c r="AZ371" s="235"/>
      <c r="BA371" s="235"/>
      <c r="BB371" s="238"/>
      <c r="BC371" s="235"/>
      <c r="BD371" s="235"/>
      <c r="BE371" s="234"/>
      <c r="BH371" s="238"/>
      <c r="BI371" s="235"/>
      <c r="BJ371" s="235"/>
      <c r="BK371" s="238"/>
      <c r="BL371" s="235"/>
      <c r="BM371" s="235"/>
      <c r="BN371" s="238"/>
      <c r="BO371" s="235"/>
      <c r="BP371" s="235"/>
      <c r="BQ371" s="238"/>
      <c r="BR371" s="235"/>
      <c r="BS371" s="235"/>
    </row>
    <row r="372" spans="1:71" hidden="1" x14ac:dyDescent="0.2">
      <c r="A372" s="255" t="s">
        <v>91</v>
      </c>
      <c r="B372" s="255">
        <f>B370+(B361-B371)*$BA$2</f>
        <v>1735.3101882711262</v>
      </c>
      <c r="C372" s="255"/>
      <c r="D372" s="255">
        <f>D370+(D361-D371)*$BA$2</f>
        <v>1641.5980941199523</v>
      </c>
      <c r="E372" s="255">
        <f>E370+(E361-E371)*$BA$2</f>
        <v>1722.2995681426601</v>
      </c>
      <c r="G372" s="255">
        <f>G370+(G361-G371)*$BA$2</f>
        <v>1609.4061890315361</v>
      </c>
      <c r="H372" s="255">
        <f>H370+(H361-H371)*$BA$2</f>
        <v>1745.7532376061822</v>
      </c>
      <c r="J372" s="255">
        <f>J370+(J361-J371)*$BA$2</f>
        <v>1598.9631396964801</v>
      </c>
      <c r="AT372" s="188">
        <f>W369</f>
        <v>0</v>
      </c>
      <c r="AU372" s="188">
        <f>AE369</f>
        <v>0</v>
      </c>
      <c r="AW372" s="238"/>
      <c r="AX372" s="235"/>
      <c r="AY372" s="235"/>
      <c r="AZ372" s="235"/>
      <c r="BA372" s="235"/>
      <c r="BB372" s="238"/>
      <c r="BC372" s="235"/>
      <c r="BD372" s="235"/>
      <c r="BE372" s="234"/>
      <c r="BH372" s="238"/>
      <c r="BI372" s="235"/>
      <c r="BJ372" s="235"/>
      <c r="BK372" s="238"/>
      <c r="BL372" s="235"/>
      <c r="BM372" s="235"/>
      <c r="BN372" s="238"/>
      <c r="BO372" s="235"/>
      <c r="BP372" s="235"/>
      <c r="BQ372" s="238"/>
      <c r="BR372" s="235"/>
      <c r="BS372" s="235"/>
    </row>
    <row r="373" spans="1:71" x14ac:dyDescent="0.2">
      <c r="A373" s="371" t="s">
        <v>141</v>
      </c>
      <c r="B373" s="371"/>
      <c r="C373" s="371"/>
      <c r="D373" s="371"/>
      <c r="E373" s="371"/>
      <c r="F373" s="371"/>
      <c r="G373" s="371"/>
      <c r="H373" s="371"/>
      <c r="I373" s="371"/>
      <c r="J373" s="371"/>
      <c r="K373" s="371"/>
      <c r="L373" s="371"/>
      <c r="M373" s="371"/>
      <c r="AW373" s="238"/>
      <c r="AX373" s="235"/>
      <c r="AY373" s="235"/>
      <c r="AZ373" s="235"/>
      <c r="BA373" s="235"/>
    </row>
    <row r="374" spans="1:71" x14ac:dyDescent="0.2">
      <c r="AW374" s="238"/>
      <c r="AX374" s="235"/>
      <c r="AY374" s="235"/>
      <c r="AZ374" s="235"/>
      <c r="BA374" s="235"/>
    </row>
    <row r="375" spans="1:71" x14ac:dyDescent="0.2">
      <c r="AW375" s="238"/>
      <c r="AX375" s="235"/>
      <c r="AY375" s="235"/>
      <c r="AZ375" s="235"/>
      <c r="BA375" s="235"/>
    </row>
    <row r="376" spans="1:71" x14ac:dyDescent="0.2">
      <c r="AW376" s="238"/>
      <c r="AX376" s="235"/>
      <c r="AY376" s="235"/>
      <c r="AZ376" s="235"/>
      <c r="BA376" s="235"/>
    </row>
    <row r="377" spans="1:71" x14ac:dyDescent="0.2">
      <c r="AW377" s="238"/>
      <c r="AX377" s="235"/>
      <c r="AY377" s="235"/>
      <c r="AZ377" s="235"/>
      <c r="BA377" s="235"/>
    </row>
    <row r="378" spans="1:71" x14ac:dyDescent="0.2">
      <c r="AW378" s="238"/>
      <c r="AX378" s="235"/>
      <c r="AY378" s="235"/>
      <c r="AZ378" s="235"/>
      <c r="BA378" s="235"/>
    </row>
    <row r="379" spans="1:71" x14ac:dyDescent="0.2">
      <c r="AT379" s="273"/>
      <c r="AU379" s="273"/>
      <c r="AW379" s="238"/>
      <c r="AX379" s="235"/>
      <c r="AY379" s="235"/>
      <c r="AZ379" s="235"/>
      <c r="BA379" s="235"/>
    </row>
    <row r="380" spans="1:71" x14ac:dyDescent="0.2">
      <c r="AW380" s="238"/>
      <c r="AX380" s="235"/>
      <c r="AY380" s="235"/>
      <c r="AZ380" s="235"/>
      <c r="BA380" s="235"/>
    </row>
    <row r="381" spans="1:71" x14ac:dyDescent="0.2">
      <c r="AW381" s="238"/>
      <c r="AX381" s="235"/>
      <c r="AY381" s="235"/>
      <c r="AZ381" s="235"/>
      <c r="BA381" s="235"/>
    </row>
    <row r="382" spans="1:71" x14ac:dyDescent="0.2">
      <c r="AW382" s="238"/>
      <c r="AX382" s="235"/>
      <c r="AY382" s="235"/>
      <c r="AZ382" s="235"/>
      <c r="BA382" s="235"/>
    </row>
    <row r="383" spans="1:71" x14ac:dyDescent="0.2">
      <c r="AW383" s="238"/>
      <c r="AX383" s="235"/>
      <c r="AY383" s="235"/>
      <c r="AZ383" s="235"/>
      <c r="BA383" s="235"/>
    </row>
    <row r="384" spans="1:71" x14ac:dyDescent="0.2">
      <c r="AW384" s="238"/>
      <c r="AX384" s="235"/>
      <c r="AY384" s="235"/>
      <c r="AZ384" s="235"/>
      <c r="BA384" s="235"/>
    </row>
    <row r="385" spans="49:53" x14ac:dyDescent="0.2">
      <c r="AW385" s="238"/>
      <c r="AX385" s="235"/>
      <c r="AY385" s="235"/>
      <c r="AZ385" s="235"/>
      <c r="BA385" s="235"/>
    </row>
    <row r="386" spans="49:53" x14ac:dyDescent="0.2">
      <c r="AW386" s="238"/>
      <c r="AX386" s="235"/>
      <c r="AY386" s="235"/>
      <c r="AZ386" s="235"/>
      <c r="BA386" s="235"/>
    </row>
    <row r="387" spans="49:53" x14ac:dyDescent="0.2">
      <c r="AW387" s="238"/>
      <c r="AX387" s="235"/>
      <c r="AY387" s="235"/>
      <c r="AZ387" s="235"/>
      <c r="BA387" s="235"/>
    </row>
    <row r="388" spans="49:53" x14ac:dyDescent="0.2">
      <c r="AW388" s="238"/>
      <c r="AX388" s="235"/>
      <c r="AY388" s="235"/>
      <c r="AZ388" s="235"/>
      <c r="BA388" s="235"/>
    </row>
    <row r="389" spans="49:53" x14ac:dyDescent="0.2">
      <c r="AW389" s="238"/>
      <c r="AX389" s="235"/>
      <c r="AY389" s="235"/>
      <c r="AZ389" s="235"/>
      <c r="BA389" s="235"/>
    </row>
    <row r="390" spans="49:53" x14ac:dyDescent="0.2">
      <c r="AW390" s="238"/>
      <c r="AX390" s="235"/>
      <c r="AY390" s="235"/>
      <c r="AZ390" s="235"/>
      <c r="BA390" s="235"/>
    </row>
    <row r="391" spans="49:53" x14ac:dyDescent="0.2">
      <c r="AW391" s="238"/>
      <c r="AX391" s="235"/>
      <c r="AY391" s="235"/>
      <c r="AZ391" s="235"/>
      <c r="BA391" s="235"/>
    </row>
    <row r="392" spans="49:53" x14ac:dyDescent="0.2">
      <c r="AW392" s="238"/>
      <c r="AX392" s="235"/>
      <c r="AY392" s="235"/>
      <c r="AZ392" s="235"/>
      <c r="BA392" s="235"/>
    </row>
    <row r="393" spans="49:53" x14ac:dyDescent="0.2">
      <c r="AW393" s="238"/>
      <c r="AX393" s="235"/>
      <c r="AY393" s="235"/>
      <c r="AZ393" s="235"/>
      <c r="BA393" s="235"/>
    </row>
    <row r="394" spans="49:53" x14ac:dyDescent="0.2">
      <c r="AW394" s="238"/>
      <c r="AX394" s="235"/>
      <c r="AY394" s="235"/>
      <c r="AZ394" s="235"/>
      <c r="BA394" s="235"/>
    </row>
    <row r="395" spans="49:53" x14ac:dyDescent="0.2">
      <c r="AW395" s="238"/>
      <c r="AX395" s="235"/>
      <c r="AY395" s="235"/>
      <c r="AZ395" s="235"/>
      <c r="BA395" s="235"/>
    </row>
    <row r="396" spans="49:53" x14ac:dyDescent="0.2">
      <c r="AW396" s="238"/>
      <c r="AX396" s="235"/>
      <c r="AY396" s="235"/>
      <c r="AZ396" s="235"/>
      <c r="BA396" s="235"/>
    </row>
    <row r="397" spans="49:53" x14ac:dyDescent="0.2">
      <c r="AW397" s="238"/>
      <c r="AX397" s="235"/>
      <c r="AY397" s="235"/>
      <c r="AZ397" s="235"/>
      <c r="BA397" s="235"/>
    </row>
    <row r="398" spans="49:53" x14ac:dyDescent="0.2">
      <c r="AW398" s="238"/>
      <c r="AX398" s="235"/>
      <c r="AY398" s="235"/>
      <c r="AZ398" s="235"/>
      <c r="BA398" s="235"/>
    </row>
    <row r="399" spans="49:53" x14ac:dyDescent="0.2">
      <c r="AW399" s="238"/>
      <c r="AX399" s="235"/>
      <c r="AY399" s="235"/>
      <c r="AZ399" s="235"/>
      <c r="BA399" s="235"/>
    </row>
    <row r="400" spans="49:53" x14ac:dyDescent="0.2">
      <c r="AW400" s="238"/>
      <c r="AX400" s="235"/>
      <c r="AY400" s="235"/>
      <c r="AZ400" s="235"/>
      <c r="BA400" s="235"/>
    </row>
    <row r="401" spans="46:53" x14ac:dyDescent="0.2">
      <c r="AW401" s="238"/>
      <c r="AX401" s="235"/>
      <c r="AY401" s="235"/>
      <c r="AZ401" s="235"/>
      <c r="BA401" s="235"/>
    </row>
    <row r="402" spans="46:53" x14ac:dyDescent="0.2">
      <c r="AW402" s="238"/>
      <c r="AX402" s="235"/>
      <c r="AY402" s="235"/>
      <c r="AZ402" s="235"/>
      <c r="BA402" s="235"/>
    </row>
    <row r="403" spans="46:53" x14ac:dyDescent="0.2">
      <c r="AW403" s="238"/>
      <c r="AX403" s="235"/>
      <c r="AY403" s="235"/>
      <c r="AZ403" s="235"/>
      <c r="BA403" s="235"/>
    </row>
    <row r="404" spans="46:53" x14ac:dyDescent="0.2">
      <c r="AW404" s="238"/>
      <c r="AX404" s="235"/>
      <c r="AY404" s="235"/>
      <c r="AZ404" s="235"/>
      <c r="BA404" s="235"/>
    </row>
    <row r="405" spans="46:53" x14ac:dyDescent="0.2">
      <c r="AW405" s="238"/>
      <c r="AX405" s="235"/>
      <c r="AY405" s="235"/>
      <c r="AZ405" s="235"/>
      <c r="BA405" s="235"/>
    </row>
    <row r="406" spans="46:53" x14ac:dyDescent="0.2">
      <c r="AW406" s="238"/>
      <c r="AX406" s="235"/>
      <c r="AY406" s="235"/>
      <c r="AZ406" s="235"/>
      <c r="BA406" s="235"/>
    </row>
    <row r="407" spans="46:53" x14ac:dyDescent="0.2">
      <c r="AW407" s="238"/>
      <c r="AX407" s="235"/>
      <c r="AY407" s="235"/>
      <c r="AZ407" s="235"/>
      <c r="BA407" s="235"/>
    </row>
    <row r="408" spans="46:53" x14ac:dyDescent="0.2">
      <c r="AW408" s="238"/>
      <c r="AX408" s="235"/>
      <c r="AY408" s="235"/>
      <c r="AZ408" s="235"/>
      <c r="BA408" s="235"/>
    </row>
    <row r="409" spans="46:53" x14ac:dyDescent="0.2">
      <c r="AW409" s="238"/>
      <c r="AX409" s="235"/>
      <c r="AY409" s="235"/>
      <c r="AZ409" s="235"/>
      <c r="BA409" s="235"/>
    </row>
    <row r="410" spans="46:53" x14ac:dyDescent="0.2">
      <c r="AW410" s="238"/>
      <c r="AX410" s="235"/>
      <c r="AY410" s="235"/>
      <c r="AZ410" s="235"/>
      <c r="BA410" s="235"/>
    </row>
    <row r="411" spans="46:53" x14ac:dyDescent="0.2">
      <c r="AW411" s="238"/>
      <c r="AX411" s="235"/>
      <c r="AY411" s="235"/>
      <c r="AZ411" s="235"/>
      <c r="BA411" s="235"/>
    </row>
    <row r="412" spans="46:53" x14ac:dyDescent="0.2">
      <c r="AW412" s="238"/>
      <c r="AX412" s="235"/>
      <c r="AY412" s="235"/>
      <c r="AZ412" s="235"/>
      <c r="BA412" s="235"/>
    </row>
    <row r="413" spans="46:53" x14ac:dyDescent="0.2">
      <c r="AW413" s="238"/>
      <c r="AX413" s="235"/>
      <c r="AY413" s="235"/>
      <c r="AZ413" s="235"/>
      <c r="BA413" s="235"/>
    </row>
    <row r="414" spans="46:53" x14ac:dyDescent="0.2">
      <c r="AW414" s="238"/>
      <c r="AX414" s="235"/>
      <c r="AY414" s="235"/>
      <c r="AZ414" s="235"/>
      <c r="BA414" s="235"/>
    </row>
    <row r="415" spans="46:53" x14ac:dyDescent="0.2">
      <c r="AT415" s="273"/>
      <c r="AU415" s="273"/>
      <c r="AW415" s="238"/>
      <c r="AX415" s="235"/>
      <c r="AY415" s="235"/>
      <c r="AZ415" s="235"/>
      <c r="BA415" s="235"/>
    </row>
    <row r="416" spans="46:53" x14ac:dyDescent="0.2">
      <c r="AW416" s="238"/>
      <c r="AX416" s="235"/>
      <c r="AY416" s="235"/>
      <c r="AZ416" s="235"/>
      <c r="BA416" s="235"/>
    </row>
    <row r="418" spans="49:53" x14ac:dyDescent="0.2">
      <c r="AW418" s="246"/>
      <c r="AX418" s="241"/>
      <c r="AY418" s="241"/>
      <c r="AZ418" s="241"/>
      <c r="BA418" s="241"/>
    </row>
    <row r="419" spans="49:53" x14ac:dyDescent="0.2">
      <c r="AW419" s="246"/>
      <c r="AX419" s="241"/>
      <c r="AY419" s="241"/>
      <c r="AZ419" s="241"/>
      <c r="BA419" s="241"/>
    </row>
    <row r="420" spans="49:53" x14ac:dyDescent="0.2">
      <c r="AW420" s="246"/>
      <c r="AX420" s="241"/>
      <c r="AY420" s="241"/>
      <c r="AZ420" s="241"/>
      <c r="BA420" s="241"/>
    </row>
    <row r="421" spans="49:53" x14ac:dyDescent="0.2">
      <c r="AW421" s="246"/>
      <c r="AX421" s="241"/>
      <c r="AY421" s="241"/>
      <c r="AZ421" s="241"/>
      <c r="BA421" s="241"/>
    </row>
    <row r="422" spans="49:53" x14ac:dyDescent="0.2">
      <c r="AW422" s="246"/>
      <c r="AX422" s="241"/>
      <c r="AY422" s="241"/>
      <c r="AZ422" s="241"/>
      <c r="BA422" s="241"/>
    </row>
    <row r="423" spans="49:53" x14ac:dyDescent="0.2">
      <c r="AW423" s="246"/>
      <c r="AX423" s="241"/>
      <c r="AY423" s="241"/>
      <c r="AZ423" s="241"/>
      <c r="BA423" s="241"/>
    </row>
    <row r="424" spans="49:53" x14ac:dyDescent="0.2">
      <c r="AW424" s="246"/>
      <c r="AX424" s="241"/>
      <c r="AY424" s="241"/>
      <c r="AZ424" s="241"/>
      <c r="BA424" s="241"/>
    </row>
    <row r="425" spans="49:53" x14ac:dyDescent="0.2">
      <c r="AW425" s="246"/>
      <c r="AX425" s="241"/>
      <c r="AY425" s="241"/>
      <c r="AZ425" s="241"/>
      <c r="BA425" s="241"/>
    </row>
    <row r="426" spans="49:53" x14ac:dyDescent="0.2">
      <c r="AW426" s="253"/>
      <c r="AX426" s="252"/>
      <c r="AY426" s="252"/>
      <c r="AZ426" s="252"/>
      <c r="BA426" s="252"/>
    </row>
    <row r="427" spans="49:53" x14ac:dyDescent="0.2">
      <c r="AW427" s="259"/>
      <c r="AX427" s="258"/>
      <c r="AY427" s="258"/>
      <c r="AZ427" s="258"/>
      <c r="BA427" s="258"/>
    </row>
    <row r="428" spans="49:53" x14ac:dyDescent="0.2">
      <c r="AW428" s="259"/>
      <c r="AX428" s="258"/>
      <c r="AY428" s="258"/>
      <c r="AZ428" s="258"/>
      <c r="BA428" s="258"/>
    </row>
    <row r="429" spans="49:53" x14ac:dyDescent="0.2">
      <c r="AW429" s="246"/>
      <c r="AX429" s="241"/>
      <c r="AY429" s="241"/>
      <c r="AZ429" s="241"/>
      <c r="BA429" s="241"/>
    </row>
    <row r="430" spans="49:53" x14ac:dyDescent="0.2">
      <c r="AW430" s="246"/>
      <c r="AX430" s="241"/>
      <c r="AY430" s="241"/>
      <c r="AZ430" s="241"/>
      <c r="BA430" s="241"/>
    </row>
    <row r="488" spans="49:49" x14ac:dyDescent="0.2">
      <c r="AW488" s="188"/>
    </row>
    <row r="489" spans="49:49" x14ac:dyDescent="0.2">
      <c r="AW489" s="188"/>
    </row>
    <row r="490" spans="49:49" x14ac:dyDescent="0.2">
      <c r="AW490" s="188"/>
    </row>
    <row r="491" spans="49:49" x14ac:dyDescent="0.2">
      <c r="AW491" s="188"/>
    </row>
    <row r="492" spans="49:49" x14ac:dyDescent="0.2">
      <c r="AW492" s="188"/>
    </row>
    <row r="493" spans="49:49" x14ac:dyDescent="0.2">
      <c r="AW493" s="188"/>
    </row>
    <row r="494" spans="49:49" x14ac:dyDescent="0.2">
      <c r="AW494" s="188"/>
    </row>
    <row r="495" spans="49:49" x14ac:dyDescent="0.2">
      <c r="AW495" s="188"/>
    </row>
    <row r="496" spans="49:49" x14ac:dyDescent="0.2">
      <c r="AW496" s="188"/>
    </row>
    <row r="542" spans="49:49" x14ac:dyDescent="0.2">
      <c r="AW542" s="188"/>
    </row>
    <row r="543" spans="49:49" x14ac:dyDescent="0.2">
      <c r="AW543" s="188"/>
    </row>
    <row r="544" spans="49:49" x14ac:dyDescent="0.2">
      <c r="AW544" s="188"/>
    </row>
    <row r="545" spans="49:49" x14ac:dyDescent="0.2">
      <c r="AW545" s="188"/>
    </row>
    <row r="546" spans="49:49" x14ac:dyDescent="0.2">
      <c r="AW546" s="188"/>
    </row>
    <row r="547" spans="49:49" x14ac:dyDescent="0.2">
      <c r="AW547" s="188"/>
    </row>
    <row r="548" spans="49:49" x14ac:dyDescent="0.2">
      <c r="AW548" s="188"/>
    </row>
    <row r="549" spans="49:49" x14ac:dyDescent="0.2">
      <c r="AW549" s="188"/>
    </row>
    <row r="550" spans="49:49" x14ac:dyDescent="0.2">
      <c r="AW550" s="188"/>
    </row>
    <row r="596" spans="49:49" x14ac:dyDescent="0.2">
      <c r="AW596" s="188"/>
    </row>
    <row r="597" spans="49:49" x14ac:dyDescent="0.2">
      <c r="AW597" s="188"/>
    </row>
    <row r="598" spans="49:49" x14ac:dyDescent="0.2">
      <c r="AW598" s="188"/>
    </row>
    <row r="599" spans="49:49" x14ac:dyDescent="0.2">
      <c r="AW599" s="188"/>
    </row>
    <row r="600" spans="49:49" x14ac:dyDescent="0.2">
      <c r="AW600" s="188"/>
    </row>
    <row r="601" spans="49:49" x14ac:dyDescent="0.2">
      <c r="AW601" s="188"/>
    </row>
    <row r="602" spans="49:49" x14ac:dyDescent="0.2">
      <c r="AW602" s="188"/>
    </row>
    <row r="603" spans="49:49" x14ac:dyDescent="0.2">
      <c r="AW603" s="188"/>
    </row>
    <row r="604" spans="49:49" x14ac:dyDescent="0.2">
      <c r="AW604" s="188"/>
    </row>
    <row r="650" spans="49:49" x14ac:dyDescent="0.2">
      <c r="AW650" s="188"/>
    </row>
    <row r="651" spans="49:49" x14ac:dyDescent="0.2">
      <c r="AW651" s="188"/>
    </row>
    <row r="652" spans="49:49" x14ac:dyDescent="0.2">
      <c r="AW652" s="188"/>
    </row>
    <row r="653" spans="49:49" x14ac:dyDescent="0.2">
      <c r="AW653" s="188"/>
    </row>
    <row r="654" spans="49:49" x14ac:dyDescent="0.2">
      <c r="AW654" s="188"/>
    </row>
    <row r="655" spans="49:49" x14ac:dyDescent="0.2">
      <c r="AW655" s="188"/>
    </row>
    <row r="656" spans="49:49" x14ac:dyDescent="0.2">
      <c r="AW656" s="188"/>
    </row>
    <row r="657" spans="49:49" x14ac:dyDescent="0.2">
      <c r="AW657" s="188"/>
    </row>
    <row r="658" spans="49:49" x14ac:dyDescent="0.2">
      <c r="AW658" s="188"/>
    </row>
  </sheetData>
  <sheetCalcPr fullCalcOnLoad="1"/>
  <sheetProtection formatCells="0" selectLockedCells="1"/>
  <mergeCells count="668">
    <mergeCell ref="A1:AI1"/>
    <mergeCell ref="AT1:AW1"/>
    <mergeCell ref="AX1:AY1"/>
    <mergeCell ref="A2:I2"/>
    <mergeCell ref="J2:X2"/>
    <mergeCell ref="Y2:AC2"/>
    <mergeCell ref="AD2:AI2"/>
    <mergeCell ref="B3:O3"/>
    <mergeCell ref="P3:R3"/>
    <mergeCell ref="S3:X3"/>
    <mergeCell ref="Y3:AD3"/>
    <mergeCell ref="AE3:AF3"/>
    <mergeCell ref="AG3:AI3"/>
    <mergeCell ref="A4:D4"/>
    <mergeCell ref="E4:M4"/>
    <mergeCell ref="N4:Q4"/>
    <mergeCell ref="R4:AA4"/>
    <mergeCell ref="AB4:AE4"/>
    <mergeCell ref="AF4:AI4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AC8:AE9"/>
    <mergeCell ref="AF8:AF9"/>
    <mergeCell ref="AG8:AG9"/>
    <mergeCell ref="AH8:AI9"/>
    <mergeCell ref="B9:D9"/>
    <mergeCell ref="E9:K9"/>
    <mergeCell ref="A10:A11"/>
    <mergeCell ref="B10:D10"/>
    <mergeCell ref="E10:K10"/>
    <mergeCell ref="L10:P11"/>
    <mergeCell ref="R10:V11"/>
    <mergeCell ref="W10:Y11"/>
    <mergeCell ref="Z10:AB11"/>
    <mergeCell ref="AC10:AE11"/>
    <mergeCell ref="AF10:AF11"/>
    <mergeCell ref="AG10:AG11"/>
    <mergeCell ref="AH10:AI11"/>
    <mergeCell ref="B11:D11"/>
    <mergeCell ref="E11:K11"/>
    <mergeCell ref="A12:A13"/>
    <mergeCell ref="B12:D12"/>
    <mergeCell ref="E12:K12"/>
    <mergeCell ref="L12:P13"/>
    <mergeCell ref="R12:V13"/>
    <mergeCell ref="W12:Y13"/>
    <mergeCell ref="Z12:AB13"/>
    <mergeCell ref="AC12:AE13"/>
    <mergeCell ref="AF12:AF13"/>
    <mergeCell ref="AG12:AG13"/>
    <mergeCell ref="AH12:AI13"/>
    <mergeCell ref="B13:D13"/>
    <mergeCell ref="E13:K13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AG14:AG15"/>
    <mergeCell ref="AH14:AI15"/>
    <mergeCell ref="B15:D15"/>
    <mergeCell ref="E15:K15"/>
    <mergeCell ref="A16:A17"/>
    <mergeCell ref="B16:D16"/>
    <mergeCell ref="E16:K16"/>
    <mergeCell ref="L16:P17"/>
    <mergeCell ref="R16:V17"/>
    <mergeCell ref="W16:Y17"/>
    <mergeCell ref="Z16:AB17"/>
    <mergeCell ref="AC16:AE17"/>
    <mergeCell ref="AF16:AF17"/>
    <mergeCell ref="AG16:AG17"/>
    <mergeCell ref="AH16:AI17"/>
    <mergeCell ref="B17:D17"/>
    <mergeCell ref="E17:K17"/>
    <mergeCell ref="B18:AI18"/>
    <mergeCell ref="AT18:AY19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3:AB23"/>
    <mergeCell ref="AC23:AE23"/>
    <mergeCell ref="AG57:AK57"/>
    <mergeCell ref="A89:AM89"/>
    <mergeCell ref="AN89:AQ89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Z95:AB96"/>
    <mergeCell ref="AC95:AE96"/>
    <mergeCell ref="AF95:AF96"/>
    <mergeCell ref="AG95:AG96"/>
    <mergeCell ref="AH95:AI96"/>
    <mergeCell ref="B96:D96"/>
    <mergeCell ref="E96:K96"/>
    <mergeCell ref="A97:A98"/>
    <mergeCell ref="B97:D97"/>
    <mergeCell ref="E97:K97"/>
    <mergeCell ref="L97:P98"/>
    <mergeCell ref="R97:V98"/>
    <mergeCell ref="W97:Y98"/>
    <mergeCell ref="Z97:AB98"/>
    <mergeCell ref="AC97:AE98"/>
    <mergeCell ref="AF97:AF98"/>
    <mergeCell ref="AG97:AG98"/>
    <mergeCell ref="AH97:AI98"/>
    <mergeCell ref="B98:D98"/>
    <mergeCell ref="E98:K98"/>
    <mergeCell ref="A99:A100"/>
    <mergeCell ref="B99:D99"/>
    <mergeCell ref="E99:K99"/>
    <mergeCell ref="L99:P100"/>
    <mergeCell ref="R99:V100"/>
    <mergeCell ref="W99:Y100"/>
    <mergeCell ref="Z99:AB100"/>
    <mergeCell ref="AC99:AE100"/>
    <mergeCell ref="AF99:AF100"/>
    <mergeCell ref="AG99:AG100"/>
    <mergeCell ref="AH99:AI100"/>
    <mergeCell ref="B100:D100"/>
    <mergeCell ref="E100:K100"/>
    <mergeCell ref="A101:A102"/>
    <mergeCell ref="B101:D101"/>
    <mergeCell ref="E101:K101"/>
    <mergeCell ref="L101:P102"/>
    <mergeCell ref="R101:V102"/>
    <mergeCell ref="W101:Y102"/>
    <mergeCell ref="Z101:AB102"/>
    <mergeCell ref="AC101:AE102"/>
    <mergeCell ref="AF101:AF102"/>
    <mergeCell ref="AG101:AG102"/>
    <mergeCell ref="AH101:AI102"/>
    <mergeCell ref="B102:D102"/>
    <mergeCell ref="E102:K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8:AB108"/>
    <mergeCell ref="AC108:AE108"/>
    <mergeCell ref="AG142:AK142"/>
    <mergeCell ref="A174:AM174"/>
    <mergeCell ref="AN174:AQ174"/>
    <mergeCell ref="A175:AQ175"/>
    <mergeCell ref="C176:H176"/>
    <mergeCell ref="I176:J176"/>
    <mergeCell ref="K176:AI176"/>
    <mergeCell ref="B177:K177"/>
    <mergeCell ref="L177:P177"/>
    <mergeCell ref="Q177:Q187"/>
    <mergeCell ref="R177:V177"/>
    <mergeCell ref="W177:Y177"/>
    <mergeCell ref="Z177:AB177"/>
    <mergeCell ref="AC177:AE177"/>
    <mergeCell ref="AH177:AI177"/>
    <mergeCell ref="A178:A179"/>
    <mergeCell ref="B178:D178"/>
    <mergeCell ref="E178:K178"/>
    <mergeCell ref="L178:P179"/>
    <mergeCell ref="R178:V179"/>
    <mergeCell ref="W178:Y179"/>
    <mergeCell ref="Z178:AB179"/>
    <mergeCell ref="AC178:AE179"/>
    <mergeCell ref="AF178:AF179"/>
    <mergeCell ref="AG178:AG179"/>
    <mergeCell ref="AH178:AI179"/>
    <mergeCell ref="B179:D179"/>
    <mergeCell ref="E179:K179"/>
    <mergeCell ref="A180:A181"/>
    <mergeCell ref="B180:D180"/>
    <mergeCell ref="E180:K180"/>
    <mergeCell ref="L180:P181"/>
    <mergeCell ref="R180:V181"/>
    <mergeCell ref="W180:Y181"/>
    <mergeCell ref="Z180:AB181"/>
    <mergeCell ref="AC180:AE181"/>
    <mergeCell ref="AF180:AF181"/>
    <mergeCell ref="AG180:AG181"/>
    <mergeCell ref="AH180:AI181"/>
    <mergeCell ref="B181:D181"/>
    <mergeCell ref="E181:K181"/>
    <mergeCell ref="A182:A183"/>
    <mergeCell ref="B182:D182"/>
    <mergeCell ref="E182:K182"/>
    <mergeCell ref="L182:P183"/>
    <mergeCell ref="R182:V183"/>
    <mergeCell ref="W182:Y183"/>
    <mergeCell ref="Z182:AB183"/>
    <mergeCell ref="AC182:AE183"/>
    <mergeCell ref="AF182:AF183"/>
    <mergeCell ref="AG182:AG183"/>
    <mergeCell ref="AH182:AI183"/>
    <mergeCell ref="B183:D183"/>
    <mergeCell ref="E183:K183"/>
    <mergeCell ref="A184:A185"/>
    <mergeCell ref="B184:D184"/>
    <mergeCell ref="E184:K184"/>
    <mergeCell ref="L184:P185"/>
    <mergeCell ref="R184:V185"/>
    <mergeCell ref="W184:Y185"/>
    <mergeCell ref="Z184:AB185"/>
    <mergeCell ref="AC184:AE185"/>
    <mergeCell ref="AF184:AF185"/>
    <mergeCell ref="AG184:AG185"/>
    <mergeCell ref="AH184:AI185"/>
    <mergeCell ref="B185:D185"/>
    <mergeCell ref="E185:K185"/>
    <mergeCell ref="A186:A187"/>
    <mergeCell ref="B186:D186"/>
    <mergeCell ref="E186:K186"/>
    <mergeCell ref="L186:P187"/>
    <mergeCell ref="R186:V187"/>
    <mergeCell ref="W186:Y187"/>
    <mergeCell ref="Z186:AB187"/>
    <mergeCell ref="AC186:AE187"/>
    <mergeCell ref="AF186:AF187"/>
    <mergeCell ref="AG186:AG187"/>
    <mergeCell ref="AH186:AI187"/>
    <mergeCell ref="B187:D187"/>
    <mergeCell ref="E187:K187"/>
    <mergeCell ref="B188:AI188"/>
    <mergeCell ref="B189:D189"/>
    <mergeCell ref="E189:G189"/>
    <mergeCell ref="H189:J189"/>
    <mergeCell ref="K189:M189"/>
    <mergeCell ref="N189:P189"/>
    <mergeCell ref="Q189:S189"/>
    <mergeCell ref="T189:V189"/>
    <mergeCell ref="W189:Y189"/>
    <mergeCell ref="Z189:AB189"/>
    <mergeCell ref="AC189:AE189"/>
    <mergeCell ref="AF189:AQ192"/>
    <mergeCell ref="B190:D190"/>
    <mergeCell ref="E190:G190"/>
    <mergeCell ref="H190:J190"/>
    <mergeCell ref="K190:M190"/>
    <mergeCell ref="N190:P190"/>
    <mergeCell ref="Q190:S190"/>
    <mergeCell ref="T190:V190"/>
    <mergeCell ref="W190:Y190"/>
    <mergeCell ref="Z190:AB190"/>
    <mergeCell ref="AC190:AE190"/>
    <mergeCell ref="B191:D191"/>
    <mergeCell ref="E191:G191"/>
    <mergeCell ref="H191:J191"/>
    <mergeCell ref="K191:M191"/>
    <mergeCell ref="N191:P191"/>
    <mergeCell ref="Q191:S191"/>
    <mergeCell ref="T191:V191"/>
    <mergeCell ref="W191:Y191"/>
    <mergeCell ref="Z191:AB191"/>
    <mergeCell ref="AC191:AE191"/>
    <mergeCell ref="B192:D192"/>
    <mergeCell ref="E192:G192"/>
    <mergeCell ref="H192:J192"/>
    <mergeCell ref="K192:M192"/>
    <mergeCell ref="N192:P192"/>
    <mergeCell ref="Q192:S192"/>
    <mergeCell ref="T192:V192"/>
    <mergeCell ref="W192:Y192"/>
    <mergeCell ref="Z192:AB192"/>
    <mergeCell ref="AC192:AE192"/>
    <mergeCell ref="B193:D193"/>
    <mergeCell ref="E193:G193"/>
    <mergeCell ref="H193:J193"/>
    <mergeCell ref="K193:M193"/>
    <mergeCell ref="N193:P193"/>
    <mergeCell ref="Q193:S193"/>
    <mergeCell ref="T193:V193"/>
    <mergeCell ref="W193:Y193"/>
    <mergeCell ref="Z193:AB193"/>
    <mergeCell ref="AC193:AE193"/>
    <mergeCell ref="AG227:AK227"/>
    <mergeCell ref="A259:AM259"/>
    <mergeCell ref="AN259:AQ259"/>
    <mergeCell ref="A260:AQ260"/>
    <mergeCell ref="A261:AQ261"/>
    <mergeCell ref="A262:A263"/>
    <mergeCell ref="B262:L262"/>
    <mergeCell ref="M262:W262"/>
    <mergeCell ref="X262:AG262"/>
    <mergeCell ref="AH262:AP262"/>
    <mergeCell ref="B263:E263"/>
    <mergeCell ref="F263:I263"/>
    <mergeCell ref="J263:K263"/>
    <mergeCell ref="M263:Q263"/>
    <mergeCell ref="R263:T263"/>
    <mergeCell ref="U263:V263"/>
    <mergeCell ref="X263:AB263"/>
    <mergeCell ref="AC263:AE263"/>
    <mergeCell ref="AH263:AJ263"/>
    <mergeCell ref="AK263:AM263"/>
    <mergeCell ref="AN263:AO263"/>
    <mergeCell ref="B264:E264"/>
    <mergeCell ref="F264:I264"/>
    <mergeCell ref="J264:K264"/>
    <mergeCell ref="M264:Q264"/>
    <mergeCell ref="R264:T264"/>
    <mergeCell ref="U264:V264"/>
    <mergeCell ref="X264:AB264"/>
    <mergeCell ref="AC264:AE264"/>
    <mergeCell ref="AH264:AJ264"/>
    <mergeCell ref="AK264:AM264"/>
    <mergeCell ref="AN264:AO264"/>
    <mergeCell ref="B265:E265"/>
    <mergeCell ref="F265:I265"/>
    <mergeCell ref="J265:K265"/>
    <mergeCell ref="M265:Q265"/>
    <mergeCell ref="R265:T265"/>
    <mergeCell ref="U265:V265"/>
    <mergeCell ref="X265:AB265"/>
    <mergeCell ref="AC265:AE265"/>
    <mergeCell ref="AH265:AJ265"/>
    <mergeCell ref="AK265:AM265"/>
    <mergeCell ref="AN265:AO265"/>
    <mergeCell ref="B266:E266"/>
    <mergeCell ref="F266:I266"/>
    <mergeCell ref="J266:K266"/>
    <mergeCell ref="M266:Q266"/>
    <mergeCell ref="R266:T266"/>
    <mergeCell ref="U266:V266"/>
    <mergeCell ref="X266:AB266"/>
    <mergeCell ref="AN266:AO266"/>
    <mergeCell ref="A267:A268"/>
    <mergeCell ref="B267:L267"/>
    <mergeCell ref="M267:W267"/>
    <mergeCell ref="X267:AG267"/>
    <mergeCell ref="AH267:AP267"/>
    <mergeCell ref="B268:H268"/>
    <mergeCell ref="M268:S268"/>
    <mergeCell ref="T268:W268"/>
    <mergeCell ref="X268:AE268"/>
    <mergeCell ref="AF268:AG268"/>
    <mergeCell ref="AH268:AM268"/>
    <mergeCell ref="AC266:AE266"/>
    <mergeCell ref="AH266:AJ266"/>
    <mergeCell ref="AK266:AM266"/>
    <mergeCell ref="AN268:AP268"/>
    <mergeCell ref="B269:H269"/>
    <mergeCell ref="I269:L269"/>
    <mergeCell ref="M269:S269"/>
    <mergeCell ref="T269:W269"/>
    <mergeCell ref="X269:AE269"/>
    <mergeCell ref="AF269:AG269"/>
    <mergeCell ref="AH269:AM269"/>
    <mergeCell ref="AN269:AP269"/>
    <mergeCell ref="I268:L268"/>
    <mergeCell ref="B270:H270"/>
    <mergeCell ref="I270:L270"/>
    <mergeCell ref="M270:S270"/>
    <mergeCell ref="T270:W270"/>
    <mergeCell ref="X270:AE270"/>
    <mergeCell ref="AF270:AG270"/>
    <mergeCell ref="AH270:AM270"/>
    <mergeCell ref="AN270:AP270"/>
    <mergeCell ref="B271:H271"/>
    <mergeCell ref="I271:L271"/>
    <mergeCell ref="M271:S271"/>
    <mergeCell ref="T271:W271"/>
    <mergeCell ref="X271:AE271"/>
    <mergeCell ref="AF271:AG271"/>
    <mergeCell ref="AH271:AM271"/>
    <mergeCell ref="AN271:AP271"/>
    <mergeCell ref="A273:AQ273"/>
    <mergeCell ref="A274:AQ274"/>
    <mergeCell ref="A275:AQ275"/>
    <mergeCell ref="A276:AQ276"/>
    <mergeCell ref="A277:K277"/>
    <mergeCell ref="A279:P279"/>
    <mergeCell ref="S279:AG279"/>
    <mergeCell ref="A281:E281"/>
    <mergeCell ref="V281:AB281"/>
    <mergeCell ref="A282:E282"/>
    <mergeCell ref="V282:AB282"/>
    <mergeCell ref="A284:E284"/>
    <mergeCell ref="F284:N284"/>
    <mergeCell ref="U284:AB284"/>
    <mergeCell ref="AC284:AI284"/>
    <mergeCell ref="A285:E285"/>
    <mergeCell ref="F285:I285"/>
    <mergeCell ref="J285:N285"/>
    <mergeCell ref="U285:AA285"/>
    <mergeCell ref="AC285:AF285"/>
    <mergeCell ref="AG285:AI285"/>
    <mergeCell ref="A286:E286"/>
    <mergeCell ref="V286:AB286"/>
    <mergeCell ref="A287:E287"/>
    <mergeCell ref="V287:AB287"/>
    <mergeCell ref="F288:I288"/>
    <mergeCell ref="AC288:AF288"/>
    <mergeCell ref="J289:Q289"/>
    <mergeCell ref="AG289:AL289"/>
    <mergeCell ref="A290:E290"/>
    <mergeCell ref="F290:I290"/>
    <mergeCell ref="J290:Q290"/>
    <mergeCell ref="V290:AB290"/>
    <mergeCell ref="AC290:AF290"/>
    <mergeCell ref="AG290:AL290"/>
    <mergeCell ref="A291:E291"/>
    <mergeCell ref="J291:Q291"/>
    <mergeCell ref="V291:AB291"/>
    <mergeCell ref="A293:D293"/>
    <mergeCell ref="F293:I293"/>
    <mergeCell ref="J293:N293"/>
    <mergeCell ref="U293:AA293"/>
    <mergeCell ref="AC293:AF293"/>
    <mergeCell ref="AG293:AI293"/>
    <mergeCell ref="A294:E294"/>
    <mergeCell ref="F294:N294"/>
    <mergeCell ref="U294:AA294"/>
    <mergeCell ref="AC294:AI294"/>
    <mergeCell ref="A295:E295"/>
    <mergeCell ref="V295:AB295"/>
    <mergeCell ref="A296:E296"/>
    <mergeCell ref="V296:AB296"/>
    <mergeCell ref="A299:J299"/>
    <mergeCell ref="U299:AF299"/>
    <mergeCell ref="B300:J300"/>
    <mergeCell ref="K300:Q300"/>
    <mergeCell ref="U300:W300"/>
    <mergeCell ref="X300:AF300"/>
    <mergeCell ref="AG300:AM300"/>
    <mergeCell ref="B301:J301"/>
    <mergeCell ref="K301:Q301"/>
    <mergeCell ref="U301:W301"/>
    <mergeCell ref="X301:AF301"/>
    <mergeCell ref="AG301:AM301"/>
    <mergeCell ref="B302:J302"/>
    <mergeCell ref="K302:Q302"/>
    <mergeCell ref="U302:W302"/>
    <mergeCell ref="X302:AF302"/>
    <mergeCell ref="AG302:AM302"/>
    <mergeCell ref="B303:J303"/>
    <mergeCell ref="K303:Q303"/>
    <mergeCell ref="U303:W303"/>
    <mergeCell ref="X303:AF303"/>
    <mergeCell ref="AG303:AM303"/>
    <mergeCell ref="B304:J304"/>
    <mergeCell ref="K304:Q304"/>
    <mergeCell ref="U304:W304"/>
    <mergeCell ref="X304:AF304"/>
    <mergeCell ref="AG304:AM304"/>
    <mergeCell ref="B306:D306"/>
    <mergeCell ref="E306:G306"/>
    <mergeCell ref="H306:J306"/>
    <mergeCell ref="K306:Q308"/>
    <mergeCell ref="W306:Y306"/>
    <mergeCell ref="Z306:AB306"/>
    <mergeCell ref="AC306:AE306"/>
    <mergeCell ref="AF306:AJ308"/>
    <mergeCell ref="B307:D307"/>
    <mergeCell ref="E307:G307"/>
    <mergeCell ref="H307:J307"/>
    <mergeCell ref="T307:V307"/>
    <mergeCell ref="W307:Y307"/>
    <mergeCell ref="Z307:AB307"/>
    <mergeCell ref="AC307:AE307"/>
    <mergeCell ref="B308:D308"/>
    <mergeCell ref="E308:G308"/>
    <mergeCell ref="H308:J308"/>
    <mergeCell ref="T308:V308"/>
    <mergeCell ref="W308:Y308"/>
    <mergeCell ref="Z308:AB308"/>
    <mergeCell ref="AC308:AE308"/>
    <mergeCell ref="K309:N309"/>
    <mergeCell ref="T309:V309"/>
    <mergeCell ref="AF309:AG309"/>
    <mergeCell ref="T310:V310"/>
    <mergeCell ref="T311:V311"/>
    <mergeCell ref="T312:V312"/>
    <mergeCell ref="T313:V313"/>
    <mergeCell ref="K314:N316"/>
    <mergeCell ref="AF314:AG316"/>
    <mergeCell ref="T322:V322"/>
    <mergeCell ref="T323:V323"/>
    <mergeCell ref="T324:V324"/>
    <mergeCell ref="A325:M325"/>
    <mergeCell ref="V325:AG325"/>
    <mergeCell ref="A327:P327"/>
    <mergeCell ref="A329:E329"/>
    <mergeCell ref="A330:E330"/>
    <mergeCell ref="A332:E332"/>
    <mergeCell ref="F332:N332"/>
    <mergeCell ref="A333:E333"/>
    <mergeCell ref="F333:I333"/>
    <mergeCell ref="J333:N333"/>
    <mergeCell ref="A334:E334"/>
    <mergeCell ref="A335:E335"/>
    <mergeCell ref="F336:I336"/>
    <mergeCell ref="J337:Q337"/>
    <mergeCell ref="A338:E338"/>
    <mergeCell ref="F338:I338"/>
    <mergeCell ref="J338:Q338"/>
    <mergeCell ref="A339:E339"/>
    <mergeCell ref="J339:Q339"/>
    <mergeCell ref="A341:D341"/>
    <mergeCell ref="F341:I341"/>
    <mergeCell ref="J341:N341"/>
    <mergeCell ref="A342:E342"/>
    <mergeCell ref="F342:N342"/>
    <mergeCell ref="A343:E343"/>
    <mergeCell ref="A344:E344"/>
    <mergeCell ref="A347:J347"/>
    <mergeCell ref="B348:J348"/>
    <mergeCell ref="K348:Q348"/>
    <mergeCell ref="B349:J349"/>
    <mergeCell ref="K349:Q349"/>
    <mergeCell ref="B356:D356"/>
    <mergeCell ref="E356:G356"/>
    <mergeCell ref="H356:J356"/>
    <mergeCell ref="B350:J350"/>
    <mergeCell ref="K350:Q350"/>
    <mergeCell ref="B351:J351"/>
    <mergeCell ref="K351:Q351"/>
    <mergeCell ref="B352:J352"/>
    <mergeCell ref="K352:Q352"/>
    <mergeCell ref="K357:N357"/>
    <mergeCell ref="K362:N364"/>
    <mergeCell ref="A373:M373"/>
    <mergeCell ref="B354:D354"/>
    <mergeCell ref="E354:G354"/>
    <mergeCell ref="H354:J354"/>
    <mergeCell ref="K354:Q356"/>
    <mergeCell ref="B355:D355"/>
    <mergeCell ref="E355:G355"/>
    <mergeCell ref="H355:J355"/>
  </mergeCells>
  <conditionalFormatting sqref="A8 A93 A178">
    <cfRule type="expression" dxfId="1690" priority="4" stopIfTrue="1">
      <formula>IF(AK9&gt;0,0,1)</formula>
    </cfRule>
  </conditionalFormatting>
  <conditionalFormatting sqref="A10:A11 A95:A96 A180:A181">
    <cfRule type="expression" dxfId="1689" priority="5" stopIfTrue="1">
      <formula>IF(#REF!&gt;1,0,1)</formula>
    </cfRule>
  </conditionalFormatting>
  <conditionalFormatting sqref="A12:A13 A97:A98 A182:A183">
    <cfRule type="expression" dxfId="1688" priority="6" stopIfTrue="1">
      <formula>IF(#REF!&gt;2,0,1)</formula>
    </cfRule>
  </conditionalFormatting>
  <conditionalFormatting sqref="A14:A15 A99:A100 A184:A185">
    <cfRule type="expression" dxfId="1687" priority="7" stopIfTrue="1">
      <formula>IF(#REF!&gt;3,0,1)</formula>
    </cfRule>
  </conditionalFormatting>
  <conditionalFormatting sqref="A16:A17 A101:A102 A186:A187">
    <cfRule type="expression" dxfId="1686" priority="8" stopIfTrue="1">
      <formula>IF(#REF!&gt;4,0,1)</formula>
    </cfRule>
  </conditionalFormatting>
  <conditionalFormatting sqref="B8 B93 B178">
    <cfRule type="expression" dxfId="1685" priority="9" stopIfTrue="1">
      <formula>IF(AK9&gt;0,0,1)</formula>
    </cfRule>
  </conditionalFormatting>
  <conditionalFormatting sqref="B9 B94 B179">
    <cfRule type="expression" dxfId="1684" priority="10" stopIfTrue="1">
      <formula>IF(AK9&gt;0,0,1)</formula>
    </cfRule>
  </conditionalFormatting>
  <conditionalFormatting sqref="B10 B95 B180">
    <cfRule type="expression" dxfId="1683" priority="11" stopIfTrue="1">
      <formula>IF(#REF!&gt;1,0,1)</formula>
    </cfRule>
  </conditionalFormatting>
  <conditionalFormatting sqref="B11:D11 B96:D96 B181:D181">
    <cfRule type="expression" dxfId="1682" priority="12" stopIfTrue="1">
      <formula>IF(#REF!&gt;1,0,1)</formula>
    </cfRule>
  </conditionalFormatting>
  <conditionalFormatting sqref="B12:D12 B97:D97 B182:D182">
    <cfRule type="expression" dxfId="1681" priority="13" stopIfTrue="1">
      <formula>IF(#REF!&gt;2,0,1)</formula>
    </cfRule>
  </conditionalFormatting>
  <conditionalFormatting sqref="B13:D13 B98:D98 B183:D183">
    <cfRule type="expression" dxfId="1680" priority="14" stopIfTrue="1">
      <formula>IF(#REF!&gt;2,0,1)</formula>
    </cfRule>
  </conditionalFormatting>
  <conditionalFormatting sqref="B14:D14 B99:D99 B184:D184">
    <cfRule type="expression" dxfId="1679" priority="15" stopIfTrue="1">
      <formula>IF(#REF!&gt;3,0,1)</formula>
    </cfRule>
  </conditionalFormatting>
  <conditionalFormatting sqref="B15:D15 B100:D100 B185:D185">
    <cfRule type="expression" dxfId="1678" priority="16" stopIfTrue="1">
      <formula>IF(#REF!&gt;3,0,1)</formula>
    </cfRule>
  </conditionalFormatting>
  <conditionalFormatting sqref="B16:D16 B101:D101 B186:D186">
    <cfRule type="expression" dxfId="1677" priority="17" stopIfTrue="1">
      <formula>IF(#REF!&gt;4,0,1)</formula>
    </cfRule>
  </conditionalFormatting>
  <conditionalFormatting sqref="B17:D17 B102:D102 B187:D187">
    <cfRule type="expression" dxfId="1676" priority="18" stopIfTrue="1">
      <formula>IF(#REF!&gt;4,0,1)</formula>
    </cfRule>
  </conditionalFormatting>
  <conditionalFormatting sqref="E93 E8 E178">
    <cfRule type="expression" dxfId="1675" priority="19" stopIfTrue="1">
      <formula>IF(AK9&gt;0,0,1)</formula>
    </cfRule>
  </conditionalFormatting>
  <conditionalFormatting sqref="E94 E9 E179">
    <cfRule type="expression" dxfId="1674" priority="20" stopIfTrue="1">
      <formula>IF(AK9&gt;0,0,1)</formula>
    </cfRule>
  </conditionalFormatting>
  <conditionalFormatting sqref="E95 E10 E180">
    <cfRule type="expression" dxfId="1673" priority="21" stopIfTrue="1">
      <formula>IF(#REF!&gt;1,0,1)</formula>
    </cfRule>
  </conditionalFormatting>
  <conditionalFormatting sqref="E96 E11 E181">
    <cfRule type="expression" dxfId="1672" priority="22" stopIfTrue="1">
      <formula>IF(#REF!&gt;1,0,1)</formula>
    </cfRule>
  </conditionalFormatting>
  <conditionalFormatting sqref="E97 E12 E182">
    <cfRule type="expression" dxfId="1671" priority="23" stopIfTrue="1">
      <formula>IF(#REF!&gt;2,0,1)</formula>
    </cfRule>
  </conditionalFormatting>
  <conditionalFormatting sqref="E98 E13 E183">
    <cfRule type="expression" dxfId="1670" priority="24" stopIfTrue="1">
      <formula>IF(#REF!&gt;2,0,1)</formula>
    </cfRule>
  </conditionalFormatting>
  <conditionalFormatting sqref="E99 E14 E184">
    <cfRule type="expression" dxfId="1669" priority="25" stopIfTrue="1">
      <formula>IF(#REF!&gt;3,0,1)</formula>
    </cfRule>
  </conditionalFormatting>
  <conditionalFormatting sqref="E100 E15 E185">
    <cfRule type="expression" dxfId="1668" priority="26" stopIfTrue="1">
      <formula>IF(#REF!&gt;3,0,1)</formula>
    </cfRule>
  </conditionalFormatting>
  <conditionalFormatting sqref="E101 E16 E186">
    <cfRule type="expression" dxfId="1667" priority="27" stopIfTrue="1">
      <formula>IF(#REF!&gt;4,0,1)</formula>
    </cfRule>
  </conditionalFormatting>
  <conditionalFormatting sqref="E102 E17 E187">
    <cfRule type="expression" dxfId="1666" priority="28" stopIfTrue="1">
      <formula>IF(#REF!&gt;4,0,1)</formula>
    </cfRule>
  </conditionalFormatting>
  <conditionalFormatting sqref="AC8 AC93 AC178">
    <cfRule type="expression" dxfId="1665" priority="29" stopIfTrue="1">
      <formula>IF(AK11=1,IF(AK9&gt;0,0,1),1)</formula>
    </cfRule>
  </conditionalFormatting>
  <conditionalFormatting sqref="AC10:AE11 AC95:AE96 AC180:AE181">
    <cfRule type="expression" dxfId="1664" priority="30" stopIfTrue="1">
      <formula>IF(AK11=1,IF(#REF!&gt;1,0,1),1)</formula>
    </cfRule>
  </conditionalFormatting>
  <conditionalFormatting sqref="AC12:AE13 AC97:AE98 AC182:AE183">
    <cfRule type="expression" dxfId="1663" priority="31" stopIfTrue="1">
      <formula>IF(#REF!=1,IF(#REF!&gt;2,0,1),1)</formula>
    </cfRule>
  </conditionalFormatting>
  <conditionalFormatting sqref="AC14:AE15 AC99:AE100 AC184:AE185">
    <cfRule type="expression" dxfId="1662" priority="32" stopIfTrue="1">
      <formula>IF(#REF!=1,IF(#REF!&gt;3,0,1),1)</formula>
    </cfRule>
  </conditionalFormatting>
  <conditionalFormatting sqref="AC16:AE17 AC101:AE102 AC186:AE187">
    <cfRule type="expression" dxfId="1661" priority="33" stopIfTrue="1">
      <formula>IF(#REF!=1,IF(#REF!&gt;4,0,1),1)</formula>
    </cfRule>
  </conditionalFormatting>
  <conditionalFormatting sqref="AH8 AH93 AH178">
    <cfRule type="expression" dxfId="1660" priority="34" stopIfTrue="1">
      <formula>IF(AK9&gt;0,0,1)</formula>
    </cfRule>
  </conditionalFormatting>
  <conditionalFormatting sqref="AH10:AI11 AH95:AI96 AH180:AI181">
    <cfRule type="expression" dxfId="1659" priority="35" stopIfTrue="1">
      <formula>IF(#REF!&gt;1,0,1)</formula>
    </cfRule>
  </conditionalFormatting>
  <conditionalFormatting sqref="AH12:AI13 AH97:AI98 AH182:AI183">
    <cfRule type="expression" dxfId="1658" priority="36" stopIfTrue="1">
      <formula>IF(#REF!&gt;2,0,1)</formula>
    </cfRule>
  </conditionalFormatting>
  <conditionalFormatting sqref="AH14:AI15 AH99:AI100 AH184:AI185">
    <cfRule type="expression" dxfId="1657" priority="37" stopIfTrue="1">
      <formula>IF(#REF!&gt;3,0,1)</formula>
    </cfRule>
  </conditionalFormatting>
  <conditionalFormatting sqref="AH16:AI17 AH101:AI102 AH186:AI187">
    <cfRule type="expression" dxfId="1656" priority="38" stopIfTrue="1">
      <formula>IF(#REF!&gt;4,0,1)</formula>
    </cfRule>
  </conditionalFormatting>
  <conditionalFormatting sqref="B19:D19 B104:D104 B189:D189">
    <cfRule type="expression" dxfId="1655" priority="39" stopIfTrue="1">
      <formula>IF(#REF!&gt;0,0,1)</formula>
    </cfRule>
  </conditionalFormatting>
  <conditionalFormatting sqref="E19:G19 E104:G104 E189:G189">
    <cfRule type="expression" dxfId="1654" priority="40" stopIfTrue="1">
      <formula>IF(#REF!&gt;1,0,1)</formula>
    </cfRule>
  </conditionalFormatting>
  <conditionalFormatting sqref="H19:J19 H104:J104 H189:J189">
    <cfRule type="expression" dxfId="1653" priority="41" stopIfTrue="1">
      <formula>IF(#REF!&gt;2,0,1)</formula>
    </cfRule>
  </conditionalFormatting>
  <conditionalFormatting sqref="K19:M19 K104:M104 K189:M189">
    <cfRule type="expression" dxfId="1652" priority="42" stopIfTrue="1">
      <formula>IF(#REF!&gt;3,0,1)</formula>
    </cfRule>
  </conditionalFormatting>
  <conditionalFormatting sqref="N19:P19 N104:P104 N189:P189">
    <cfRule type="expression" dxfId="1651" priority="43" stopIfTrue="1">
      <formula>IF(#REF!&gt;4,0,1)</formula>
    </cfRule>
  </conditionalFormatting>
  <conditionalFormatting sqref="Q19:S19 Q104:S104 Q189:S189">
    <cfRule type="expression" dxfId="1650" priority="44" stopIfTrue="1">
      <formula>IF(#REF!&gt;5,0,1)</formula>
    </cfRule>
  </conditionalFormatting>
  <conditionalFormatting sqref="T19:V19 T104:V104 T189:V189">
    <cfRule type="expression" dxfId="1649" priority="45" stopIfTrue="1">
      <formula>IF(#REF!&gt;6,0,1)</formula>
    </cfRule>
  </conditionalFormatting>
  <conditionalFormatting sqref="W19:Y19 W104:Y104 W189:Y189">
    <cfRule type="expression" dxfId="1648" priority="46" stopIfTrue="1">
      <formula>IF(#REF!&gt;7,0,1)</formula>
    </cfRule>
  </conditionalFormatting>
  <conditionalFormatting sqref="Z19:AB19 Z104:AB104 Z189:AB189">
    <cfRule type="expression" dxfId="1647" priority="47" stopIfTrue="1">
      <formula>IF(#REF!&gt;8,0,1)</formula>
    </cfRule>
  </conditionalFormatting>
  <conditionalFormatting sqref="AC19:AE19 AC104:AE104 AC189:AE189">
    <cfRule type="expression" dxfId="1646" priority="48" stopIfTrue="1">
      <formula>IF(#REF!&gt;9,0,1)</formula>
    </cfRule>
  </conditionalFormatting>
  <conditionalFormatting sqref="B20:D20 B105:D105 B190:D190">
    <cfRule type="expression" dxfId="1645" priority="49" stopIfTrue="1">
      <formula>IF(#REF!&gt;0,0,1)</formula>
    </cfRule>
  </conditionalFormatting>
  <conditionalFormatting sqref="E20:G20 E105:G105 E190:G190">
    <cfRule type="expression" dxfId="1644" priority="50" stopIfTrue="1">
      <formula>IF(#REF!&gt;1,0,1)</formula>
    </cfRule>
  </conditionalFormatting>
  <conditionalFormatting sqref="H20:J20 H105:J105 H190:J190">
    <cfRule type="expression" dxfId="1643" priority="51" stopIfTrue="1">
      <formula>IF(#REF!&gt;2,0,1)</formula>
    </cfRule>
  </conditionalFormatting>
  <conditionalFormatting sqref="K20:M20 K105:M105 K190:M190">
    <cfRule type="expression" dxfId="1642" priority="52" stopIfTrue="1">
      <formula>IF(#REF!&gt;3,0,1)</formula>
    </cfRule>
  </conditionalFormatting>
  <conditionalFormatting sqref="N20:P20 N105:P105 N190:P190">
    <cfRule type="expression" dxfId="1641" priority="53" stopIfTrue="1">
      <formula>IF(#REF!&gt;4,0,1)</formula>
    </cfRule>
  </conditionalFormatting>
  <conditionalFormatting sqref="Q20:S20 Q105:S105 Q190:S190">
    <cfRule type="expression" dxfId="1640" priority="54" stopIfTrue="1">
      <formula>IF(#REF!&gt;5,0,1)</formula>
    </cfRule>
  </conditionalFormatting>
  <conditionalFormatting sqref="T20:V20 T105:V105 T190:V190">
    <cfRule type="expression" dxfId="1639" priority="55" stopIfTrue="1">
      <formula>IF(#REF!&gt;6,0,1)</formula>
    </cfRule>
  </conditionalFormatting>
  <conditionalFormatting sqref="W20:Y20 W105:Y105 W190:Y190">
    <cfRule type="expression" dxfId="1638" priority="56" stopIfTrue="1">
      <formula>IF(#REF!&gt;7,0,1)</formula>
    </cfRule>
  </conditionalFormatting>
  <conditionalFormatting sqref="Z20:AB20 Z105:AB105 Z190:AB190">
    <cfRule type="expression" dxfId="1637" priority="57" stopIfTrue="1">
      <formula>IF(#REF!&gt;8,0,1)</formula>
    </cfRule>
  </conditionalFormatting>
  <conditionalFormatting sqref="AC20:AE20 AC105:AE105 AC190:AE190">
    <cfRule type="expression" dxfId="1636" priority="58" stopIfTrue="1">
      <formula>IF(#REF!&gt;9,0,1)</formula>
    </cfRule>
  </conditionalFormatting>
  <conditionalFormatting sqref="E22:G22 E107:G107 E192:G192">
    <cfRule type="expression" dxfId="1635" priority="59" stopIfTrue="1">
      <formula>IF(#REF!&gt;1,0,1)</formula>
    </cfRule>
  </conditionalFormatting>
  <conditionalFormatting sqref="H22:J22 H107:J107 H192:J192">
    <cfRule type="expression" dxfId="1634" priority="60" stopIfTrue="1">
      <formula>IF(#REF!&gt;2,0,1)</formula>
    </cfRule>
  </conditionalFormatting>
  <conditionalFormatting sqref="K22:M22 K107:M107 K192:M192">
    <cfRule type="expression" dxfId="1633" priority="61" stopIfTrue="1">
      <formula>IF(#REF!&gt;3,0,1)</formula>
    </cfRule>
  </conditionalFormatting>
  <conditionalFormatting sqref="N22:P22 N107:P107 N192:P192">
    <cfRule type="expression" dxfId="1632" priority="62" stopIfTrue="1">
      <formula>IF(#REF!&gt;4,0,1)</formula>
    </cfRule>
  </conditionalFormatting>
  <conditionalFormatting sqref="Q22:S22 Q107:S107 Q192:S192">
    <cfRule type="expression" dxfId="1631" priority="63" stopIfTrue="1">
      <formula>IF(#REF!&gt;5,0,1)</formula>
    </cfRule>
  </conditionalFormatting>
  <conditionalFormatting sqref="T22:V22 T107:V107 T192:V192">
    <cfRule type="expression" dxfId="1630" priority="64" stopIfTrue="1">
      <formula>IF(#REF!&gt;6,0,1)</formula>
    </cfRule>
  </conditionalFormatting>
  <conditionalFormatting sqref="W22:Y22 W107:Y107 W192:Y192">
    <cfRule type="expression" dxfId="1629" priority="65" stopIfTrue="1">
      <formula>IF(#REF!&gt;7,0,1)</formula>
    </cfRule>
  </conditionalFormatting>
  <conditionalFormatting sqref="Z22:AB22 Z107:AB107 Z192:AB192">
    <cfRule type="expression" dxfId="1628" priority="66" stopIfTrue="1">
      <formula>IF(#REF!&gt;8,0,1)</formula>
    </cfRule>
  </conditionalFormatting>
  <conditionalFormatting sqref="AC22:AE22 AC107:AE107 AC192:AE192">
    <cfRule type="expression" dxfId="1627" priority="67" stopIfTrue="1">
      <formula>IF(#REF!&gt;9,0,1)</formula>
    </cfRule>
  </conditionalFormatting>
  <conditionalFormatting sqref="B24 B109 B194">
    <cfRule type="expression" dxfId="1626" priority="68" stopIfTrue="1">
      <formula>IF(#REF!&gt;0,0,1)</formula>
    </cfRule>
  </conditionalFormatting>
  <conditionalFormatting sqref="C24 C109 C194">
    <cfRule type="expression" dxfId="1625" priority="69" stopIfTrue="1">
      <formula>IF(#REF!&gt;0,0,1)</formula>
    </cfRule>
  </conditionalFormatting>
  <conditionalFormatting sqref="D24 D109 D194">
    <cfRule type="expression" dxfId="1624" priority="70" stopIfTrue="1">
      <formula>IF(#REF!&gt;0,0,1)</formula>
    </cfRule>
  </conditionalFormatting>
  <conditionalFormatting sqref="E23:G23 E193:G193 E108:G108">
    <cfRule type="expression" dxfId="1623" priority="71" stopIfTrue="1">
      <formula>IF(#REF!&gt;1,0,1)</formula>
    </cfRule>
  </conditionalFormatting>
  <conditionalFormatting sqref="F24 F109 F194">
    <cfRule type="expression" dxfId="1622" priority="72" stopIfTrue="1">
      <formula>IF(#REF!&gt;1,0,1)</formula>
    </cfRule>
  </conditionalFormatting>
  <conditionalFormatting sqref="G24 G109 G194">
    <cfRule type="expression" dxfId="1621" priority="73" stopIfTrue="1">
      <formula>IF(#REF!&gt;1,0,1)</formula>
    </cfRule>
  </conditionalFormatting>
  <conditionalFormatting sqref="H23:J23 H193:J193 H108:J108">
    <cfRule type="expression" dxfId="1620" priority="74" stopIfTrue="1">
      <formula>IF(#REF!&gt;2,0,1)</formula>
    </cfRule>
  </conditionalFormatting>
  <conditionalFormatting sqref="I24 I109 I194">
    <cfRule type="expression" dxfId="1619" priority="75" stopIfTrue="1">
      <formula>IF(#REF!&gt;2,0,1)</formula>
    </cfRule>
  </conditionalFormatting>
  <conditionalFormatting sqref="J24 J109 J194">
    <cfRule type="expression" dxfId="1618" priority="76" stopIfTrue="1">
      <formula>IF(#REF!&gt;2,0,1)</formula>
    </cfRule>
  </conditionalFormatting>
  <conditionalFormatting sqref="K23:M23 K193:M193 K108:M108">
    <cfRule type="expression" dxfId="1617" priority="77" stopIfTrue="1">
      <formula>IF(#REF!&gt;3,0,1)</formula>
    </cfRule>
  </conditionalFormatting>
  <conditionalFormatting sqref="L24 L109 L194">
    <cfRule type="expression" dxfId="1616" priority="78" stopIfTrue="1">
      <formula>IF(#REF!&gt;3,0,1)</formula>
    </cfRule>
  </conditionalFormatting>
  <conditionalFormatting sqref="M24 M109 M194">
    <cfRule type="expression" dxfId="1615" priority="79" stopIfTrue="1">
      <formula>IF(#REF!&gt;3,0,1)</formula>
    </cfRule>
  </conditionalFormatting>
  <conditionalFormatting sqref="N23:P23 N193:P193 N108:P108">
    <cfRule type="expression" dxfId="1614" priority="80" stopIfTrue="1">
      <formula>IF(#REF!&gt;4,0,1)</formula>
    </cfRule>
  </conditionalFormatting>
  <conditionalFormatting sqref="O24 O109 O194">
    <cfRule type="expression" dxfId="1613" priority="81" stopIfTrue="1">
      <formula>IF(#REF!&gt;4,0,1)</formula>
    </cfRule>
  </conditionalFormatting>
  <conditionalFormatting sqref="P24 P109 P194">
    <cfRule type="expression" dxfId="1612" priority="82" stopIfTrue="1">
      <formula>IF(#REF!&gt;4,0,1)</formula>
    </cfRule>
  </conditionalFormatting>
  <conditionalFormatting sqref="Q23:S23 Q193:S193 Q108:S108">
    <cfRule type="expression" dxfId="1611" priority="83" stopIfTrue="1">
      <formula>IF(#REF!&gt;5,0,1)</formula>
    </cfRule>
  </conditionalFormatting>
  <conditionalFormatting sqref="R24 R109 R194">
    <cfRule type="expression" dxfId="1610" priority="84" stopIfTrue="1">
      <formula>IF(#REF!&gt;5,0,1)</formula>
    </cfRule>
  </conditionalFormatting>
  <conditionalFormatting sqref="S24 S109 S194">
    <cfRule type="expression" dxfId="1609" priority="85" stopIfTrue="1">
      <formula>IF(#REF!&gt;5,0,1)</formula>
    </cfRule>
  </conditionalFormatting>
  <conditionalFormatting sqref="T23:V23 T193:V193 T108:V108">
    <cfRule type="expression" dxfId="1608" priority="86" stopIfTrue="1">
      <formula>IF(#REF!&gt;6,0,1)</formula>
    </cfRule>
  </conditionalFormatting>
  <conditionalFormatting sqref="U24 U109 U194">
    <cfRule type="expression" dxfId="1607" priority="87" stopIfTrue="1">
      <formula>IF(#REF!&gt;6,0,1)</formula>
    </cfRule>
  </conditionalFormatting>
  <conditionalFormatting sqref="V24 V109 V194">
    <cfRule type="expression" dxfId="1606" priority="88" stopIfTrue="1">
      <formula>IF(#REF!&gt;6,0,1)</formula>
    </cfRule>
  </conditionalFormatting>
  <conditionalFormatting sqref="W23:Y23 W193:Y193 W108:Y108">
    <cfRule type="expression" dxfId="1605" priority="89" stopIfTrue="1">
      <formula>IF(#REF!&gt;7,0,1)</formula>
    </cfRule>
  </conditionalFormatting>
  <conditionalFormatting sqref="X24 X109 X194">
    <cfRule type="expression" dxfId="1604" priority="90" stopIfTrue="1">
      <formula>IF(#REF!&gt;7,0,1)</formula>
    </cfRule>
  </conditionalFormatting>
  <conditionalFormatting sqref="Y24 Y109 Y194">
    <cfRule type="expression" dxfId="1603" priority="91" stopIfTrue="1">
      <formula>IF(#REF!&gt;7,0,1)</formula>
    </cfRule>
  </conditionalFormatting>
  <conditionalFormatting sqref="Z23:AB23 Z193:AB193 Z108:AB108">
    <cfRule type="expression" dxfId="1602" priority="92" stopIfTrue="1">
      <formula>IF(#REF!&gt;8,0,1)</formula>
    </cfRule>
  </conditionalFormatting>
  <conditionalFormatting sqref="AA24 AA109 AA194">
    <cfRule type="expression" dxfId="1601" priority="93" stopIfTrue="1">
      <formula>IF(#REF!&gt;8,0,1)</formula>
    </cfRule>
  </conditionalFormatting>
  <conditionalFormatting sqref="AB24 AB109 AB194">
    <cfRule type="expression" dxfId="1600" priority="94" stopIfTrue="1">
      <formula>IF(#REF!&gt;8,0,1)</formula>
    </cfRule>
  </conditionalFormatting>
  <conditionalFormatting sqref="AC23:AE23 AC193:AE193 AC108:AE108">
    <cfRule type="expression" dxfId="1599" priority="95" stopIfTrue="1">
      <formula>IF(#REF!&gt;9,0,1)</formula>
    </cfRule>
  </conditionalFormatting>
  <conditionalFormatting sqref="AD24 AD109 AD194">
    <cfRule type="expression" dxfId="1598" priority="96" stopIfTrue="1">
      <formula>IF(#REF!&gt;9,0,1)</formula>
    </cfRule>
  </conditionalFormatting>
  <conditionalFormatting sqref="AE24 AE109 AE194">
    <cfRule type="expression" dxfId="1597" priority="97" stopIfTrue="1">
      <formula>IF(#REF!&gt;9,0,1)</formula>
    </cfRule>
  </conditionalFormatting>
  <conditionalFormatting sqref="A26 A111 A196">
    <cfRule type="expression" dxfId="1596" priority="98" stopIfTrue="1">
      <formula>IF(#REF!&gt;1,0,1)</formula>
    </cfRule>
  </conditionalFormatting>
  <conditionalFormatting sqref="A27 A112 A197">
    <cfRule type="expression" dxfId="1595" priority="99" stopIfTrue="1">
      <formula>IF(#REF!&gt;2,0,1)</formula>
    </cfRule>
  </conditionalFormatting>
  <conditionalFormatting sqref="A28 A113 A198">
    <cfRule type="expression" dxfId="1594" priority="100" stopIfTrue="1">
      <formula>IF(#REF!&gt;3,0,1)</formula>
    </cfRule>
  </conditionalFormatting>
  <conditionalFormatting sqref="A29 A114 A199">
    <cfRule type="expression" dxfId="1593" priority="101" stopIfTrue="1">
      <formula>IF(#REF!&gt;4,0,1)</formula>
    </cfRule>
  </conditionalFormatting>
  <conditionalFormatting sqref="B25:D25 B110:D110 B195:D195">
    <cfRule type="expression" dxfId="1592" priority="102" stopIfTrue="1">
      <formula>IF(#REF!&gt;0,0,1)</formula>
    </cfRule>
  </conditionalFormatting>
  <conditionalFormatting sqref="B26:D26 B111:D111 B196:D196">
    <cfRule type="expression" dxfId="1591" priority="103" stopIfTrue="1">
      <formula>IF(#REF!&lt;1,1,IF(#REF!&lt;2,1,0))</formula>
    </cfRule>
  </conditionalFormatting>
  <conditionalFormatting sqref="B27:D27 B112:D112 B197:D197">
    <cfRule type="expression" dxfId="1590" priority="104" stopIfTrue="1">
      <formula>IF(#REF!&lt;1,1,IF(#REF!&lt;3,1,0))</formula>
    </cfRule>
  </conditionalFormatting>
  <conditionalFormatting sqref="B28:D28 B113:D113 B198:D198">
    <cfRule type="expression" dxfId="1589" priority="105" stopIfTrue="1">
      <formula>IF(#REF!&lt;1,1,IF(#REF!&lt;4,1,0))</formula>
    </cfRule>
  </conditionalFormatting>
  <conditionalFormatting sqref="B29:D29 B114:D114 B199:D199">
    <cfRule type="expression" dxfId="1588" priority="106" stopIfTrue="1">
      <formula>IF(#REF!&lt;1,1,IF(#REF!&lt;5,1,0))</formula>
    </cfRule>
  </conditionalFormatting>
  <conditionalFormatting sqref="AG23 AG108 AG193">
    <cfRule type="expression" dxfId="1587" priority="107" stopIfTrue="1">
      <formula>IF(#REF!&lt;1,1,0)</formula>
    </cfRule>
  </conditionalFormatting>
  <conditionalFormatting sqref="AH23 AH108 AH193">
    <cfRule type="expression" dxfId="1586" priority="108" stopIfTrue="1">
      <formula>IF(#REF!&lt;2,1,0)</formula>
    </cfRule>
  </conditionalFormatting>
  <conditionalFormatting sqref="AI23 AI108 AI193">
    <cfRule type="expression" dxfId="1585" priority="109" stopIfTrue="1">
      <formula>IF(#REF!&lt;3,1,0)</formula>
    </cfRule>
  </conditionalFormatting>
  <conditionalFormatting sqref="AJ23 AJ108 AJ193">
    <cfRule type="expression" dxfId="1584" priority="110" stopIfTrue="1">
      <formula>IF(#REF!&lt;4,1,0)</formula>
    </cfRule>
  </conditionalFormatting>
  <conditionalFormatting sqref="AK23 AK108 AK193">
    <cfRule type="expression" dxfId="1583" priority="111" stopIfTrue="1">
      <formula>IF(#REF!&lt;5,1,0)</formula>
    </cfRule>
  </conditionalFormatting>
  <conditionalFormatting sqref="AL23 AL108 AL193">
    <cfRule type="expression" dxfId="1582" priority="112" stopIfTrue="1">
      <formula>IF(#REF!&lt;6,1,0)</formula>
    </cfRule>
  </conditionalFormatting>
  <conditionalFormatting sqref="AM23 AM108 AM193">
    <cfRule type="expression" dxfId="1581" priority="113" stopIfTrue="1">
      <formula>IF(#REF!&lt;7,1,0)</formula>
    </cfRule>
  </conditionalFormatting>
  <conditionalFormatting sqref="AN23 AN108 AN193">
    <cfRule type="expression" dxfId="1580" priority="114" stopIfTrue="1">
      <formula>IF(#REF!&lt;8,1,0)</formula>
    </cfRule>
  </conditionalFormatting>
  <conditionalFormatting sqref="AO23 AO108 AO193">
    <cfRule type="expression" dxfId="1579" priority="115" stopIfTrue="1">
      <formula>IF(#REF!&lt;9,1,0)</formula>
    </cfRule>
  </conditionalFormatting>
  <conditionalFormatting sqref="AP23 AP108 AP193">
    <cfRule type="expression" dxfId="1578" priority="116" stopIfTrue="1">
      <formula>IF(#REF!&lt;10,1,0)</formula>
    </cfRule>
  </conditionalFormatting>
  <conditionalFormatting sqref="AQ24 AQ109 AQ194">
    <cfRule type="expression" dxfId="1577" priority="117" stopIfTrue="1">
      <formula>IF(#REF!&gt;0,0,1)</formula>
    </cfRule>
  </conditionalFormatting>
  <conditionalFormatting sqref="AQ25 AQ110 AQ195">
    <cfRule type="expression" dxfId="1576" priority="118" stopIfTrue="1">
      <formula>IF(#REF!&gt;1,0,1)</formula>
    </cfRule>
  </conditionalFormatting>
  <conditionalFormatting sqref="AQ26 H25:J25 AQ111 H110:J110 AQ196 H195:J195">
    <cfRule type="expression" dxfId="1575" priority="119" stopIfTrue="1">
      <formula>IF(#REF!&gt;2,0,1)</formula>
    </cfRule>
  </conditionalFormatting>
  <conditionalFormatting sqref="K110:M110 K25:M25 K195:M195">
    <cfRule type="expression" dxfId="1574" priority="120" stopIfTrue="1">
      <formula>IF(#REF!&gt;3,0,1)</formula>
    </cfRule>
  </conditionalFormatting>
  <conditionalFormatting sqref="AQ28 AQ113 AQ198">
    <cfRule type="expression" dxfId="1573" priority="121" stopIfTrue="1">
      <formula>IF(#REF!&gt;4,0,1)</formula>
    </cfRule>
  </conditionalFormatting>
  <conditionalFormatting sqref="E26:G26 E111:G111 E196:G196">
    <cfRule type="expression" dxfId="1572" priority="122" stopIfTrue="1">
      <formula>IF(#REF!&lt;2,1,IF(#REF!&lt;2,1,0))</formula>
    </cfRule>
  </conditionalFormatting>
  <conditionalFormatting sqref="E27:G27 E112:G112 E197:G197">
    <cfRule type="expression" dxfId="1571" priority="123" stopIfTrue="1">
      <formula>IF(#REF!&lt;2,1,IF(#REF!&lt;3,1,0))</formula>
    </cfRule>
  </conditionalFormatting>
  <conditionalFormatting sqref="E28:G28 E113:G113 E198:G198">
    <cfRule type="expression" dxfId="1570" priority="124" stopIfTrue="1">
      <formula>IF(#REF!&lt;2,1,IF(#REF!&lt;4,1,0))</formula>
    </cfRule>
  </conditionalFormatting>
  <conditionalFormatting sqref="E29:G29 E114:G114 E199:G199">
    <cfRule type="expression" dxfId="1569" priority="125" stopIfTrue="1">
      <formula>IF(#REF!&lt;2,1,IF(#REF!&lt;5,1,0))</formula>
    </cfRule>
  </conditionalFormatting>
  <conditionalFormatting sqref="N25:P25 N110:P110 N195:P195">
    <cfRule type="expression" dxfId="1568" priority="126" stopIfTrue="1">
      <formula>IF(#REF!&gt;4,0,1)</formula>
    </cfRule>
  </conditionalFormatting>
  <conditionalFormatting sqref="Q25:S25 Q110:S110 Q195:S195">
    <cfRule type="expression" dxfId="1567" priority="127" stopIfTrue="1">
      <formula>IF(#REF!&gt;5,0,1)</formula>
    </cfRule>
  </conditionalFormatting>
  <conditionalFormatting sqref="T25:V25 T110:V110 T195:V195">
    <cfRule type="expression" dxfId="1566" priority="128" stopIfTrue="1">
      <formula>IF(#REF!&gt;6,0,1)</formula>
    </cfRule>
  </conditionalFormatting>
  <conditionalFormatting sqref="W25:Y25 W110:Y110 W195:Y195">
    <cfRule type="expression" dxfId="1565" priority="129" stopIfTrue="1">
      <formula>IF(#REF!&gt;7,0,1)</formula>
    </cfRule>
  </conditionalFormatting>
  <conditionalFormatting sqref="Z25:AB25 Z110:AB110 Z195:AB195">
    <cfRule type="expression" dxfId="1564" priority="130" stopIfTrue="1">
      <formula>IF(#REF!&gt;8,0,1)</formula>
    </cfRule>
  </conditionalFormatting>
  <conditionalFormatting sqref="AC25:AE25 AC110:AE110 AC195:AE195">
    <cfRule type="expression" dxfId="1563" priority="131" stopIfTrue="1">
      <formula>IF(#REF!&gt;9,0,1)</formula>
    </cfRule>
  </conditionalFormatting>
  <conditionalFormatting sqref="H26:J26 H111:J111 H196:J196">
    <cfRule type="expression" dxfId="1562" priority="132" stopIfTrue="1">
      <formula>IF(#REF!&lt;3,1,IF(#REF!&lt;2,1,0))</formula>
    </cfRule>
  </conditionalFormatting>
  <conditionalFormatting sqref="K26:M26 K111:M111 K196:M196">
    <cfRule type="expression" dxfId="1561" priority="133" stopIfTrue="1">
      <formula>IF(#REF!&lt;4,1,IF(#REF!&lt;2,1,0))</formula>
    </cfRule>
  </conditionalFormatting>
  <conditionalFormatting sqref="N26:P26 N111:P111 N196:P196">
    <cfRule type="expression" dxfId="1560" priority="134" stopIfTrue="1">
      <formula>IF(#REF!&lt;5,1,IF(#REF!&lt;2,1,0))</formula>
    </cfRule>
  </conditionalFormatting>
  <conditionalFormatting sqref="Q26:S26 Q111:S111 Q196:S196">
    <cfRule type="expression" dxfId="1559" priority="135" stopIfTrue="1">
      <formula>IF(#REF!&lt;6,1,IF(#REF!&lt;2,1,0))</formula>
    </cfRule>
  </conditionalFormatting>
  <conditionalFormatting sqref="T26:V26 T111:V111 T196:V196">
    <cfRule type="expression" dxfId="1558" priority="136" stopIfTrue="1">
      <formula>IF(#REF!&lt;7,1,IF(#REF!&lt;2,1,0))</formula>
    </cfRule>
  </conditionalFormatting>
  <conditionalFormatting sqref="W26:Y26 W111:Y111 W196:Y196">
    <cfRule type="expression" dxfId="1557" priority="137" stopIfTrue="1">
      <formula>IF(#REF!&lt;8,1,IF(#REF!&lt;2,1,0))</formula>
    </cfRule>
  </conditionalFormatting>
  <conditionalFormatting sqref="Z26:AB26 Z111:AB111 Z196:AB196">
    <cfRule type="expression" dxfId="1556" priority="138" stopIfTrue="1">
      <formula>IF(#REF!&lt;9,1,IF(#REF!&lt;2,1,0))</formula>
    </cfRule>
  </conditionalFormatting>
  <conditionalFormatting sqref="AC26:AE26 AC111:AE111 AC196:AE196">
    <cfRule type="expression" dxfId="1555" priority="139" stopIfTrue="1">
      <formula>IF(#REF!&lt;10,1,IF(#REF!&lt;2,1,0))</formula>
    </cfRule>
  </conditionalFormatting>
  <conditionalFormatting sqref="H27:J27 H112:J112 H197:J197">
    <cfRule type="expression" dxfId="1554" priority="140" stopIfTrue="1">
      <formula>IF(#REF!&lt;3,1,IF(#REF!&lt;3,1,0))</formula>
    </cfRule>
  </conditionalFormatting>
  <conditionalFormatting sqref="K27:M27 K112:M112 K197:M197">
    <cfRule type="expression" dxfId="1553" priority="141" stopIfTrue="1">
      <formula>IF(#REF!&lt;4,1,IF(#REF!&lt;3,1,0))</formula>
    </cfRule>
  </conditionalFormatting>
  <conditionalFormatting sqref="N27:P27 N112:P112 N197:P197">
    <cfRule type="expression" dxfId="1552" priority="142" stopIfTrue="1">
      <formula>IF(#REF!&lt;5,1,IF(#REF!&lt;3,1,0))</formula>
    </cfRule>
  </conditionalFormatting>
  <conditionalFormatting sqref="Q27:S27 Q112:S112 Q197:S197">
    <cfRule type="expression" dxfId="1551" priority="143" stopIfTrue="1">
      <formula>IF(#REF!&lt;6,1,IF(#REF!&lt;3,1,0))</formula>
    </cfRule>
  </conditionalFormatting>
  <conditionalFormatting sqref="T27:V27 T112:V112 T197:V197">
    <cfRule type="expression" dxfId="1550" priority="144" stopIfTrue="1">
      <formula>IF(#REF!&lt;7,1,IF(#REF!&lt;3,1,0))</formula>
    </cfRule>
  </conditionalFormatting>
  <conditionalFormatting sqref="W27:Y27 W112:Y112 W197:Y197">
    <cfRule type="expression" dxfId="1549" priority="145" stopIfTrue="1">
      <formula>IF(#REF!&lt;8,1,IF(#REF!&lt;3,1,0))</formula>
    </cfRule>
  </conditionalFormatting>
  <conditionalFormatting sqref="Z27:AB27 Z112:AB112 Z197:AB197">
    <cfRule type="expression" dxfId="1548" priority="146" stopIfTrue="1">
      <formula>IF(#REF!&lt;9,1,IF(#REF!&lt;3,1,0))</formula>
    </cfRule>
  </conditionalFormatting>
  <conditionalFormatting sqref="AC27:AE27 AC112:AE112 AC197:AE197">
    <cfRule type="expression" dxfId="1547" priority="147" stopIfTrue="1">
      <formula>IF(#REF!&lt;10,1,IF(#REF!&lt;3,1,0))</formula>
    </cfRule>
  </conditionalFormatting>
  <conditionalFormatting sqref="H28:J28 H113:J113 H198:J198">
    <cfRule type="expression" dxfId="1546" priority="148" stopIfTrue="1">
      <formula>IF(#REF!&lt;3,1,IF(#REF!&lt;4,1,0))</formula>
    </cfRule>
  </conditionalFormatting>
  <conditionalFormatting sqref="K28:M28 K113:M113 K198:M198">
    <cfRule type="expression" dxfId="1545" priority="149" stopIfTrue="1">
      <formula>IF(#REF!&lt;4,1,IF(#REF!&lt;4,1,0))</formula>
    </cfRule>
  </conditionalFormatting>
  <conditionalFormatting sqref="N28:P28 N113:P113 N198:P198">
    <cfRule type="expression" dxfId="1544" priority="150" stopIfTrue="1">
      <formula>IF(#REF!&lt;5,1,IF(#REF!&lt;4,1,0))</formula>
    </cfRule>
  </conditionalFormatting>
  <conditionalFormatting sqref="Q28:S28 Q113:S113 Q198:S198">
    <cfRule type="expression" dxfId="1543" priority="151" stopIfTrue="1">
      <formula>IF(#REF!&lt;6,1,IF(#REF!&lt;4,1,0))</formula>
    </cfRule>
  </conditionalFormatting>
  <conditionalFormatting sqref="T28:V28 T113:V113 T198:V198">
    <cfRule type="expression" dxfId="1542" priority="152" stopIfTrue="1">
      <formula>IF(#REF!&lt;7,1,IF(#REF!&lt;4,1,0))</formula>
    </cfRule>
  </conditionalFormatting>
  <conditionalFormatting sqref="W28:Y28 W113:Y113 W198:Y198">
    <cfRule type="expression" dxfId="1541" priority="153" stopIfTrue="1">
      <formula>IF(#REF!&lt;8,1,IF(#REF!&lt;4,1,0))</formula>
    </cfRule>
  </conditionalFormatting>
  <conditionalFormatting sqref="Z28:AB28 Z113:AB113 Z198:AB198">
    <cfRule type="expression" dxfId="1540" priority="154" stopIfTrue="1">
      <formula>IF(#REF!&lt;9,1,IF(#REF!&lt;4,1,0))</formula>
    </cfRule>
  </conditionalFormatting>
  <conditionalFormatting sqref="AC28:AE28 AC113:AE113 AC198:AE198">
    <cfRule type="expression" dxfId="1539" priority="155" stopIfTrue="1">
      <formula>IF(#REF!&lt;10,1,IF(#REF!&lt;4,1,0))</formula>
    </cfRule>
  </conditionalFormatting>
  <conditionalFormatting sqref="H29:J29 H114:J114 H199:J199">
    <cfRule type="expression" dxfId="1538" priority="156" stopIfTrue="1">
      <formula>IF(#REF!&lt;3,1,IF(#REF!&lt;5,1,0))</formula>
    </cfRule>
  </conditionalFormatting>
  <conditionalFormatting sqref="K29:M29 K114:M114 K199:M199">
    <cfRule type="expression" dxfId="1537" priority="157" stopIfTrue="1">
      <formula>IF(#REF!&lt;4,1,IF(#REF!&lt;5,1,0))</formula>
    </cfRule>
  </conditionalFormatting>
  <conditionalFormatting sqref="N29:P29 N114:P114 N199:P199">
    <cfRule type="expression" dxfId="1536" priority="158" stopIfTrue="1">
      <formula>IF(#REF!&lt;5,1,IF(#REF!&lt;5,1,0))</formula>
    </cfRule>
  </conditionalFormatting>
  <conditionalFormatting sqref="Q29:S29 Q114:S114 Q199:S199">
    <cfRule type="expression" dxfId="1535" priority="159" stopIfTrue="1">
      <formula>IF(#REF!&lt;6,1,IF(#REF!&lt;5,1,0))</formula>
    </cfRule>
  </conditionalFormatting>
  <conditionalFormatting sqref="T29:V29 T114:V114 T199:V199">
    <cfRule type="expression" dxfId="1534" priority="160" stopIfTrue="1">
      <formula>IF(#REF!&lt;7,1,IF(#REF!&lt;5,1,0))</formula>
    </cfRule>
  </conditionalFormatting>
  <conditionalFormatting sqref="W29:Y29 W114:Y114 W199:Y199">
    <cfRule type="expression" dxfId="1533" priority="161" stopIfTrue="1">
      <formula>IF(#REF!&lt;8,1,IF(#REF!&lt;5,1,0))</formula>
    </cfRule>
  </conditionalFormatting>
  <conditionalFormatting sqref="Z29:AB29 Z114:AB114 Z199:AB199">
    <cfRule type="expression" dxfId="1532" priority="162" stopIfTrue="1">
      <formula>IF(#REF!&lt;9,1,IF(#REF!&lt;5,1,0))</formula>
    </cfRule>
  </conditionalFormatting>
  <conditionalFormatting sqref="AC29:AE29 AC114:AE114 AC199:AE199">
    <cfRule type="expression" dxfId="1531" priority="163" stopIfTrue="1">
      <formula>IF(#REF!&lt;10,1,IF(#REF!&lt;5,1,0))</formula>
    </cfRule>
  </conditionalFormatting>
  <conditionalFormatting sqref="R99:AB100 AF99:AF100 L99:P100 R14:AB15 AF14:AF15 L14:P15 R184:AB185 AF184:AF185 L184:P185 AG14 AG99 AG184">
    <cfRule type="expression" dxfId="1530" priority="164" stopIfTrue="1">
      <formula>IF(#REF!&gt;3,0,1)</formula>
    </cfRule>
  </conditionalFormatting>
  <conditionalFormatting sqref="R101:AB102 AF101:AF102 L101:P102 R16:AB17 AF16:AF17 L16:P17 R186:AB187 AF186:AF187 L186:P187 AG16 AG101 AG186">
    <cfRule type="expression" dxfId="1529" priority="165" stopIfTrue="1">
      <formula>IF(#REF!&gt;4,0,1)</formula>
    </cfRule>
  </conditionalFormatting>
  <conditionalFormatting sqref="R93:AB94 AF93:AF94 L93:P94 R8:AB9 AF8:AF9 L8:P9 R178:AB179 AF178:AF179 L178:P179 AG8 AG93 AG178">
    <cfRule type="expression" dxfId="1528" priority="166" stopIfTrue="1">
      <formula>IF($AK9&gt;0,0,1)</formula>
    </cfRule>
  </conditionalFormatting>
  <conditionalFormatting sqref="R95:AB96 AF95:AF96 L95:P96 R10:AB11 AF10:AF11 L10:P11 R180:AB181 AF180:AF181 L180:P181 AG10 AG95 AG180">
    <cfRule type="expression" dxfId="1527" priority="167" stopIfTrue="1">
      <formula>IF(#REF!&gt;1,0,1)</formula>
    </cfRule>
  </conditionalFormatting>
  <conditionalFormatting sqref="R97:AB98 AF97:AF98 L97:P98 R12:AB13 AF12:AF13 L12:P13 R182:AB183 AF182:AF183 L182:P183 AG12 AG97 AG182">
    <cfRule type="expression" dxfId="1526" priority="168" stopIfTrue="1">
      <formula>IF(#REF!&gt;2,0,1)</formula>
    </cfRule>
  </conditionalFormatting>
  <conditionalFormatting sqref="E109 E24 E194">
    <cfRule type="expression" dxfId="1525" priority="169" stopIfTrue="1">
      <formula>IF(#REF!&gt;1,0,1)</formula>
    </cfRule>
  </conditionalFormatting>
  <conditionalFormatting sqref="H109 H24 H194">
    <cfRule type="expression" dxfId="1524" priority="170" stopIfTrue="1">
      <formula>IF(#REF!&gt;2,0,1)</formula>
    </cfRule>
  </conditionalFormatting>
  <conditionalFormatting sqref="K109 K24 K194">
    <cfRule type="expression" dxfId="1523" priority="171" stopIfTrue="1">
      <formula>IF(#REF!&gt;3,0,1)</formula>
    </cfRule>
  </conditionalFormatting>
  <conditionalFormatting sqref="N109 N24 N194">
    <cfRule type="expression" dxfId="1522" priority="172" stopIfTrue="1">
      <formula>IF(#REF!&gt;4,0,1)</formula>
    </cfRule>
  </conditionalFormatting>
  <conditionalFormatting sqref="Q109 Q24 Q194">
    <cfRule type="expression" dxfId="1521" priority="173" stopIfTrue="1">
      <formula>IF(#REF!&gt;5,0,1)</formula>
    </cfRule>
  </conditionalFormatting>
  <conditionalFormatting sqref="T109 T24 T194">
    <cfRule type="expression" dxfId="1520" priority="174" stopIfTrue="1">
      <formula>IF(#REF!&gt;6,0,1)</formula>
    </cfRule>
  </conditionalFormatting>
  <conditionalFormatting sqref="W109 W24 W194">
    <cfRule type="expression" dxfId="1519" priority="175" stopIfTrue="1">
      <formula>IF(#REF!&gt;7,0,1)</formula>
    </cfRule>
  </conditionalFormatting>
  <conditionalFormatting sqref="Z109 Z24 Z194">
    <cfRule type="expression" dxfId="1518" priority="176" stopIfTrue="1">
      <formula>IF(#REF!&gt;8,0,1)</formula>
    </cfRule>
  </conditionalFormatting>
  <conditionalFormatting sqref="AC109 AC24 AC194">
    <cfRule type="expression" dxfId="1517" priority="177" stopIfTrue="1">
      <formula>IF(#REF!&gt;9,0,1)</formula>
    </cfRule>
  </conditionalFormatting>
  <conditionalFormatting sqref="AQ112 AQ27 AQ197">
    <cfRule type="expression" dxfId="1516" priority="178" stopIfTrue="1">
      <formula>IF(#REF!&gt;3,0,1)</formula>
    </cfRule>
  </conditionalFormatting>
  <conditionalFormatting sqref="E110:G110 E25:G25 E195:G195">
    <cfRule type="expression" dxfId="1515" priority="179" stopIfTrue="1">
      <formula>IF(#REF!&gt;1,0,1)</formula>
    </cfRule>
  </conditionalFormatting>
  <conditionalFormatting sqref="B106:D106 B21:D21 B191:D191">
    <cfRule type="expression" dxfId="1514" priority="180" stopIfTrue="1">
      <formula>IF(#REF!&gt;0,0,1)</formula>
    </cfRule>
  </conditionalFormatting>
  <conditionalFormatting sqref="E106:G106 E21:G21 E191:G191">
    <cfRule type="expression" dxfId="1513" priority="181" stopIfTrue="1">
      <formula>IF(#REF!&gt;1,0,1)</formula>
    </cfRule>
  </conditionalFormatting>
  <conditionalFormatting sqref="H106:J106 H21:J21 H191:J191">
    <cfRule type="expression" dxfId="1512" priority="182" stopIfTrue="1">
      <formula>IF(#REF!&gt;2,0,1)</formula>
    </cfRule>
  </conditionalFormatting>
  <conditionalFormatting sqref="K106:M106 K21:M21 K191:M191">
    <cfRule type="expression" dxfId="1511" priority="183" stopIfTrue="1">
      <formula>IF(#REF!&gt;3,0,1)</formula>
    </cfRule>
  </conditionalFormatting>
  <conditionalFormatting sqref="N106:P106 N21:P21 N191:P191">
    <cfRule type="expression" dxfId="1510" priority="184" stopIfTrue="1">
      <formula>IF(#REF!&gt;4,0,1)</formula>
    </cfRule>
  </conditionalFormatting>
  <conditionalFormatting sqref="Q106:S106 Q21:S21 Q191:S191">
    <cfRule type="expression" dxfId="1509" priority="185" stopIfTrue="1">
      <formula>IF(#REF!&gt;5,0,1)</formula>
    </cfRule>
  </conditionalFormatting>
  <conditionalFormatting sqref="T106:V106 T21:V21 T191:V191">
    <cfRule type="expression" dxfId="1508" priority="186" stopIfTrue="1">
      <formula>IF(#REF!&gt;6,0,1)</formula>
    </cfRule>
  </conditionalFormatting>
  <conditionalFormatting sqref="W106:Y106 W21:Y21 W191:Y191">
    <cfRule type="expression" dxfId="1507" priority="187" stopIfTrue="1">
      <formula>IF(#REF!&gt;7,0,1)</formula>
    </cfRule>
  </conditionalFormatting>
  <conditionalFormatting sqref="Z106:AB106 Z21:AB21 Z191:AB191">
    <cfRule type="expression" dxfId="1506" priority="188" stopIfTrue="1">
      <formula>IF(#REF!&gt;8,0,1)</formula>
    </cfRule>
  </conditionalFormatting>
  <conditionalFormatting sqref="AC106:AE106 AC21:AE21 AC191:AE191">
    <cfRule type="expression" dxfId="1505" priority="189" stopIfTrue="1">
      <formula>IF(#REF!&gt;9,0,1)</formula>
    </cfRule>
  </conditionalFormatting>
  <conditionalFormatting sqref="W309:Y314 Z310:AE313 AA314:AA316 I314:I316 C315:C316 B306:B307 C306:D306 B309:D314 E310:J313 F314:F316 AD314:AD316 I362:I364 W306:W307 X306:Y306 X357:Z358 Y359:Y360 AB358:AB360 X354:X355 AE358:AE360 C363:C364 B354:B355 C354:D354 B357:D362 E358:J361 X315:X316 F362:F364">
    <cfRule type="expression" dxfId="1504" priority="190" stopIfTrue="1">
      <formula>IF(#REF!&gt;0,0,1)</formula>
    </cfRule>
  </conditionalFormatting>
  <conditionalFormatting sqref="Z314 Z306:Z309 F306:G306 G314 F309:G309 E314 E306:E309 AA306:AB306 AB314 AA309:AB309 AA354:AA358 AC357:AC358 AB357 F354:G354 G362 F357:G357 E362 E354:E357">
    <cfRule type="expression" dxfId="1503" priority="191" stopIfTrue="1">
      <formula>IF(#REF!&gt;1,0,1)</formula>
    </cfRule>
  </conditionalFormatting>
  <conditionalFormatting sqref="AC306:AC309 AD306:AE306 AE314 AD309:AE309 AC314 H306:H309 I306:J306 J314 I309:J309 H314 AD354:AD358 AF357:AF358 AE357 AG358 H354:H357 I354:J354 J362 I357:J357 H362">
    <cfRule type="expression" dxfId="1502" priority="192" stopIfTrue="1">
      <formula>IF(#REF!&gt;2,0,1)</formula>
    </cfRule>
  </conditionalFormatting>
  <conditionalFormatting sqref="W315 Y315 B315 D315 X359 Z359 B363 D363">
    <cfRule type="expression" dxfId="1501" priority="193" stopIfTrue="1">
      <formula>IF(#REF!&lt;1,1,IF(#REF!&lt;2,1,0))</formula>
    </cfRule>
  </conditionalFormatting>
  <conditionalFormatting sqref="Z315 AB315 E315 G315 AA359 AC359 E363 G363">
    <cfRule type="expression" dxfId="1500" priority="194" stopIfTrue="1">
      <formula>IF(#REF!&lt;2,1,IF(#REF!&lt;2,1,0))</formula>
    </cfRule>
  </conditionalFormatting>
  <conditionalFormatting sqref="AC315 AE315 H315 J315 AD359 AF359 H363 J363">
    <cfRule type="expression" dxfId="1499" priority="195" stopIfTrue="1">
      <formula>IF(#REF!&lt;3,1,IF(#REF!&lt;2,1,0))</formula>
    </cfRule>
  </conditionalFormatting>
  <conditionalFormatting sqref="Y316 B316 D316 B364 X360 Z360 W316 D364">
    <cfRule type="expression" dxfId="1498" priority="196" stopIfTrue="1">
      <formula>IF(#REF!&lt;1,1,IF(#REF!&lt;3,1,0))</formula>
    </cfRule>
  </conditionalFormatting>
  <conditionalFormatting sqref="AB316 E316 G316 E364 AA360 AC360 Z316 G364">
    <cfRule type="expression" dxfId="1497" priority="197" stopIfTrue="1">
      <formula>IF(#REF!&lt;2,1,IF(#REF!&lt;3,1,0))</formula>
    </cfRule>
  </conditionalFormatting>
  <conditionalFormatting sqref="AE316 H316 J316 H364 AD360 AF360 AC316 J364">
    <cfRule type="expression" dxfId="1496" priority="198" stopIfTrue="1">
      <formula>IF(#REF!&lt;3,1,IF(#REF!&lt;3,1,0))</formula>
    </cfRule>
  </conditionalFormatting>
  <conditionalFormatting sqref="AG109:AP113 AG24:AP28 AG194:AP198">
    <cfRule type="cellIs" dxfId="1495" priority="199" stopIfTrue="1" operator="notBetween">
      <formula>-9999</formula>
      <formula>9999</formula>
    </cfRule>
  </conditionalFormatting>
  <conditionalFormatting sqref="AC7 AC92 AC177">
    <cfRule type="expression" dxfId="1494" priority="200" stopIfTrue="1">
      <formula>IF($AK$11=0,1,0)</formula>
    </cfRule>
  </conditionalFormatting>
  <conditionalFormatting sqref="B103 B18 B188">
    <cfRule type="expression" dxfId="1493" priority="201" stopIfTrue="1">
      <formula>IF($AK$9&gt;0,0,1)</formula>
    </cfRule>
  </conditionalFormatting>
  <conditionalFormatting sqref="B192:D193 B22:D23 B107:D108">
    <cfRule type="cellIs" dxfId="1492" priority="202" stopIfTrue="1" operator="equal">
      <formula>99</formula>
    </cfRule>
  </conditionalFormatting>
  <conditionalFormatting sqref="C317 F317 X317 AA317 C365 F365">
    <cfRule type="expression" dxfId="1491" priority="203" stopIfTrue="1">
      <formula>IF(#REF!&gt;0,0,1)</formula>
    </cfRule>
  </conditionalFormatting>
  <conditionalFormatting sqref="K354">
    <cfRule type="expression" dxfId="1490" priority="3" stopIfTrue="1">
      <formula>IF(ISNUMBER(K362),0,1)</formula>
    </cfRule>
  </conditionalFormatting>
  <conditionalFormatting sqref="K306">
    <cfRule type="expression" dxfId="1489" priority="2" stopIfTrue="1">
      <formula>IF(ISNUMBER(K314),0,1)</formula>
    </cfRule>
  </conditionalFormatting>
  <conditionalFormatting sqref="AF306">
    <cfRule type="expression" dxfId="1488" priority="1" stopIfTrue="1">
      <formula>IF(ISNUMBER(AF314),0,1)</formula>
    </cfRule>
  </conditionalFormatting>
  <pageMargins left="0.25" right="0.25" top="0.25" bottom="0.25" header="0" footer="0"/>
  <pageSetup scale="30" orientation="portrait" horizontalDpi="4294967293" verticalDpi="4294967293"/>
  <headerFooter alignWithMargins="0"/>
  <rowBreaks count="4" manualBreakCount="4">
    <brk id="90" max="42" man="1"/>
    <brk id="175" max="42" man="1"/>
    <brk id="272" max="42" man="1"/>
    <brk id="326" max="42" man="1"/>
  </rowBreak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 enableFormatConditionsCalculation="0">
    <tabColor rgb="FFFFFF00"/>
    <pageSetUpPr fitToPage="1"/>
  </sheetPr>
  <dimension ref="A1:BP658"/>
  <sheetViews>
    <sheetView topLeftCell="N1" zoomScale="70" zoomScaleNormal="70" workbookViewId="0">
      <selection activeCell="AV17" sqref="AV17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62" customWidth="1"/>
    <col min="50" max="50" width="10.42578125" style="4" customWidth="1"/>
    <col min="51" max="51" width="11.28515625" style="4" customWidth="1"/>
    <col min="52" max="52" width="25" style="4" customWidth="1"/>
    <col min="53" max="53" width="6" style="4" customWidth="1"/>
    <col min="54" max="16384" width="8.7109375" style="4"/>
  </cols>
  <sheetData>
    <row r="1" spans="1:53" ht="13.5" thickBot="1" x14ac:dyDescent="0.25">
      <c r="A1" s="914" t="s">
        <v>0</v>
      </c>
      <c r="B1" s="914"/>
      <c r="C1" s="914"/>
      <c r="D1" s="914"/>
      <c r="E1" s="914"/>
      <c r="F1" s="914"/>
      <c r="G1" s="914"/>
      <c r="H1" s="914"/>
      <c r="I1" s="914"/>
      <c r="J1" s="914"/>
      <c r="K1" s="914"/>
      <c r="L1" s="914"/>
      <c r="M1" s="914"/>
      <c r="N1" s="914"/>
      <c r="O1" s="914"/>
      <c r="P1" s="914"/>
      <c r="Q1" s="914"/>
      <c r="R1" s="914"/>
      <c r="S1" s="914"/>
      <c r="T1" s="914"/>
      <c r="U1" s="914"/>
      <c r="V1" s="914"/>
      <c r="W1" s="914"/>
      <c r="X1" s="914"/>
      <c r="Y1" s="914"/>
      <c r="Z1" s="914"/>
      <c r="AA1" s="914"/>
      <c r="AB1" s="914"/>
      <c r="AC1" s="914"/>
      <c r="AD1" s="914"/>
      <c r="AE1" s="914"/>
      <c r="AF1" s="914"/>
      <c r="AG1" s="914"/>
      <c r="AH1" s="914"/>
      <c r="AI1" s="914"/>
      <c r="AJ1" s="1"/>
      <c r="AK1" s="1"/>
      <c r="AL1" s="1"/>
      <c r="AM1" s="1"/>
      <c r="AN1" s="1"/>
      <c r="AO1" s="1"/>
      <c r="AP1" s="1"/>
      <c r="AQ1" s="2" t="s">
        <v>349</v>
      </c>
      <c r="AR1" s="3"/>
      <c r="AT1" s="915" t="s">
        <v>1</v>
      </c>
      <c r="AU1" s="916"/>
      <c r="AV1" s="916"/>
      <c r="AW1" s="917"/>
      <c r="AX1" s="918" t="s">
        <v>2</v>
      </c>
      <c r="AY1" s="919"/>
      <c r="AZ1" s="9" t="s">
        <v>3</v>
      </c>
      <c r="BA1" s="10">
        <v>32</v>
      </c>
    </row>
    <row r="2" spans="1:53" ht="18.75" customHeight="1" thickBot="1" x14ac:dyDescent="0.3">
      <c r="A2" s="920" t="s">
        <v>4</v>
      </c>
      <c r="B2" s="921"/>
      <c r="C2" s="921"/>
      <c r="D2" s="921"/>
      <c r="E2" s="921"/>
      <c r="F2" s="921"/>
      <c r="G2" s="921"/>
      <c r="H2" s="921"/>
      <c r="I2" s="922"/>
      <c r="J2" s="923" t="s">
        <v>351</v>
      </c>
      <c r="K2" s="924"/>
      <c r="L2" s="924"/>
      <c r="M2" s="924"/>
      <c r="N2" s="924"/>
      <c r="O2" s="924"/>
      <c r="P2" s="924"/>
      <c r="Q2" s="924"/>
      <c r="R2" s="924"/>
      <c r="S2" s="924"/>
      <c r="T2" s="924"/>
      <c r="U2" s="924"/>
      <c r="V2" s="924"/>
      <c r="W2" s="924"/>
      <c r="X2" s="925"/>
      <c r="Y2" s="926" t="s">
        <v>5</v>
      </c>
      <c r="Z2" s="927"/>
      <c r="AA2" s="927"/>
      <c r="AB2" s="927"/>
      <c r="AC2" s="928"/>
      <c r="AD2" s="929">
        <v>42434</v>
      </c>
      <c r="AE2" s="897"/>
      <c r="AF2" s="897"/>
      <c r="AG2" s="897"/>
      <c r="AH2" s="897"/>
      <c r="AI2" s="898"/>
      <c r="AJ2" s="11"/>
      <c r="AK2" s="11"/>
      <c r="AL2" s="11"/>
      <c r="AM2" s="11"/>
      <c r="AN2" s="11"/>
      <c r="AO2" s="11"/>
      <c r="AP2" s="11"/>
      <c r="AQ2" s="11"/>
      <c r="AR2" s="3"/>
      <c r="AT2" s="12" t="s">
        <v>6</v>
      </c>
      <c r="AU2" s="5" t="s">
        <v>7</v>
      </c>
      <c r="AV2" s="6" t="s">
        <v>8</v>
      </c>
      <c r="AW2" s="8" t="s">
        <v>9</v>
      </c>
      <c r="AX2" s="13" t="s">
        <v>10</v>
      </c>
      <c r="AY2" s="8" t="s">
        <v>11</v>
      </c>
      <c r="AZ2" s="9" t="s">
        <v>12</v>
      </c>
      <c r="BA2" s="10">
        <v>16</v>
      </c>
    </row>
    <row r="3" spans="1:53" ht="18.75" customHeight="1" thickBot="1" x14ac:dyDescent="0.3">
      <c r="A3" s="14" t="s">
        <v>13</v>
      </c>
      <c r="B3" s="899" t="s">
        <v>358</v>
      </c>
      <c r="C3" s="900"/>
      <c r="D3" s="900"/>
      <c r="E3" s="900"/>
      <c r="F3" s="900"/>
      <c r="G3" s="900"/>
      <c r="H3" s="900"/>
      <c r="I3" s="900"/>
      <c r="J3" s="900"/>
      <c r="K3" s="900"/>
      <c r="L3" s="900"/>
      <c r="M3" s="900"/>
      <c r="N3" s="900"/>
      <c r="O3" s="901"/>
      <c r="P3" s="902" t="s">
        <v>14</v>
      </c>
      <c r="Q3" s="903"/>
      <c r="R3" s="903"/>
      <c r="S3" s="904">
        <v>15</v>
      </c>
      <c r="T3" s="905"/>
      <c r="U3" s="905"/>
      <c r="V3" s="905"/>
      <c r="W3" s="905"/>
      <c r="X3" s="906"/>
      <c r="Y3" s="907" t="s">
        <v>15</v>
      </c>
      <c r="Z3" s="908"/>
      <c r="AA3" s="908"/>
      <c r="AB3" s="908"/>
      <c r="AC3" s="908"/>
      <c r="AD3" s="909"/>
      <c r="AE3" s="910" t="s">
        <v>16</v>
      </c>
      <c r="AF3" s="911"/>
      <c r="AG3" s="912" t="s">
        <v>17</v>
      </c>
      <c r="AH3" s="912"/>
      <c r="AI3" s="913"/>
      <c r="AJ3" s="11"/>
      <c r="AK3" s="11"/>
      <c r="AL3" s="11"/>
      <c r="AM3" s="11"/>
      <c r="AN3" s="11"/>
      <c r="AO3" s="11"/>
      <c r="AP3" s="11"/>
      <c r="AQ3" s="11"/>
      <c r="AR3" s="3"/>
      <c r="AT3" s="15">
        <v>1</v>
      </c>
      <c r="AU3" s="167" t="s">
        <v>324</v>
      </c>
      <c r="AV3" s="358" t="s">
        <v>325</v>
      </c>
      <c r="AW3" s="16">
        <f>VLOOKUP(AV3,Initial!G:K,5,FALSE)</f>
        <v>2098.0659243278974</v>
      </c>
      <c r="AX3" s="17">
        <f t="shared" ref="AX3:AX17" si="0">VLOOKUP(AU3,AT$79:AU$259,2,FALSE)</f>
        <v>2079.7362165610371</v>
      </c>
      <c r="AY3" s="18">
        <f t="shared" ref="AY3:AY17" si="1">IF(ISNA(VLOOKUP(AU3,AT$273:AU$373,2,FALSE)),AX3,VLOOKUP(AU3,AT$273:AU$373,2,FALSE))</f>
        <v>2070.0219407095829</v>
      </c>
    </row>
    <row r="4" spans="1:53" ht="24" customHeight="1" thickBot="1" x14ac:dyDescent="0.25">
      <c r="A4" s="890" t="s">
        <v>18</v>
      </c>
      <c r="B4" s="891"/>
      <c r="C4" s="891"/>
      <c r="D4" s="892"/>
      <c r="E4" s="893" t="s">
        <v>352</v>
      </c>
      <c r="F4" s="894"/>
      <c r="G4" s="894"/>
      <c r="H4" s="894"/>
      <c r="I4" s="894"/>
      <c r="J4" s="894"/>
      <c r="K4" s="894"/>
      <c r="L4" s="894"/>
      <c r="M4" s="895"/>
      <c r="N4" s="890" t="s">
        <v>19</v>
      </c>
      <c r="O4" s="891"/>
      <c r="P4" s="891"/>
      <c r="Q4" s="892"/>
      <c r="R4" s="896"/>
      <c r="S4" s="897"/>
      <c r="T4" s="897"/>
      <c r="U4" s="897"/>
      <c r="V4" s="897"/>
      <c r="W4" s="897"/>
      <c r="X4" s="897"/>
      <c r="Y4" s="897"/>
      <c r="Z4" s="897"/>
      <c r="AA4" s="898"/>
      <c r="AB4" s="890" t="s">
        <v>20</v>
      </c>
      <c r="AC4" s="891"/>
      <c r="AD4" s="891"/>
      <c r="AE4" s="892"/>
      <c r="AF4" s="896"/>
      <c r="AG4" s="897"/>
      <c r="AH4" s="897"/>
      <c r="AI4" s="898"/>
      <c r="AJ4" s="11"/>
      <c r="AK4" s="11"/>
      <c r="AL4" s="11"/>
      <c r="AM4" s="11"/>
      <c r="AN4" s="11"/>
      <c r="AO4" s="11"/>
      <c r="AP4" s="11"/>
      <c r="AQ4" s="11"/>
      <c r="AR4" s="3"/>
      <c r="AT4" s="19">
        <v>2</v>
      </c>
      <c r="AU4" s="167" t="s">
        <v>490</v>
      </c>
      <c r="AV4" s="358" t="s">
        <v>491</v>
      </c>
      <c r="AW4" s="16">
        <f>VLOOKUP(AV4,Initial!G:K,5,FALSE)</f>
        <v>2073.7324729018796</v>
      </c>
      <c r="AX4" s="20">
        <f t="shared" si="0"/>
        <v>2102.4268038766127</v>
      </c>
      <c r="AY4" s="21">
        <f t="shared" si="1"/>
        <v>2121.4624860219083</v>
      </c>
    </row>
    <row r="5" spans="1:53" ht="15.75" thickBot="1" x14ac:dyDescent="0.25">
      <c r="A5" s="1" t="s">
        <v>21</v>
      </c>
      <c r="B5" s="1024" t="s">
        <v>1189</v>
      </c>
      <c r="C5" s="1025"/>
      <c r="D5" s="1025"/>
      <c r="E5" s="1025"/>
      <c r="F5" s="1025"/>
      <c r="G5" s="1025"/>
      <c r="H5" s="1025"/>
      <c r="I5" s="1025"/>
      <c r="J5" s="1025"/>
      <c r="K5" s="889" t="s">
        <v>1190</v>
      </c>
      <c r="L5" s="889"/>
      <c r="M5" s="889"/>
      <c r="N5" s="889"/>
      <c r="O5" s="889"/>
      <c r="P5" s="889"/>
      <c r="Q5" s="889"/>
      <c r="R5" s="889"/>
      <c r="S5" s="889"/>
      <c r="T5" s="889"/>
      <c r="U5" s="889"/>
      <c r="V5" s="889"/>
      <c r="W5" s="889"/>
      <c r="X5" s="889"/>
      <c r="Y5" s="889"/>
      <c r="Z5" s="889"/>
      <c r="AA5" s="889"/>
      <c r="AB5" s="889"/>
      <c r="AC5" s="889"/>
      <c r="AD5" s="889"/>
      <c r="AE5" s="889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9">
        <v>3</v>
      </c>
      <c r="AU5" s="167" t="s">
        <v>193</v>
      </c>
      <c r="AV5" s="358" t="s">
        <v>516</v>
      </c>
      <c r="AW5" s="16">
        <f>VLOOKUP(AV5,Initial!G:K,5,FALSE)</f>
        <v>2075.6557959024376</v>
      </c>
      <c r="AX5" s="20">
        <f t="shared" si="0"/>
        <v>2118.7401114993418</v>
      </c>
      <c r="AY5" s="21">
        <f t="shared" si="1"/>
        <v>2111.1120209801334</v>
      </c>
    </row>
    <row r="6" spans="1:53" ht="24" customHeight="1" thickBot="1" x14ac:dyDescent="0.25">
      <c r="A6" s="22" t="s">
        <v>22</v>
      </c>
      <c r="B6" s="23" t="s">
        <v>23</v>
      </c>
      <c r="C6" s="862" t="s">
        <v>24</v>
      </c>
      <c r="D6" s="863"/>
      <c r="E6" s="863"/>
      <c r="F6" s="863"/>
      <c r="G6" s="863"/>
      <c r="H6" s="864"/>
      <c r="I6" s="865">
        <v>1</v>
      </c>
      <c r="J6" s="866"/>
      <c r="K6" s="867" t="str">
        <f>"Pool "&amp;B6&amp;" - Round 1 - Court "&amp;I6</f>
        <v>Pool A - Round 1 - Court 1</v>
      </c>
      <c r="L6" s="868"/>
      <c r="M6" s="868"/>
      <c r="N6" s="868"/>
      <c r="O6" s="868"/>
      <c r="P6" s="868"/>
      <c r="Q6" s="868"/>
      <c r="R6" s="868"/>
      <c r="S6" s="868"/>
      <c r="T6" s="868"/>
      <c r="U6" s="868"/>
      <c r="V6" s="868"/>
      <c r="W6" s="868"/>
      <c r="X6" s="868"/>
      <c r="Y6" s="868"/>
      <c r="Z6" s="868"/>
      <c r="AA6" s="868"/>
      <c r="AB6" s="868"/>
      <c r="AC6" s="868"/>
      <c r="AD6" s="868"/>
      <c r="AE6" s="868"/>
      <c r="AF6" s="868"/>
      <c r="AG6" s="868"/>
      <c r="AH6" s="868"/>
      <c r="AI6" s="869"/>
      <c r="AJ6" s="11"/>
      <c r="AK6" s="11"/>
      <c r="AL6" s="11"/>
      <c r="AM6" s="11"/>
      <c r="AN6" s="11"/>
      <c r="AO6" s="11"/>
      <c r="AP6" s="11"/>
      <c r="AQ6" s="11"/>
      <c r="AT6" s="19">
        <v>4</v>
      </c>
      <c r="AU6" s="167" t="s">
        <v>191</v>
      </c>
      <c r="AV6" s="167" t="s">
        <v>200</v>
      </c>
      <c r="AW6" s="16">
        <f>VLOOKUP(AV6,Initial!G:K,5,FALSE)</f>
        <v>1954.3026425151425</v>
      </c>
      <c r="AX6" s="20">
        <f t="shared" si="0"/>
        <v>1933.5634861598403</v>
      </c>
      <c r="AY6" s="21">
        <f t="shared" si="1"/>
        <v>1927.6269084243409</v>
      </c>
    </row>
    <row r="7" spans="1:53" ht="27" customHeight="1" thickBot="1" x14ac:dyDescent="0.25">
      <c r="A7" s="24" t="s">
        <v>25</v>
      </c>
      <c r="B7" s="870" t="s">
        <v>7</v>
      </c>
      <c r="C7" s="871"/>
      <c r="D7" s="871"/>
      <c r="E7" s="871"/>
      <c r="F7" s="871"/>
      <c r="G7" s="871"/>
      <c r="H7" s="871"/>
      <c r="I7" s="871"/>
      <c r="J7" s="871"/>
      <c r="K7" s="871"/>
      <c r="L7" s="870" t="str">
        <f>IF($AK10=0,"Games Won","Matches Won")</f>
        <v>Games Won</v>
      </c>
      <c r="M7" s="871"/>
      <c r="N7" s="871"/>
      <c r="O7" s="871"/>
      <c r="P7" s="871"/>
      <c r="Q7" s="872"/>
      <c r="R7" s="870" t="str">
        <f>IF($AK10=0,"Games Lost","Matches Lost")</f>
        <v>Games Lost</v>
      </c>
      <c r="S7" s="873"/>
      <c r="T7" s="873"/>
      <c r="U7" s="873"/>
      <c r="V7" s="874"/>
      <c r="W7" s="875" t="s">
        <v>26</v>
      </c>
      <c r="X7" s="876"/>
      <c r="Y7" s="877"/>
      <c r="Z7" s="875" t="s">
        <v>27</v>
      </c>
      <c r="AA7" s="876"/>
      <c r="AB7" s="877"/>
      <c r="AC7" s="878" t="s">
        <v>28</v>
      </c>
      <c r="AD7" s="879"/>
      <c r="AE7" s="880"/>
      <c r="AF7" s="25" t="s">
        <v>29</v>
      </c>
      <c r="AG7" s="26" t="s">
        <v>6</v>
      </c>
      <c r="AH7" s="860" t="s">
        <v>30</v>
      </c>
      <c r="AI7" s="861"/>
      <c r="AJ7" s="27"/>
      <c r="AK7" s="28">
        <v>2</v>
      </c>
      <c r="AL7" s="29" t="s">
        <v>31</v>
      </c>
      <c r="AM7" s="29"/>
      <c r="AN7" s="29"/>
      <c r="AO7" s="29"/>
      <c r="AP7" s="29"/>
      <c r="AQ7" s="29"/>
      <c r="AR7" s="30"/>
      <c r="AT7" s="19">
        <v>5</v>
      </c>
      <c r="AU7" s="167" t="s">
        <v>529</v>
      </c>
      <c r="AV7" s="358" t="s">
        <v>530</v>
      </c>
      <c r="AW7" s="1035">
        <v>2122.1116419046489</v>
      </c>
      <c r="AX7" s="20">
        <f t="shared" si="0"/>
        <v>2134.903585900568</v>
      </c>
      <c r="AY7" s="21">
        <f t="shared" si="1"/>
        <v>2122.1118164907834</v>
      </c>
      <c r="AZ7" s="68">
        <f>AY7-AW7</f>
        <v>1.7458613456255989E-4</v>
      </c>
    </row>
    <row r="8" spans="1:53" ht="18.75" customHeight="1" thickBot="1" x14ac:dyDescent="0.25">
      <c r="A8" s="829" t="str">
        <f>IF($AK9&gt;0,"1","")</f>
        <v>1</v>
      </c>
      <c r="B8" s="857" t="s">
        <v>7</v>
      </c>
      <c r="C8" s="858"/>
      <c r="D8" s="859"/>
      <c r="E8" s="833" t="str">
        <f>AU3</f>
        <v>MOTO 15's</v>
      </c>
      <c r="F8" s="834"/>
      <c r="G8" s="834"/>
      <c r="H8" s="834"/>
      <c r="I8" s="834"/>
      <c r="J8" s="834"/>
      <c r="K8" s="835"/>
      <c r="L8" s="836">
        <f>IF($AK10=0,AF64,AF46)</f>
        <v>4</v>
      </c>
      <c r="M8" s="837"/>
      <c r="N8" s="837"/>
      <c r="O8" s="837"/>
      <c r="P8" s="837"/>
      <c r="Q8" s="872"/>
      <c r="R8" s="836">
        <f>IF($AK10=0,AG64,AG46)</f>
        <v>4</v>
      </c>
      <c r="S8" s="837"/>
      <c r="T8" s="837"/>
      <c r="U8" s="837"/>
      <c r="V8" s="837"/>
      <c r="W8" s="836">
        <f>AQ24</f>
        <v>9</v>
      </c>
      <c r="X8" s="837"/>
      <c r="Y8" s="837"/>
      <c r="Z8" s="809">
        <f>IF(AF58&gt;0,(AQ24/AF58),0)</f>
        <v>4.4999999999999998E-2</v>
      </c>
      <c r="AA8" s="810"/>
      <c r="AB8" s="810"/>
      <c r="AC8" s="813">
        <f>IF(AF72=0,0,(AF64/AF72))</f>
        <v>0.5</v>
      </c>
      <c r="AD8" s="814"/>
      <c r="AE8" s="815"/>
      <c r="AF8" s="819">
        <v>2</v>
      </c>
      <c r="AG8" s="819">
        <v>5</v>
      </c>
      <c r="AH8" s="821">
        <v>6</v>
      </c>
      <c r="AI8" s="822"/>
      <c r="AJ8" s="27"/>
      <c r="AK8" s="28">
        <v>10</v>
      </c>
      <c r="AL8" s="29" t="s">
        <v>32</v>
      </c>
      <c r="AM8" s="29"/>
      <c r="AN8" s="29"/>
      <c r="AO8" s="29"/>
      <c r="AP8" s="29"/>
      <c r="AQ8" s="29"/>
      <c r="AR8" s="30"/>
      <c r="AT8" s="19">
        <v>6</v>
      </c>
      <c r="AU8" s="167" t="s">
        <v>460</v>
      </c>
      <c r="AV8" s="358" t="s">
        <v>461</v>
      </c>
      <c r="AW8" s="1035">
        <v>1939.0384757383347</v>
      </c>
      <c r="AX8" s="20">
        <f t="shared" si="0"/>
        <v>1939.0389096090223</v>
      </c>
      <c r="AY8" s="21">
        <f t="shared" si="1"/>
        <v>1939.0389096090223</v>
      </c>
      <c r="AZ8" s="68">
        <f t="shared" ref="AZ8:AZ9" si="2">AY8-AW8</f>
        <v>4.3387068762967829E-4</v>
      </c>
    </row>
    <row r="9" spans="1:53" ht="18.75" customHeight="1" thickBot="1" x14ac:dyDescent="0.25">
      <c r="A9" s="830"/>
      <c r="B9" s="854" t="s">
        <v>8</v>
      </c>
      <c r="C9" s="855"/>
      <c r="D9" s="856"/>
      <c r="E9" s="850" t="str">
        <f>AV3</f>
        <v>fj5motoj2pm</v>
      </c>
      <c r="F9" s="851"/>
      <c r="G9" s="851"/>
      <c r="H9" s="851"/>
      <c r="I9" s="851"/>
      <c r="J9" s="851"/>
      <c r="K9" s="851"/>
      <c r="L9" s="852"/>
      <c r="M9" s="853"/>
      <c r="N9" s="853"/>
      <c r="O9" s="853"/>
      <c r="P9" s="853"/>
      <c r="Q9" s="872"/>
      <c r="R9" s="852"/>
      <c r="S9" s="853"/>
      <c r="T9" s="853"/>
      <c r="U9" s="853"/>
      <c r="V9" s="853"/>
      <c r="W9" s="852"/>
      <c r="X9" s="853"/>
      <c r="Y9" s="853"/>
      <c r="Z9" s="840"/>
      <c r="AA9" s="841"/>
      <c r="AB9" s="841"/>
      <c r="AC9" s="842"/>
      <c r="AD9" s="843"/>
      <c r="AE9" s="844"/>
      <c r="AF9" s="845"/>
      <c r="AG9" s="845"/>
      <c r="AH9" s="846"/>
      <c r="AI9" s="847"/>
      <c r="AJ9" s="27"/>
      <c r="AK9" s="28">
        <v>5</v>
      </c>
      <c r="AL9" s="29" t="s">
        <v>33</v>
      </c>
      <c r="AM9" s="27"/>
      <c r="AN9" s="27"/>
      <c r="AO9" s="27"/>
      <c r="AP9" s="27"/>
      <c r="AQ9" s="27"/>
      <c r="AR9" s="3"/>
      <c r="AT9" s="19">
        <v>7</v>
      </c>
      <c r="AU9" s="167" t="s">
        <v>371</v>
      </c>
      <c r="AV9" s="167" t="s">
        <v>372</v>
      </c>
      <c r="AW9" s="1035">
        <v>2087.228135437424</v>
      </c>
      <c r="AX9" s="20">
        <f t="shared" si="0"/>
        <v>2096.6431760724954</v>
      </c>
      <c r="AY9" s="21">
        <f t="shared" si="1"/>
        <v>2087.2291739947027</v>
      </c>
      <c r="AZ9" s="68">
        <f t="shared" si="2"/>
        <v>1.0385572786617558E-3</v>
      </c>
    </row>
    <row r="10" spans="1:53" ht="18.75" customHeight="1" thickBot="1" x14ac:dyDescent="0.25">
      <c r="A10" s="829" t="str">
        <f>IF($AK9&gt;1,"2","")</f>
        <v>2</v>
      </c>
      <c r="B10" s="857" t="s">
        <v>7</v>
      </c>
      <c r="C10" s="858"/>
      <c r="D10" s="859"/>
      <c r="E10" s="833" t="str">
        <f>AU8</f>
        <v>BVA 15 R</v>
      </c>
      <c r="F10" s="834"/>
      <c r="G10" s="834"/>
      <c r="H10" s="834"/>
      <c r="I10" s="834"/>
      <c r="J10" s="834"/>
      <c r="K10" s="835"/>
      <c r="L10" s="836">
        <f>IF($AK10=0,AF65,AF47)</f>
        <v>3</v>
      </c>
      <c r="M10" s="837"/>
      <c r="N10" s="837"/>
      <c r="O10" s="837"/>
      <c r="P10" s="837"/>
      <c r="Q10" s="872"/>
      <c r="R10" s="836">
        <f>IF($AK10=0,AG65,AG47)</f>
        <v>5</v>
      </c>
      <c r="S10" s="837"/>
      <c r="T10" s="837"/>
      <c r="U10" s="837"/>
      <c r="V10" s="837"/>
      <c r="W10" s="836">
        <f>AQ25</f>
        <v>0</v>
      </c>
      <c r="X10" s="837"/>
      <c r="Y10" s="837"/>
      <c r="Z10" s="809">
        <f>IF(AF59&gt;0,(AQ25/AF59),0)</f>
        <v>0</v>
      </c>
      <c r="AA10" s="810"/>
      <c r="AB10" s="810"/>
      <c r="AC10" s="813">
        <f>IF(AF73=0,0,(AF65/AF73))</f>
        <v>0.375</v>
      </c>
      <c r="AD10" s="814"/>
      <c r="AE10" s="815"/>
      <c r="AF10" s="819">
        <v>5</v>
      </c>
      <c r="AG10" s="819">
        <v>1</v>
      </c>
      <c r="AH10" s="821">
        <v>13</v>
      </c>
      <c r="AI10" s="822"/>
      <c r="AJ10" s="27"/>
      <c r="AK10" s="28">
        <v>0</v>
      </c>
      <c r="AL10" s="29" t="s">
        <v>34</v>
      </c>
      <c r="AM10" s="29"/>
      <c r="AN10" s="29"/>
      <c r="AO10" s="29"/>
      <c r="AP10" s="29"/>
      <c r="AQ10" s="29"/>
      <c r="AR10" s="30"/>
      <c r="AT10" s="19">
        <v>8</v>
      </c>
      <c r="AU10" s="167" t="s">
        <v>442</v>
      </c>
      <c r="AV10" s="358" t="s">
        <v>443</v>
      </c>
      <c r="AW10" s="16">
        <f>VLOOKUP(AV10,Initial!G:K,5,FALSE)</f>
        <v>1934.5993580275974</v>
      </c>
      <c r="AX10" s="20">
        <f t="shared" si="0"/>
        <v>1927.9008144743593</v>
      </c>
      <c r="AY10" s="21">
        <f t="shared" si="1"/>
        <v>1920.8120770077032</v>
      </c>
    </row>
    <row r="11" spans="1:53" ht="18.75" customHeight="1" thickBot="1" x14ac:dyDescent="0.25">
      <c r="A11" s="830"/>
      <c r="B11" s="848" t="s">
        <v>8</v>
      </c>
      <c r="C11" s="849"/>
      <c r="D11" s="849"/>
      <c r="E11" s="850" t="str">
        <f>AV8</f>
        <v>fj5biltm3cr</v>
      </c>
      <c r="F11" s="851"/>
      <c r="G11" s="851"/>
      <c r="H11" s="851"/>
      <c r="I11" s="851"/>
      <c r="J11" s="851"/>
      <c r="K11" s="851"/>
      <c r="L11" s="852"/>
      <c r="M11" s="853"/>
      <c r="N11" s="853"/>
      <c r="O11" s="853"/>
      <c r="P11" s="853"/>
      <c r="Q11" s="872"/>
      <c r="R11" s="852"/>
      <c r="S11" s="853"/>
      <c r="T11" s="853"/>
      <c r="U11" s="853"/>
      <c r="V11" s="853"/>
      <c r="W11" s="852"/>
      <c r="X11" s="853"/>
      <c r="Y11" s="853"/>
      <c r="Z11" s="840"/>
      <c r="AA11" s="841"/>
      <c r="AB11" s="841"/>
      <c r="AC11" s="842"/>
      <c r="AD11" s="843"/>
      <c r="AE11" s="844"/>
      <c r="AF11" s="845"/>
      <c r="AG11" s="845"/>
      <c r="AH11" s="846"/>
      <c r="AI11" s="847"/>
      <c r="AJ11" s="27"/>
      <c r="AK11" s="28">
        <v>1</v>
      </c>
      <c r="AL11" s="29" t="s">
        <v>35</v>
      </c>
      <c r="AM11" s="27"/>
      <c r="AN11" s="27"/>
      <c r="AO11" s="27"/>
      <c r="AP11" s="27"/>
      <c r="AQ11" s="27"/>
      <c r="AR11" s="3"/>
      <c r="AT11" s="19">
        <v>9</v>
      </c>
      <c r="AU11" s="167" t="s">
        <v>423</v>
      </c>
      <c r="AV11" s="358" t="s">
        <v>424</v>
      </c>
      <c r="AW11" s="16">
        <f>VLOOKUP(AV11,Initial!G:K,5,FALSE)</f>
        <v>1882.3588043028437</v>
      </c>
      <c r="AX11" s="20">
        <f t="shared" si="0"/>
        <v>1912.7577143886547</v>
      </c>
      <c r="AY11" s="21">
        <f t="shared" si="1"/>
        <v>1908.7373121074302</v>
      </c>
    </row>
    <row r="12" spans="1:53" ht="18.75" customHeight="1" thickBot="1" x14ac:dyDescent="0.25">
      <c r="A12" s="829" t="str">
        <f>IF($AK9&gt;2,"3","")</f>
        <v>3</v>
      </c>
      <c r="B12" s="831" t="s">
        <v>7</v>
      </c>
      <c r="C12" s="832"/>
      <c r="D12" s="832"/>
      <c r="E12" s="833" t="str">
        <f>AU9</f>
        <v>Extreme 15 Meredith</v>
      </c>
      <c r="F12" s="834"/>
      <c r="G12" s="834"/>
      <c r="H12" s="834"/>
      <c r="I12" s="834"/>
      <c r="J12" s="834"/>
      <c r="K12" s="835"/>
      <c r="L12" s="836">
        <f>IF($AK10=0,AF66,AF48)</f>
        <v>5</v>
      </c>
      <c r="M12" s="837"/>
      <c r="N12" s="837"/>
      <c r="O12" s="837"/>
      <c r="P12" s="837"/>
      <c r="Q12" s="872"/>
      <c r="R12" s="836">
        <f>IF($AK10=0,AG66,AG48)</f>
        <v>3</v>
      </c>
      <c r="S12" s="837"/>
      <c r="T12" s="837"/>
      <c r="U12" s="837"/>
      <c r="V12" s="837"/>
      <c r="W12" s="836">
        <f>AQ26</f>
        <v>10</v>
      </c>
      <c r="X12" s="837"/>
      <c r="Y12" s="837"/>
      <c r="Z12" s="809">
        <f>IF(AF60&gt;0,(AQ26/AF60),0)</f>
        <v>0.05</v>
      </c>
      <c r="AA12" s="810"/>
      <c r="AB12" s="810"/>
      <c r="AC12" s="813">
        <f>IF(AF74=0,0,(AF66/AF74))</f>
        <v>0.625</v>
      </c>
      <c r="AD12" s="814"/>
      <c r="AE12" s="815"/>
      <c r="AF12" s="819">
        <v>1</v>
      </c>
      <c r="AG12" s="819">
        <v>1</v>
      </c>
      <c r="AH12" s="821">
        <v>3</v>
      </c>
      <c r="AI12" s="822"/>
      <c r="AJ12" s="36"/>
      <c r="AK12" s="28">
        <v>8</v>
      </c>
      <c r="AL12" s="37" t="s">
        <v>36</v>
      </c>
      <c r="AM12" s="29"/>
      <c r="AN12" s="29"/>
      <c r="AO12" s="29"/>
      <c r="AP12" s="29"/>
      <c r="AQ12" s="29"/>
      <c r="AR12" s="30"/>
      <c r="AT12" s="19">
        <v>10</v>
      </c>
      <c r="AU12" s="167" t="s">
        <v>405</v>
      </c>
      <c r="AV12" s="358" t="s">
        <v>406</v>
      </c>
      <c r="AW12" s="16">
        <f>VLOOKUP(AV12,Initial!G:K,5,FALSE)</f>
        <v>1968.6719369166094</v>
      </c>
      <c r="AX12" s="20">
        <f t="shared" si="0"/>
        <v>2034.5820958872425</v>
      </c>
      <c r="AY12" s="21">
        <f t="shared" si="1"/>
        <v>2064.4159578940285</v>
      </c>
    </row>
    <row r="13" spans="1:53" ht="18.75" customHeight="1" thickBot="1" x14ac:dyDescent="0.25">
      <c r="A13" s="830"/>
      <c r="B13" s="848" t="s">
        <v>8</v>
      </c>
      <c r="C13" s="849"/>
      <c r="D13" s="849"/>
      <c r="E13" s="850" t="str">
        <f>AV9</f>
        <v>fj5triex1so</v>
      </c>
      <c r="F13" s="851"/>
      <c r="G13" s="851"/>
      <c r="H13" s="851"/>
      <c r="I13" s="851"/>
      <c r="J13" s="851"/>
      <c r="K13" s="851"/>
      <c r="L13" s="852"/>
      <c r="M13" s="853"/>
      <c r="N13" s="853"/>
      <c r="O13" s="853"/>
      <c r="P13" s="853"/>
      <c r="Q13" s="872"/>
      <c r="R13" s="852"/>
      <c r="S13" s="853"/>
      <c r="T13" s="853"/>
      <c r="U13" s="853"/>
      <c r="V13" s="853"/>
      <c r="W13" s="852"/>
      <c r="X13" s="853"/>
      <c r="Y13" s="853"/>
      <c r="Z13" s="840"/>
      <c r="AA13" s="841"/>
      <c r="AB13" s="841"/>
      <c r="AC13" s="842"/>
      <c r="AD13" s="843"/>
      <c r="AE13" s="844"/>
      <c r="AF13" s="845"/>
      <c r="AG13" s="845"/>
      <c r="AH13" s="846"/>
      <c r="AI13" s="847"/>
      <c r="AJ13" s="36"/>
      <c r="AK13" s="38"/>
      <c r="AL13" s="39"/>
      <c r="AM13" s="39"/>
      <c r="AN13" s="39"/>
      <c r="AO13" s="39"/>
      <c r="AP13" s="39"/>
      <c r="AQ13" s="27"/>
      <c r="AR13" s="3"/>
      <c r="AT13" s="19">
        <v>11</v>
      </c>
      <c r="AU13" s="356" t="s">
        <v>518</v>
      </c>
      <c r="AV13" s="356" t="s">
        <v>519</v>
      </c>
      <c r="AW13" s="16">
        <f>VLOOKUP(AV13,Initial!G:K,5,FALSE)</f>
        <v>1880.9536423839288</v>
      </c>
      <c r="AX13" s="20">
        <f t="shared" si="0"/>
        <v>1957.7422598925859</v>
      </c>
      <c r="AY13" s="21">
        <f t="shared" si="1"/>
        <v>1952.441255879969</v>
      </c>
    </row>
    <row r="14" spans="1:53" ht="18.75" customHeight="1" thickBot="1" x14ac:dyDescent="0.25">
      <c r="A14" s="829" t="str">
        <f>IF($AK9&gt;3,"4","")</f>
        <v>4</v>
      </c>
      <c r="B14" s="831" t="s">
        <v>7</v>
      </c>
      <c r="C14" s="832"/>
      <c r="D14" s="832"/>
      <c r="E14" s="833" t="str">
        <f>AU14</f>
        <v>Foothills 15 CJ</v>
      </c>
      <c r="F14" s="834"/>
      <c r="G14" s="834"/>
      <c r="H14" s="834"/>
      <c r="I14" s="834"/>
      <c r="J14" s="834"/>
      <c r="K14" s="835"/>
      <c r="L14" s="836">
        <f>IF($AK10=0,AF67,AF49)</f>
        <v>4</v>
      </c>
      <c r="M14" s="837"/>
      <c r="N14" s="837"/>
      <c r="O14" s="837"/>
      <c r="P14" s="837"/>
      <c r="Q14" s="872"/>
      <c r="R14" s="836">
        <f>IF($AK10=0,AG67,AG49)</f>
        <v>4</v>
      </c>
      <c r="S14" s="837"/>
      <c r="T14" s="837"/>
      <c r="U14" s="837"/>
      <c r="V14" s="837"/>
      <c r="W14" s="836">
        <f>AQ27</f>
        <v>-5</v>
      </c>
      <c r="X14" s="837"/>
      <c r="Y14" s="837"/>
      <c r="Z14" s="809">
        <f>IF(AF61&gt;0,(AQ27/AF61),0)</f>
        <v>-2.5000000000000001E-2</v>
      </c>
      <c r="AA14" s="810"/>
      <c r="AB14" s="810"/>
      <c r="AC14" s="813">
        <f>IF(AF75=0,0,(AF67/AF75))</f>
        <v>0.5</v>
      </c>
      <c r="AD14" s="814"/>
      <c r="AE14" s="815"/>
      <c r="AF14" s="819">
        <v>3</v>
      </c>
      <c r="AG14" s="819">
        <v>5</v>
      </c>
      <c r="AH14" s="821">
        <v>9</v>
      </c>
      <c r="AI14" s="822"/>
      <c r="AJ14" s="11"/>
      <c r="AK14" s="39"/>
      <c r="AL14" s="39"/>
      <c r="AM14" s="39"/>
      <c r="AN14" s="39"/>
      <c r="AO14" s="39"/>
      <c r="AP14" s="39"/>
      <c r="AQ14" s="29"/>
      <c r="AR14" s="30"/>
      <c r="AT14" s="19">
        <v>12</v>
      </c>
      <c r="AU14" s="167" t="s">
        <v>368</v>
      </c>
      <c r="AV14" s="358" t="s">
        <v>326</v>
      </c>
      <c r="AW14" s="16">
        <f>VLOOKUP(AV14,Initial!G:K,5,FALSE)</f>
        <v>2037.3311358334597</v>
      </c>
      <c r="AX14" s="20">
        <f t="shared" si="0"/>
        <v>2025.2473010559765</v>
      </c>
      <c r="AY14" s="21">
        <f t="shared" si="1"/>
        <v>2044.6070675484093</v>
      </c>
    </row>
    <row r="15" spans="1:53" ht="18.75" customHeight="1" thickBot="1" x14ac:dyDescent="0.25">
      <c r="A15" s="830"/>
      <c r="B15" s="848" t="s">
        <v>8</v>
      </c>
      <c r="C15" s="849"/>
      <c r="D15" s="849"/>
      <c r="E15" s="850" t="str">
        <f>AV14</f>
        <v>fj5footh1pm</v>
      </c>
      <c r="F15" s="851"/>
      <c r="G15" s="851"/>
      <c r="H15" s="851"/>
      <c r="I15" s="851"/>
      <c r="J15" s="851"/>
      <c r="K15" s="851"/>
      <c r="L15" s="852"/>
      <c r="M15" s="853"/>
      <c r="N15" s="853"/>
      <c r="O15" s="853"/>
      <c r="P15" s="853"/>
      <c r="Q15" s="872"/>
      <c r="R15" s="852"/>
      <c r="S15" s="853"/>
      <c r="T15" s="853"/>
      <c r="U15" s="853"/>
      <c r="V15" s="853"/>
      <c r="W15" s="852"/>
      <c r="X15" s="853"/>
      <c r="Y15" s="853"/>
      <c r="Z15" s="840"/>
      <c r="AA15" s="841"/>
      <c r="AB15" s="841"/>
      <c r="AC15" s="842"/>
      <c r="AD15" s="843"/>
      <c r="AE15" s="844"/>
      <c r="AF15" s="845"/>
      <c r="AG15" s="845"/>
      <c r="AH15" s="846"/>
      <c r="AI15" s="847"/>
      <c r="AJ15" s="11"/>
      <c r="AK15" s="39"/>
      <c r="AL15" s="39"/>
      <c r="AM15" s="39"/>
      <c r="AN15" s="39"/>
      <c r="AO15" s="39"/>
      <c r="AP15" s="39"/>
      <c r="AQ15" s="11"/>
      <c r="AR15" s="3"/>
      <c r="AT15" s="19">
        <v>13</v>
      </c>
      <c r="AU15" s="167" t="s">
        <v>194</v>
      </c>
      <c r="AV15" s="358" t="s">
        <v>252</v>
      </c>
      <c r="AW15" s="16">
        <f>VLOOKUP(AV15,Initial!G:K,5,FALSE)</f>
        <v>1946.6508848780252</v>
      </c>
      <c r="AX15" s="20">
        <f t="shared" si="0"/>
        <v>1967.648952916609</v>
      </c>
      <c r="AY15" s="21">
        <f t="shared" si="1"/>
        <v>1961.3145016263318</v>
      </c>
    </row>
    <row r="16" spans="1:53" ht="18.75" customHeight="1" thickBot="1" x14ac:dyDescent="0.25">
      <c r="A16" s="829" t="str">
        <f>IF($AK9&gt;4,"5","")</f>
        <v>5</v>
      </c>
      <c r="B16" s="831" t="s">
        <v>7</v>
      </c>
      <c r="C16" s="832"/>
      <c r="D16" s="832"/>
      <c r="E16" s="833" t="str">
        <f>AU15</f>
        <v>C1VB 15 Regional Grvl</v>
      </c>
      <c r="F16" s="834"/>
      <c r="G16" s="834"/>
      <c r="H16" s="834"/>
      <c r="I16" s="834"/>
      <c r="J16" s="834"/>
      <c r="K16" s="835"/>
      <c r="L16" s="836">
        <f>IF($AK10=0,AF68,AF50)</f>
        <v>4</v>
      </c>
      <c r="M16" s="837"/>
      <c r="N16" s="837"/>
      <c r="O16" s="837"/>
      <c r="P16" s="837"/>
      <c r="Q16" s="872"/>
      <c r="R16" s="836">
        <f>IF($AK10=0,AG68,AG50)</f>
        <v>4</v>
      </c>
      <c r="S16" s="837"/>
      <c r="T16" s="837"/>
      <c r="U16" s="837"/>
      <c r="V16" s="837"/>
      <c r="W16" s="836">
        <f>AQ28</f>
        <v>-14</v>
      </c>
      <c r="X16" s="837"/>
      <c r="Y16" s="837"/>
      <c r="Z16" s="809">
        <f>IF(AF62&gt;0,(AQ28/AF62),0)</f>
        <v>-6.965174129353234E-2</v>
      </c>
      <c r="AA16" s="810"/>
      <c r="AB16" s="810"/>
      <c r="AC16" s="813">
        <f>IF(AF76=0,0,(AF68/AF76))</f>
        <v>0.5</v>
      </c>
      <c r="AD16" s="814"/>
      <c r="AE16" s="815"/>
      <c r="AF16" s="819">
        <v>4</v>
      </c>
      <c r="AG16" s="819">
        <v>5</v>
      </c>
      <c r="AH16" s="821">
        <v>10</v>
      </c>
      <c r="AI16" s="822"/>
      <c r="AJ16" s="11"/>
      <c r="AK16" s="39"/>
      <c r="AL16" s="39"/>
      <c r="AM16" s="39"/>
      <c r="AN16" s="39"/>
      <c r="AO16" s="39"/>
      <c r="AP16" s="39"/>
      <c r="AQ16" s="11"/>
      <c r="AR16" s="3"/>
      <c r="AT16" s="19">
        <v>14</v>
      </c>
      <c r="AU16" s="354" t="s">
        <v>1185</v>
      </c>
      <c r="AV16" s="355" t="s">
        <v>1184</v>
      </c>
      <c r="AW16" s="16">
        <v>2000</v>
      </c>
      <c r="AX16" s="20">
        <f t="shared" si="0"/>
        <v>1888.423651073929</v>
      </c>
      <c r="AY16" s="21">
        <f t="shared" si="1"/>
        <v>1888.423651073929</v>
      </c>
    </row>
    <row r="17" spans="1:52" ht="18.75" customHeight="1" thickBot="1" x14ac:dyDescent="0.25">
      <c r="A17" s="830"/>
      <c r="B17" s="825" t="s">
        <v>8</v>
      </c>
      <c r="C17" s="826"/>
      <c r="D17" s="826"/>
      <c r="E17" s="827" t="str">
        <f>AV15</f>
        <v>fj5crone4pm</v>
      </c>
      <c r="F17" s="828"/>
      <c r="G17" s="828"/>
      <c r="H17" s="828"/>
      <c r="I17" s="828"/>
      <c r="J17" s="828"/>
      <c r="K17" s="828"/>
      <c r="L17" s="838"/>
      <c r="M17" s="839"/>
      <c r="N17" s="839"/>
      <c r="O17" s="839"/>
      <c r="P17" s="839"/>
      <c r="Q17" s="872"/>
      <c r="R17" s="838"/>
      <c r="S17" s="839"/>
      <c r="T17" s="839"/>
      <c r="U17" s="839"/>
      <c r="V17" s="839"/>
      <c r="W17" s="838"/>
      <c r="X17" s="839"/>
      <c r="Y17" s="839"/>
      <c r="Z17" s="811"/>
      <c r="AA17" s="812"/>
      <c r="AB17" s="812"/>
      <c r="AC17" s="816"/>
      <c r="AD17" s="817"/>
      <c r="AE17" s="818"/>
      <c r="AF17" s="820"/>
      <c r="AG17" s="820"/>
      <c r="AH17" s="823"/>
      <c r="AI17" s="824"/>
      <c r="AJ17" s="11"/>
      <c r="AK17" s="39"/>
      <c r="AL17" s="39"/>
      <c r="AM17" s="39"/>
      <c r="AN17" s="39"/>
      <c r="AO17" s="39"/>
      <c r="AP17" s="39"/>
      <c r="AQ17" s="11"/>
      <c r="AR17" s="3"/>
      <c r="AT17" s="31">
        <v>15</v>
      </c>
      <c r="AU17" s="167" t="s">
        <v>1186</v>
      </c>
      <c r="AV17" s="1430" t="s">
        <v>1233</v>
      </c>
      <c r="AW17" s="16">
        <v>2000</v>
      </c>
      <c r="AX17" s="32">
        <f t="shared" si="0"/>
        <v>1881.3457717019537</v>
      </c>
      <c r="AY17" s="33">
        <f t="shared" si="1"/>
        <v>1881.3457717019537</v>
      </c>
    </row>
    <row r="18" spans="1:52" ht="21" customHeight="1" thickTop="1" thickBot="1" x14ac:dyDescent="0.25">
      <c r="A18" s="40"/>
      <c r="B18" s="806" t="s">
        <v>168</v>
      </c>
      <c r="C18" s="807"/>
      <c r="D18" s="807"/>
      <c r="E18" s="807"/>
      <c r="F18" s="807"/>
      <c r="G18" s="807"/>
      <c r="H18" s="807"/>
      <c r="I18" s="807"/>
      <c r="J18" s="807"/>
      <c r="K18" s="807"/>
      <c r="L18" s="807"/>
      <c r="M18" s="807"/>
      <c r="N18" s="807"/>
      <c r="O18" s="807"/>
      <c r="P18" s="807"/>
      <c r="Q18" s="807"/>
      <c r="R18" s="807"/>
      <c r="S18" s="807"/>
      <c r="T18" s="807"/>
      <c r="U18" s="807"/>
      <c r="V18" s="807"/>
      <c r="W18" s="807"/>
      <c r="X18" s="807"/>
      <c r="Y18" s="807"/>
      <c r="Z18" s="807"/>
      <c r="AA18" s="807"/>
      <c r="AB18" s="807"/>
      <c r="AC18" s="807"/>
      <c r="AD18" s="807"/>
      <c r="AE18" s="807"/>
      <c r="AF18" s="807"/>
      <c r="AG18" s="807"/>
      <c r="AH18" s="807"/>
      <c r="AI18" s="808"/>
      <c r="AJ18" s="11"/>
      <c r="AK18" s="39"/>
      <c r="AL18" s="39"/>
      <c r="AM18" s="39"/>
      <c r="AN18" s="39"/>
      <c r="AO18" s="39"/>
      <c r="AP18" s="39"/>
      <c r="AQ18" s="11"/>
      <c r="AR18" s="3"/>
      <c r="AT18" s="881" t="s">
        <v>37</v>
      </c>
      <c r="AU18" s="882"/>
      <c r="AV18" s="882"/>
      <c r="AW18" s="882"/>
      <c r="AX18" s="882"/>
      <c r="AY18" s="883"/>
    </row>
    <row r="19" spans="1:52" ht="14.25" thickTop="1" thickBot="1" x14ac:dyDescent="0.25">
      <c r="A19" s="4" t="s">
        <v>39</v>
      </c>
      <c r="B19" s="795">
        <v>0.35416666666666669</v>
      </c>
      <c r="C19" s="796"/>
      <c r="D19" s="797"/>
      <c r="E19" s="795">
        <v>0.38194444444444442</v>
      </c>
      <c r="F19" s="796"/>
      <c r="G19" s="797"/>
      <c r="H19" s="795">
        <v>0.40972222222222227</v>
      </c>
      <c r="I19" s="796"/>
      <c r="J19" s="797"/>
      <c r="K19" s="795">
        <v>0.4375</v>
      </c>
      <c r="L19" s="796"/>
      <c r="M19" s="797"/>
      <c r="N19" s="795">
        <v>0.46527777777777773</v>
      </c>
      <c r="O19" s="796"/>
      <c r="P19" s="797"/>
      <c r="Q19" s="795">
        <v>0.49305555555555558</v>
      </c>
      <c r="R19" s="796"/>
      <c r="S19" s="797"/>
      <c r="T19" s="795">
        <v>0.52083333333333337</v>
      </c>
      <c r="U19" s="796"/>
      <c r="V19" s="797"/>
      <c r="W19" s="795">
        <v>4.8611111111111112E-2</v>
      </c>
      <c r="X19" s="796"/>
      <c r="Y19" s="797"/>
      <c r="Z19" s="795">
        <v>7.6388888888888895E-2</v>
      </c>
      <c r="AA19" s="796"/>
      <c r="AB19" s="797"/>
      <c r="AC19" s="795">
        <v>0.10416666666666667</v>
      </c>
      <c r="AD19" s="796"/>
      <c r="AE19" s="797"/>
      <c r="AF19" s="798" t="s">
        <v>40</v>
      </c>
      <c r="AG19" s="799"/>
      <c r="AH19" s="799"/>
      <c r="AI19" s="799"/>
      <c r="AJ19" s="800"/>
      <c r="AK19" s="800"/>
      <c r="AL19" s="800"/>
      <c r="AM19" s="800"/>
      <c r="AN19" s="800"/>
      <c r="AO19" s="800"/>
      <c r="AP19" s="800"/>
      <c r="AQ19" s="801"/>
      <c r="AT19" s="884"/>
      <c r="AU19" s="885"/>
      <c r="AV19" s="885"/>
      <c r="AW19" s="885"/>
      <c r="AX19" s="885"/>
      <c r="AY19" s="886"/>
    </row>
    <row r="20" spans="1:52" x14ac:dyDescent="0.2">
      <c r="A20" s="41" t="s">
        <v>41</v>
      </c>
      <c r="B20" s="792">
        <v>0.35416666666666669</v>
      </c>
      <c r="C20" s="793"/>
      <c r="D20" s="794"/>
      <c r="E20" s="792">
        <v>0.38194444444444442</v>
      </c>
      <c r="F20" s="793"/>
      <c r="G20" s="794"/>
      <c r="H20" s="792">
        <v>0.42569444444444443</v>
      </c>
      <c r="I20" s="793"/>
      <c r="J20" s="794"/>
      <c r="K20" s="792">
        <v>0.45833333333333331</v>
      </c>
      <c r="L20" s="793"/>
      <c r="M20" s="794"/>
      <c r="N20" s="792">
        <v>0.5</v>
      </c>
      <c r="O20" s="793"/>
      <c r="P20" s="794"/>
      <c r="Q20" s="792">
        <v>0.53472222222222221</v>
      </c>
      <c r="R20" s="793"/>
      <c r="S20" s="794"/>
      <c r="T20" s="792">
        <v>6.805555555555555E-2</v>
      </c>
      <c r="U20" s="793"/>
      <c r="V20" s="794"/>
      <c r="W20" s="792">
        <v>9.5138888888888884E-2</v>
      </c>
      <c r="X20" s="793"/>
      <c r="Y20" s="794"/>
      <c r="Z20" s="792">
        <v>0.13194444444444445</v>
      </c>
      <c r="AA20" s="793"/>
      <c r="AB20" s="794"/>
      <c r="AC20" s="792">
        <v>0.16041666666666668</v>
      </c>
      <c r="AD20" s="793"/>
      <c r="AE20" s="794"/>
      <c r="AF20" s="798"/>
      <c r="AG20" s="799"/>
      <c r="AH20" s="799"/>
      <c r="AI20" s="799"/>
      <c r="AJ20" s="799"/>
      <c r="AK20" s="799"/>
      <c r="AL20" s="799"/>
      <c r="AM20" s="799"/>
      <c r="AN20" s="799"/>
      <c r="AO20" s="799"/>
      <c r="AP20" s="799"/>
      <c r="AQ20" s="802"/>
      <c r="AW20" s="4"/>
    </row>
    <row r="21" spans="1:52" ht="13.5" thickBot="1" x14ac:dyDescent="0.25">
      <c r="A21" s="41" t="s">
        <v>42</v>
      </c>
      <c r="B21" s="792">
        <v>0.37847222222222227</v>
      </c>
      <c r="C21" s="793"/>
      <c r="D21" s="794"/>
      <c r="E21" s="792">
        <v>0.42291666666666666</v>
      </c>
      <c r="F21" s="793"/>
      <c r="G21" s="794"/>
      <c r="H21" s="792">
        <v>0.46180555555555558</v>
      </c>
      <c r="I21" s="793"/>
      <c r="J21" s="794"/>
      <c r="K21" s="792">
        <v>0.49444444444444446</v>
      </c>
      <c r="L21" s="793"/>
      <c r="M21" s="794"/>
      <c r="N21" s="792">
        <v>0.52708333333333335</v>
      </c>
      <c r="O21" s="793"/>
      <c r="P21" s="794"/>
      <c r="Q21" s="792">
        <v>5.9027777777777783E-2</v>
      </c>
      <c r="R21" s="793"/>
      <c r="S21" s="794"/>
      <c r="T21" s="792">
        <v>9.375E-2</v>
      </c>
      <c r="U21" s="793"/>
      <c r="V21" s="794"/>
      <c r="W21" s="792">
        <v>0.12430555555555556</v>
      </c>
      <c r="X21" s="793"/>
      <c r="Y21" s="794"/>
      <c r="Z21" s="792">
        <v>0.15625</v>
      </c>
      <c r="AA21" s="793"/>
      <c r="AB21" s="794"/>
      <c r="AC21" s="792">
        <v>0.1875</v>
      </c>
      <c r="AD21" s="793"/>
      <c r="AE21" s="794"/>
      <c r="AF21" s="798"/>
      <c r="AG21" s="799"/>
      <c r="AH21" s="799"/>
      <c r="AI21" s="799"/>
      <c r="AJ21" s="799"/>
      <c r="AK21" s="799"/>
      <c r="AL21" s="799"/>
      <c r="AM21" s="799"/>
      <c r="AN21" s="799"/>
      <c r="AO21" s="799"/>
      <c r="AP21" s="799"/>
      <c r="AQ21" s="802"/>
      <c r="AT21" s="10"/>
      <c r="AU21" s="10"/>
      <c r="AV21" s="10"/>
      <c r="AW21" s="4"/>
    </row>
    <row r="22" spans="1:52" ht="13.5" thickBot="1" x14ac:dyDescent="0.25">
      <c r="A22" s="11"/>
      <c r="B22" s="684" t="s">
        <v>43</v>
      </c>
      <c r="C22" s="685"/>
      <c r="D22" s="691"/>
      <c r="E22" s="684" t="str">
        <f>IF($AK8&gt;1,"Match 2","")</f>
        <v>Match 2</v>
      </c>
      <c r="F22" s="685"/>
      <c r="G22" s="691"/>
      <c r="H22" s="684" t="str">
        <f>IF($AK8&gt;2,"Match 3","")</f>
        <v>Match 3</v>
      </c>
      <c r="I22" s="685"/>
      <c r="J22" s="691"/>
      <c r="K22" s="684" t="str">
        <f>IF($AK8&gt;3,"Match 4","")</f>
        <v>Match 4</v>
      </c>
      <c r="L22" s="685"/>
      <c r="M22" s="691"/>
      <c r="N22" s="684" t="str">
        <f>IF($AK8&gt;4,"Match 5","")</f>
        <v>Match 5</v>
      </c>
      <c r="O22" s="685"/>
      <c r="P22" s="691"/>
      <c r="Q22" s="684" t="str">
        <f>IF($AK8&gt;5,"Match 6","")</f>
        <v>Match 6</v>
      </c>
      <c r="R22" s="685"/>
      <c r="S22" s="691"/>
      <c r="T22" s="684" t="str">
        <f>IF($AK8&gt;6,"Match 7","")</f>
        <v>Match 7</v>
      </c>
      <c r="U22" s="685"/>
      <c r="V22" s="691"/>
      <c r="W22" s="684" t="str">
        <f>IF($AK8&gt;7,"Match 8","")</f>
        <v>Match 8</v>
      </c>
      <c r="X22" s="685"/>
      <c r="Y22" s="691"/>
      <c r="Z22" s="684" t="str">
        <f>IF($AK8&gt;8,"Match 9","")</f>
        <v>Match 9</v>
      </c>
      <c r="AA22" s="685"/>
      <c r="AB22" s="691"/>
      <c r="AC22" s="684" t="str">
        <f>IF($AK8&gt;9,"Match 10","")</f>
        <v>Match 10</v>
      </c>
      <c r="AD22" s="685"/>
      <c r="AE22" s="691"/>
      <c r="AF22" s="803"/>
      <c r="AG22" s="804"/>
      <c r="AH22" s="804"/>
      <c r="AI22" s="804"/>
      <c r="AJ22" s="804"/>
      <c r="AK22" s="804"/>
      <c r="AL22" s="804"/>
      <c r="AM22" s="804"/>
      <c r="AN22" s="804"/>
      <c r="AO22" s="804"/>
      <c r="AP22" s="804"/>
      <c r="AQ22" s="805"/>
      <c r="AT22" s="34"/>
      <c r="AU22" s="167"/>
      <c r="AV22" s="358"/>
      <c r="AW22" s="4"/>
      <c r="AZ22" s="4">
        <f>SUMSQ(AZ7:AZ9)</f>
        <v>1.2973253130270581E-6</v>
      </c>
    </row>
    <row r="23" spans="1:52" ht="16.5" thickBot="1" x14ac:dyDescent="0.3">
      <c r="A23" s="11"/>
      <c r="B23" s="786" t="s">
        <v>44</v>
      </c>
      <c r="C23" s="787"/>
      <c r="D23" s="788"/>
      <c r="E23" s="786" t="s">
        <v>45</v>
      </c>
      <c r="F23" s="787"/>
      <c r="G23" s="788"/>
      <c r="H23" s="786" t="s">
        <v>46</v>
      </c>
      <c r="I23" s="787"/>
      <c r="J23" s="788"/>
      <c r="K23" s="786" t="s">
        <v>47</v>
      </c>
      <c r="L23" s="787"/>
      <c r="M23" s="788"/>
      <c r="N23" s="786" t="s">
        <v>48</v>
      </c>
      <c r="O23" s="787"/>
      <c r="P23" s="788"/>
      <c r="Q23" s="786" t="s">
        <v>46</v>
      </c>
      <c r="R23" s="787"/>
      <c r="S23" s="788"/>
      <c r="T23" s="786" t="s">
        <v>44</v>
      </c>
      <c r="U23" s="787"/>
      <c r="V23" s="788"/>
      <c r="W23" s="786" t="s">
        <v>48</v>
      </c>
      <c r="X23" s="787"/>
      <c r="Y23" s="788"/>
      <c r="Z23" s="786" t="s">
        <v>47</v>
      </c>
      <c r="AA23" s="787"/>
      <c r="AB23" s="788"/>
      <c r="AC23" s="786" t="s">
        <v>45</v>
      </c>
      <c r="AD23" s="787"/>
      <c r="AE23" s="788"/>
      <c r="AF23" s="42" t="s">
        <v>49</v>
      </c>
      <c r="AG23" s="43">
        <v>1</v>
      </c>
      <c r="AH23" s="43">
        <v>2</v>
      </c>
      <c r="AI23" s="43">
        <v>3</v>
      </c>
      <c r="AJ23" s="43">
        <v>4</v>
      </c>
      <c r="AK23" s="43">
        <v>5</v>
      </c>
      <c r="AL23" s="43">
        <v>6</v>
      </c>
      <c r="AM23" s="43">
        <v>7</v>
      </c>
      <c r="AN23" s="43">
        <v>8</v>
      </c>
      <c r="AO23" s="43">
        <v>9</v>
      </c>
      <c r="AP23" s="43">
        <v>10</v>
      </c>
      <c r="AQ23" s="44" t="s">
        <v>50</v>
      </c>
      <c r="AT23" s="34"/>
      <c r="AU23" s="167"/>
      <c r="AV23" s="358"/>
      <c r="AW23" s="35"/>
      <c r="AX23" s="35"/>
      <c r="AY23" s="35"/>
    </row>
    <row r="24" spans="1:52" ht="16.5" thickBot="1" x14ac:dyDescent="0.3">
      <c r="A24" s="11"/>
      <c r="B24" s="45">
        <v>2</v>
      </c>
      <c r="C24" s="46" t="s">
        <v>51</v>
      </c>
      <c r="D24" s="47">
        <v>5</v>
      </c>
      <c r="E24" s="45">
        <v>1</v>
      </c>
      <c r="F24" s="46" t="str">
        <f>IF($AK8&gt;1,"v","")</f>
        <v>v</v>
      </c>
      <c r="G24" s="47">
        <v>4</v>
      </c>
      <c r="H24" s="45">
        <v>3</v>
      </c>
      <c r="I24" s="46" t="str">
        <f>IF($AK8&gt;2,"v","")</f>
        <v>v</v>
      </c>
      <c r="J24" s="47">
        <v>5</v>
      </c>
      <c r="K24" s="45">
        <v>2</v>
      </c>
      <c r="L24" s="46" t="str">
        <f>IF($AK8&gt;3,"v","")</f>
        <v>v</v>
      </c>
      <c r="M24" s="47">
        <v>4</v>
      </c>
      <c r="N24" s="45">
        <v>1</v>
      </c>
      <c r="O24" s="46" t="str">
        <f>IF($AK8&gt;4,"v","")</f>
        <v>v</v>
      </c>
      <c r="P24" s="47">
        <v>3</v>
      </c>
      <c r="Q24" s="45">
        <v>4</v>
      </c>
      <c r="R24" s="46" t="str">
        <f>IF($AK8&gt;5,"v","")</f>
        <v>v</v>
      </c>
      <c r="S24" s="47">
        <v>5</v>
      </c>
      <c r="T24" s="45">
        <v>2</v>
      </c>
      <c r="U24" s="46" t="str">
        <f>IF($AK8&gt;6,"v","")</f>
        <v>v</v>
      </c>
      <c r="V24" s="47">
        <v>3</v>
      </c>
      <c r="W24" s="45">
        <v>1</v>
      </c>
      <c r="X24" s="46" t="str">
        <f>IF($AK8&gt;7,"v","")</f>
        <v>v</v>
      </c>
      <c r="Y24" s="47">
        <v>5</v>
      </c>
      <c r="Z24" s="45">
        <v>3</v>
      </c>
      <c r="AA24" s="46" t="str">
        <f>IF($AK8&gt;8,"v","")</f>
        <v>v</v>
      </c>
      <c r="AB24" s="47">
        <v>4</v>
      </c>
      <c r="AC24" s="45">
        <v>1</v>
      </c>
      <c r="AD24" s="46" t="str">
        <f>IF($AK8&gt;9,"v","")</f>
        <v>v</v>
      </c>
      <c r="AE24" s="47">
        <v>2</v>
      </c>
      <c r="AF24" s="42" t="str">
        <f>IF($AK9&gt;0,"Team 1","")</f>
        <v>Team 1</v>
      </c>
      <c r="AG24" s="48" t="str">
        <f>IF($AK9&lt;1,"",IF($AK8&lt;1,"",IF(B24=1,B30-D30,IF(D24=1,D30-B30,""))))</f>
        <v/>
      </c>
      <c r="AH24" s="48">
        <f>IF($AK9&lt;1,"",IF($AK8&lt;2,"",IF(E24=1,E30-G30,IF(G24=1,G30-E30,""))))</f>
        <v>-8</v>
      </c>
      <c r="AI24" s="48" t="str">
        <f>IF($AK9&lt;1,"",IF($AK8&lt;3,"",IF(H24=1,H30-J30,IF(J24=1,J30-H30,""))))</f>
        <v/>
      </c>
      <c r="AJ24" s="48" t="str">
        <f>IF($AK9&lt;1,"",IF($AK8&lt;4,"",IF(K24=1,K30-M30,IF(M24=1,M30-K30,""))))</f>
        <v/>
      </c>
      <c r="AK24" s="48">
        <f>IF($AK9&lt;1,"",IF($AK8&lt;5,"",IF(N24=1,N30-P30,IF(P24=1,P30-N30,""))))</f>
        <v>-13</v>
      </c>
      <c r="AL24" s="48" t="str">
        <f>IF($AK9&lt;1,"",IF($AK8&lt;6,"",IF(Q24=1,Q30-S30,IF(S24=1,S30-Q30,""))))</f>
        <v/>
      </c>
      <c r="AM24" s="48" t="str">
        <f>IF($AK9&lt;1,"",IF($AK8&lt;7,"",IF(T24=1,T30-V30,IF(V24=1,V30-T30,""))))</f>
        <v/>
      </c>
      <c r="AN24" s="48">
        <f>IF($AK9&lt;1,"",IF($AK8&lt;8,"",IF(W24=1,W30-Y30,IF(Y24=1,Y30-W30,""))))</f>
        <v>16</v>
      </c>
      <c r="AO24" s="48" t="str">
        <f>IF($AK9&lt;1,"",IF($AK8&lt;9,"",IF(Z24=1,Z30-AB30,IF(AB24=1,AB30-Z30,""))))</f>
        <v/>
      </c>
      <c r="AP24" s="48">
        <f>IF($AK9&lt;1,"",IF($AK8&lt;10,"",IF(AC24=1,AC30-AE30,IF(AE24=1,AE30-AC30,""))))</f>
        <v>14</v>
      </c>
      <c r="AQ24" s="44">
        <f>SUM(AG24:AP24)</f>
        <v>9</v>
      </c>
      <c r="AT24" s="34"/>
      <c r="AU24" s="167"/>
      <c r="AV24" s="358"/>
      <c r="AW24" s="35"/>
      <c r="AX24" s="35"/>
      <c r="AY24" s="35"/>
    </row>
    <row r="25" spans="1:52" ht="15.75" thickBot="1" x14ac:dyDescent="0.25">
      <c r="A25" s="4" t="s">
        <v>52</v>
      </c>
      <c r="B25" s="49">
        <v>25</v>
      </c>
      <c r="C25" s="50" t="s">
        <v>53</v>
      </c>
      <c r="D25" s="51">
        <v>10</v>
      </c>
      <c r="E25" s="49">
        <v>21</v>
      </c>
      <c r="F25" s="50" t="str">
        <f>IF($AK8&gt;1,"/","")</f>
        <v>/</v>
      </c>
      <c r="G25" s="51">
        <v>25</v>
      </c>
      <c r="H25" s="49">
        <v>17</v>
      </c>
      <c r="I25" s="50" t="str">
        <f>IF($AK8&gt;2,"/","")</f>
        <v>/</v>
      </c>
      <c r="J25" s="51">
        <v>25</v>
      </c>
      <c r="K25" s="49">
        <v>17</v>
      </c>
      <c r="L25" s="50" t="str">
        <f>IF($AK8&gt;3,"/","")</f>
        <v>/</v>
      </c>
      <c r="M25" s="51">
        <v>25</v>
      </c>
      <c r="N25" s="49">
        <v>23</v>
      </c>
      <c r="O25" s="50" t="str">
        <f>IF($AK8&gt;4,"/","")</f>
        <v>/</v>
      </c>
      <c r="P25" s="51">
        <v>25</v>
      </c>
      <c r="Q25" s="49">
        <v>16</v>
      </c>
      <c r="R25" s="50" t="str">
        <f>IF($AK8&gt;5,"/","")</f>
        <v>/</v>
      </c>
      <c r="S25" s="51">
        <v>25</v>
      </c>
      <c r="T25" s="49">
        <v>21</v>
      </c>
      <c r="U25" s="50" t="str">
        <f>IF($AK8&gt;6,"/","")</f>
        <v>/</v>
      </c>
      <c r="V25" s="51">
        <v>25</v>
      </c>
      <c r="W25" s="49">
        <v>25</v>
      </c>
      <c r="X25" s="50" t="str">
        <f>IF($AK8&gt;7,"/","")</f>
        <v>/</v>
      </c>
      <c r="Y25" s="51">
        <v>19</v>
      </c>
      <c r="Z25" s="49">
        <v>25</v>
      </c>
      <c r="AA25" s="50" t="str">
        <f>IF($AK8&gt;8,"/","")</f>
        <v>/</v>
      </c>
      <c r="AB25" s="51">
        <v>18</v>
      </c>
      <c r="AC25" s="49">
        <v>25</v>
      </c>
      <c r="AD25" s="50" t="str">
        <f>IF($AK8&gt;9,"/","")</f>
        <v>/</v>
      </c>
      <c r="AE25" s="51">
        <v>19</v>
      </c>
      <c r="AF25" s="42" t="str">
        <f>IF($AK9&gt;1,"Team 2","")</f>
        <v>Team 2</v>
      </c>
      <c r="AG25" s="48">
        <f>IF($AK9&lt;2,"",IF($AK8&lt;1,"",IF(B24=2,B30-D30,IF(D24=2,D30-B30,""))))</f>
        <v>13</v>
      </c>
      <c r="AH25" s="48" t="str">
        <f>IF($AK9&lt;2,"",IF($AK8&lt;2,"",IF(E24=2,E30-G30,IF(G24=2,G30-E30,""))))</f>
        <v/>
      </c>
      <c r="AI25" s="48" t="str">
        <f>IF($AK9&lt;2,"",IF($AK8&lt;3,"",IF(H24=2,H30-J30,IF(J24=2,J30-H30,""))))</f>
        <v/>
      </c>
      <c r="AJ25" s="48">
        <f>IF($AK9&lt;2,"",IF($AK8&lt;4,"",IF(K24=2,K30-M30,IF(M24=2,M30-K30,""))))</f>
        <v>-1</v>
      </c>
      <c r="AK25" s="48" t="str">
        <f>IF($AK9&lt;2,"",IF($AK8&lt;5,"",IF(N24=2,N30-P30,IF(P24=2,P30-N30,""))))</f>
        <v/>
      </c>
      <c r="AL25" s="48" t="str">
        <f>IF($AK9&lt;2,"",IF($AK8&lt;6,"",IF(Q24=2,Q30-S30,IF(S24=2,S30-Q30,""))))</f>
        <v/>
      </c>
      <c r="AM25" s="48">
        <f>IF($AK9&lt;2,"",IF($AK8&lt;7,"",IF(T24=2,T30-V30,IF(V24=2,V30-T30,""))))</f>
        <v>2</v>
      </c>
      <c r="AN25" s="48" t="str">
        <f>IF($AK9&lt;2,"",IF($AK8&lt;8,"",IF(W24=2,W30-Y30,IF(Y24=2,Y30-W30,""))))</f>
        <v/>
      </c>
      <c r="AO25" s="48" t="str">
        <f>IF($AK9&lt;2,"",IF($AK8&lt;9,"",IF(Z24=2,Z30-AB30,IF(AB24=2,AB30-Z30,""))))</f>
        <v/>
      </c>
      <c r="AP25" s="48">
        <f>IF($AK9&lt;2,"",IF($AK8&lt;10,"",IF(AC24=2,AC30-AE30,IF(AE24=2,AE30-AC30,""))))</f>
        <v>-14</v>
      </c>
      <c r="AQ25" s="44">
        <f>SUM(AG25:AP25)</f>
        <v>0</v>
      </c>
      <c r="AT25" s="10"/>
      <c r="AU25" s="356"/>
      <c r="AV25" s="356"/>
      <c r="AW25" s="4"/>
    </row>
    <row r="26" spans="1:52" ht="15" x14ac:dyDescent="0.2">
      <c r="A26" s="3" t="str">
        <f>IF($AK7&gt;1,"Game 2","")</f>
        <v>Game 2</v>
      </c>
      <c r="B26" s="49">
        <v>24</v>
      </c>
      <c r="C26" s="50" t="s">
        <v>53</v>
      </c>
      <c r="D26" s="51">
        <v>26</v>
      </c>
      <c r="E26" s="49">
        <v>21</v>
      </c>
      <c r="F26" s="50" t="str">
        <f>IF($AK8&gt;1,IF($AK7&gt;1,"/",""),"")</f>
        <v>/</v>
      </c>
      <c r="G26" s="51">
        <v>25</v>
      </c>
      <c r="H26" s="49">
        <v>18</v>
      </c>
      <c r="I26" s="50" t="str">
        <f>IF($AK8&gt;2,IF($AK7&gt;1,"/",""),"")</f>
        <v>/</v>
      </c>
      <c r="J26" s="51">
        <v>25</v>
      </c>
      <c r="K26" s="49">
        <v>25</v>
      </c>
      <c r="L26" s="50" t="str">
        <f>IF($AK8&gt;3,IF($AK7&gt;1,"/",""),"")</f>
        <v>/</v>
      </c>
      <c r="M26" s="51">
        <v>18</v>
      </c>
      <c r="N26" s="49">
        <v>14</v>
      </c>
      <c r="O26" s="50" t="str">
        <f>IF($AK8&gt;4,IF($AK7&gt;1,"/",""),"")</f>
        <v>/</v>
      </c>
      <c r="P26" s="51">
        <v>25</v>
      </c>
      <c r="Q26" s="49">
        <v>25</v>
      </c>
      <c r="R26" s="50" t="str">
        <f>IF($AK8&gt;5,IF($AK7&gt;1,"/",""),"")</f>
        <v>/</v>
      </c>
      <c r="S26" s="51">
        <v>16</v>
      </c>
      <c r="T26" s="49">
        <v>25</v>
      </c>
      <c r="U26" s="50" t="str">
        <f>IF($AK8&gt;6,IF($AK7&gt;1,"/",""),"")</f>
        <v>/</v>
      </c>
      <c r="V26" s="51">
        <v>19</v>
      </c>
      <c r="W26" s="49">
        <v>25</v>
      </c>
      <c r="X26" s="50" t="str">
        <f>IF($AK8&gt;7,IF($AK7&gt;1,"/",""),"")</f>
        <v>/</v>
      </c>
      <c r="Y26" s="51">
        <v>15</v>
      </c>
      <c r="Z26" s="49">
        <v>25</v>
      </c>
      <c r="AA26" s="50" t="str">
        <f>IF($AK8&gt;8,IF($AK7&gt;1,"/",""),"")</f>
        <v>/</v>
      </c>
      <c r="AB26" s="51">
        <v>18</v>
      </c>
      <c r="AC26" s="49">
        <v>25</v>
      </c>
      <c r="AD26" s="50" t="str">
        <f>IF($AK8&gt;9,IF($AK7&gt;1,"/",""),"")</f>
        <v>/</v>
      </c>
      <c r="AE26" s="51">
        <v>17</v>
      </c>
      <c r="AF26" s="42" t="str">
        <f>IF($AK9&gt;2,"Team 3","")</f>
        <v>Team 3</v>
      </c>
      <c r="AG26" s="48" t="str">
        <f>IF($AK9&lt;3,"",IF($AK8&lt;1,"",IF(B24=3,B30-D30,IF(D24=3,D30-B30,""))))</f>
        <v/>
      </c>
      <c r="AH26" s="48" t="str">
        <f>IF($AK9&lt;3,"",IF($AK8&lt;2,"",IF(E24=3,E30-G30,IF(G24=3,G30-E30,""))))</f>
        <v/>
      </c>
      <c r="AI26" s="48">
        <f>IF($AK9&lt;3,"",IF($AK8&lt;3,"",IF(H24=3,H30-J30,IF(J24=3,J30-H30,""))))</f>
        <v>-15</v>
      </c>
      <c r="AJ26" s="48" t="str">
        <f>IF($AK9&lt;3,"",IF($AK8&lt;4,"",IF(K24=3,K30-M30,IF(M24=3,M30-K30,""))))</f>
        <v/>
      </c>
      <c r="AK26" s="48">
        <f>IF($AK9&lt;3,"",IF($AK8&lt;5,"",IF(N24=3,N30-P30,IF(P24=3,P30-N30,""))))</f>
        <v>13</v>
      </c>
      <c r="AL26" s="48" t="str">
        <f>IF($AK9&lt;3,"",IF($AK8&lt;6,"",IF(Q24=3,Q30-S30,IF(S24=3,S30-Q30,""))))</f>
        <v/>
      </c>
      <c r="AM26" s="48">
        <f>IF($AK9&lt;3,"",IF($AK8&lt;7,"",IF(T24=3,T30-V30,IF(V24=3,V30-T30,""))))</f>
        <v>-2</v>
      </c>
      <c r="AN26" s="48" t="str">
        <f>IF($AK9&lt;3,"",IF($AK8&lt;8,"",IF(W24=3,W30-Y30,IF(Y24=3,Y30-W30,""))))</f>
        <v/>
      </c>
      <c r="AO26" s="48">
        <f>IF($AK9&lt;3,"",IF($AK8&lt;9,"",IF(Z24=3,Z30-AB30,IF(AB24=3,AB30-Z30,""))))</f>
        <v>14</v>
      </c>
      <c r="AP26" s="48" t="str">
        <f>IF($AK9&lt;3,"",IF($AK8&lt;9,"",IF(AC24=3,AC30-AE30,IF(AE24=3,AE30-AC30,""))))</f>
        <v/>
      </c>
      <c r="AQ26" s="44">
        <f>SUM(AG26:AP26)</f>
        <v>10</v>
      </c>
      <c r="AT26" s="10"/>
      <c r="AU26" s="10"/>
      <c r="AV26" s="10"/>
      <c r="AW26" s="4"/>
    </row>
    <row r="27" spans="1:52" ht="15" x14ac:dyDescent="0.2">
      <c r="A27" s="3" t="str">
        <f>IF($AK7&gt;2,"Game 3","")</f>
        <v/>
      </c>
      <c r="B27" s="49"/>
      <c r="C27" s="50" t="s">
        <v>53</v>
      </c>
      <c r="D27" s="51"/>
      <c r="E27" s="49"/>
      <c r="F27" s="50" t="str">
        <f>IF($AK8&gt;1,IF($AK7&gt;2,"/",""),"")</f>
        <v/>
      </c>
      <c r="G27" s="51"/>
      <c r="H27" s="49"/>
      <c r="I27" s="50" t="str">
        <f>IF($AK8&gt;2,IF($AK7&gt;2,"/",""),"")</f>
        <v/>
      </c>
      <c r="J27" s="51"/>
      <c r="K27" s="49"/>
      <c r="L27" s="50" t="str">
        <f>IF($AK8&gt;3,IF($AK7&gt;2,"/",""),"")</f>
        <v/>
      </c>
      <c r="M27" s="51"/>
      <c r="N27" s="49"/>
      <c r="O27" s="50" t="str">
        <f>IF($AK8&gt;4,IF($AK7&gt;2,"/",""),"")</f>
        <v/>
      </c>
      <c r="P27" s="51"/>
      <c r="Q27" s="49"/>
      <c r="R27" s="50" t="str">
        <f>IF($AK8&gt;5,IF($AK7&gt;2,"/",""),"")</f>
        <v/>
      </c>
      <c r="S27" s="51"/>
      <c r="T27" s="49"/>
      <c r="U27" s="50" t="str">
        <f>IF($AK8&gt;6,IF($AK7&gt;2,"/",""),"")</f>
        <v/>
      </c>
      <c r="V27" s="51"/>
      <c r="W27" s="49"/>
      <c r="X27" s="50" t="str">
        <f>IF($AK8&gt;7,IF($AK7&gt;2,"/",""),"")</f>
        <v/>
      </c>
      <c r="Y27" s="51"/>
      <c r="Z27" s="49"/>
      <c r="AA27" s="50" t="str">
        <f>IF($AK8&gt;8,IF($AK7&gt;2,"/",""),"")</f>
        <v/>
      </c>
      <c r="AB27" s="51"/>
      <c r="AC27" s="49"/>
      <c r="AD27" s="50" t="str">
        <f>IF($AK8&gt;9,IF($AK7&gt;2,"/",""),"")</f>
        <v/>
      </c>
      <c r="AE27" s="51"/>
      <c r="AF27" s="42" t="str">
        <f>IF($AK9&gt;3,"Team 4","")</f>
        <v>Team 4</v>
      </c>
      <c r="AG27" s="48" t="str">
        <f>IF($AK9&lt;4,"",IF($AK8&lt;1,"",IF(B24=4,B30-D30,IF(D24=4,D30-B30,""))))</f>
        <v/>
      </c>
      <c r="AH27" s="48">
        <f>IF($AK9&lt;4,"",IF($AK8&lt;2,"",IF(E24=4,E30-G30,IF(G24=4,G30-E30,""))))</f>
        <v>8</v>
      </c>
      <c r="AI27" s="48" t="str">
        <f>IF($AK9&lt;4,"",IF($AK8&lt;3,"",IF(H24=4,H30-J30,IF(J24=4,J30-H30,""))))</f>
        <v/>
      </c>
      <c r="AJ27" s="48">
        <f>IF($AK9&lt;4,"",IF($AK8&lt;4,"",IF(K24=4,K30-M30,IF(M24=4,M30-K30,""))))</f>
        <v>1</v>
      </c>
      <c r="AK27" s="48" t="str">
        <f>IF($AK9&lt;4,"",IF($AK8&lt;5,"",IF(N24=4,N30-P30,IF(P24=4,P30-N30,""))))</f>
        <v/>
      </c>
      <c r="AL27" s="48">
        <f>IF($AK9&lt;4,"",IF($AK8&lt;6,"",IF(Q24=4,Q30-S30,IF(S24=4,S30-Q30,""))))</f>
        <v>0</v>
      </c>
      <c r="AM27" s="48" t="str">
        <f>IF($AK9&lt;4,"",IF($AK8&lt;7,"",IF(T24=4,T30-V30,IF(V24=4,V30-T30,""))))</f>
        <v/>
      </c>
      <c r="AN27" s="48" t="str">
        <f>IF($AK9&lt;4,"",IF($AK8&lt;8,"",IF(W24=4,W30-Y30,IF(Y24=4,Y30-W30,""))))</f>
        <v/>
      </c>
      <c r="AO27" s="48">
        <f>IF($AK9&lt;4,"",IF($AK8&lt;9,"",IF(Z24=4,Z30-AB30,IF(AB24=4,AB30-Z30,""))))</f>
        <v>-14</v>
      </c>
      <c r="AP27" s="48" t="str">
        <f>IF($AK9&lt;4,"",IF($AK8&lt;10,"",IF(AC24=4,AC30-AE30,IF(AE24=4,AE30-AC30,""))))</f>
        <v/>
      </c>
      <c r="AQ27" s="44">
        <f>SUM(AG27:AP27)</f>
        <v>-5</v>
      </c>
      <c r="AT27" s="10"/>
      <c r="AU27" s="10"/>
      <c r="AV27" s="10"/>
      <c r="AW27" s="4"/>
    </row>
    <row r="28" spans="1:52" ht="15" x14ac:dyDescent="0.2">
      <c r="A28" s="3" t="str">
        <f>IF($AK7&gt;3,"Game 4","")</f>
        <v/>
      </c>
      <c r="B28" s="49"/>
      <c r="C28" s="50" t="s">
        <v>53</v>
      </c>
      <c r="D28" s="51"/>
      <c r="E28" s="49"/>
      <c r="F28" s="50" t="str">
        <f>IF($AK8&gt;1,IF($AK7&gt;3,"/",""),"")</f>
        <v/>
      </c>
      <c r="G28" s="51"/>
      <c r="H28" s="49"/>
      <c r="I28" s="50" t="str">
        <f>IF($AK8&gt;2,IF($AK7&gt;3,"/",""),"")</f>
        <v/>
      </c>
      <c r="J28" s="51"/>
      <c r="K28" s="49"/>
      <c r="L28" s="50" t="str">
        <f>IF($AK8&gt;3,IF($AK7&gt;3,"/",""),"")</f>
        <v/>
      </c>
      <c r="M28" s="51"/>
      <c r="N28" s="49"/>
      <c r="O28" s="50" t="str">
        <f>IF($AK8&gt;4,IF($AK7&gt;3,"/",""),"")</f>
        <v/>
      </c>
      <c r="P28" s="51"/>
      <c r="Q28" s="49"/>
      <c r="R28" s="50" t="str">
        <f>IF($AK8&gt;5,IF($AK7&gt;3,"/",""),"")</f>
        <v/>
      </c>
      <c r="S28" s="51"/>
      <c r="T28" s="49"/>
      <c r="U28" s="50" t="str">
        <f>IF($AK8&gt;6,IF($AK7&gt;3,"/",""),"")</f>
        <v/>
      </c>
      <c r="V28" s="51"/>
      <c r="W28" s="49"/>
      <c r="X28" s="50" t="str">
        <f>IF($AK8&gt;7,IF($AK7&gt;3,"/",""),"")</f>
        <v/>
      </c>
      <c r="Y28" s="51"/>
      <c r="Z28" s="49"/>
      <c r="AA28" s="50" t="str">
        <f>IF($AK8&gt;8,IF($AK7&gt;3,"/",""),"")</f>
        <v/>
      </c>
      <c r="AB28" s="51"/>
      <c r="AC28" s="49"/>
      <c r="AD28" s="50" t="str">
        <f>IF($AK8&gt;9,IF($AK7&gt;3,"/",""),"")</f>
        <v/>
      </c>
      <c r="AE28" s="51"/>
      <c r="AF28" s="42" t="str">
        <f>IF($AK9&gt;4,"Team 5","")</f>
        <v>Team 5</v>
      </c>
      <c r="AG28" s="52">
        <f>IF($AK9&lt;5,"",IF($AK8&lt;1,"",IF(B24=5,B30-D30,IF(D24=5,D30-B30,""))))</f>
        <v>-13</v>
      </c>
      <c r="AH28" s="48" t="str">
        <f>IF($AK9&lt;5,"",IF($AK8&lt;2,"",IF(E24=5,E30-G30,IF(G24=5,G30-E30,""))))</f>
        <v/>
      </c>
      <c r="AI28" s="48">
        <f>IF($AK9&lt;5,"",IF($AK8&lt;3,"",IF(H24=5,H30-J30,IF(J24=5,J30-H30,""))))</f>
        <v>15</v>
      </c>
      <c r="AJ28" s="48" t="str">
        <f>IF($AK9&lt;5,"",IF($AK8&lt;4,"",IF(K24=5,K30-M30,IF(M24=5,M30-K30,""))))</f>
        <v/>
      </c>
      <c r="AK28" s="48" t="str">
        <f>IF($AK9&lt;5,"",IF($AK8&lt;5,"",IF(N24=5,N30-P30,IF(P24=5,P30-N30,""))))</f>
        <v/>
      </c>
      <c r="AL28" s="48">
        <f>IF($AK9&lt;5,"",IF($AK8&lt;6,"",IF(Q24=5,Q30-S30,IF(S24=5,S30-Q30,""))))</f>
        <v>0</v>
      </c>
      <c r="AM28" s="48" t="str">
        <f>IF($AK9&lt;5,"",IF($AK8&lt;7,"",IF(T24=5,T30-V30,IF(V24=5,V30-T30,""))))</f>
        <v/>
      </c>
      <c r="AN28" s="48">
        <f>IF($AK9&lt;5,"",IF($AK8&lt;8,"",IF(W24=5,W30-Y30,IF(Y24=5,Y30-W30,""))))</f>
        <v>-16</v>
      </c>
      <c r="AO28" s="48" t="str">
        <f>IF($AK9&lt;5,"",IF($AK8&lt;9,"",IF(Z24=5,Z30-AB30,IF(AB24=5,AB30-Z30,""))))</f>
        <v/>
      </c>
      <c r="AP28" s="48" t="str">
        <f>IF($AK9&lt;5,"",IF($AK8&lt;10,"",IF(AC24=5,AC30-AE30,IF(AE24=5,AE30-AC30,""))))</f>
        <v/>
      </c>
      <c r="AQ28" s="44">
        <f>SUM(AG28:AP28)</f>
        <v>-14</v>
      </c>
      <c r="AW28" s="10"/>
      <c r="AX28" s="10"/>
      <c r="AY28" s="10"/>
    </row>
    <row r="29" spans="1:52" ht="15" x14ac:dyDescent="0.2">
      <c r="A29" s="3" t="str">
        <f>IF($AK7&gt;4,"Game 5","")</f>
        <v/>
      </c>
      <c r="B29" s="49"/>
      <c r="C29" s="50" t="s">
        <v>53</v>
      </c>
      <c r="D29" s="51"/>
      <c r="E29" s="49"/>
      <c r="F29" s="50" t="str">
        <f>IF($AK8&gt;1,IF($AK7&gt;4,"/",""),"")</f>
        <v/>
      </c>
      <c r="G29" s="51"/>
      <c r="H29" s="49"/>
      <c r="I29" s="50" t="str">
        <f>IF($AK8&gt;2,IF($AK7&gt;4,"/",""),"")</f>
        <v/>
      </c>
      <c r="J29" s="51"/>
      <c r="K29" s="49"/>
      <c r="L29" s="50" t="str">
        <f>IF($AK8&gt;3,IF($AK7&gt;4,"/",""),"")</f>
        <v/>
      </c>
      <c r="M29" s="51"/>
      <c r="N29" s="49"/>
      <c r="O29" s="50" t="str">
        <f>IF($AK8&gt;4,IF($AK7&gt;4,"/",""),"")</f>
        <v/>
      </c>
      <c r="P29" s="51"/>
      <c r="Q29" s="49"/>
      <c r="R29" s="50" t="str">
        <f>IF($AK8&gt;5,IF($AK7&gt;4,"/",""),"")</f>
        <v/>
      </c>
      <c r="S29" s="51"/>
      <c r="T29" s="49"/>
      <c r="U29" s="50" t="str">
        <f>IF($AK8&gt;6,IF($AK7&gt;4,"/",""),"")</f>
        <v/>
      </c>
      <c r="V29" s="51"/>
      <c r="W29" s="49"/>
      <c r="X29" s="50" t="str">
        <f>IF($AK8&gt;7,IF($AK7&gt;4,"/",""),"")</f>
        <v/>
      </c>
      <c r="Y29" s="51"/>
      <c r="Z29" s="49"/>
      <c r="AA29" s="50" t="str">
        <f>IF($AK8&gt;8,IF($AK7&gt;4,"/",""),"")</f>
        <v/>
      </c>
      <c r="AB29" s="51"/>
      <c r="AC29" s="49"/>
      <c r="AD29" s="50" t="str">
        <f>IF($AK8&gt;9,IF($AK7&gt;4,"/",""),"")</f>
        <v/>
      </c>
      <c r="AE29" s="5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W29" s="10"/>
      <c r="AX29" s="10"/>
      <c r="AY29" s="10"/>
    </row>
    <row r="30" spans="1:52" hidden="1" x14ac:dyDescent="0.2">
      <c r="A30" s="53"/>
      <c r="B30" s="53">
        <f>IF($AK7=5,SUM(B25:B29),IF($AK7=4,SUM(B25:B28),IF($AK7=3,SUM(B25:B27),IF($AK7=2,SUM(B25:B26),B25))))</f>
        <v>49</v>
      </c>
      <c r="C30" s="53"/>
      <c r="D30" s="53">
        <f>IF($AK7=5,SUM(D25:D29),IF($AK7=4,SUM(D25:D28),IF($AK7=3,SUM(D25:D27),IF($AK7=2,SUM(D25:D26),D25))))</f>
        <v>36</v>
      </c>
      <c r="E30" s="53">
        <f>IF($AK7=5,SUM(E25:E29),IF($AK7=4,SUM(E25:E28),IF($AK7=3,SUM(E25:E27),IF($AK7=2,SUM(E25:E26),E25))))</f>
        <v>42</v>
      </c>
      <c r="F30" s="53"/>
      <c r="G30" s="53">
        <f>IF($AK7=5,SUM(G25:G29),IF($AK7=4,SUM(G25:G28),IF($AK7=3,SUM(G25:G27),IF($AK7=2,SUM(G25:G26),G25))))</f>
        <v>50</v>
      </c>
      <c r="H30" s="53">
        <f>IF($AK7=5,SUM(H25:H29),IF($AK7=4,SUM(H25:H28),IF($AK7=3,SUM(H25:H27),IF($AK7=2,SUM(H25:H26),H25))))</f>
        <v>35</v>
      </c>
      <c r="I30" s="53"/>
      <c r="J30" s="53">
        <f>IF($AK7=5,SUM(J25:J29),IF($AK7=4,SUM(J25:J28),IF($AK7=3,SUM(J25:J27),IF($AK7=2,SUM(J25:J26),J25))))</f>
        <v>50</v>
      </c>
      <c r="K30" s="53">
        <f>IF($AK7=5,SUM(K25:K29),IF($AK7=4,SUM(K25:K28),IF($AK7=3,SUM(K25:K27),IF($AK7=2,SUM(K25:K26),K25))))</f>
        <v>42</v>
      </c>
      <c r="L30" s="53"/>
      <c r="M30" s="53">
        <f>IF($AK7=5,SUM(M25:M29),IF($AK7=4,SUM(M25:M28),IF($AK7=3,SUM(M25:M27),IF($AK7=2,SUM(M25:M26),M25))))</f>
        <v>43</v>
      </c>
      <c r="N30" s="53">
        <f>IF($AK7=5,SUM(N25:N29),IF($AK7=4,SUM(N25:N28),IF($AK7=3,SUM(N25:N27),IF($AK7=2,SUM(N25:N26),N25))))</f>
        <v>37</v>
      </c>
      <c r="O30" s="53"/>
      <c r="P30" s="53">
        <f>IF($AK7=5,SUM(P25:P29),IF($AK7=4,SUM(P25:P28),IF($AK7=3,SUM(P25:P27),IF($AK7=2,SUM(P25:P26),P25))))</f>
        <v>50</v>
      </c>
      <c r="Q30" s="53">
        <f>IF($AK7=5,SUM(Q25:Q29),IF($AK7=4,SUM(Q25:Q28),IF($AK7=3,SUM(Q25:Q27),IF($AK7=2,SUM(Q25:Q26),Q25))))</f>
        <v>41</v>
      </c>
      <c r="R30" s="53"/>
      <c r="S30" s="53">
        <f>IF($AK7=5,SUM(S25:S29),IF($AK7=4,SUM(S25:S28),IF($AK7=3,SUM(S25:S27),IF($AK7=2,SUM(S25:S26),S25))))</f>
        <v>41</v>
      </c>
      <c r="T30" s="53">
        <f>IF($AK7=5,SUM(T25:T29),IF($AK7=4,SUM(T25:T28),IF($AK7=3,SUM(T25:T27),IF($AK7=2,SUM(T25:T26),T25))))</f>
        <v>46</v>
      </c>
      <c r="U30" s="53"/>
      <c r="V30" s="53">
        <f>IF($AK7=5,SUM(V25:V29),IF($AK7=4,SUM(V25:V28),IF($AK7=3,SUM(V25:V27),IF($AK7=2,SUM(V25:V26),V25))))</f>
        <v>44</v>
      </c>
      <c r="W30" s="53">
        <f>IF($AK7=5,SUM(W25:W29),IF($AK7=4,SUM(W25:W28),IF($AK7=3,SUM(W25:W27),IF($AK7=2,SUM(W25:W26),W25))))</f>
        <v>50</v>
      </c>
      <c r="X30" s="53"/>
      <c r="Y30" s="53">
        <f>IF($AK7=5,SUM(Y25:Y29),IF($AK7=4,SUM(Y25:Y28),IF($AK7=3,SUM(Y25:Y27),IF($AK7=2,SUM(Y25:Y26),Y25))))</f>
        <v>34</v>
      </c>
      <c r="Z30" s="53">
        <f>IF($AK7=5,SUM(Z25:Z29),IF($AK7=4,SUM(Z25:Z28),IF($AK7=3,SUM(Z25:Z27),IF($AK7=2,SUM(Z25:Z26),Z25))))</f>
        <v>50</v>
      </c>
      <c r="AA30" s="53"/>
      <c r="AB30" s="53">
        <f>IF($AK7=5,SUM(AB25:AB29),IF($AK7=4,SUM(AB25:AB28),IF($AK7=3,SUM(AB25:AB27),IF($AK7=2,SUM(AB25:AB26),AB25))))</f>
        <v>36</v>
      </c>
      <c r="AC30" s="53">
        <f>IF($AK7=5,SUM(AC25:AC29),IF($AK7=4,SUM(AC25:AC28),IF($AK7=3,SUM(AC25:AC27),IF($AK7=2,SUM(AC25:AC26),AC25))))</f>
        <v>50</v>
      </c>
      <c r="AD30" s="53"/>
      <c r="AE30" s="53">
        <f>IF($AK7=5,SUM(AE25:AE29),IF($AK7=4,SUM(AE25:AE28),IF($AK7=3,SUM(AE25:AE27),IF($AK7=2,SUM(AE25:AE26),AE25))))</f>
        <v>36</v>
      </c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</row>
    <row r="31" spans="1:52" s="54" customFormat="1" ht="12.75" hidden="1" customHeight="1" x14ac:dyDescent="0.2">
      <c r="A31" s="54" t="s">
        <v>54</v>
      </c>
      <c r="B31" s="55">
        <f>IF(AND(B25&gt;D25,$AK8&gt;0,ISNUMBER(B25),ISNUMBER(D25)),1,0)</f>
        <v>1</v>
      </c>
      <c r="C31" s="55"/>
      <c r="D31" s="56">
        <f>IF(AND(D25&gt;B25,$AK8&gt;0,ISNUMBER(B25),ISNUMBER(D25)),1,0)</f>
        <v>0</v>
      </c>
      <c r="E31" s="55">
        <f>IF(AND(E25&gt;G25,$AK8&gt;1,ISNUMBER(E25),ISNUMBER(G25)),1,0)</f>
        <v>0</v>
      </c>
      <c r="F31" s="55"/>
      <c r="G31" s="56">
        <f>IF(AND(G25&gt;E25,$AK8&gt;1,ISNUMBER(E25),ISNUMBER(G25)),1,0)</f>
        <v>1</v>
      </c>
      <c r="H31" s="55">
        <f>IF(AND(H25&gt;J25,$AK8&gt;2,ISNUMBER(H25),ISNUMBER(J25)),1,0)</f>
        <v>0</v>
      </c>
      <c r="I31" s="55"/>
      <c r="J31" s="56">
        <f>IF(AND(J25&gt;H25,$AK8&gt;2,ISNUMBER(H25),ISNUMBER(J25)),1,0)</f>
        <v>1</v>
      </c>
      <c r="K31" s="55">
        <f>IF(AND(K25&gt;M25,$AK8&gt;3,ISNUMBER(K25),ISNUMBER(M25)),1,0)</f>
        <v>0</v>
      </c>
      <c r="L31" s="55"/>
      <c r="M31" s="56">
        <f>IF(AND(M25&gt;K25,$AK8&gt;3,ISNUMBER(K25),ISNUMBER(M25)),1,0)</f>
        <v>1</v>
      </c>
      <c r="N31" s="55">
        <f>IF(AND(N25&gt;P25,$AK8&gt;4,ISNUMBER(N25),ISNUMBER(P25)),1,0)</f>
        <v>0</v>
      </c>
      <c r="O31" s="55"/>
      <c r="P31" s="56">
        <f>IF(AND(P25&gt;N25,$AK8&gt;4,ISNUMBER(N25),ISNUMBER(P25)),1,0)</f>
        <v>1</v>
      </c>
      <c r="Q31" s="55">
        <f>IF(AND(Q25&gt;S25,$AK8&gt;5,ISNUMBER(Q25),ISNUMBER(S25)),1,0)</f>
        <v>0</v>
      </c>
      <c r="R31" s="55"/>
      <c r="S31" s="56">
        <f>IF(AND(S25&gt;Q25,$AK8&gt;5,ISNUMBER(Q25),ISNUMBER(S25)),1,0)</f>
        <v>1</v>
      </c>
      <c r="T31" s="55">
        <f>IF(AND(T25&gt;V25,$AK8&gt;6,ISNUMBER(T25),ISNUMBER(V25)),1,0)</f>
        <v>0</v>
      </c>
      <c r="U31" s="55"/>
      <c r="V31" s="56">
        <f>IF(AND(V25&gt;T25,$AK8&gt;6,ISNUMBER(T25),ISNUMBER(V25)),1,0)</f>
        <v>1</v>
      </c>
      <c r="W31" s="55">
        <f>IF(AND(W25&gt;Y25,$AK8&gt;7,ISNUMBER(W25),ISNUMBER(Y25)),1,0)</f>
        <v>1</v>
      </c>
      <c r="X31" s="55"/>
      <c r="Y31" s="56">
        <f>IF(AND(Y25&gt;W25,$AK8&gt;7,ISNUMBER(W25),ISNUMBER(Y25)),1,0)</f>
        <v>0</v>
      </c>
      <c r="Z31" s="55">
        <f>IF(AND(Z25&gt;AB25,$AK8&gt;8,ISNUMBER(Z25),ISNUMBER(AB25)),1,0)</f>
        <v>1</v>
      </c>
      <c r="AA31" s="55"/>
      <c r="AB31" s="56">
        <f>IF(AND(AB25&gt;Z25,$AK8&gt;8,ISNUMBER(Z25),ISNUMBER(AB25)),1,0)</f>
        <v>0</v>
      </c>
      <c r="AC31" s="55">
        <f>IF(AND(AC25&gt;AE25,$AK8&gt;9,ISNUMBER(AC25),ISNUMBER(AE25)),1,0)</f>
        <v>1</v>
      </c>
      <c r="AD31" s="55"/>
      <c r="AE31" s="56">
        <f>IF(AND(AE25&gt;AC25,$AK8&gt;9,ISNUMBER(AC25),ISNUMBER(AE25)),1,0)</f>
        <v>0</v>
      </c>
      <c r="AW31" s="146"/>
    </row>
    <row r="32" spans="1:52" s="54" customFormat="1" ht="12.75" hidden="1" customHeight="1" x14ac:dyDescent="0.2">
      <c r="A32" s="54" t="s">
        <v>55</v>
      </c>
      <c r="B32" s="55">
        <f>IF(AND(B26&gt;D26,$AK8&gt;0,$AK7&gt;1,ISNUMBER(B26),ISNUMBER(D26)),1,0)</f>
        <v>0</v>
      </c>
      <c r="C32" s="55"/>
      <c r="D32" s="56">
        <f>IF(AND(D26&gt;B26,$AK8&gt;0,$AK7&gt;1,ISNUMBER(B26),ISNUMBER(D26)),1,0)</f>
        <v>1</v>
      </c>
      <c r="E32" s="55">
        <f>IF(AND(E26&gt;G26,$AK8&gt;1,$AK7&gt;1,ISNUMBER(E26),ISNUMBER(G26)),1,0)</f>
        <v>0</v>
      </c>
      <c r="F32" s="55"/>
      <c r="G32" s="56">
        <f>IF(AND(G26&gt;E26,$AK8&gt;1,$AK7&gt;1,ISNUMBER(E26),ISNUMBER(G26)),1,0)</f>
        <v>1</v>
      </c>
      <c r="H32" s="55">
        <f>IF(AND(H26&gt;J26,$AK8&gt;2,$AK7&gt;1,ISNUMBER(H26),ISNUMBER(J26)),1,0)</f>
        <v>0</v>
      </c>
      <c r="I32" s="55"/>
      <c r="J32" s="56">
        <f>IF(AND(J26&gt;H26,$AK8&gt;2,$AK7&gt;1,ISNUMBER(H26),ISNUMBER(J26)),1,0)</f>
        <v>1</v>
      </c>
      <c r="K32" s="55">
        <f>IF(AND(K26&gt;M26,$AK8&gt;3,$AK7&gt;1,ISNUMBER(K26),ISNUMBER(M26)),1,0)</f>
        <v>1</v>
      </c>
      <c r="L32" s="55"/>
      <c r="M32" s="56">
        <f>IF(AND(M26&gt;K26,$AK8&gt;3,$AK7&gt;1,ISNUMBER(K26),ISNUMBER(M26)),1,0)</f>
        <v>0</v>
      </c>
      <c r="N32" s="55">
        <f>IF(AND(N26&gt;P26,$AK8&gt;4,$AK7&gt;1,ISNUMBER(N26),ISNUMBER(P26)),1,0)</f>
        <v>0</v>
      </c>
      <c r="O32" s="55"/>
      <c r="P32" s="56">
        <f>IF(AND(P26&gt;N26,$AK8&gt;4,$AK7&gt;1,ISNUMBER(N26),ISNUMBER(P26)),1,0)</f>
        <v>1</v>
      </c>
      <c r="Q32" s="55">
        <f>IF(AND(Q26&gt;S26,$AK8&gt;5,$AK7&gt;1,ISNUMBER(Q26),ISNUMBER(S26)),1,0)</f>
        <v>1</v>
      </c>
      <c r="R32" s="55"/>
      <c r="S32" s="56">
        <f>IF(AND(S26&gt;Q26,$AK8&gt;5,$AK7&gt;1,ISNUMBER(Q26),ISNUMBER(S26)),1,0)</f>
        <v>0</v>
      </c>
      <c r="T32" s="55">
        <f>IF(AND(T26&gt;V26,$AK8&gt;6,$AK7&gt;1,ISNUMBER(T26),ISNUMBER(V26)),1,0)</f>
        <v>1</v>
      </c>
      <c r="U32" s="55"/>
      <c r="V32" s="56">
        <f>IF(AND(V26&gt;T26,$AK8&gt;6,$AK7&gt;1,ISNUMBER(T26),ISNUMBER(V26)),1,0)</f>
        <v>0</v>
      </c>
      <c r="W32" s="55">
        <f>IF(AND(W26&gt;Y26,$AK8&gt;7,$AK7&gt;1,ISNUMBER(W26),ISNUMBER(Y26)),1,0)</f>
        <v>1</v>
      </c>
      <c r="X32" s="55"/>
      <c r="Y32" s="56">
        <f>IF(AND(Y26&gt;W26,$AK8&gt;7,$AK7&gt;1,ISNUMBER(W26),ISNUMBER(Y26)),1,0)</f>
        <v>0</v>
      </c>
      <c r="Z32" s="55">
        <f>IF(AND(Z26&gt;AB26,$AK8&gt;8,$AK7&gt;1,ISNUMBER(Z26),ISNUMBER(AB26)),1,0)</f>
        <v>1</v>
      </c>
      <c r="AA32" s="55"/>
      <c r="AB32" s="56">
        <f>IF(AND(AB26&gt;Z26,$AK8&gt;8,$AK7&gt;1,ISNUMBER(Z26),ISNUMBER(AB26)),1,0)</f>
        <v>0</v>
      </c>
      <c r="AC32" s="55">
        <f>IF(AND(AC26&gt;AE26,$AK8&gt;9,$AK7&gt;1,ISNUMBER(AC26),ISNUMBER(AE26)),1,0)</f>
        <v>1</v>
      </c>
      <c r="AD32" s="55"/>
      <c r="AE32" s="56">
        <f>IF(AND(AE26&gt;AC26,$AK8&gt;9,$AK7&gt;1,ISNUMBER(AC26),ISNUMBER(AE26)),1,0)</f>
        <v>0</v>
      </c>
      <c r="AW32" s="146"/>
    </row>
    <row r="33" spans="1:49" s="54" customFormat="1" ht="12.75" hidden="1" customHeight="1" x14ac:dyDescent="0.2">
      <c r="A33" s="54" t="s">
        <v>56</v>
      </c>
      <c r="B33" s="55">
        <f>IF(AND(B27&gt;D27,$AK8&gt;0,$AK7&gt;2,ISNUMBER(B27),ISNUMBER(D27)),1,0)</f>
        <v>0</v>
      </c>
      <c r="C33" s="55"/>
      <c r="D33" s="56">
        <f>IF(AND(D27&gt;B27,$AK8&gt;0,$AK7&gt;2,ISNUMBER(B27),ISNUMBER(D27)),1,0)</f>
        <v>0</v>
      </c>
      <c r="E33" s="55">
        <f>IF(AND(E27&gt;G27,$AK8&gt;1,$AK7&gt;2,ISNUMBER(E27),ISNUMBER(G27)),1,0)</f>
        <v>0</v>
      </c>
      <c r="F33" s="55"/>
      <c r="G33" s="56">
        <f>IF(AND(G27&gt;E27,$AK8&gt;1,$AK7&gt;2,ISNUMBER(E27),ISNUMBER(G27)),1,0)</f>
        <v>0</v>
      </c>
      <c r="H33" s="55">
        <f>IF(AND(H27&gt;J27,$AK8&gt;2,$AK7&gt;2,ISNUMBER(H27),ISNUMBER(J27)),1,0)</f>
        <v>0</v>
      </c>
      <c r="I33" s="55"/>
      <c r="J33" s="56">
        <f>IF(AND(J27&gt;H27,$AK8&gt;2,$AK7&gt;2,ISNUMBER(H27),ISNUMBER(J27)),1,0)</f>
        <v>0</v>
      </c>
      <c r="K33" s="55">
        <f>IF(AND(K27&gt;M27,$AK8&gt;3,$AK7&gt;2,ISNUMBER(K27),ISNUMBER(M27)),1,0)</f>
        <v>0</v>
      </c>
      <c r="L33" s="55"/>
      <c r="M33" s="56">
        <f>IF(AND(M27&gt;K27,$AK8&gt;3,$AK7&gt;2,ISNUMBER(K27),ISNUMBER(M27)),1,0)</f>
        <v>0</v>
      </c>
      <c r="N33" s="55">
        <f>IF(AND(N27&gt;P27,$AK8&gt;4,$AK7&gt;2,ISNUMBER(N27),ISNUMBER(P27)),1,0)</f>
        <v>0</v>
      </c>
      <c r="O33" s="55"/>
      <c r="P33" s="56">
        <f>IF(AND(P27&gt;N27,$AK8&gt;4,$AK7&gt;2,ISNUMBER(N27),ISNUMBER(P27)),1,0)</f>
        <v>0</v>
      </c>
      <c r="Q33" s="55">
        <f>IF(AND(Q27&gt;S27,$AK8&gt;5,$AK7&gt;2,ISNUMBER(Q27),ISNUMBER(S27)),1,0)</f>
        <v>0</v>
      </c>
      <c r="R33" s="55"/>
      <c r="S33" s="56">
        <f>IF(AND(S27&gt;Q27,$AK8&gt;5,$AK7&gt;2,ISNUMBER(Q27),ISNUMBER(S27)),1,0)</f>
        <v>0</v>
      </c>
      <c r="T33" s="55">
        <f>IF(AND(T27&gt;V27,$AK8&gt;6,$AK7&gt;2,ISNUMBER(T27),ISNUMBER(V27)),1,0)</f>
        <v>0</v>
      </c>
      <c r="U33" s="55"/>
      <c r="V33" s="56">
        <f>IF(AND(V27&gt;T27,$AK8&gt;6,$AK7&gt;2,ISNUMBER(T27),ISNUMBER(V27)),1,0)</f>
        <v>0</v>
      </c>
      <c r="W33" s="55">
        <f>IF(AND(W27&gt;Y27,$AK8&gt;7,$AK7&gt;2,ISNUMBER(W27),ISNUMBER(Y27)),1,0)</f>
        <v>0</v>
      </c>
      <c r="X33" s="55"/>
      <c r="Y33" s="56">
        <f>IF(AND(Y27&gt;W27,$AK8&gt;7,$AK7&gt;2,ISNUMBER(W27),ISNUMBER(Y27)),1,0)</f>
        <v>0</v>
      </c>
      <c r="Z33" s="55">
        <f>IF(AND(Z27&gt;AB27,$AK8&gt;8,$AK7&gt;2,ISNUMBER(Z27),ISNUMBER(AB27)),1,0)</f>
        <v>0</v>
      </c>
      <c r="AA33" s="55"/>
      <c r="AB33" s="56">
        <f>IF(AND(AB27&gt;Z27,$AK8&gt;8,$AK7&gt;2,ISNUMBER(Z27),ISNUMBER(AB27)),1,0)</f>
        <v>0</v>
      </c>
      <c r="AC33" s="55">
        <f>IF(AND(AC27&gt;AE27,$AK8&gt;9,$AK7&gt;2,ISNUMBER(AC27),ISNUMBER(AE27)),1,0)</f>
        <v>0</v>
      </c>
      <c r="AD33" s="55"/>
      <c r="AE33" s="56">
        <f>IF(AND(AE27&gt;AC27,$AK8&gt;9,$AK7&gt;2,ISNUMBER(AC27),ISNUMBER(AE27)),1,0)</f>
        <v>0</v>
      </c>
      <c r="AW33" s="146"/>
    </row>
    <row r="34" spans="1:49" s="54" customFormat="1" ht="12.75" hidden="1" customHeight="1" x14ac:dyDescent="0.2">
      <c r="A34" s="54" t="s">
        <v>57</v>
      </c>
      <c r="B34" s="55">
        <f>IF(AND(B28&gt;D28,$AK8&gt;0,$AK7&gt;3,ISNUMBER(B28),ISNUMBER(D28)),1,0)</f>
        <v>0</v>
      </c>
      <c r="C34" s="55"/>
      <c r="D34" s="56">
        <f>IF(AND(D28&gt;B28,$AK8&gt;0,$AK7&gt;3,ISNUMBER(B28),ISNUMBER(D28)),1,0)</f>
        <v>0</v>
      </c>
      <c r="E34" s="55">
        <f>IF(AND(E28&gt;G28,$AK8&gt;1,$AK7&gt;3,ISNUMBER(E28),ISNUMBER(G28)),1,0)</f>
        <v>0</v>
      </c>
      <c r="F34" s="55"/>
      <c r="G34" s="56">
        <f>IF(AND(G28&gt;E28,$AK8&gt;1,$AK7&gt;3,ISNUMBER(E28),ISNUMBER(G28)),1,0)</f>
        <v>0</v>
      </c>
      <c r="H34" s="55">
        <f>IF(AND(H28&gt;J28,$AK8&gt;2,$AK7&gt;3,ISNUMBER(H28),ISNUMBER(J28)),1,0)</f>
        <v>0</v>
      </c>
      <c r="I34" s="55"/>
      <c r="J34" s="56">
        <f>IF(AND(J28&gt;H28,$AK8&gt;2,$AK7&gt;3,ISNUMBER(H28),ISNUMBER(J28)),1,0)</f>
        <v>0</v>
      </c>
      <c r="K34" s="55">
        <f>IF(AND(K28&gt;M28,$AK8&gt;3,$AK7&gt;3,ISNUMBER(K28),ISNUMBER(M28)),1,0)</f>
        <v>0</v>
      </c>
      <c r="L34" s="55"/>
      <c r="M34" s="56">
        <f>IF(AND(M28&gt;K28,$AK8&gt;3,$AK7&gt;3,ISNUMBER(K28),ISNUMBER(M28)),1,0)</f>
        <v>0</v>
      </c>
      <c r="N34" s="55">
        <f>IF(AND(N28&gt;P28,$AK8&gt;4,$AK7&gt;3,ISNUMBER(N28),ISNUMBER(P28)),1,0)</f>
        <v>0</v>
      </c>
      <c r="O34" s="55"/>
      <c r="P34" s="56">
        <f>IF(AND(P28&gt;N28,$AK8&gt;4,$AK7&gt;3,ISNUMBER(N28),ISNUMBER(P28)),1,0)</f>
        <v>0</v>
      </c>
      <c r="Q34" s="55">
        <f>IF(AND(Q28&gt;S28,$AK8&gt;5,$AK7&gt;3,ISNUMBER(Q28),ISNUMBER(S28)),1,0)</f>
        <v>0</v>
      </c>
      <c r="R34" s="55"/>
      <c r="S34" s="56">
        <f>IF(AND(S28&gt;Q28,$AK8&gt;5,$AK7&gt;3,ISNUMBER(Q28),ISNUMBER(S28)),1,0)</f>
        <v>0</v>
      </c>
      <c r="T34" s="55">
        <f>IF(AND(T28&gt;V28,$AK8&gt;6,$AK7&gt;3,ISNUMBER(T28),ISNUMBER(V28)),1,0)</f>
        <v>0</v>
      </c>
      <c r="U34" s="55"/>
      <c r="V34" s="56">
        <f>IF(AND(V28&gt;T28,$AK8&gt;6,$AK7&gt;3,ISNUMBER(T28),ISNUMBER(V28)),1,0)</f>
        <v>0</v>
      </c>
      <c r="W34" s="55">
        <f>IF(AND(W28&gt;Y28,$AK8&gt;7,$AK7&gt;3,ISNUMBER(W28),ISNUMBER(Y28)),1,0)</f>
        <v>0</v>
      </c>
      <c r="X34" s="55"/>
      <c r="Y34" s="56">
        <f>IF(AND(Y28&gt;W28,$AK8&gt;7,$AK7&gt;3,ISNUMBER(W28),ISNUMBER(Y28)),1,0)</f>
        <v>0</v>
      </c>
      <c r="Z34" s="55">
        <f>IF(AND(Z28&gt;AB28,$AK8&gt;8,$AK7&gt;3,ISNUMBER(Z28),ISNUMBER(AB28)),1,0)</f>
        <v>0</v>
      </c>
      <c r="AA34" s="55"/>
      <c r="AB34" s="56">
        <f>IF(AND(AB28&gt;Z28,$AK8&gt;8,$AK7&gt;3,ISNUMBER(Z28),ISNUMBER(AB28)),1,0)</f>
        <v>0</v>
      </c>
      <c r="AC34" s="55">
        <f>IF(AND(AC28&gt;AE28,$AK8&gt;9,$AK7&gt;3,ISNUMBER(AC28),ISNUMBER(AE28)),1,0)</f>
        <v>0</v>
      </c>
      <c r="AD34" s="55"/>
      <c r="AE34" s="56">
        <f>IF(AND(AE28&gt;AC28,$AK8&gt;9,$AK7&gt;3,ISNUMBER(AC28),ISNUMBER(AE28)),1,0)</f>
        <v>0</v>
      </c>
      <c r="AW34" s="146"/>
    </row>
    <row r="35" spans="1:49" s="54" customFormat="1" ht="12.75" hidden="1" customHeight="1" x14ac:dyDescent="0.2">
      <c r="A35" s="54" t="s">
        <v>58</v>
      </c>
      <c r="B35" s="55">
        <f>IF(AND(B29&gt;D29,$AK8&gt;0,$AK7&gt;4,ISNUMBER(B29),ISNUMBER(D29)),1,0)</f>
        <v>0</v>
      </c>
      <c r="C35" s="55"/>
      <c r="D35" s="56">
        <f>IF(AND(D29&gt;B29,$AK8&gt;0,$AK7&gt;4,ISNUMBER(B29),ISNUMBER(D29)),1,0)</f>
        <v>0</v>
      </c>
      <c r="E35" s="55">
        <f>IF(AND(E29&gt;G29,$AK8&gt;1,$AK7&gt;4,ISNUMBER(E29),ISNUMBER(G29)),1,0)</f>
        <v>0</v>
      </c>
      <c r="F35" s="55"/>
      <c r="G35" s="56">
        <f>IF(AND(G29&gt;E29,$AK8&gt;1,$AK7&gt;4,ISNUMBER(E29),ISNUMBER(G29)),1,0)</f>
        <v>0</v>
      </c>
      <c r="H35" s="55">
        <f>IF(AND(H29&gt;J29,$AK8&gt;2,$AK7&gt;4,ISNUMBER(H29),ISNUMBER(J29)),1,0)</f>
        <v>0</v>
      </c>
      <c r="I35" s="55"/>
      <c r="J35" s="56">
        <f>IF(AND(J29&gt;H29,$AK8&gt;2,$AK7&gt;4,ISNUMBER(H29),ISNUMBER(J29)),1,0)</f>
        <v>0</v>
      </c>
      <c r="K35" s="55">
        <f>IF(AND(K29&gt;M29,$AK8&gt;3,$AK7&gt;4,ISNUMBER(K29),ISNUMBER(M29)),1,0)</f>
        <v>0</v>
      </c>
      <c r="L35" s="55"/>
      <c r="M35" s="56">
        <f>IF(AND(M29&gt;K29,$AK8&gt;3,$AK7&gt;4,ISNUMBER(K29),ISNUMBER(M29)),1,0)</f>
        <v>0</v>
      </c>
      <c r="N35" s="55">
        <f>IF(AND(N29&gt;P29,$AK8&gt;4,$AK7&gt;4,ISNUMBER(N29),ISNUMBER(P29)),1,0)</f>
        <v>0</v>
      </c>
      <c r="O35" s="55"/>
      <c r="P35" s="56">
        <f>IF(AND(P29&gt;N29,$AK8&gt;4,$AK7&gt;4,ISNUMBER(N29),ISNUMBER(P29)),1,0)</f>
        <v>0</v>
      </c>
      <c r="Q35" s="55">
        <f>IF(AND(Q29&gt;S29,$AK8&gt;5,$AK7&gt;4,ISNUMBER(Q29),ISNUMBER(S29)),1,0)</f>
        <v>0</v>
      </c>
      <c r="R35" s="55"/>
      <c r="S35" s="56">
        <f>IF(AND(S29&gt;Q29,$AK8&gt;5,$AK7&gt;4,ISNUMBER(Q29),ISNUMBER(S29)),1,0)</f>
        <v>0</v>
      </c>
      <c r="T35" s="55">
        <f>IF(AND(T29&gt;V29,$AK8&gt;6,$AK7&gt;4,ISNUMBER(T29),ISNUMBER(V29)),1,0)</f>
        <v>0</v>
      </c>
      <c r="U35" s="55"/>
      <c r="V35" s="56">
        <f>IF(AND(V29&gt;T29,$AK8&gt;6,$AK7&gt;4,ISNUMBER(T29),ISNUMBER(V29)),1,0)</f>
        <v>0</v>
      </c>
      <c r="W35" s="55">
        <f>IF(AND(W29&gt;Y29,$AK8&gt;7,$AK7&gt;4,ISNUMBER(W29),ISNUMBER(Y29)),1,0)</f>
        <v>0</v>
      </c>
      <c r="X35" s="55"/>
      <c r="Y35" s="56">
        <f>IF(AND(Y29&gt;W29,$AK8&gt;7,$AK7&gt;4,ISNUMBER(W29),ISNUMBER(Y29)),1,0)</f>
        <v>0</v>
      </c>
      <c r="Z35" s="55">
        <f>IF(AND(Z29&gt;AB29,$AK8&gt;8,$AK7&gt;4,ISNUMBER(Z29),ISNUMBER(AB29)),1,0)</f>
        <v>0</v>
      </c>
      <c r="AA35" s="55"/>
      <c r="AB35" s="56">
        <f>IF(AND(AB29&gt;Z29,$AK8&gt;8,$AK7&gt;4,ISNUMBER(Z29),ISNUMBER(AB29)),1,0)</f>
        <v>0</v>
      </c>
      <c r="AC35" s="55">
        <f>IF(AND(AC29&gt;AE29,$AK8&gt;9,$AK7&gt;4,ISNUMBER(AC29),ISNUMBER(AE29)),1,0)</f>
        <v>0</v>
      </c>
      <c r="AD35" s="55"/>
      <c r="AE35" s="56">
        <f>IF(AND(AE29&gt;AC29,$AK8&gt;9,$AK7&gt;4,ISNUMBER(AC29),ISNUMBER(AE29)),1,0)</f>
        <v>0</v>
      </c>
      <c r="AW35" s="146"/>
    </row>
    <row r="36" spans="1:49" s="54" customFormat="1" ht="38.25" hidden="1" customHeight="1" x14ac:dyDescent="0.2">
      <c r="A36" s="57" t="s">
        <v>59</v>
      </c>
      <c r="B36" s="54">
        <f>SUM(B31:B35)</f>
        <v>1</v>
      </c>
      <c r="D36" s="58">
        <f>SUM(D31:D35)</f>
        <v>1</v>
      </c>
      <c r="E36" s="54">
        <f>SUM(E31:E35)</f>
        <v>0</v>
      </c>
      <c r="G36" s="58">
        <f>SUM(G31:G35)</f>
        <v>2</v>
      </c>
      <c r="H36" s="54">
        <f>SUM(H31:H35)</f>
        <v>0</v>
      </c>
      <c r="J36" s="58">
        <f>SUM(J31:J35)</f>
        <v>2</v>
      </c>
      <c r="K36" s="54">
        <f>SUM(K31:K35)</f>
        <v>1</v>
      </c>
      <c r="M36" s="58">
        <f>SUM(M31:M35)</f>
        <v>1</v>
      </c>
      <c r="N36" s="54">
        <f>SUM(N31:N35)</f>
        <v>0</v>
      </c>
      <c r="P36" s="58">
        <f>SUM(P31:P35)</f>
        <v>2</v>
      </c>
      <c r="Q36" s="54">
        <f>SUM(Q31:Q35)</f>
        <v>1</v>
      </c>
      <c r="S36" s="58">
        <f>SUM(S31:S35)</f>
        <v>1</v>
      </c>
      <c r="T36" s="54">
        <f>SUM(T31:T35)</f>
        <v>1</v>
      </c>
      <c r="V36" s="58">
        <f>SUM(V31:V35)</f>
        <v>1</v>
      </c>
      <c r="W36" s="54">
        <f>SUM(W31:W35)</f>
        <v>2</v>
      </c>
      <c r="Y36" s="58">
        <f>SUM(Y31:Y35)</f>
        <v>0</v>
      </c>
      <c r="Z36" s="54">
        <f>SUM(Z31:Z35)</f>
        <v>2</v>
      </c>
      <c r="AB36" s="58">
        <f>SUM(AB31:AB35)</f>
        <v>0</v>
      </c>
      <c r="AC36" s="54">
        <f>SUM(AC31:AC35)</f>
        <v>2</v>
      </c>
      <c r="AE36" s="58">
        <f>SUM(AE31:AE35)</f>
        <v>0</v>
      </c>
      <c r="AW36" s="146"/>
    </row>
    <row r="37" spans="1:49" s="54" customFormat="1" ht="25.5" hidden="1" customHeight="1" x14ac:dyDescent="0.2">
      <c r="A37" s="57" t="s">
        <v>60</v>
      </c>
      <c r="B37" s="54">
        <f>IF(B36&gt;D36,IF(C71=AK7,1,IF(C71=AK7-1,1,0)),0)</f>
        <v>0</v>
      </c>
      <c r="C37" s="54">
        <f>B37+D37</f>
        <v>0</v>
      </c>
      <c r="D37" s="58">
        <f>IF(D36&gt;B36,IF(C71=AK7,1,IF(C71=AK7-1,1,0)),0)</f>
        <v>0</v>
      </c>
      <c r="E37" s="54">
        <f>IF(E36&gt;G36,IF(F71=AK7,1,IF(F71=AK7-1,1,0)),0)</f>
        <v>0</v>
      </c>
      <c r="F37" s="54">
        <f>E37+G37</f>
        <v>1</v>
      </c>
      <c r="G37" s="58">
        <f>IF(G36&gt;E36,IF(F71=AK7,1,IF(F71=AK7-1,1,0)),0)</f>
        <v>1</v>
      </c>
      <c r="H37" s="54">
        <f>IF(H36&gt;J36,IF(I71=AK7,1,IF(I71=AK7-1,1,0)),0)</f>
        <v>0</v>
      </c>
      <c r="I37" s="54">
        <f>H37+J37</f>
        <v>1</v>
      </c>
      <c r="J37" s="58">
        <f>IF(J36&gt;H36,IF(I71=AK7,1,IF(I71=AK7-1,1,0)),0)</f>
        <v>1</v>
      </c>
      <c r="K37" s="54">
        <f>IF(K36&gt;M36,IF(L71=AK7,1,IF(L71=AK7-1,1,0)),0)</f>
        <v>0</v>
      </c>
      <c r="L37" s="54">
        <f>K37+M37</f>
        <v>0</v>
      </c>
      <c r="M37" s="58">
        <f>IF(M36&gt;K36,IF(L71=AK7,1,IF(L71=AK7-1,1,0)),0)</f>
        <v>0</v>
      </c>
      <c r="N37" s="54">
        <f>IF(N36&gt;P36,IF(O71=AK7,1,IF(O71=AK7-1,1,0)),0)</f>
        <v>0</v>
      </c>
      <c r="O37" s="54">
        <f>N37+P37</f>
        <v>1</v>
      </c>
      <c r="P37" s="58">
        <f>IF(P36&gt;N36,IF(O71=AK7,1,IF(O71=AK7-1,1,0)),0)</f>
        <v>1</v>
      </c>
      <c r="Q37" s="54">
        <f>IF(Q36&gt;S36,IF(R71=AK7,1,IF(R71=AK7-1,1,0)),0)</f>
        <v>0</v>
      </c>
      <c r="R37" s="54">
        <f>Q37+S37</f>
        <v>0</v>
      </c>
      <c r="S37" s="58">
        <f>IF(S36&gt;Q36,IF(R71=AK7,1,IF(R71=AK7-1,1,0)),0)</f>
        <v>0</v>
      </c>
      <c r="T37" s="54">
        <f>IF(T36&gt;V36,IF(U71=AK7,1,IF(U71=AK7-1,1,0)),0)</f>
        <v>0</v>
      </c>
      <c r="U37" s="54">
        <f>T37+V37</f>
        <v>0</v>
      </c>
      <c r="V37" s="58">
        <f>IF(V36&gt;T36,IF(U71=AK7,1,IF(U71=AK7-1,1,0)),0)</f>
        <v>0</v>
      </c>
      <c r="W37" s="54">
        <f>IF(W36&gt;Y36,IF(X71=AK7,1,IF(X71=AK7-1,1,0)),0)</f>
        <v>1</v>
      </c>
      <c r="X37" s="54">
        <f>W37+Y37</f>
        <v>1</v>
      </c>
      <c r="Y37" s="58">
        <f>IF(Y36&gt;W36,IF(X71=AK7,1,IF(X71=AK7-1,1,0)),0)</f>
        <v>0</v>
      </c>
      <c r="Z37" s="54">
        <f>IF(Z36&gt;AB36,IF(AA71=AK7,1,IF(AA71=AK7-1,1,0)),0)</f>
        <v>1</v>
      </c>
      <c r="AA37" s="54">
        <f>Z37+AB37</f>
        <v>1</v>
      </c>
      <c r="AB37" s="58">
        <f>IF(AB36&gt;Z36,IF(AA71=AK7,1,IF(AA71=AK7-1,1,0)),0)</f>
        <v>0</v>
      </c>
      <c r="AC37" s="54">
        <f>IF(AC36&gt;AE36,IF(AD71=AK7,1,IF(AD71=AK7-1,1,0)),0)</f>
        <v>1</v>
      </c>
      <c r="AD37" s="54">
        <f>AC37+AE37</f>
        <v>1</v>
      </c>
      <c r="AE37" s="58">
        <f>IF(AE36&gt;AC36,IF(AD71=AK7,1,IF(AD71=AK7-1,1,0)),0)</f>
        <v>0</v>
      </c>
      <c r="AW37" s="146"/>
    </row>
    <row r="38" spans="1:49" s="54" customFormat="1" ht="25.5" hidden="1" customHeight="1" x14ac:dyDescent="0.2">
      <c r="A38" s="57"/>
      <c r="D38" s="58"/>
      <c r="G38" s="58"/>
      <c r="J38" s="58"/>
      <c r="M38" s="58"/>
      <c r="P38" s="58"/>
      <c r="S38" s="58"/>
      <c r="V38" s="58"/>
      <c r="Y38" s="58"/>
      <c r="AB38" s="58"/>
      <c r="AE38" s="58"/>
      <c r="AW38" s="146"/>
    </row>
    <row r="39" spans="1:49" s="54" customFormat="1" ht="12.75" hidden="1" customHeight="1" x14ac:dyDescent="0.2">
      <c r="A39" s="54" t="s">
        <v>61</v>
      </c>
      <c r="B39" s="54">
        <f>IF(B31=1,B25,0)</f>
        <v>25</v>
      </c>
      <c r="D39" s="58">
        <f t="shared" ref="D39:E43" si="3">IF(D31=1,D25,0)</f>
        <v>0</v>
      </c>
      <c r="E39" s="54">
        <f t="shared" si="3"/>
        <v>0</v>
      </c>
      <c r="G39" s="58">
        <f t="shared" ref="G39:H43" si="4">IF(G31=1,G25,0)</f>
        <v>25</v>
      </c>
      <c r="H39" s="54">
        <f t="shared" si="4"/>
        <v>0</v>
      </c>
      <c r="J39" s="58">
        <f t="shared" ref="J39:K43" si="5">IF(J31=1,J25,0)</f>
        <v>25</v>
      </c>
      <c r="K39" s="54">
        <f t="shared" si="5"/>
        <v>0</v>
      </c>
      <c r="M39" s="58">
        <f t="shared" ref="M39:N43" si="6">IF(M31=1,M25,0)</f>
        <v>25</v>
      </c>
      <c r="N39" s="54">
        <f t="shared" si="6"/>
        <v>0</v>
      </c>
      <c r="P39" s="58">
        <f t="shared" ref="P39:Q43" si="7">IF(P31=1,P25,0)</f>
        <v>25</v>
      </c>
      <c r="Q39" s="54">
        <f t="shared" si="7"/>
        <v>0</v>
      </c>
      <c r="S39" s="58">
        <f t="shared" ref="S39:T43" si="8">IF(S31=1,S25,0)</f>
        <v>25</v>
      </c>
      <c r="T39" s="54">
        <f t="shared" si="8"/>
        <v>0</v>
      </c>
      <c r="V39" s="58">
        <f t="shared" ref="V39:W43" si="9">IF(V31=1,V25,0)</f>
        <v>25</v>
      </c>
      <c r="W39" s="54">
        <f t="shared" si="9"/>
        <v>25</v>
      </c>
      <c r="Y39" s="58">
        <f t="shared" ref="Y39:Z43" si="10">IF(Y31=1,Y25,0)</f>
        <v>0</v>
      </c>
      <c r="Z39" s="54">
        <f t="shared" si="10"/>
        <v>25</v>
      </c>
      <c r="AB39" s="58">
        <f t="shared" ref="AB39:AC43" si="11">IF(AB31=1,AB25,0)</f>
        <v>0</v>
      </c>
      <c r="AC39" s="54">
        <f t="shared" si="11"/>
        <v>25</v>
      </c>
      <c r="AE39" s="58">
        <f>IF(AE31=1,AE25,0)</f>
        <v>0</v>
      </c>
      <c r="AW39" s="146"/>
    </row>
    <row r="40" spans="1:49" s="54" customFormat="1" ht="12.75" hidden="1" customHeight="1" x14ac:dyDescent="0.2">
      <c r="A40" s="54" t="s">
        <v>62</v>
      </c>
      <c r="B40" s="54">
        <f>IF(B32=1,B26,0)</f>
        <v>0</v>
      </c>
      <c r="D40" s="58">
        <f t="shared" si="3"/>
        <v>26</v>
      </c>
      <c r="E40" s="54">
        <f t="shared" si="3"/>
        <v>0</v>
      </c>
      <c r="G40" s="58">
        <f t="shared" si="4"/>
        <v>25</v>
      </c>
      <c r="H40" s="54">
        <f t="shared" si="4"/>
        <v>0</v>
      </c>
      <c r="J40" s="58">
        <f t="shared" si="5"/>
        <v>25</v>
      </c>
      <c r="K40" s="54">
        <f t="shared" si="5"/>
        <v>25</v>
      </c>
      <c r="M40" s="58">
        <f t="shared" si="6"/>
        <v>0</v>
      </c>
      <c r="N40" s="54">
        <f t="shared" si="6"/>
        <v>0</v>
      </c>
      <c r="P40" s="58">
        <f t="shared" si="7"/>
        <v>25</v>
      </c>
      <c r="Q40" s="54">
        <f t="shared" si="7"/>
        <v>25</v>
      </c>
      <c r="S40" s="58">
        <f t="shared" si="8"/>
        <v>0</v>
      </c>
      <c r="T40" s="54">
        <f t="shared" si="8"/>
        <v>25</v>
      </c>
      <c r="V40" s="58">
        <f t="shared" si="9"/>
        <v>0</v>
      </c>
      <c r="W40" s="54">
        <f t="shared" si="9"/>
        <v>25</v>
      </c>
      <c r="Y40" s="58">
        <f t="shared" si="10"/>
        <v>0</v>
      </c>
      <c r="Z40" s="54">
        <f t="shared" si="10"/>
        <v>25</v>
      </c>
      <c r="AB40" s="58">
        <f t="shared" si="11"/>
        <v>0</v>
      </c>
      <c r="AC40" s="54">
        <f t="shared" si="11"/>
        <v>25</v>
      </c>
      <c r="AE40" s="58">
        <f>IF(AE32=1,AE26,0)</f>
        <v>0</v>
      </c>
      <c r="AW40" s="146"/>
    </row>
    <row r="41" spans="1:49" s="54" customFormat="1" ht="12.75" hidden="1" customHeight="1" x14ac:dyDescent="0.2">
      <c r="A41" s="54" t="s">
        <v>63</v>
      </c>
      <c r="B41" s="54">
        <f>IF(B33=1,B27,0)</f>
        <v>0</v>
      </c>
      <c r="D41" s="58">
        <f t="shared" si="3"/>
        <v>0</v>
      </c>
      <c r="E41" s="54">
        <f t="shared" si="3"/>
        <v>0</v>
      </c>
      <c r="G41" s="58">
        <f t="shared" si="4"/>
        <v>0</v>
      </c>
      <c r="H41" s="54">
        <f t="shared" si="4"/>
        <v>0</v>
      </c>
      <c r="J41" s="58">
        <f t="shared" si="5"/>
        <v>0</v>
      </c>
      <c r="K41" s="54">
        <f t="shared" si="5"/>
        <v>0</v>
      </c>
      <c r="M41" s="58">
        <f t="shared" si="6"/>
        <v>0</v>
      </c>
      <c r="N41" s="54">
        <f t="shared" si="6"/>
        <v>0</v>
      </c>
      <c r="P41" s="58">
        <f t="shared" si="7"/>
        <v>0</v>
      </c>
      <c r="Q41" s="54">
        <f t="shared" si="7"/>
        <v>0</v>
      </c>
      <c r="S41" s="58">
        <f t="shared" si="8"/>
        <v>0</v>
      </c>
      <c r="T41" s="54">
        <f t="shared" si="8"/>
        <v>0</v>
      </c>
      <c r="V41" s="58">
        <f t="shared" si="9"/>
        <v>0</v>
      </c>
      <c r="W41" s="54">
        <f t="shared" si="9"/>
        <v>0</v>
      </c>
      <c r="Y41" s="58">
        <f t="shared" si="10"/>
        <v>0</v>
      </c>
      <c r="Z41" s="54">
        <f t="shared" si="10"/>
        <v>0</v>
      </c>
      <c r="AB41" s="58">
        <f t="shared" si="11"/>
        <v>0</v>
      </c>
      <c r="AC41" s="54">
        <f t="shared" si="11"/>
        <v>0</v>
      </c>
      <c r="AE41" s="58">
        <f>IF(AE33=1,AE27,0)</f>
        <v>0</v>
      </c>
      <c r="AW41" s="146"/>
    </row>
    <row r="42" spans="1:49" s="54" customFormat="1" ht="12.75" hidden="1" customHeight="1" x14ac:dyDescent="0.2">
      <c r="A42" s="54" t="s">
        <v>64</v>
      </c>
      <c r="B42" s="54">
        <f>IF(B34=1,B28,0)</f>
        <v>0</v>
      </c>
      <c r="D42" s="58">
        <f t="shared" si="3"/>
        <v>0</v>
      </c>
      <c r="E42" s="54">
        <f t="shared" si="3"/>
        <v>0</v>
      </c>
      <c r="G42" s="58">
        <f t="shared" si="4"/>
        <v>0</v>
      </c>
      <c r="H42" s="54">
        <f t="shared" si="4"/>
        <v>0</v>
      </c>
      <c r="J42" s="58">
        <f t="shared" si="5"/>
        <v>0</v>
      </c>
      <c r="K42" s="54">
        <f t="shared" si="5"/>
        <v>0</v>
      </c>
      <c r="M42" s="58">
        <f t="shared" si="6"/>
        <v>0</v>
      </c>
      <c r="N42" s="54">
        <f t="shared" si="6"/>
        <v>0</v>
      </c>
      <c r="P42" s="58">
        <f t="shared" si="7"/>
        <v>0</v>
      </c>
      <c r="Q42" s="54">
        <f t="shared" si="7"/>
        <v>0</v>
      </c>
      <c r="S42" s="58">
        <f t="shared" si="8"/>
        <v>0</v>
      </c>
      <c r="T42" s="54">
        <f t="shared" si="8"/>
        <v>0</v>
      </c>
      <c r="V42" s="58">
        <f t="shared" si="9"/>
        <v>0</v>
      </c>
      <c r="W42" s="54">
        <f t="shared" si="9"/>
        <v>0</v>
      </c>
      <c r="Y42" s="58">
        <f t="shared" si="10"/>
        <v>0</v>
      </c>
      <c r="Z42" s="54">
        <f t="shared" si="10"/>
        <v>0</v>
      </c>
      <c r="AB42" s="58">
        <f t="shared" si="11"/>
        <v>0</v>
      </c>
      <c r="AC42" s="54">
        <f t="shared" si="11"/>
        <v>0</v>
      </c>
      <c r="AE42" s="58">
        <f>IF(AE34=1,AE28,0)</f>
        <v>0</v>
      </c>
      <c r="AW42" s="146"/>
    </row>
    <row r="43" spans="1:49" s="54" customFormat="1" ht="12.75" hidden="1" customHeight="1" x14ac:dyDescent="0.2">
      <c r="A43" s="54" t="s">
        <v>65</v>
      </c>
      <c r="B43" s="54">
        <f>IF(B35=1,B29,0)</f>
        <v>0</v>
      </c>
      <c r="D43" s="58">
        <f t="shared" si="3"/>
        <v>0</v>
      </c>
      <c r="E43" s="54">
        <f t="shared" si="3"/>
        <v>0</v>
      </c>
      <c r="G43" s="58">
        <f t="shared" si="4"/>
        <v>0</v>
      </c>
      <c r="H43" s="54">
        <f t="shared" si="4"/>
        <v>0</v>
      </c>
      <c r="J43" s="58">
        <f t="shared" si="5"/>
        <v>0</v>
      </c>
      <c r="K43" s="54">
        <f t="shared" si="5"/>
        <v>0</v>
      </c>
      <c r="M43" s="58">
        <f t="shared" si="6"/>
        <v>0</v>
      </c>
      <c r="N43" s="54">
        <f t="shared" si="6"/>
        <v>0</v>
      </c>
      <c r="P43" s="58">
        <f t="shared" si="7"/>
        <v>0</v>
      </c>
      <c r="Q43" s="54">
        <f t="shared" si="7"/>
        <v>0</v>
      </c>
      <c r="S43" s="58">
        <f t="shared" si="8"/>
        <v>0</v>
      </c>
      <c r="T43" s="54">
        <f t="shared" si="8"/>
        <v>0</v>
      </c>
      <c r="V43" s="58">
        <f t="shared" si="9"/>
        <v>0</v>
      </c>
      <c r="W43" s="54">
        <f t="shared" si="9"/>
        <v>0</v>
      </c>
      <c r="Y43" s="58">
        <f t="shared" si="10"/>
        <v>0</v>
      </c>
      <c r="Z43" s="54">
        <f t="shared" si="10"/>
        <v>0</v>
      </c>
      <c r="AB43" s="58">
        <f t="shared" si="11"/>
        <v>0</v>
      </c>
      <c r="AC43" s="54">
        <f t="shared" si="11"/>
        <v>0</v>
      </c>
      <c r="AE43" s="58">
        <f>IF(AE35=1,AE29,0)</f>
        <v>0</v>
      </c>
      <c r="AW43" s="146"/>
    </row>
    <row r="44" spans="1:49" s="54" customFormat="1" ht="38.25" hidden="1" customHeight="1" x14ac:dyDescent="0.2">
      <c r="A44" s="57" t="s">
        <v>66</v>
      </c>
      <c r="B44" s="54">
        <f>SUM(B39:D43)</f>
        <v>51</v>
      </c>
      <c r="D44" s="58"/>
      <c r="E44" s="54">
        <f>SUM(E39:G43)</f>
        <v>50</v>
      </c>
      <c r="G44" s="58"/>
      <c r="H44" s="54">
        <f>SUM(H39:J43)</f>
        <v>50</v>
      </c>
      <c r="J44" s="58"/>
      <c r="K44" s="54">
        <f>SUM(K39:M43)</f>
        <v>50</v>
      </c>
      <c r="M44" s="58"/>
      <c r="N44" s="54">
        <f>SUM(N39:P43)</f>
        <v>50</v>
      </c>
      <c r="P44" s="58"/>
      <c r="Q44" s="54">
        <f>SUM(Q39:S43)</f>
        <v>50</v>
      </c>
      <c r="S44" s="58"/>
      <c r="T44" s="54">
        <f>SUM(T39:V43)</f>
        <v>50</v>
      </c>
      <c r="V44" s="58"/>
      <c r="W44" s="54">
        <f>SUM(W39:Y43)</f>
        <v>50</v>
      </c>
      <c r="Y44" s="58"/>
      <c r="Z44" s="54">
        <f>SUM(Z39:AB43)</f>
        <v>50</v>
      </c>
      <c r="AB44" s="58"/>
      <c r="AC44" s="54">
        <f>SUM(AC39:AE43)</f>
        <v>50</v>
      </c>
      <c r="AE44" s="58"/>
      <c r="AW44" s="146"/>
    </row>
    <row r="45" spans="1:49" s="54" customFormat="1" ht="38.25" hidden="1" customHeight="1" x14ac:dyDescent="0.2">
      <c r="A45" s="54" t="s">
        <v>67</v>
      </c>
      <c r="D45" s="58"/>
      <c r="G45" s="58"/>
      <c r="J45" s="58"/>
      <c r="M45" s="58"/>
      <c r="P45" s="58"/>
      <c r="S45" s="58"/>
      <c r="V45" s="58"/>
      <c r="Y45" s="58"/>
      <c r="AB45" s="58"/>
      <c r="AE45" s="58"/>
      <c r="AF45" s="57" t="s">
        <v>68</v>
      </c>
      <c r="AG45" s="54" t="s">
        <v>69</v>
      </c>
      <c r="AW45" s="146"/>
    </row>
    <row r="46" spans="1:49" s="54" customFormat="1" ht="12.75" hidden="1" customHeight="1" x14ac:dyDescent="0.2">
      <c r="A46" s="54" t="s">
        <v>70</v>
      </c>
      <c r="B46" s="54">
        <f>IF(B24=1,IF(B37=1,1,0),0)</f>
        <v>0</v>
      </c>
      <c r="D46" s="58">
        <f>IF(D24=1,IF(D37=1,1,0),0)</f>
        <v>0</v>
      </c>
      <c r="E46" s="54">
        <f>IF(E24=1,IF(E37=1,1,0),0)</f>
        <v>0</v>
      </c>
      <c r="G46" s="58">
        <f>IF(G24=1,IF(G37=1,1,0),0)</f>
        <v>0</v>
      </c>
      <c r="H46" s="54">
        <f>IF(H24=1,IF(H37=1,1,0),0)</f>
        <v>0</v>
      </c>
      <c r="J46" s="58">
        <f>IF(J24=1,IF(J37=1,1,0),0)</f>
        <v>0</v>
      </c>
      <c r="K46" s="54">
        <f>IF(K24=1,IF(K37=1,1,0),0)</f>
        <v>0</v>
      </c>
      <c r="M46" s="58">
        <f>IF(M24=1,IF(M37=1,1,0),0)</f>
        <v>0</v>
      </c>
      <c r="N46" s="54">
        <f>IF(N24=1,IF(N37=1,1,0),0)</f>
        <v>0</v>
      </c>
      <c r="P46" s="58">
        <f>IF(P24=1,IF(P37=1,1,0),0)</f>
        <v>0</v>
      </c>
      <c r="Q46" s="54">
        <f>IF(Q24=1,IF(Q37=1,1,0),0)</f>
        <v>0</v>
      </c>
      <c r="S46" s="58">
        <f>IF(S24=1,IF(S37=1,1,0),0)</f>
        <v>0</v>
      </c>
      <c r="T46" s="54">
        <f>IF(T24=1,IF(T37=1,1,0),0)</f>
        <v>0</v>
      </c>
      <c r="V46" s="58">
        <f>IF(V24=1,IF(V37=1,1,0),0)</f>
        <v>0</v>
      </c>
      <c r="W46" s="54">
        <f>IF(W24=1,IF(W37=1,1,0),0)</f>
        <v>1</v>
      </c>
      <c r="Y46" s="58">
        <f>IF(Y24=1,IF(Y37=1,1,0),0)</f>
        <v>0</v>
      </c>
      <c r="Z46" s="54">
        <f>IF(Z24=1,IF(Z37=1,1,0),0)</f>
        <v>0</v>
      </c>
      <c r="AB46" s="58">
        <f>IF(AB24=1,IF(AB37=1,1,0),0)</f>
        <v>0</v>
      </c>
      <c r="AC46" s="54">
        <f>IF(AC24=1,IF(AC37=1,1,0),0)</f>
        <v>1</v>
      </c>
      <c r="AE46" s="58">
        <f>IF(AE24=1,IF(AE37=1,1,0),0)</f>
        <v>0</v>
      </c>
      <c r="AF46" s="54">
        <f>SUM(B46:AE46)</f>
        <v>2</v>
      </c>
      <c r="AG46" s="54">
        <f>AF52-AF46</f>
        <v>2</v>
      </c>
      <c r="AW46" s="146"/>
    </row>
    <row r="47" spans="1:49" s="54" customFormat="1" ht="12.75" hidden="1" customHeight="1" x14ac:dyDescent="0.2">
      <c r="A47" s="54" t="s">
        <v>71</v>
      </c>
      <c r="B47" s="54">
        <f>IF(B24=2,IF(B37=1,1,0),0)</f>
        <v>0</v>
      </c>
      <c r="D47" s="58">
        <f>IF(D24=2,IF(D37=1,1,0),0)</f>
        <v>0</v>
      </c>
      <c r="E47" s="54">
        <f>IF(E24=2,IF(E37=1,1,0),0)</f>
        <v>0</v>
      </c>
      <c r="G47" s="58">
        <f>IF(G24=2,IF(G37=1,1,0),0)</f>
        <v>0</v>
      </c>
      <c r="H47" s="54">
        <f>IF(H24=2,IF(H37=1,1,0),0)</f>
        <v>0</v>
      </c>
      <c r="J47" s="58">
        <f>IF(J24=2,IF(J37=1,1,0),0)</f>
        <v>0</v>
      </c>
      <c r="K47" s="54">
        <f>IF(K24=2,IF(K37=1,1,0),0)</f>
        <v>0</v>
      </c>
      <c r="M47" s="58">
        <f>IF(M24=2,IF(M37=1,1,0),0)</f>
        <v>0</v>
      </c>
      <c r="N47" s="54">
        <f>IF(N24=2,IF(N37=1,1,0),0)</f>
        <v>0</v>
      </c>
      <c r="P47" s="58">
        <f>IF(P24=2,IF(P37=1,1,0),0)</f>
        <v>0</v>
      </c>
      <c r="Q47" s="54">
        <f>IF(Q24=2,IF(Q37=1,1,0),0)</f>
        <v>0</v>
      </c>
      <c r="S47" s="58">
        <f>IF(S24=2,IF(S37=1,1,0),0)</f>
        <v>0</v>
      </c>
      <c r="T47" s="54">
        <f>IF(T24=2,IF(T37=1,1,0),0)</f>
        <v>0</v>
      </c>
      <c r="V47" s="58">
        <f>IF(V24=2,IF(V37=1,1,0),0)</f>
        <v>0</v>
      </c>
      <c r="W47" s="54">
        <f>IF(W24=2,IF(W37=1,1,0),0)</f>
        <v>0</v>
      </c>
      <c r="Y47" s="58">
        <f>IF(Y24=2,IF(Y37=1,1,0),0)</f>
        <v>0</v>
      </c>
      <c r="Z47" s="54">
        <f>IF(Z24=2,IF(Z37=1,1,0),0)</f>
        <v>0</v>
      </c>
      <c r="AB47" s="58">
        <f>IF(AB24=2,IF(AB37=1,1,0),0)</f>
        <v>0</v>
      </c>
      <c r="AC47" s="54">
        <f>IF(AC24=2,IF(AC37=1,1,0),0)</f>
        <v>0</v>
      </c>
      <c r="AE47" s="58">
        <f>IF(AE24=2,IF(AE37=1,1,0),0)</f>
        <v>0</v>
      </c>
      <c r="AF47" s="54">
        <f>SUM(B47:AE47)</f>
        <v>0</v>
      </c>
      <c r="AG47" s="54">
        <f>AF53-AF47</f>
        <v>1</v>
      </c>
      <c r="AW47" s="146"/>
    </row>
    <row r="48" spans="1:49" s="54" customFormat="1" ht="12.75" hidden="1" customHeight="1" x14ac:dyDescent="0.2">
      <c r="A48" s="54" t="s">
        <v>72</v>
      </c>
      <c r="B48" s="54">
        <f>IF(B24=3,IF(B37=1,1,0),0)</f>
        <v>0</v>
      </c>
      <c r="D48" s="58">
        <f>IF(D24=3,IF(D37=1,1,0),0)</f>
        <v>0</v>
      </c>
      <c r="E48" s="54">
        <f>IF(E24=3,IF(E37=1,1,0),0)</f>
        <v>0</v>
      </c>
      <c r="G48" s="58">
        <f>IF(G24=3,IF(G37=1,1,0),0)</f>
        <v>0</v>
      </c>
      <c r="H48" s="54">
        <f>IF(H24=3,IF(H37=1,1,0),0)</f>
        <v>0</v>
      </c>
      <c r="J48" s="58">
        <f>IF(J24=3,IF(J37=1,1,0),0)</f>
        <v>0</v>
      </c>
      <c r="K48" s="54">
        <f>IF(K24=3,IF(K37=1,1,0),0)</f>
        <v>0</v>
      </c>
      <c r="M48" s="58">
        <f>IF(M24=3,IF(M37=1,1,0),0)</f>
        <v>0</v>
      </c>
      <c r="N48" s="54">
        <f>IF(N24=3,IF(N37=1,1,0),0)</f>
        <v>0</v>
      </c>
      <c r="P48" s="58">
        <f>IF(P24=3,IF(P37=1,1,0),0)</f>
        <v>1</v>
      </c>
      <c r="Q48" s="54">
        <f>IF(Q24=3,IF(Q37=1,1,0),0)</f>
        <v>0</v>
      </c>
      <c r="S48" s="58">
        <f>IF(S24=3,IF(S37=1,1,0),0)</f>
        <v>0</v>
      </c>
      <c r="T48" s="54">
        <f>IF(T24=3,IF(T37=1,1,0),0)</f>
        <v>0</v>
      </c>
      <c r="V48" s="58">
        <f>IF(V24=3,IF(V37=1,1,0),0)</f>
        <v>0</v>
      </c>
      <c r="W48" s="54">
        <f>IF(W24=3,IF(W37=1,1,0),0)</f>
        <v>0</v>
      </c>
      <c r="Y48" s="58">
        <f>IF(Y24=3,IF(Y37=1,1,0),0)</f>
        <v>0</v>
      </c>
      <c r="Z48" s="54">
        <f>IF(Z24=3,IF(Z37=1,1,0),0)</f>
        <v>1</v>
      </c>
      <c r="AB48" s="58">
        <f>IF(AB24=3,IF(AB37=1,1,0),0)</f>
        <v>0</v>
      </c>
      <c r="AC48" s="54">
        <f>IF(AC24=3,IF(AC37=1,1,0),0)</f>
        <v>0</v>
      </c>
      <c r="AE48" s="58">
        <f>IF(AE24=3,IF(AE37=1,1,0),0)</f>
        <v>0</v>
      </c>
      <c r="AF48" s="54">
        <f>SUM(B48:AE48)</f>
        <v>2</v>
      </c>
      <c r="AG48" s="54">
        <f>AF54-AF48</f>
        <v>1</v>
      </c>
      <c r="AW48" s="146"/>
    </row>
    <row r="49" spans="1:49" s="54" customFormat="1" ht="12.75" hidden="1" customHeight="1" x14ac:dyDescent="0.2">
      <c r="A49" s="54" t="s">
        <v>73</v>
      </c>
      <c r="B49" s="54">
        <f>IF(B24=4,IF(B37=1,1,0),0)</f>
        <v>0</v>
      </c>
      <c r="D49" s="58">
        <f>IF(D24=4,IF(D37=1,1,0),0)</f>
        <v>0</v>
      </c>
      <c r="E49" s="54">
        <f>IF(E24=4,IF(E37=1,1,0),0)</f>
        <v>0</v>
      </c>
      <c r="G49" s="58">
        <f>IF(G24=4,IF(G37=1,1,0),0)</f>
        <v>1</v>
      </c>
      <c r="H49" s="54">
        <f>IF(H24=4,IF(H37=1,1,0),0)</f>
        <v>0</v>
      </c>
      <c r="J49" s="58">
        <f>IF(J24=4,IF(J37=1,1,0),0)</f>
        <v>0</v>
      </c>
      <c r="K49" s="54">
        <f>IF(K24=4,IF(K37=1,1,0),0)</f>
        <v>0</v>
      </c>
      <c r="M49" s="58">
        <f>IF(M24=4,IF(M37=1,1,0),0)</f>
        <v>0</v>
      </c>
      <c r="N49" s="54">
        <f>IF(N24=4,IF(N37=1,1,0),0)</f>
        <v>0</v>
      </c>
      <c r="P49" s="58">
        <f>IF(P24=4,IF(P37=1,1,0),0)</f>
        <v>0</v>
      </c>
      <c r="Q49" s="54">
        <f>IF(Q24=4,IF(Q37=1,1,0),0)</f>
        <v>0</v>
      </c>
      <c r="S49" s="58">
        <f>IF(S24=4,IF(S37=1,1,0),0)</f>
        <v>0</v>
      </c>
      <c r="T49" s="54">
        <f>IF(T24=4,IF(T37=1,1,0),0)</f>
        <v>0</v>
      </c>
      <c r="V49" s="58">
        <f>IF(V24=4,IF(V37=1,1,0),0)</f>
        <v>0</v>
      </c>
      <c r="W49" s="54">
        <f>IF(W24=4,IF(W37=1,1,0),0)</f>
        <v>0</v>
      </c>
      <c r="Y49" s="58">
        <f>IF(Y24=4,IF(Y37=1,1,0),0)</f>
        <v>0</v>
      </c>
      <c r="Z49" s="54">
        <f>IF(Z24=4,IF(Z37=1,1,0),0)</f>
        <v>0</v>
      </c>
      <c r="AB49" s="58">
        <f>IF(AB24=4,IF(AB37=1,1,0),0)</f>
        <v>0</v>
      </c>
      <c r="AC49" s="54">
        <f>IF(AC24=4,IF(AC37=1,1,0),0)</f>
        <v>0</v>
      </c>
      <c r="AE49" s="58">
        <f>IF(AE24=4,IF(AE37=1,1,0),0)</f>
        <v>0</v>
      </c>
      <c r="AF49" s="54">
        <f>SUM(B49:AE49)</f>
        <v>1</v>
      </c>
      <c r="AG49" s="54">
        <f>AF55-AF49</f>
        <v>1</v>
      </c>
      <c r="AW49" s="146"/>
    </row>
    <row r="50" spans="1:49" s="54" customFormat="1" ht="12.75" hidden="1" customHeight="1" x14ac:dyDescent="0.2">
      <c r="A50" s="54" t="s">
        <v>74</v>
      </c>
      <c r="B50" s="54">
        <f>IF(B24=5,IF(B37=1,1,0),0)</f>
        <v>0</v>
      </c>
      <c r="D50" s="58">
        <f>IF(D24=5,IF(D37=1,1,0),0)</f>
        <v>0</v>
      </c>
      <c r="E50" s="54">
        <f>IF(E24=5,IF(E37=1,1,0),0)</f>
        <v>0</v>
      </c>
      <c r="G50" s="58">
        <f>IF(G24=5,IF(G37=1,1,0),0)</f>
        <v>0</v>
      </c>
      <c r="H50" s="54">
        <f>IF(H24=5,IF(H37=1,1,0),0)</f>
        <v>0</v>
      </c>
      <c r="J50" s="58">
        <f>IF(J24=5,IF(J37=1,1,0),0)</f>
        <v>1</v>
      </c>
      <c r="K50" s="54">
        <f>IF(K24=5,IF(K37=1,1,0),0)</f>
        <v>0</v>
      </c>
      <c r="M50" s="58">
        <f>IF(M24=5,IF(M37=1,1,0),0)</f>
        <v>0</v>
      </c>
      <c r="N50" s="54">
        <f>IF(N24=5,IF(N37=1,1,0),0)</f>
        <v>0</v>
      </c>
      <c r="P50" s="58">
        <f>IF(P24=5,IF(P37=1,1,0),0)</f>
        <v>0</v>
      </c>
      <c r="Q50" s="54">
        <f>IF(Q24=5,IF(Q37=1,1,0),0)</f>
        <v>0</v>
      </c>
      <c r="S50" s="58">
        <f>IF(S24=5,IF(S37=1,1,0),0)</f>
        <v>0</v>
      </c>
      <c r="T50" s="54">
        <f>IF(T24=5,IF(T37=1,1,0),0)</f>
        <v>0</v>
      </c>
      <c r="V50" s="58">
        <f>IF(V24=5,IF(V37=1,1,0),0)</f>
        <v>0</v>
      </c>
      <c r="W50" s="54">
        <f>IF(W24=5,IF(W37=1,1,0),0)</f>
        <v>0</v>
      </c>
      <c r="Y50" s="58">
        <f>IF(Y24=5,IF(Y37=1,1,0),0)</f>
        <v>0</v>
      </c>
      <c r="Z50" s="54">
        <f>IF(Z24=5,IF(Z37=1,1,0),0)</f>
        <v>0</v>
      </c>
      <c r="AB50" s="58">
        <f>IF(AB24=5,IF(AB37=1,1,0),0)</f>
        <v>0</v>
      </c>
      <c r="AC50" s="54">
        <f>IF(AC24=5,IF(AC37=1,1,0),0)</f>
        <v>0</v>
      </c>
      <c r="AE50" s="58">
        <f>IF(AE24=5,IF(AE37=1,1,0),0)</f>
        <v>0</v>
      </c>
      <c r="AF50" s="54">
        <f>SUM(B50:AE50)</f>
        <v>1</v>
      </c>
      <c r="AG50" s="54">
        <f>AF56-AF50</f>
        <v>1</v>
      </c>
      <c r="AW50" s="146"/>
    </row>
    <row r="51" spans="1:49" s="54" customFormat="1" ht="38.25" hidden="1" customHeight="1" x14ac:dyDescent="0.2">
      <c r="A51" s="57"/>
      <c r="D51" s="58"/>
      <c r="G51" s="58"/>
      <c r="J51" s="58"/>
      <c r="M51" s="58"/>
      <c r="P51" s="58"/>
      <c r="S51" s="58"/>
      <c r="V51" s="58"/>
      <c r="Y51" s="58"/>
      <c r="AB51" s="58"/>
      <c r="AE51" s="58"/>
      <c r="AF51" s="57" t="s">
        <v>75</v>
      </c>
      <c r="AW51" s="146"/>
    </row>
    <row r="52" spans="1:49" s="54" customFormat="1" ht="12.75" hidden="1" customHeight="1" x14ac:dyDescent="0.2">
      <c r="A52" s="54" t="s">
        <v>76</v>
      </c>
      <c r="B52" s="54">
        <f>IF(B24=1,IF(C37=1,1,0),0)</f>
        <v>0</v>
      </c>
      <c r="D52" s="58">
        <f>IF(D24=1,IF(C37=1,1,0),0)</f>
        <v>0</v>
      </c>
      <c r="E52" s="54">
        <f>IF(E24=1,IF(F37=1,1,0),0)</f>
        <v>1</v>
      </c>
      <c r="G52" s="58">
        <f>IF(G24=1,IF(F37=1,1,0),0)</f>
        <v>0</v>
      </c>
      <c r="H52" s="54">
        <f>IF(H24=1,IF(I37=1,1,0),0)</f>
        <v>0</v>
      </c>
      <c r="J52" s="58">
        <f>IF(J24=1,IF(I37=1,1,0),0)</f>
        <v>0</v>
      </c>
      <c r="K52" s="54">
        <f>IF(K24=1,IF(L37=1,1,0),0)</f>
        <v>0</v>
      </c>
      <c r="M52" s="58">
        <f>IF(M24=1,IF(L37=1,1,0),0)</f>
        <v>0</v>
      </c>
      <c r="N52" s="54">
        <f>IF(N24=1,IF(O37=1,1,0),0)</f>
        <v>1</v>
      </c>
      <c r="P52" s="58">
        <f>IF(P24=1,IF(O37=1,1,0),0)</f>
        <v>0</v>
      </c>
      <c r="Q52" s="54">
        <f>IF(Q24=1,IF(R37=1,1,0),0)</f>
        <v>0</v>
      </c>
      <c r="S52" s="58">
        <f>IF(S24=1,IF(R37=1,1,0),0)</f>
        <v>0</v>
      </c>
      <c r="T52" s="54">
        <f>IF(T24=1,IF(U37=1,1,0),0)</f>
        <v>0</v>
      </c>
      <c r="V52" s="58">
        <f>IF(V24=1,IF(U37=1,1,0),0)</f>
        <v>0</v>
      </c>
      <c r="W52" s="54">
        <f>IF(W24=1,IF(X37=1,1,0),0)</f>
        <v>1</v>
      </c>
      <c r="Y52" s="58">
        <f>IF(Y24=1,IF(X37=1,1,0),0)</f>
        <v>0</v>
      </c>
      <c r="Z52" s="54">
        <f>IF(Z24=1,IF(AA37=1,1,0),0)</f>
        <v>0</v>
      </c>
      <c r="AB52" s="58">
        <f>IF(AB24=1,IF(AA37=1,1,0),0)</f>
        <v>0</v>
      </c>
      <c r="AC52" s="54">
        <f>IF(AC24=1,IF(AD37=1,1,0),0)</f>
        <v>1</v>
      </c>
      <c r="AE52" s="58">
        <f>IF(AE24=1,IF(AD37=1,1,0),0)</f>
        <v>0</v>
      </c>
      <c r="AF52" s="54">
        <f>SUM(B52:AE52)</f>
        <v>4</v>
      </c>
      <c r="AW52" s="146"/>
    </row>
    <row r="53" spans="1:49" s="54" customFormat="1" ht="12.75" hidden="1" customHeight="1" x14ac:dyDescent="0.2">
      <c r="A53" s="54" t="s">
        <v>77</v>
      </c>
      <c r="B53" s="54">
        <f>IF(B24=2,IF(C37=1,1,0),0)</f>
        <v>0</v>
      </c>
      <c r="D53" s="58">
        <f>IF(D24=2,IF(C37=1,1,0),0)</f>
        <v>0</v>
      </c>
      <c r="E53" s="54">
        <f>IF(E24=2,IF(F37=1,1,0),0)</f>
        <v>0</v>
      </c>
      <c r="G53" s="58">
        <f>IF(G24=2,IF(F37=1,1,0),0)</f>
        <v>0</v>
      </c>
      <c r="H53" s="54">
        <f>IF(H24=2,IF(I37=1,1,0),0)</f>
        <v>0</v>
      </c>
      <c r="J53" s="58">
        <f>IF(J24=2,IF(I37=1,1,0),0)</f>
        <v>0</v>
      </c>
      <c r="K53" s="54">
        <f>IF(K24=2,IF(L37=1,1,0),0)</f>
        <v>0</v>
      </c>
      <c r="M53" s="58">
        <f>IF(M24=2,IF(L37=1,1,0),0)</f>
        <v>0</v>
      </c>
      <c r="N53" s="54">
        <f>IF(N24=2,IF(O37=1,1,0),0)</f>
        <v>0</v>
      </c>
      <c r="P53" s="58">
        <f>IF(P24=2,IF(O37=1,1,0),0)</f>
        <v>0</v>
      </c>
      <c r="Q53" s="54">
        <f>IF(Q24=2,IF(R37=1,1,0),0)</f>
        <v>0</v>
      </c>
      <c r="S53" s="58">
        <f>IF(S24=2,IF(R37=1,1,0),0)</f>
        <v>0</v>
      </c>
      <c r="T53" s="54">
        <f>IF(T24=2,IF(U37=1,1,0),0)</f>
        <v>0</v>
      </c>
      <c r="V53" s="58">
        <f>IF(V24=2,IF(U37=1,1,0),0)</f>
        <v>0</v>
      </c>
      <c r="W53" s="54">
        <f>IF(W24=2,IF(X37=1,1,0),0)</f>
        <v>0</v>
      </c>
      <c r="Y53" s="58">
        <f>IF(Y24=2,IF(X37=1,1,0),0)</f>
        <v>0</v>
      </c>
      <c r="Z53" s="54">
        <f>IF(Z24=2,IF(AA37=1,1,0),0)</f>
        <v>0</v>
      </c>
      <c r="AB53" s="58">
        <f>IF(AB24=2,IF(AA37=1,1,0),0)</f>
        <v>0</v>
      </c>
      <c r="AC53" s="54">
        <f>IF(AC24=2,IF(AD37=1,1,0),0)</f>
        <v>0</v>
      </c>
      <c r="AE53" s="58">
        <f>IF(AE24=2,IF(AD37=1,1,0),0)</f>
        <v>1</v>
      </c>
      <c r="AF53" s="54">
        <f>SUM(B53:AE53)</f>
        <v>1</v>
      </c>
      <c r="AW53" s="146"/>
    </row>
    <row r="54" spans="1:49" s="54" customFormat="1" ht="12.75" hidden="1" customHeight="1" x14ac:dyDescent="0.2">
      <c r="A54" s="54" t="s">
        <v>78</v>
      </c>
      <c r="B54" s="54">
        <f>IF(B24=3,IF(C37=1,1,0),0)</f>
        <v>0</v>
      </c>
      <c r="D54" s="58">
        <f>IF(D24=3,IF(C37=1,1,0),0)</f>
        <v>0</v>
      </c>
      <c r="E54" s="54">
        <f>IF(E24=3,IF(F37=1,1,0),0)</f>
        <v>0</v>
      </c>
      <c r="G54" s="58">
        <f>IF(G24=3,IF(F37=1,1,0),0)</f>
        <v>0</v>
      </c>
      <c r="H54" s="54">
        <f>IF(H24=3,IF(I37=1,1,0),0)</f>
        <v>1</v>
      </c>
      <c r="J54" s="58">
        <f>IF(J24=3,IF(I37=1,1,0),0)</f>
        <v>0</v>
      </c>
      <c r="K54" s="54">
        <f>IF(K24=3,IF(L37=1,1,0),0)</f>
        <v>0</v>
      </c>
      <c r="M54" s="58">
        <f>IF(M24=3,IF(L37=1,1,0),0)</f>
        <v>0</v>
      </c>
      <c r="N54" s="54">
        <f>IF(N24=3,IF(O37=1,1,0),0)</f>
        <v>0</v>
      </c>
      <c r="P54" s="58">
        <f>IF(P24=3,IF(O37=1,1,0),0)</f>
        <v>1</v>
      </c>
      <c r="Q54" s="54">
        <f>IF(Q24=3,IF(R37=1,1,0),0)</f>
        <v>0</v>
      </c>
      <c r="S54" s="58">
        <f>IF(S24=3,IF(R37=1,1,0),0)</f>
        <v>0</v>
      </c>
      <c r="T54" s="54">
        <f>IF(T24=3,IF(U37=1,1,0),0)</f>
        <v>0</v>
      </c>
      <c r="V54" s="58">
        <f>IF(V24=3,IF(U37=1,1,0),0)</f>
        <v>0</v>
      </c>
      <c r="W54" s="54">
        <f>IF(W24=3,IF(X37=1,1,0),0)</f>
        <v>0</v>
      </c>
      <c r="Y54" s="58">
        <f>IF(Y24=3,IF(X37=1,1,0),0)</f>
        <v>0</v>
      </c>
      <c r="Z54" s="54">
        <f>IF(Z24=3,IF(AA37=1,1,0),0)</f>
        <v>1</v>
      </c>
      <c r="AB54" s="58">
        <f>IF(AB24=3,IF(AA37=1,1,0),0)</f>
        <v>0</v>
      </c>
      <c r="AC54" s="54">
        <f>IF(AC24=3,IF(AD37=1,1,0),0)</f>
        <v>0</v>
      </c>
      <c r="AE54" s="58">
        <f>IF(AE24=3,IF(AD37=1,1,0),0)</f>
        <v>0</v>
      </c>
      <c r="AF54" s="54">
        <f>SUM(B54:AE54)</f>
        <v>3</v>
      </c>
      <c r="AW54" s="146"/>
    </row>
    <row r="55" spans="1:49" s="54" customFormat="1" ht="12.75" hidden="1" customHeight="1" x14ac:dyDescent="0.2">
      <c r="A55" s="54" t="s">
        <v>79</v>
      </c>
      <c r="B55" s="54">
        <f>IF(B24=4,IF(C37=1,1,0),0)</f>
        <v>0</v>
      </c>
      <c r="D55" s="58">
        <f>IF(D24=4,IF(C37=1,1,0),0)</f>
        <v>0</v>
      </c>
      <c r="E55" s="54">
        <f>IF(E24=4,IF(F37=1,1,0),0)</f>
        <v>0</v>
      </c>
      <c r="G55" s="58">
        <f>IF(G24=4,IF(F37=1,1,0),0)</f>
        <v>1</v>
      </c>
      <c r="H55" s="54">
        <f>IF(H24=4,IF(I37=1,1,0),0)</f>
        <v>0</v>
      </c>
      <c r="J55" s="58">
        <f>IF(J24=4,IF(I37=1,1,0),0)</f>
        <v>0</v>
      </c>
      <c r="K55" s="54">
        <f>IF(K24=4,IF(L37=1,1,0),0)</f>
        <v>0</v>
      </c>
      <c r="M55" s="58">
        <f>IF(M24=4,IF(L37=1,1,0),0)</f>
        <v>0</v>
      </c>
      <c r="N55" s="54">
        <f>IF(N24=4,IF(O37=1,1,0),0)</f>
        <v>0</v>
      </c>
      <c r="P55" s="58">
        <f>IF(P24=4,IF(O37=1,1,0),0)</f>
        <v>0</v>
      </c>
      <c r="Q55" s="54">
        <f>IF(Q24=4,IF(R37=1,1,0),0)</f>
        <v>0</v>
      </c>
      <c r="S55" s="58">
        <f>IF(S24=4,IF(R37=1,1,0),0)</f>
        <v>0</v>
      </c>
      <c r="T55" s="54">
        <f>IF(T24=4,IF(U37=1,1,0),0)</f>
        <v>0</v>
      </c>
      <c r="V55" s="58">
        <f>IF(V24=4,IF(U37=1,1,0),0)</f>
        <v>0</v>
      </c>
      <c r="W55" s="54">
        <f>IF(W24=4,IF(X37=1,1,0),0)</f>
        <v>0</v>
      </c>
      <c r="Y55" s="58">
        <f>IF(Y24=4,IF(X37=1,1,0),0)</f>
        <v>0</v>
      </c>
      <c r="Z55" s="54">
        <f>IF(Z24=4,IF(AA37=1,1,0),0)</f>
        <v>0</v>
      </c>
      <c r="AB55" s="58">
        <f>IF(AB24=4,IF(AA37=1,1,0),0)</f>
        <v>1</v>
      </c>
      <c r="AC55" s="54">
        <f>IF(AC24=4,IF(AD37=1,1,0),0)</f>
        <v>0</v>
      </c>
      <c r="AE55" s="58">
        <f>IF(AE24=4,IF(AD37=1,1,0),0)</f>
        <v>0</v>
      </c>
      <c r="AF55" s="54">
        <f>SUM(B55:AE55)</f>
        <v>2</v>
      </c>
      <c r="AW55" s="146"/>
    </row>
    <row r="56" spans="1:49" s="54" customFormat="1" ht="12.75" hidden="1" customHeight="1" x14ac:dyDescent="0.2">
      <c r="A56" s="54" t="s">
        <v>80</v>
      </c>
      <c r="B56" s="54">
        <f>IF(B24=5,IF(C37=1,1,0),0)</f>
        <v>0</v>
      </c>
      <c r="D56" s="58">
        <f>IF(D24=5,IF(C37=1,1,0),0)</f>
        <v>0</v>
      </c>
      <c r="E56" s="54">
        <f>IF(E24=5,IF(F37=1,1,0),0)</f>
        <v>0</v>
      </c>
      <c r="G56" s="58">
        <f>IF(G24=5,IF(F37=1,1,0),0)</f>
        <v>0</v>
      </c>
      <c r="H56" s="54">
        <f>IF(H24=5,IF(I37=1,1,0),0)</f>
        <v>0</v>
      </c>
      <c r="J56" s="58">
        <f>IF(J24=5,IF(I37=1,1,0),0)</f>
        <v>1</v>
      </c>
      <c r="K56" s="54">
        <f>IF(K24=5,IF(L37=1,1,0),0)</f>
        <v>0</v>
      </c>
      <c r="M56" s="58">
        <f>IF(M24=5,IF(L37=1,1,0),0)</f>
        <v>0</v>
      </c>
      <c r="N56" s="54">
        <f>IF(N24=5,IF(O37=1,1,0),0)</f>
        <v>0</v>
      </c>
      <c r="P56" s="58">
        <f>IF(P24=5,IF(O37=1,1,0),0)</f>
        <v>0</v>
      </c>
      <c r="Q56" s="54">
        <f>IF(Q24=5,IF(R37=1,1,0),0)</f>
        <v>0</v>
      </c>
      <c r="S56" s="58">
        <f>IF(S24=5,IF(R37=1,1,0),0)</f>
        <v>0</v>
      </c>
      <c r="T56" s="54">
        <f>IF(T24=5,IF(U37=1,1,0),0)</f>
        <v>0</v>
      </c>
      <c r="V56" s="58">
        <f>IF(V24=5,IF(U37=1,1,0),0)</f>
        <v>0</v>
      </c>
      <c r="W56" s="54">
        <f>IF(W24=5,IF(X37=1,1,0),0)</f>
        <v>0</v>
      </c>
      <c r="Y56" s="58">
        <f>IF(Y24=5,IF(X37=1,1,0),0)</f>
        <v>1</v>
      </c>
      <c r="Z56" s="54">
        <f>IF(Z24=5,IF(AA37=1,1,0),0)</f>
        <v>0</v>
      </c>
      <c r="AB56" s="58">
        <f>IF(AB24=5,IF(AA37=1,1,0),0)</f>
        <v>0</v>
      </c>
      <c r="AC56" s="54">
        <f>IF(AC24=5,IF(AD37=1,1,0),0)</f>
        <v>0</v>
      </c>
      <c r="AE56" s="58">
        <f>IF(AE24=5,IF(AD37=1,1,0),0)</f>
        <v>0</v>
      </c>
      <c r="AF56" s="54">
        <f>SUM(B56:AE56)</f>
        <v>2</v>
      </c>
      <c r="AW56" s="146"/>
    </row>
    <row r="57" spans="1:49" s="54" customFormat="1" ht="38.25" hidden="1" customHeight="1" x14ac:dyDescent="0.2">
      <c r="A57" s="57"/>
      <c r="D57" s="58"/>
      <c r="G57" s="58"/>
      <c r="J57" s="58"/>
      <c r="M57" s="58"/>
      <c r="P57" s="58"/>
      <c r="S57" s="58"/>
      <c r="V57" s="58"/>
      <c r="Y57" s="58"/>
      <c r="AB57" s="58"/>
      <c r="AE57" s="58"/>
      <c r="AF57" s="57" t="s">
        <v>81</v>
      </c>
      <c r="AG57" s="789"/>
      <c r="AH57" s="789"/>
      <c r="AI57" s="789"/>
      <c r="AJ57" s="789"/>
      <c r="AK57" s="789"/>
      <c r="AW57" s="146"/>
    </row>
    <row r="58" spans="1:49" s="54" customFormat="1" ht="12.75" hidden="1" customHeight="1" x14ac:dyDescent="0.2">
      <c r="A58" s="54" t="s">
        <v>76</v>
      </c>
      <c r="B58" s="54">
        <f>IF(B24=1,B44,0)</f>
        <v>0</v>
      </c>
      <c r="D58" s="58">
        <f>IF(D24=1,B44,0)</f>
        <v>0</v>
      </c>
      <c r="E58" s="54">
        <f>IF(E24=1,E44,0)</f>
        <v>50</v>
      </c>
      <c r="G58" s="58">
        <f>IF(G24=1,E44,0)</f>
        <v>0</v>
      </c>
      <c r="H58" s="54">
        <f>IF(H24=1,H44,0)</f>
        <v>0</v>
      </c>
      <c r="J58" s="58">
        <f>IF(J24=1,H44,0)</f>
        <v>0</v>
      </c>
      <c r="K58" s="54">
        <f>IF(K24=1,K44,0)</f>
        <v>0</v>
      </c>
      <c r="M58" s="58">
        <f>IF(M24=1,K44,0)</f>
        <v>0</v>
      </c>
      <c r="N58" s="54">
        <f>IF(N24=1,N44,0)</f>
        <v>50</v>
      </c>
      <c r="P58" s="58">
        <f>IF(P24=1,N44,0)</f>
        <v>0</v>
      </c>
      <c r="Q58" s="54">
        <f>IF(Q24=1,Q44,0)</f>
        <v>0</v>
      </c>
      <c r="S58" s="58">
        <f>IF(S24=1,Q44,0)</f>
        <v>0</v>
      </c>
      <c r="T58" s="54">
        <f>IF(T24=1,T44,0)</f>
        <v>0</v>
      </c>
      <c r="V58" s="58">
        <f>IF(V24=1,T44,0)</f>
        <v>0</v>
      </c>
      <c r="W58" s="54">
        <f>IF(W24=1,W44,0)</f>
        <v>50</v>
      </c>
      <c r="Y58" s="58">
        <f>IF(Y24=1,W44,0)</f>
        <v>0</v>
      </c>
      <c r="Z58" s="54">
        <f>IF(Z24=1,Z44,0)</f>
        <v>0</v>
      </c>
      <c r="AB58" s="58">
        <f>IF(AB24=1,Z44,0)</f>
        <v>0</v>
      </c>
      <c r="AC58" s="54">
        <f>IF(AC24=1,AC44,0)</f>
        <v>50</v>
      </c>
      <c r="AE58" s="58">
        <f>IF(AE24=1,AC44,0)</f>
        <v>0</v>
      </c>
      <c r="AF58" s="54">
        <f>SUM(B58:AE58)</f>
        <v>200</v>
      </c>
      <c r="AW58" s="146"/>
    </row>
    <row r="59" spans="1:49" s="54" customFormat="1" ht="12.75" hidden="1" customHeight="1" x14ac:dyDescent="0.2">
      <c r="A59" s="54" t="s">
        <v>77</v>
      </c>
      <c r="B59" s="54">
        <f>IF(B24=2,B44,0)</f>
        <v>51</v>
      </c>
      <c r="D59" s="58">
        <f>IF(D24=2,B44,0)</f>
        <v>0</v>
      </c>
      <c r="E59" s="54">
        <f>IF(E24=2,E44,0)</f>
        <v>0</v>
      </c>
      <c r="G59" s="58">
        <f>IF(G24=2,E44,0)</f>
        <v>0</v>
      </c>
      <c r="H59" s="54">
        <f>IF(H24=2,H44,0)</f>
        <v>0</v>
      </c>
      <c r="J59" s="58">
        <f>IF(J24=2,H44,0)</f>
        <v>0</v>
      </c>
      <c r="K59" s="54">
        <f>IF(K24=2,K44,0)</f>
        <v>50</v>
      </c>
      <c r="M59" s="58">
        <f>IF(M24=2,K44,0)</f>
        <v>0</v>
      </c>
      <c r="N59" s="54">
        <f>IF(N24=2,N44,0)</f>
        <v>0</v>
      </c>
      <c r="P59" s="58">
        <f>IF(P24=2,N44,0)</f>
        <v>0</v>
      </c>
      <c r="Q59" s="54">
        <f>IF(Q24=2,Q44,0)</f>
        <v>0</v>
      </c>
      <c r="S59" s="58">
        <f>IF(S24=2,Q44,0)</f>
        <v>0</v>
      </c>
      <c r="T59" s="54">
        <f>IF(T24=2,T44,0)</f>
        <v>50</v>
      </c>
      <c r="V59" s="58">
        <f>IF(V24=2,T44,0)</f>
        <v>0</v>
      </c>
      <c r="W59" s="54">
        <f>IF(W24=2,W44,0)</f>
        <v>0</v>
      </c>
      <c r="Y59" s="58">
        <f>IF(Y24=2,W44,0)</f>
        <v>0</v>
      </c>
      <c r="Z59" s="54">
        <f>IF(Z24=2,Z44,0)</f>
        <v>0</v>
      </c>
      <c r="AB59" s="58">
        <f>IF(AB24=2,Z44,0)</f>
        <v>0</v>
      </c>
      <c r="AC59" s="54">
        <f>IF(AC24=2,AC44,0)</f>
        <v>0</v>
      </c>
      <c r="AE59" s="58">
        <f>IF(AE24=2,AC44,0)</f>
        <v>50</v>
      </c>
      <c r="AF59" s="54">
        <f>SUM(B59:AE59)</f>
        <v>201</v>
      </c>
      <c r="AW59" s="146"/>
    </row>
    <row r="60" spans="1:49" s="54" customFormat="1" ht="12.75" hidden="1" customHeight="1" x14ac:dyDescent="0.2">
      <c r="A60" s="54" t="s">
        <v>78</v>
      </c>
      <c r="B60" s="54">
        <f>IF(B24=3,B44,0)</f>
        <v>0</v>
      </c>
      <c r="D60" s="58">
        <f>IF(D24=3,B44,0)</f>
        <v>0</v>
      </c>
      <c r="E60" s="54">
        <f>IF(E24=3,E44,0)</f>
        <v>0</v>
      </c>
      <c r="G60" s="58">
        <f>IF(G24=3,E44,0)</f>
        <v>0</v>
      </c>
      <c r="H60" s="54">
        <f>IF(H24=3,H44,0)</f>
        <v>50</v>
      </c>
      <c r="J60" s="58">
        <f>IF(J24=3,H44,0)</f>
        <v>0</v>
      </c>
      <c r="K60" s="54">
        <f>IF(K24=3,K44,0)</f>
        <v>0</v>
      </c>
      <c r="M60" s="58">
        <f>IF(M24=3,K44,0)</f>
        <v>0</v>
      </c>
      <c r="N60" s="54">
        <f>IF(N24=3,N44,0)</f>
        <v>0</v>
      </c>
      <c r="P60" s="58">
        <f>IF(P24=3,N44,0)</f>
        <v>50</v>
      </c>
      <c r="Q60" s="54">
        <f>IF(Q24=3,Q44,0)</f>
        <v>0</v>
      </c>
      <c r="S60" s="58">
        <f>IF(S24=3,Q44,0)</f>
        <v>0</v>
      </c>
      <c r="T60" s="54">
        <f>IF(T24=3,T44,0)</f>
        <v>0</v>
      </c>
      <c r="V60" s="58">
        <f>IF(V24=3,T44,0)</f>
        <v>50</v>
      </c>
      <c r="W60" s="54">
        <f>IF(W24=3,W44,0)</f>
        <v>0</v>
      </c>
      <c r="Y60" s="58">
        <f>IF(Y24=3,W44,0)</f>
        <v>0</v>
      </c>
      <c r="Z60" s="54">
        <f>IF(Z24=3,Z44,0)</f>
        <v>50</v>
      </c>
      <c r="AB60" s="58">
        <f>IF(AB24=3,Z44,0)</f>
        <v>0</v>
      </c>
      <c r="AC60" s="54">
        <f>IF(AC24=3,AC44,0)</f>
        <v>0</v>
      </c>
      <c r="AE60" s="58">
        <f>IF(AE24=3,AC44,0)</f>
        <v>0</v>
      </c>
      <c r="AF60" s="54">
        <f>SUM(B60:AE60)</f>
        <v>200</v>
      </c>
      <c r="AW60" s="146"/>
    </row>
    <row r="61" spans="1:49" s="54" customFormat="1" ht="12.75" hidden="1" customHeight="1" x14ac:dyDescent="0.2">
      <c r="A61" s="54" t="s">
        <v>79</v>
      </c>
      <c r="B61" s="54">
        <f>IF(B24=4,B44,0)</f>
        <v>0</v>
      </c>
      <c r="D61" s="58">
        <f>IF(D24=4,B44,0)</f>
        <v>0</v>
      </c>
      <c r="E61" s="54">
        <f>IF(E24=4,E44,0)</f>
        <v>0</v>
      </c>
      <c r="G61" s="58">
        <f>IF(G24=4,E44,0)</f>
        <v>50</v>
      </c>
      <c r="H61" s="54">
        <f>IF(H24=4,H44,0)</f>
        <v>0</v>
      </c>
      <c r="J61" s="58">
        <f>IF(J24=4,H44,0)</f>
        <v>0</v>
      </c>
      <c r="K61" s="54">
        <f>IF(K24=4,K44,0)</f>
        <v>0</v>
      </c>
      <c r="M61" s="58">
        <f>IF(M24=4,K44,0)</f>
        <v>50</v>
      </c>
      <c r="N61" s="54">
        <f>IF(N24=4,N44,0)</f>
        <v>0</v>
      </c>
      <c r="P61" s="58">
        <f>IF(P24=4,N44,0)</f>
        <v>0</v>
      </c>
      <c r="Q61" s="54">
        <f>IF(Q24=4,Q44,0)</f>
        <v>50</v>
      </c>
      <c r="S61" s="58">
        <f>IF(S24=4,Q44,0)</f>
        <v>0</v>
      </c>
      <c r="T61" s="54">
        <f>IF(T24=4,T44,0)</f>
        <v>0</v>
      </c>
      <c r="V61" s="58">
        <f>IF(V24=4,T44,0)</f>
        <v>0</v>
      </c>
      <c r="W61" s="54">
        <f>IF(W24=4,W44,0)</f>
        <v>0</v>
      </c>
      <c r="Y61" s="58">
        <f>IF(Y24=4,W44,0)</f>
        <v>0</v>
      </c>
      <c r="Z61" s="54">
        <f>IF(Z24=4,Z44,0)</f>
        <v>0</v>
      </c>
      <c r="AB61" s="58">
        <f>IF(AB24=4,Z44,0)</f>
        <v>50</v>
      </c>
      <c r="AC61" s="54">
        <f>IF(AC24=4,AC44,0)</f>
        <v>0</v>
      </c>
      <c r="AE61" s="58">
        <f>IF(AE24=4,AC44,0)</f>
        <v>0</v>
      </c>
      <c r="AF61" s="54">
        <f>SUM(B61:AE61)</f>
        <v>200</v>
      </c>
      <c r="AW61" s="146"/>
    </row>
    <row r="62" spans="1:49" s="54" customFormat="1" ht="12.75" hidden="1" customHeight="1" x14ac:dyDescent="0.2">
      <c r="A62" s="54" t="s">
        <v>80</v>
      </c>
      <c r="B62" s="54">
        <f>IF(B24=5,B44,0)</f>
        <v>0</v>
      </c>
      <c r="D62" s="58">
        <f>IF(D24=5,B44,0)</f>
        <v>51</v>
      </c>
      <c r="E62" s="54">
        <f>IF(E24=5,E44,0)</f>
        <v>0</v>
      </c>
      <c r="G62" s="58">
        <f>IF(G24=5,E44,0)</f>
        <v>0</v>
      </c>
      <c r="H62" s="54">
        <f>IF(H24=5,H44,0)</f>
        <v>0</v>
      </c>
      <c r="J62" s="58">
        <f>IF(J24=5,H44,0)</f>
        <v>50</v>
      </c>
      <c r="K62" s="54">
        <f>IF(K24=5,K44,0)</f>
        <v>0</v>
      </c>
      <c r="M62" s="58">
        <f>IF(M24=5,K44,0)</f>
        <v>0</v>
      </c>
      <c r="N62" s="54">
        <f>IF(N24=5,N44,0)</f>
        <v>0</v>
      </c>
      <c r="P62" s="58">
        <f>IF(P24=5,N44,0)</f>
        <v>0</v>
      </c>
      <c r="Q62" s="54">
        <f>IF(Q24=5,Q44,0)</f>
        <v>0</v>
      </c>
      <c r="S62" s="58">
        <f>IF(S24=5,Q44,0)</f>
        <v>50</v>
      </c>
      <c r="T62" s="54">
        <f>IF(T24=5,T44,0)</f>
        <v>0</v>
      </c>
      <c r="V62" s="58">
        <f>IF(V24=5,T44,0)</f>
        <v>0</v>
      </c>
      <c r="W62" s="54">
        <f>IF(W24=5,W44,0)</f>
        <v>0</v>
      </c>
      <c r="Y62" s="58">
        <f>IF(Y24=5,W44,0)</f>
        <v>50</v>
      </c>
      <c r="Z62" s="54">
        <f>IF(Z24=5,Z44,0)</f>
        <v>0</v>
      </c>
      <c r="AB62" s="58">
        <f>IF(AB24=5,Z44,0)</f>
        <v>0</v>
      </c>
      <c r="AC62" s="54">
        <f>IF(AC24=5,AC44,0)</f>
        <v>0</v>
      </c>
      <c r="AE62" s="58">
        <f>IF(AE24=5,AC44,0)</f>
        <v>0</v>
      </c>
      <c r="AF62" s="54">
        <f>SUM(B62:AE62)</f>
        <v>201</v>
      </c>
      <c r="AW62" s="146"/>
    </row>
    <row r="63" spans="1:49" s="54" customFormat="1" ht="38.25" hidden="1" customHeight="1" x14ac:dyDescent="0.2">
      <c r="A63" s="54" t="s">
        <v>82</v>
      </c>
      <c r="D63" s="58"/>
      <c r="G63" s="58"/>
      <c r="J63" s="58"/>
      <c r="M63" s="58"/>
      <c r="P63" s="58"/>
      <c r="S63" s="58"/>
      <c r="V63" s="58"/>
      <c r="Y63" s="58"/>
      <c r="AB63" s="58"/>
      <c r="AE63" s="58"/>
      <c r="AF63" s="57" t="s">
        <v>83</v>
      </c>
      <c r="AG63" s="54" t="s">
        <v>84</v>
      </c>
      <c r="AW63" s="146"/>
    </row>
    <row r="64" spans="1:49" s="54" customFormat="1" ht="12.75" hidden="1" customHeight="1" x14ac:dyDescent="0.2">
      <c r="A64" s="54" t="s">
        <v>70</v>
      </c>
      <c r="B64" s="54">
        <f>IF(B24=1,SUMIF(B31:B35,"&gt;0"),0)</f>
        <v>0</v>
      </c>
      <c r="D64" s="58">
        <f>IF(D24=1,SUMIF(D31:D35,"&gt;0"),0)</f>
        <v>0</v>
      </c>
      <c r="E64" s="54">
        <f>IF(E24=1,SUMIF(E31:E35,"&gt;0"),0)</f>
        <v>0</v>
      </c>
      <c r="G64" s="58">
        <f>IF(G24=1,SUMIF(G31:G35,"&gt;0"),0)</f>
        <v>0</v>
      </c>
      <c r="H64" s="54">
        <f>IF(H24=1,SUMIF(H31:H35,"&gt;0"),0)</f>
        <v>0</v>
      </c>
      <c r="J64" s="58">
        <f>IF(J24=1,SUMIF(J31:J35,"&gt;0"),0)</f>
        <v>0</v>
      </c>
      <c r="K64" s="54">
        <f>IF(K24=1,SUMIF(K31:K35,"&gt;0"),0)</f>
        <v>0</v>
      </c>
      <c r="M64" s="58">
        <f>IF(M24=1,SUMIF(M31:M35,"&gt;0"),0)</f>
        <v>0</v>
      </c>
      <c r="N64" s="54">
        <f>IF(N24=1,SUMIF(N31:N35,"&gt;0"),0)</f>
        <v>0</v>
      </c>
      <c r="P64" s="58">
        <f>IF(P24=1,SUMIF(P31:P35,"&gt;0"),0)</f>
        <v>0</v>
      </c>
      <c r="Q64" s="54">
        <f>IF(Q24=1,SUMIF(Q31:Q35,"&gt;0"),0)</f>
        <v>0</v>
      </c>
      <c r="S64" s="58">
        <f>IF(S24=1,SUMIF(S31:S35,"&gt;0"),0)</f>
        <v>0</v>
      </c>
      <c r="T64" s="54">
        <f>IF(T24=1,SUMIF(T31:T35,"&gt;0"),0)</f>
        <v>0</v>
      </c>
      <c r="V64" s="58">
        <f>IF(V24=1,SUMIF(V31:V35,"&gt;0"),0)</f>
        <v>0</v>
      </c>
      <c r="W64" s="54">
        <f>IF(W24=1,SUMIF(W31:W35,"&gt;0"),0)</f>
        <v>2</v>
      </c>
      <c r="Y64" s="58">
        <f>IF(Y24=1,SUMIF(Y31:Y35,"&gt;0"),0)</f>
        <v>0</v>
      </c>
      <c r="Z64" s="54">
        <f>IF(Z24=1,SUMIF(Z31:Z35,"&gt;0"),0)</f>
        <v>0</v>
      </c>
      <c r="AB64" s="58">
        <f>IF(AB24=1,SUMIF(AB31:AB35,"&gt;0"),0)</f>
        <v>0</v>
      </c>
      <c r="AC64" s="54">
        <f>IF(AC24=1,SUMIF(AC31:AC35,"&gt;0"),0)</f>
        <v>2</v>
      </c>
      <c r="AE64" s="58">
        <f>IF(AE24=1,SUMIF(AE31:AE35,"&gt;0"),0)</f>
        <v>0</v>
      </c>
      <c r="AF64" s="54">
        <f>SUM(B64:AE64)</f>
        <v>4</v>
      </c>
      <c r="AG64" s="54">
        <f>AF72-AF64</f>
        <v>4</v>
      </c>
      <c r="AW64" s="146"/>
    </row>
    <row r="65" spans="1:54" s="54" customFormat="1" ht="12.75" hidden="1" customHeight="1" x14ac:dyDescent="0.2">
      <c r="A65" s="54" t="s">
        <v>71</v>
      </c>
      <c r="B65" s="54">
        <f>IF(B24=2,SUMIF(B31:B35,"&gt;0"),0)</f>
        <v>1</v>
      </c>
      <c r="D65" s="58">
        <f>IF(D24=2,SUMIF(D31:D35,"&gt;0"),0)</f>
        <v>0</v>
      </c>
      <c r="E65" s="54">
        <f>IF(E24=2,SUMIF(E31:E35,"&gt;0"),0)</f>
        <v>0</v>
      </c>
      <c r="G65" s="58">
        <f>IF(G24=2,SUMIF(G31:G35,"&gt;0"),0)</f>
        <v>0</v>
      </c>
      <c r="H65" s="54">
        <f>IF(H24=2,SUMIF(H31:H35,"&gt;0"),0)</f>
        <v>0</v>
      </c>
      <c r="J65" s="58">
        <f>IF(J24=2,SUMIF(J31:J35,"&gt;0"),0)</f>
        <v>0</v>
      </c>
      <c r="K65" s="54">
        <f>IF(K24=2,SUMIF(K31:K35,"&gt;0"),0)</f>
        <v>1</v>
      </c>
      <c r="M65" s="58">
        <f>IF(M24=2,SUMIF(M31:M35,"&gt;0"),0)</f>
        <v>0</v>
      </c>
      <c r="N65" s="54">
        <f>IF(N24=2,SUMIF(N31:N35,"&gt;0"),0)</f>
        <v>0</v>
      </c>
      <c r="P65" s="58">
        <f>IF(P24=2,SUMIF(P31:P35,"&gt;0"),0)</f>
        <v>0</v>
      </c>
      <c r="Q65" s="54">
        <f>IF(Q24=2,SUMIF(Q31:Q35,"&gt;0"),0)</f>
        <v>0</v>
      </c>
      <c r="S65" s="58">
        <f>IF(S24=2,SUMIF(S31:S35,"&gt;0"),0)</f>
        <v>0</v>
      </c>
      <c r="T65" s="54">
        <f>IF(T24=2,SUMIF(T31:T35,"&gt;0"),0)</f>
        <v>1</v>
      </c>
      <c r="V65" s="58">
        <f>IF(V24=2,SUMIF(V31:V35,"&gt;0"),0)</f>
        <v>0</v>
      </c>
      <c r="W65" s="54">
        <f>IF(W24=2,SUMIF(W31:W35,"&gt;0"),0)</f>
        <v>0</v>
      </c>
      <c r="Y65" s="58">
        <f>IF(Y24=2,SUMIF(Y31:Y35,"&gt;0"),0)</f>
        <v>0</v>
      </c>
      <c r="Z65" s="54">
        <f>IF(Z24=2,SUMIF(Z31:Z35,"&gt;0"),0)</f>
        <v>0</v>
      </c>
      <c r="AB65" s="58">
        <f>IF(AB24=2,SUMIF(AB31:AB35,"&gt;0"),0)</f>
        <v>0</v>
      </c>
      <c r="AC65" s="54">
        <f>IF(AC24=2,SUMIF(AC31:AC35,"&gt;0"),0)</f>
        <v>0</v>
      </c>
      <c r="AE65" s="58">
        <f>IF(AE24=2,SUMIF(AE31:AE35,"&gt;0"),0)</f>
        <v>0</v>
      </c>
      <c r="AF65" s="54">
        <f>SUM(B65:AE65)</f>
        <v>3</v>
      </c>
      <c r="AG65" s="54">
        <f>AF73-AF65</f>
        <v>5</v>
      </c>
      <c r="AW65" s="146"/>
    </row>
    <row r="66" spans="1:54" s="54" customFormat="1" ht="12.75" hidden="1" customHeight="1" x14ac:dyDescent="0.2">
      <c r="A66" s="54" t="s">
        <v>72</v>
      </c>
      <c r="B66" s="54">
        <f>IF(B24=3,SUMIF(B31:B35,"&gt;0"),0)</f>
        <v>0</v>
      </c>
      <c r="D66" s="58">
        <f>IF(D24=3,SUMIF(D31:D35,"&gt;0"),0)</f>
        <v>0</v>
      </c>
      <c r="E66" s="54">
        <f>IF(E24=3,SUMIF(E31:E35,"&gt;0"),0)</f>
        <v>0</v>
      </c>
      <c r="G66" s="58">
        <f>IF(G24=3,SUMIF(G31:G35,"&gt;0"),0)</f>
        <v>0</v>
      </c>
      <c r="H66" s="54">
        <f>IF(H24=3,SUMIF(H31:H35,"&gt;0"),0)</f>
        <v>0</v>
      </c>
      <c r="J66" s="58">
        <f>IF(J24=3,SUMIF(J31:J35,"&gt;0"),0)</f>
        <v>0</v>
      </c>
      <c r="K66" s="54">
        <f>IF(K24=3,SUMIF(K31:K35,"&gt;0"),0)</f>
        <v>0</v>
      </c>
      <c r="M66" s="58">
        <f>IF(M24=3,SUMIF(M31:M35,"&gt;0"),0)</f>
        <v>0</v>
      </c>
      <c r="N66" s="54">
        <f>IF(N24=3,SUMIF(N31:N35,"&gt;0"),0)</f>
        <v>0</v>
      </c>
      <c r="P66" s="58">
        <f>IF(P24=3,SUMIF(P31:P35,"&gt;0"),0)</f>
        <v>2</v>
      </c>
      <c r="Q66" s="54">
        <f>IF(Q24=3,SUMIF(Q31:Q35,"&gt;0"),0)</f>
        <v>0</v>
      </c>
      <c r="S66" s="58">
        <f>IF(S24=3,SUMIF(S31:S35,"&gt;0"),0)</f>
        <v>0</v>
      </c>
      <c r="T66" s="54">
        <f>IF(T24=3,SUMIF(T31:T35,"&gt;0"),0)</f>
        <v>0</v>
      </c>
      <c r="V66" s="58">
        <f>IF(V24=3,SUMIF(V31:V35,"&gt;0"),0)</f>
        <v>1</v>
      </c>
      <c r="W66" s="54">
        <f>IF(W24=3,SUMIF(W31:W35,"&gt;0"),0)</f>
        <v>0</v>
      </c>
      <c r="Y66" s="58">
        <f>IF(Y24=3,SUMIF(Y31:Y35,"&gt;0"),0)</f>
        <v>0</v>
      </c>
      <c r="Z66" s="54">
        <f>IF(Z24=3,SUMIF(Z31:Z35,"&gt;0"),0)</f>
        <v>2</v>
      </c>
      <c r="AB66" s="58">
        <f>IF(AB24=3,SUMIF(AB31:AB35,"&gt;0"),0)</f>
        <v>0</v>
      </c>
      <c r="AC66" s="54">
        <f>IF(AC24=3,SUMIF(AC31:AC35,"&gt;0"),0)</f>
        <v>0</v>
      </c>
      <c r="AE66" s="58">
        <f>IF(AE24=3,SUMIF(AE31:AE35,"&gt;0"),0)</f>
        <v>0</v>
      </c>
      <c r="AF66" s="54">
        <f>SUM(B66:AE66)</f>
        <v>5</v>
      </c>
      <c r="AG66" s="54">
        <f>AF74-AF66</f>
        <v>3</v>
      </c>
      <c r="AW66" s="146"/>
    </row>
    <row r="67" spans="1:54" s="54" customFormat="1" ht="12.75" hidden="1" customHeight="1" x14ac:dyDescent="0.2">
      <c r="A67" s="54" t="s">
        <v>73</v>
      </c>
      <c r="B67" s="54">
        <f>IF(B24=4,SUMIF(B31:B35,"&gt;0"),0)</f>
        <v>0</v>
      </c>
      <c r="D67" s="58">
        <f>IF(D24=4,SUMIF(D31:D35,"&gt;0"),0)</f>
        <v>0</v>
      </c>
      <c r="E67" s="54">
        <f>IF(E24=4,SUMIF(E31:E35,"&gt;0"),0)</f>
        <v>0</v>
      </c>
      <c r="G67" s="58">
        <f>IF(G24=4,SUMIF(G31:G35,"&gt;0"),0)</f>
        <v>2</v>
      </c>
      <c r="H67" s="54">
        <f>IF(H24=4,SUMIF(H31:H35,"&gt;0"),0)</f>
        <v>0</v>
      </c>
      <c r="J67" s="58">
        <f>IF(J24=4,SUMIF(J31:J35,"&gt;0"),0)</f>
        <v>0</v>
      </c>
      <c r="K67" s="54">
        <f>IF(K24=4,SUMIF(K31:K35,"&gt;0"),0)</f>
        <v>0</v>
      </c>
      <c r="M67" s="58">
        <f>IF(M24=4,SUMIF(M31:M35,"&gt;0"),0)</f>
        <v>1</v>
      </c>
      <c r="N67" s="54">
        <f>IF(N24=4,SUMIF(N31:N35,"&gt;0"),0)</f>
        <v>0</v>
      </c>
      <c r="P67" s="58">
        <f>IF(P24=4,SUMIF(P31:P35,"&gt;0"),0)</f>
        <v>0</v>
      </c>
      <c r="Q67" s="54">
        <f>IF(Q24=4,SUMIF(Q31:Q35,"&gt;0"),0)</f>
        <v>1</v>
      </c>
      <c r="S67" s="58">
        <f>IF(S24=4,SUMIF(S31:S35,"&gt;0"),0)</f>
        <v>0</v>
      </c>
      <c r="T67" s="54">
        <f>IF(T24=4,SUMIF(T31:T35,"&gt;0"),0)</f>
        <v>0</v>
      </c>
      <c r="V67" s="58">
        <f>IF(V24=4,SUMIF(V31:V35,"&gt;0"),0)</f>
        <v>0</v>
      </c>
      <c r="W67" s="54">
        <f>IF(W24=4,SUMIF(W31:W35,"&gt;0"),0)</f>
        <v>0</v>
      </c>
      <c r="Y67" s="58">
        <f>IF(Y24=4,SUMIF(Y31:Y35,"&gt;0"),0)</f>
        <v>0</v>
      </c>
      <c r="Z67" s="54">
        <f>IF(Z24=4,SUMIF(Z31:Z35,"&gt;0"),0)</f>
        <v>0</v>
      </c>
      <c r="AB67" s="58">
        <f>IF(AB24=4,SUMIF(AB31:AB35,"&gt;0"),0)</f>
        <v>0</v>
      </c>
      <c r="AC67" s="54">
        <f>IF(AC24=4,SUMIF(AC31:AC35,"&gt;0"),0)</f>
        <v>0</v>
      </c>
      <c r="AE67" s="58">
        <f>IF(AE24=4,SUMIF(AE31:AE35,"&gt;0"),0)</f>
        <v>0</v>
      </c>
      <c r="AF67" s="54">
        <f>SUM(B67:AE67)</f>
        <v>4</v>
      </c>
      <c r="AG67" s="54">
        <f>AF75-AF67</f>
        <v>4</v>
      </c>
      <c r="AW67" s="146"/>
    </row>
    <row r="68" spans="1:54" s="54" customFormat="1" ht="12.75" hidden="1" customHeight="1" x14ac:dyDescent="0.2">
      <c r="A68" s="54" t="s">
        <v>74</v>
      </c>
      <c r="B68" s="54">
        <f>IF(B24=5,SUMIF(B31:B35,"&gt;0"),0)</f>
        <v>0</v>
      </c>
      <c r="D68" s="58">
        <f>IF(D24=5,SUMIF(D31:D35,"&gt;0"),0)</f>
        <v>1</v>
      </c>
      <c r="E68" s="54">
        <f>IF(E24=5,SUMIF(E31:E35,"&gt;0"),0)</f>
        <v>0</v>
      </c>
      <c r="G68" s="58">
        <f>IF(G24=5,SUMIF(G31:G35,"&gt;0"),0)</f>
        <v>0</v>
      </c>
      <c r="H68" s="54">
        <f>IF(H24=5,SUMIF(H31:H35,"&gt;0"),0)</f>
        <v>0</v>
      </c>
      <c r="J68" s="58">
        <f>IF(J24=5,SUMIF(J31:J35,"&gt;0"),0)</f>
        <v>2</v>
      </c>
      <c r="K68" s="54">
        <f>IF(K24=5,SUMIF(K31:K35,"&gt;0"),0)</f>
        <v>0</v>
      </c>
      <c r="M68" s="58">
        <f>IF(M24=5,SUMIF(M31:M35,"&gt;0"),0)</f>
        <v>0</v>
      </c>
      <c r="N68" s="54">
        <f>IF(N24=5,SUMIF(N31:N35,"&gt;0"),0)</f>
        <v>0</v>
      </c>
      <c r="P68" s="58">
        <f>IF(P24=5,SUMIF(P31:P35,"&gt;0"),0)</f>
        <v>0</v>
      </c>
      <c r="Q68" s="54">
        <f>IF(Q24=5,SUMIF(Q31:Q35,"&gt;0"),0)</f>
        <v>0</v>
      </c>
      <c r="S68" s="58">
        <f>IF(S24=5,SUMIF(S31:S35,"&gt;0"),0)</f>
        <v>1</v>
      </c>
      <c r="T68" s="54">
        <f>IF(T24=5,SUMIF(T31:T35,"&gt;0"),0)</f>
        <v>0</v>
      </c>
      <c r="V68" s="58">
        <f>IF(V24=5,SUMIF(V31:V35,"&gt;0"),0)</f>
        <v>0</v>
      </c>
      <c r="W68" s="54">
        <f>IF(W24=5,SUMIF(W31:W35,"&gt;0"),0)</f>
        <v>0</v>
      </c>
      <c r="Y68" s="58">
        <f>IF(Y24=5,SUMIF(Y31:Y35,"&gt;0"),0)</f>
        <v>0</v>
      </c>
      <c r="Z68" s="54">
        <f>IF(Z24=5,SUMIF(Z31:Z35,"&gt;0"),0)</f>
        <v>0</v>
      </c>
      <c r="AB68" s="58">
        <f>IF(AB24=5,SUMIF(AB31:AB35,"&gt;0"),0)</f>
        <v>0</v>
      </c>
      <c r="AC68" s="54">
        <f>IF(AC24=5,SUMIF(AC31:AC35,"&gt;0"),0)</f>
        <v>0</v>
      </c>
      <c r="AE68" s="58">
        <f>IF(AE24=5,SUMIF(AE31:AE35,"&gt;0"),0)</f>
        <v>0</v>
      </c>
      <c r="AF68" s="54">
        <f>SUM(B68:AE68)</f>
        <v>4</v>
      </c>
      <c r="AG68" s="54">
        <f>AF76-AF68</f>
        <v>4</v>
      </c>
      <c r="AW68" s="146"/>
    </row>
    <row r="69" spans="1:54" s="54" customFormat="1" ht="12.75" hidden="1" customHeight="1" x14ac:dyDescent="0.2">
      <c r="D69" s="58"/>
      <c r="G69" s="58"/>
      <c r="J69" s="58"/>
      <c r="M69" s="58"/>
      <c r="P69" s="58"/>
      <c r="S69" s="58"/>
      <c r="V69" s="58"/>
      <c r="Y69" s="58"/>
      <c r="AB69" s="58"/>
      <c r="AE69" s="58"/>
      <c r="AW69" s="146"/>
    </row>
    <row r="70" spans="1:54" s="54" customFormat="1" ht="12.75" hidden="1" customHeight="1" x14ac:dyDescent="0.2">
      <c r="D70" s="58"/>
      <c r="G70" s="58"/>
      <c r="J70" s="58"/>
      <c r="M70" s="58"/>
      <c r="P70" s="58"/>
      <c r="S70" s="58"/>
      <c r="V70" s="58"/>
      <c r="Y70" s="58"/>
      <c r="AB70" s="58"/>
      <c r="AE70" s="58"/>
      <c r="AW70" s="146"/>
    </row>
    <row r="71" spans="1:54" s="54" customFormat="1" ht="51" hidden="1" customHeight="1" x14ac:dyDescent="0.2">
      <c r="A71" s="57" t="s">
        <v>85</v>
      </c>
      <c r="C71" s="54">
        <f>SUMIF(B64:D68,"&gt;0")</f>
        <v>2</v>
      </c>
      <c r="D71" s="58"/>
      <c r="F71" s="54">
        <f>SUMIF(E64:G68,"&gt;0")</f>
        <v>2</v>
      </c>
      <c r="G71" s="58"/>
      <c r="I71" s="54">
        <f>SUMIF(H64:J68,"&gt;0")</f>
        <v>2</v>
      </c>
      <c r="J71" s="58"/>
      <c r="L71" s="54">
        <f>SUMIF(K64:M68,"&gt;0")</f>
        <v>2</v>
      </c>
      <c r="M71" s="58"/>
      <c r="O71" s="54">
        <f>SUMIF(N64:P68,"&gt;0")</f>
        <v>2</v>
      </c>
      <c r="P71" s="58"/>
      <c r="R71" s="54">
        <f>SUMIF(Q64:S68,"&gt;0")</f>
        <v>2</v>
      </c>
      <c r="S71" s="58"/>
      <c r="U71" s="54">
        <f>SUMIF(T64:V68,"&gt;0")</f>
        <v>2</v>
      </c>
      <c r="V71" s="58"/>
      <c r="X71" s="54">
        <f>SUMIF(W64:Y68,"&gt;0")</f>
        <v>2</v>
      </c>
      <c r="Y71" s="58"/>
      <c r="AA71" s="54">
        <f>SUMIF(Z64:AB68,"&gt;0")</f>
        <v>2</v>
      </c>
      <c r="AB71" s="58"/>
      <c r="AD71" s="54">
        <f>SUMIF(AC64:AE68,"&gt;0")</f>
        <v>2</v>
      </c>
      <c r="AE71" s="58"/>
      <c r="AF71" s="57" t="s">
        <v>86</v>
      </c>
      <c r="AW71" s="146"/>
    </row>
    <row r="72" spans="1:54" s="54" customFormat="1" ht="12.75" hidden="1" customHeight="1" x14ac:dyDescent="0.2">
      <c r="A72" s="54" t="s">
        <v>76</v>
      </c>
      <c r="B72" s="54">
        <f>IF(B24=1,C71,0)</f>
        <v>0</v>
      </c>
      <c r="D72" s="58">
        <f>IF(D24=1,C71,0)</f>
        <v>0</v>
      </c>
      <c r="E72" s="54">
        <f>IF(E24=1,F71,0)</f>
        <v>2</v>
      </c>
      <c r="G72" s="58">
        <f>IF(G24=1,F71,0)</f>
        <v>0</v>
      </c>
      <c r="H72" s="54">
        <f>IF(H24=1,I71,0)</f>
        <v>0</v>
      </c>
      <c r="J72" s="58">
        <f>IF(J24=1,I71,0)</f>
        <v>0</v>
      </c>
      <c r="K72" s="54">
        <f>IF(K24=1,L71,0)</f>
        <v>0</v>
      </c>
      <c r="M72" s="58">
        <f>IF(M24=1,L71,0)</f>
        <v>0</v>
      </c>
      <c r="N72" s="54">
        <f>IF(N24=1,O71,0)</f>
        <v>2</v>
      </c>
      <c r="P72" s="58">
        <f>IF(P24=1,O71,0)</f>
        <v>0</v>
      </c>
      <c r="Q72" s="54">
        <f>IF(Q24=1,R71,0)</f>
        <v>0</v>
      </c>
      <c r="S72" s="58">
        <f>IF(S24=1,R71,0)</f>
        <v>0</v>
      </c>
      <c r="T72" s="54">
        <f>IF(T24=1,U71,0)</f>
        <v>0</v>
      </c>
      <c r="V72" s="58">
        <f>IF(V24=1,U71,0)</f>
        <v>0</v>
      </c>
      <c r="W72" s="54">
        <f>IF(W24=1,X71,0)</f>
        <v>2</v>
      </c>
      <c r="Y72" s="58">
        <f>IF(Y24=1,X71,0)</f>
        <v>0</v>
      </c>
      <c r="Z72" s="54">
        <f>IF(Z24=1,AA71,0)</f>
        <v>0</v>
      </c>
      <c r="AB72" s="58">
        <f>IF(AB24=1,AA71,0)</f>
        <v>0</v>
      </c>
      <c r="AC72" s="54">
        <f>IF(AC24=1,AD71,0)</f>
        <v>2</v>
      </c>
      <c r="AE72" s="58">
        <f>IF(AE24=1,AD71,0)</f>
        <v>0</v>
      </c>
      <c r="AF72" s="54">
        <f>SUM(B72:AE72)</f>
        <v>8</v>
      </c>
      <c r="AW72" s="146"/>
    </row>
    <row r="73" spans="1:54" s="54" customFormat="1" ht="12.75" hidden="1" customHeight="1" x14ac:dyDescent="0.2">
      <c r="A73" s="54" t="s">
        <v>77</v>
      </c>
      <c r="B73" s="54">
        <f>IF(B24=2,C71,0)</f>
        <v>2</v>
      </c>
      <c r="D73" s="58">
        <f>IF(D24=2,C71,0)</f>
        <v>0</v>
      </c>
      <c r="E73" s="54">
        <f>IF(E24=2,F71,0)</f>
        <v>0</v>
      </c>
      <c r="G73" s="58">
        <f>IF(G24=2,F71,0)</f>
        <v>0</v>
      </c>
      <c r="H73" s="54">
        <f>IF(H24=2,I71,0)</f>
        <v>0</v>
      </c>
      <c r="J73" s="58">
        <f>IF(J24=2,I71,0)</f>
        <v>0</v>
      </c>
      <c r="K73" s="54">
        <f>IF(K24=2,L71,0)</f>
        <v>2</v>
      </c>
      <c r="M73" s="58">
        <f>IF(M24=2,L71,0)</f>
        <v>0</v>
      </c>
      <c r="N73" s="54">
        <f>IF(N24=2,O71,0)</f>
        <v>0</v>
      </c>
      <c r="P73" s="58">
        <f>IF(P24=2,O71,0)</f>
        <v>0</v>
      </c>
      <c r="Q73" s="54">
        <f>IF(Q24=2,R71,0)</f>
        <v>0</v>
      </c>
      <c r="S73" s="58">
        <f>IF(S24=2,R71,0)</f>
        <v>0</v>
      </c>
      <c r="T73" s="54">
        <f>IF(T24=2,U71,0)</f>
        <v>2</v>
      </c>
      <c r="V73" s="58">
        <f>IF(V24=2,U71,0)</f>
        <v>0</v>
      </c>
      <c r="W73" s="54">
        <f>IF(W24=2,X71,0)</f>
        <v>0</v>
      </c>
      <c r="Y73" s="58">
        <f>IF(Y24=2,X71,0)</f>
        <v>0</v>
      </c>
      <c r="Z73" s="54">
        <f>IF(Z24=2,AA71,0)</f>
        <v>0</v>
      </c>
      <c r="AB73" s="58">
        <f>IF(AB24=2,AA71,0)</f>
        <v>0</v>
      </c>
      <c r="AC73" s="54">
        <f>IF(AC24=2,AD71,0)</f>
        <v>0</v>
      </c>
      <c r="AE73" s="58">
        <f>IF(AE24=2,AD71,0)</f>
        <v>2</v>
      </c>
      <c r="AF73" s="54">
        <f>SUM(B73:AE73)</f>
        <v>8</v>
      </c>
      <c r="AW73" s="146"/>
    </row>
    <row r="74" spans="1:54" s="54" customFormat="1" ht="12.75" hidden="1" customHeight="1" x14ac:dyDescent="0.2">
      <c r="A74" s="54" t="s">
        <v>78</v>
      </c>
      <c r="B74" s="54">
        <f>IF(B24=3,C71,0)</f>
        <v>0</v>
      </c>
      <c r="D74" s="58">
        <f>IF(D24=3,C71,0)</f>
        <v>0</v>
      </c>
      <c r="E74" s="54">
        <f>IF(E24=3,F71,0)</f>
        <v>0</v>
      </c>
      <c r="G74" s="58">
        <f>IF(G24=3,F71,0)</f>
        <v>0</v>
      </c>
      <c r="H74" s="54">
        <f>IF(H24=3,I71,0)</f>
        <v>2</v>
      </c>
      <c r="J74" s="58">
        <f>IF(J24=3,I71,0)</f>
        <v>0</v>
      </c>
      <c r="K74" s="54">
        <f>IF(K24=3,L71,0)</f>
        <v>0</v>
      </c>
      <c r="M74" s="58">
        <f>IF(M24=3,L71,0)</f>
        <v>0</v>
      </c>
      <c r="N74" s="54">
        <f>IF(N24=3,O71,0)</f>
        <v>0</v>
      </c>
      <c r="P74" s="58">
        <f>IF(P24=3,O71,0)</f>
        <v>2</v>
      </c>
      <c r="Q74" s="54">
        <f>IF(Q24=3,R71,0)</f>
        <v>0</v>
      </c>
      <c r="S74" s="58">
        <f>IF(S24=3,R71,0)</f>
        <v>0</v>
      </c>
      <c r="T74" s="54">
        <f>IF(T24=3,U71,0)</f>
        <v>0</v>
      </c>
      <c r="V74" s="58">
        <f>IF(V24=3,U71,0)</f>
        <v>2</v>
      </c>
      <c r="W74" s="54">
        <f>IF(W24=3,X71,0)</f>
        <v>0</v>
      </c>
      <c r="Y74" s="58">
        <f>IF(Y24=3,X71,0)</f>
        <v>0</v>
      </c>
      <c r="Z74" s="54">
        <f>IF(Z24=3,AA71,0)</f>
        <v>2</v>
      </c>
      <c r="AB74" s="58">
        <f>IF(AB24=3,AA71,0)</f>
        <v>0</v>
      </c>
      <c r="AC74" s="54">
        <f>IF(AC24=3,AD71,0)</f>
        <v>0</v>
      </c>
      <c r="AE74" s="58">
        <f>IF(AE24=3,AD71,0)</f>
        <v>0</v>
      </c>
      <c r="AF74" s="54">
        <f>SUM(B74:AE74)</f>
        <v>8</v>
      </c>
      <c r="AW74" s="146"/>
    </row>
    <row r="75" spans="1:54" s="54" customFormat="1" ht="12.75" hidden="1" customHeight="1" x14ac:dyDescent="0.2">
      <c r="A75" s="54" t="s">
        <v>79</v>
      </c>
      <c r="B75" s="54">
        <f>IF(B24=4,C71,0)</f>
        <v>0</v>
      </c>
      <c r="D75" s="58">
        <f>IF(D24=4,C71,0)</f>
        <v>0</v>
      </c>
      <c r="E75" s="54">
        <f>IF(E24=4,F71,0)</f>
        <v>0</v>
      </c>
      <c r="G75" s="58">
        <f>IF(G24=4,F71,0)</f>
        <v>2</v>
      </c>
      <c r="H75" s="54">
        <f>IF(H24=4,I71,0)</f>
        <v>0</v>
      </c>
      <c r="J75" s="58">
        <f>IF(J24=4,I71,0)</f>
        <v>0</v>
      </c>
      <c r="K75" s="54">
        <f>IF(K24=4,L71,0)</f>
        <v>0</v>
      </c>
      <c r="M75" s="58">
        <f>IF(M24=4,L71,0)</f>
        <v>2</v>
      </c>
      <c r="N75" s="54">
        <f>IF(N24=4,O71,0)</f>
        <v>0</v>
      </c>
      <c r="P75" s="58">
        <f>IF(P24=4,O71,0)</f>
        <v>0</v>
      </c>
      <c r="Q75" s="54">
        <f>IF(Q24=4,R71,0)</f>
        <v>2</v>
      </c>
      <c r="S75" s="58">
        <f>IF(S24=4,R71,0)</f>
        <v>0</v>
      </c>
      <c r="T75" s="54">
        <f>IF(T24=4,U71,0)</f>
        <v>0</v>
      </c>
      <c r="V75" s="58">
        <f>IF(V24=4,U71,0)</f>
        <v>0</v>
      </c>
      <c r="W75" s="54">
        <f>IF(W24=4,X71,0)</f>
        <v>0</v>
      </c>
      <c r="Y75" s="58">
        <f>IF(Y24=4,X71,0)</f>
        <v>0</v>
      </c>
      <c r="Z75" s="54">
        <f>IF(Z24=4,AA71,0)</f>
        <v>0</v>
      </c>
      <c r="AB75" s="58">
        <f>IF(AB24=4,AA71,0)</f>
        <v>2</v>
      </c>
      <c r="AC75" s="54">
        <f>IF(AC24=4,AD71,0)</f>
        <v>0</v>
      </c>
      <c r="AE75" s="58">
        <f>IF(AE24=4,AD71,0)</f>
        <v>0</v>
      </c>
      <c r="AF75" s="54">
        <f>SUM(B75:AE75)</f>
        <v>8</v>
      </c>
      <c r="AW75" s="146"/>
    </row>
    <row r="76" spans="1:54" s="54" customFormat="1" ht="12.75" hidden="1" customHeight="1" x14ac:dyDescent="0.2">
      <c r="A76" s="54" t="s">
        <v>80</v>
      </c>
      <c r="B76" s="54">
        <f>IF(B24=5,C71,0)</f>
        <v>0</v>
      </c>
      <c r="D76" s="58">
        <f>IF(D24=5,C71,0)</f>
        <v>2</v>
      </c>
      <c r="E76" s="54">
        <f>IF(E24=5,F71,0)</f>
        <v>0</v>
      </c>
      <c r="G76" s="58">
        <f>IF(G24=5,F71,0)</f>
        <v>0</v>
      </c>
      <c r="H76" s="54">
        <f>IF(H24=5,I71,0)</f>
        <v>0</v>
      </c>
      <c r="J76" s="58">
        <f>IF(J24=5,I71,0)</f>
        <v>2</v>
      </c>
      <c r="K76" s="54">
        <f>IF(K24=5,L71,0)</f>
        <v>0</v>
      </c>
      <c r="M76" s="58">
        <f>IF(M24=5,L71,0)</f>
        <v>0</v>
      </c>
      <c r="N76" s="54">
        <f>IF(N24=5,O71,0)</f>
        <v>0</v>
      </c>
      <c r="P76" s="58">
        <f>IF(P24=5,O71,0)</f>
        <v>0</v>
      </c>
      <c r="Q76" s="54">
        <f>IF(Q24=5,R71,0)</f>
        <v>0</v>
      </c>
      <c r="S76" s="58">
        <f>IF(S24=5,R71,0)</f>
        <v>2</v>
      </c>
      <c r="T76" s="54">
        <f>IF(T24=5,U71,0)</f>
        <v>0</v>
      </c>
      <c r="V76" s="58">
        <f>IF(V24=5,U71,0)</f>
        <v>0</v>
      </c>
      <c r="W76" s="54">
        <f>IF(W24=5,X71,0)</f>
        <v>0</v>
      </c>
      <c r="Y76" s="58">
        <f>IF(Y24=5,X71,0)</f>
        <v>2</v>
      </c>
      <c r="Z76" s="54">
        <f>IF(Z24=5,AA71,0)</f>
        <v>0</v>
      </c>
      <c r="AB76" s="58">
        <f>IF(AB24=5,AA71,0)</f>
        <v>0</v>
      </c>
      <c r="AC76" s="54">
        <f>IF(AC24=5,AD71,0)</f>
        <v>0</v>
      </c>
      <c r="AE76" s="58">
        <f>IF(AE24=5,AD71,0)</f>
        <v>0</v>
      </c>
      <c r="AF76" s="54">
        <f>SUM(B76:AE76)</f>
        <v>8</v>
      </c>
      <c r="AW76" s="146"/>
    </row>
    <row r="77" spans="1:54" hidden="1" x14ac:dyDescent="0.2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60"/>
      <c r="AO77" s="60"/>
      <c r="AP77" s="60"/>
      <c r="AQ77" s="60"/>
      <c r="AR77" s="61"/>
      <c r="AS77" s="61"/>
      <c r="AT77" s="61"/>
      <c r="AU77" s="61"/>
      <c r="AV77" s="61"/>
      <c r="BB77" s="62"/>
    </row>
    <row r="78" spans="1:54" s="61" customFormat="1" hidden="1" x14ac:dyDescent="0.2">
      <c r="A78" s="63"/>
      <c r="B78" s="63"/>
      <c r="C78" s="63" t="s">
        <v>87</v>
      </c>
      <c r="D78" s="63">
        <v>1</v>
      </c>
      <c r="E78" s="63"/>
      <c r="F78" s="63"/>
      <c r="G78" s="63">
        <v>2</v>
      </c>
      <c r="H78" s="63"/>
      <c r="I78" s="63"/>
      <c r="J78" s="63">
        <v>3</v>
      </c>
      <c r="K78" s="63"/>
      <c r="L78" s="63"/>
      <c r="M78" s="63">
        <v>4</v>
      </c>
      <c r="N78" s="63"/>
      <c r="O78" s="63"/>
      <c r="P78" s="63">
        <v>5</v>
      </c>
      <c r="Q78" s="63"/>
      <c r="R78" s="63"/>
      <c r="S78" s="63">
        <v>6</v>
      </c>
      <c r="T78" s="63"/>
      <c r="U78" s="63"/>
      <c r="V78" s="63">
        <v>7</v>
      </c>
      <c r="W78" s="63"/>
      <c r="X78" s="63"/>
      <c r="Y78" s="63">
        <v>8</v>
      </c>
      <c r="Z78" s="63"/>
      <c r="AA78" s="63"/>
      <c r="AB78" s="63">
        <v>9</v>
      </c>
      <c r="AC78" s="63"/>
      <c r="AD78" s="63"/>
      <c r="AE78" s="63">
        <v>10</v>
      </c>
      <c r="AF78" s="4"/>
      <c r="AG78" s="63"/>
      <c r="AI78" s="64"/>
      <c r="AJ78" s="4"/>
      <c r="AK78" s="4"/>
      <c r="AL78" s="4"/>
      <c r="AM78" s="4"/>
      <c r="AN78" s="4"/>
      <c r="AO78" s="4"/>
      <c r="AT78" s="64" t="s">
        <v>88</v>
      </c>
      <c r="AW78" s="65"/>
      <c r="BB78" s="65"/>
    </row>
    <row r="79" spans="1:54" s="61" customFormat="1" hidden="1" x14ac:dyDescent="0.2">
      <c r="A79" s="66">
        <v>1</v>
      </c>
      <c r="B79" s="66" t="str">
        <f>E8</f>
        <v>MOTO 15's</v>
      </c>
      <c r="C79" s="66">
        <f>VLOOKUP(B79,AU$3:BB$33,3,FALSE)</f>
        <v>2098.0659243278974</v>
      </c>
      <c r="D79" s="66">
        <f>IF(B72,B87,IF(D72,D87,C79))</f>
        <v>2098.0659243278974</v>
      </c>
      <c r="E79" s="66"/>
      <c r="F79" s="66"/>
      <c r="G79" s="66">
        <f>IF(E72,E87,IF(G72,G87,D79))</f>
        <v>2060.5283350877889</v>
      </c>
      <c r="H79" s="66"/>
      <c r="I79" s="66"/>
      <c r="J79" s="66">
        <f>IF(H72,H87,IF(J72,J87,G79))</f>
        <v>2060.5283350877889</v>
      </c>
      <c r="K79" s="66"/>
      <c r="L79" s="66"/>
      <c r="M79" s="66">
        <f>IF(K72,K87,IF(M72,M87,J79))</f>
        <v>2060.5283350877889</v>
      </c>
      <c r="N79" s="66"/>
      <c r="O79" s="66"/>
      <c r="P79" s="66">
        <f>IF(N72,N87,IF(P72,P87,M79))</f>
        <v>2026.9050548800265</v>
      </c>
      <c r="Q79" s="66"/>
      <c r="R79" s="66"/>
      <c r="S79" s="66">
        <f>IF(Q72,Q87,IF(S72,S87,P79))</f>
        <v>2026.9050548800265</v>
      </c>
      <c r="T79" s="66"/>
      <c r="U79" s="66"/>
      <c r="V79" s="66">
        <f>IF(T72,T87,IF(V72,V87,S79))</f>
        <v>2026.9050548800265</v>
      </c>
      <c r="W79" s="66"/>
      <c r="X79" s="66"/>
      <c r="Y79" s="66">
        <f>IF(W72,W87,IF(Y72,Y87,V79))</f>
        <v>2056.1475560047866</v>
      </c>
      <c r="Z79" s="66"/>
      <c r="AA79" s="66"/>
      <c r="AB79" s="66">
        <f>IF(Z72,Z87,IF(AB72,AB87,Y79))</f>
        <v>2056.1475560047866</v>
      </c>
      <c r="AC79" s="66"/>
      <c r="AD79" s="66"/>
      <c r="AE79" s="66">
        <f>IF(AC72,AC87,IF(AE72,AE87,AB79))</f>
        <v>2079.7362165610371</v>
      </c>
      <c r="AF79" s="4"/>
      <c r="AG79" s="4"/>
      <c r="AJ79" s="4"/>
      <c r="AK79" s="4"/>
      <c r="AL79" s="4"/>
      <c r="AM79" s="4"/>
      <c r="AN79" s="4"/>
      <c r="AO79" s="4"/>
      <c r="AT79" s="61" t="str">
        <f>B79</f>
        <v>MOTO 15's</v>
      </c>
      <c r="AU79" s="61">
        <f>AE79</f>
        <v>2079.7362165610371</v>
      </c>
      <c r="AW79" s="65"/>
      <c r="BB79" s="65"/>
    </row>
    <row r="80" spans="1:54" s="61" customFormat="1" hidden="1" x14ac:dyDescent="0.2">
      <c r="A80" s="66">
        <v>2</v>
      </c>
      <c r="B80" s="66" t="str">
        <f>E10</f>
        <v>BVA 15 R</v>
      </c>
      <c r="C80" s="66">
        <f>VLOOKUP(B80,AU$3:BB$33,3,FALSE)</f>
        <v>1939.0384757383347</v>
      </c>
      <c r="D80" s="66">
        <f>IF(B73,B87,IF(D73,D87,C80))</f>
        <v>1939.7394923574855</v>
      </c>
      <c r="E80" s="66"/>
      <c r="F80" s="66"/>
      <c r="G80" s="66">
        <f>IF(E73,E87,IF(G73,G87,D80))</f>
        <v>1939.7394923574855</v>
      </c>
      <c r="H80" s="66"/>
      <c r="I80" s="66"/>
      <c r="J80" s="66">
        <f>IF(H73,H87,IF(J73,J87,G80))</f>
        <v>1939.7394923574855</v>
      </c>
      <c r="K80" s="66"/>
      <c r="L80" s="66"/>
      <c r="M80" s="66">
        <f>IF(K73,K87,IF(M73,M87,J80))</f>
        <v>1951.5935781517499</v>
      </c>
      <c r="N80" s="66"/>
      <c r="O80" s="66"/>
      <c r="P80" s="66">
        <f>IF(N73,N87,IF(P73,P87,M80))</f>
        <v>1951.5935781517499</v>
      </c>
      <c r="Q80" s="66"/>
      <c r="R80" s="66"/>
      <c r="S80" s="66">
        <f>IF(Q73,Q87,IF(S73,S87,P80))</f>
        <v>1951.5935781517499</v>
      </c>
      <c r="T80" s="66"/>
      <c r="U80" s="66"/>
      <c r="V80" s="66">
        <f>IF(T73,T87,IF(V73,V87,S80))</f>
        <v>1962.627570165273</v>
      </c>
      <c r="W80" s="66"/>
      <c r="X80" s="66"/>
      <c r="Y80" s="66">
        <f>IF(W73,W87,IF(Y73,Y87,V80))</f>
        <v>1962.627570165273</v>
      </c>
      <c r="Z80" s="66"/>
      <c r="AA80" s="66"/>
      <c r="AB80" s="66">
        <f>IF(Z73,Z87,IF(AB73,AB87,Y80))</f>
        <v>1962.627570165273</v>
      </c>
      <c r="AC80" s="66"/>
      <c r="AD80" s="66"/>
      <c r="AE80" s="66">
        <f>IF(AC73,AC87,IF(AE73,AE87,AB80))</f>
        <v>1939.0389096090223</v>
      </c>
      <c r="AF80" s="4"/>
      <c r="AG80" s="4"/>
      <c r="AJ80" s="4"/>
      <c r="AL80" s="4"/>
      <c r="AM80" s="4"/>
      <c r="AN80" s="4"/>
      <c r="AO80" s="4"/>
      <c r="AT80" s="61" t="str">
        <f>B80</f>
        <v>BVA 15 R</v>
      </c>
      <c r="AU80" s="61">
        <f>AE80</f>
        <v>1939.0389096090223</v>
      </c>
      <c r="AW80" s="65"/>
      <c r="BB80" s="65"/>
    </row>
    <row r="81" spans="1:54" s="61" customFormat="1" hidden="1" x14ac:dyDescent="0.2">
      <c r="A81" s="66">
        <v>3</v>
      </c>
      <c r="B81" s="66" t="str">
        <f>E12</f>
        <v>Extreme 15 Meredith</v>
      </c>
      <c r="C81" s="66">
        <f>VLOOKUP(B81,AU$3:BB$33,3,FALSE)</f>
        <v>2087.228135437424</v>
      </c>
      <c r="D81" s="66">
        <f>IF(B74,B87,IF(D74,D87,C81))</f>
        <v>2087.228135437424</v>
      </c>
      <c r="E81" s="66"/>
      <c r="F81" s="66"/>
      <c r="G81" s="66">
        <f>IF(E74,E87,IF(G74,G87,D81))</f>
        <v>2087.228135437424</v>
      </c>
      <c r="H81" s="66"/>
      <c r="I81" s="66"/>
      <c r="J81" s="66">
        <f>IF(H74,H87,IF(J74,J87,G81))</f>
        <v>2042.8886531576004</v>
      </c>
      <c r="K81" s="66"/>
      <c r="L81" s="66"/>
      <c r="M81" s="66">
        <f>IF(K74,K87,IF(M74,M87,J81))</f>
        <v>2042.8886531576004</v>
      </c>
      <c r="N81" s="66"/>
      <c r="O81" s="66"/>
      <c r="P81" s="66">
        <f>IF(N74,N87,IF(P74,P87,M81))</f>
        <v>2076.5119333653629</v>
      </c>
      <c r="Q81" s="66"/>
      <c r="R81" s="66"/>
      <c r="S81" s="66">
        <f>IF(Q74,Q87,IF(S74,S87,P81))</f>
        <v>2076.5119333653629</v>
      </c>
      <c r="T81" s="66"/>
      <c r="U81" s="66"/>
      <c r="V81" s="66">
        <f>IF(T74,T87,IF(V74,V87,S81))</f>
        <v>2065.4779413518395</v>
      </c>
      <c r="W81" s="66"/>
      <c r="X81" s="66"/>
      <c r="Y81" s="66">
        <f>IF(W74,W87,IF(Y74,Y87,V81))</f>
        <v>2065.4779413518395</v>
      </c>
      <c r="Z81" s="66"/>
      <c r="AA81" s="66"/>
      <c r="AB81" s="66">
        <f>IF(Z74,Z87,IF(AB74,AB87,Y81))</f>
        <v>2096.6431760724954</v>
      </c>
      <c r="AC81" s="66"/>
      <c r="AD81" s="66"/>
      <c r="AE81" s="66">
        <f>IF(AC74,AC87,IF(AE74,AE87,AB81))</f>
        <v>2096.6431760724954</v>
      </c>
      <c r="AF81" s="4"/>
      <c r="AG81" s="4"/>
      <c r="AJ81" s="4"/>
      <c r="AL81" s="4"/>
      <c r="AM81" s="4"/>
      <c r="AN81" s="4"/>
      <c r="AO81" s="4"/>
      <c r="AT81" s="61" t="str">
        <f>B81</f>
        <v>Extreme 15 Meredith</v>
      </c>
      <c r="AU81" s="61">
        <f>AE81</f>
        <v>2096.6431760724954</v>
      </c>
      <c r="AW81" s="65"/>
      <c r="BB81" s="65"/>
    </row>
    <row r="82" spans="1:54" s="61" customFormat="1" hidden="1" x14ac:dyDescent="0.2">
      <c r="A82" s="66">
        <v>4</v>
      </c>
      <c r="B82" s="66" t="str">
        <f>E14</f>
        <v>Foothills 15 CJ</v>
      </c>
      <c r="C82" s="66">
        <f>VLOOKUP(B82,AU$3:BB$33,3,FALSE)</f>
        <v>2037.3311358334597</v>
      </c>
      <c r="D82" s="66">
        <f>IF(B75,B87,IF(D75,D87,C82))</f>
        <v>2037.3311358334597</v>
      </c>
      <c r="E82" s="66"/>
      <c r="F82" s="66"/>
      <c r="G82" s="66">
        <f>IF(E75,E87,IF(G75,G87,D82))</f>
        <v>2074.8687250735679</v>
      </c>
      <c r="H82" s="66"/>
      <c r="I82" s="66"/>
      <c r="J82" s="66">
        <f>IF(H75,H87,IF(J75,J87,G82))</f>
        <v>2074.8687250735679</v>
      </c>
      <c r="K82" s="66"/>
      <c r="L82" s="66"/>
      <c r="M82" s="66">
        <f>IF(K75,K87,IF(M75,M87,J82))</f>
        <v>2063.0146392793035</v>
      </c>
      <c r="N82" s="66"/>
      <c r="O82" s="66"/>
      <c r="P82" s="66">
        <f>IF(N75,N87,IF(P75,P87,M82))</f>
        <v>2063.0146392793035</v>
      </c>
      <c r="Q82" s="66"/>
      <c r="R82" s="66"/>
      <c r="S82" s="66">
        <f>IF(Q75,Q87,IF(S75,S87,P82))</f>
        <v>2056.4125357766325</v>
      </c>
      <c r="T82" s="66"/>
      <c r="U82" s="66"/>
      <c r="V82" s="66">
        <f>IF(T75,T87,IF(V75,V87,S82))</f>
        <v>2056.4125357766325</v>
      </c>
      <c r="W82" s="66"/>
      <c r="X82" s="66"/>
      <c r="Y82" s="66">
        <f>IF(W75,W87,IF(Y75,Y87,V82))</f>
        <v>2056.4125357766325</v>
      </c>
      <c r="Z82" s="66"/>
      <c r="AA82" s="66"/>
      <c r="AB82" s="66">
        <f>IF(Z75,Z87,IF(AB75,AB87,Y82))</f>
        <v>2025.2473010559765</v>
      </c>
      <c r="AC82" s="66"/>
      <c r="AD82" s="66"/>
      <c r="AE82" s="66">
        <f>IF(AC75,AC87,IF(AE75,AE87,AB82))</f>
        <v>2025.2473010559765</v>
      </c>
      <c r="AF82" s="4"/>
      <c r="AG82" s="4"/>
      <c r="AJ82" s="4"/>
      <c r="AL82" s="4"/>
      <c r="AM82" s="4"/>
      <c r="AN82" s="4"/>
      <c r="AO82" s="4"/>
      <c r="AT82" s="61" t="str">
        <f>B82</f>
        <v>Foothills 15 CJ</v>
      </c>
      <c r="AU82" s="61">
        <f>AE82</f>
        <v>2025.2473010559765</v>
      </c>
      <c r="AW82" s="65"/>
      <c r="BB82" s="65"/>
    </row>
    <row r="83" spans="1:54" s="61" customFormat="1" hidden="1" x14ac:dyDescent="0.2">
      <c r="A83" s="66">
        <v>5</v>
      </c>
      <c r="B83" s="66" t="str">
        <f>E16</f>
        <v>C1VB 15 Regional Grvl</v>
      </c>
      <c r="C83" s="66">
        <f>VLOOKUP(B83,AU$3:BB$33,3,FALSE)</f>
        <v>1946.6508848780252</v>
      </c>
      <c r="D83" s="66">
        <f>IF(B76,B87,IF(D76,D87,C83))</f>
        <v>1945.9498682588744</v>
      </c>
      <c r="E83" s="66"/>
      <c r="F83" s="66"/>
      <c r="G83" s="66">
        <f>IF(E76,E87,IF(G76,G87,D83))</f>
        <v>1945.9498682588744</v>
      </c>
      <c r="H83" s="66"/>
      <c r="I83" s="66"/>
      <c r="J83" s="66">
        <f>IF(H76,H87,IF(J76,J87,G83))</f>
        <v>1990.289350538698</v>
      </c>
      <c r="K83" s="66"/>
      <c r="L83" s="66"/>
      <c r="M83" s="66">
        <f>IF(K76,K87,IF(M76,M87,J83))</f>
        <v>1990.289350538698</v>
      </c>
      <c r="N83" s="66"/>
      <c r="O83" s="66"/>
      <c r="P83" s="66">
        <f>IF(N76,N87,IF(P76,P87,M83))</f>
        <v>1990.289350538698</v>
      </c>
      <c r="Q83" s="66"/>
      <c r="R83" s="66"/>
      <c r="S83" s="66">
        <f>IF(Q76,Q87,IF(S76,S87,P83))</f>
        <v>1996.8914540413693</v>
      </c>
      <c r="T83" s="66"/>
      <c r="U83" s="66"/>
      <c r="V83" s="66">
        <f>IF(T76,T87,IF(V76,V87,S83))</f>
        <v>1996.8914540413693</v>
      </c>
      <c r="W83" s="66"/>
      <c r="X83" s="66"/>
      <c r="Y83" s="66">
        <f>IF(W76,W87,IF(Y76,Y87,V83))</f>
        <v>1967.648952916609</v>
      </c>
      <c r="Z83" s="66"/>
      <c r="AA83" s="66"/>
      <c r="AB83" s="66">
        <f>IF(Z76,Z87,IF(AB76,AB87,Y83))</f>
        <v>1967.648952916609</v>
      </c>
      <c r="AC83" s="66"/>
      <c r="AD83" s="66"/>
      <c r="AE83" s="66">
        <f>IF(AC76,AC87,IF(AE76,AE87,AB83))</f>
        <v>1967.648952916609</v>
      </c>
      <c r="AF83" s="4"/>
      <c r="AG83" s="4"/>
      <c r="AJ83" s="4"/>
      <c r="AL83" s="4"/>
      <c r="AM83" s="4"/>
      <c r="AN83" s="4"/>
      <c r="AO83" s="4"/>
      <c r="AT83" s="61" t="str">
        <f>B83</f>
        <v>C1VB 15 Regional Grvl</v>
      </c>
      <c r="AU83" s="61">
        <f>AE83</f>
        <v>1967.648952916609</v>
      </c>
      <c r="AW83" s="65"/>
      <c r="BB83" s="65"/>
    </row>
    <row r="84" spans="1:54" s="61" customFormat="1" hidden="1" x14ac:dyDescent="0.2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4"/>
      <c r="AG84" s="4"/>
      <c r="AJ84" s="4"/>
      <c r="AL84" s="4"/>
      <c r="AM84" s="4"/>
      <c r="AN84" s="4"/>
      <c r="AO84" s="4"/>
      <c r="AW84" s="65"/>
      <c r="BB84" s="65"/>
    </row>
    <row r="85" spans="1:54" s="61" customFormat="1" hidden="1" x14ac:dyDescent="0.2">
      <c r="A85" s="66" t="s">
        <v>89</v>
      </c>
      <c r="B85" s="66">
        <f>VLOOKUP(B24,$A79:$AE83,3,FALSE)</f>
        <v>1939.0384757383347</v>
      </c>
      <c r="C85" s="66">
        <v>1</v>
      </c>
      <c r="D85" s="66">
        <f>VLOOKUP(D24,$A79:$AE83,3,FALSE)</f>
        <v>1946.6508848780252</v>
      </c>
      <c r="E85" s="66">
        <f>VLOOKUP(E24,$A79:$AE83,4,FALSE)</f>
        <v>2098.0659243278974</v>
      </c>
      <c r="F85" s="66">
        <v>2</v>
      </c>
      <c r="G85" s="66">
        <f>VLOOKUP(G24,$A79:$AE83,4,FALSE)</f>
        <v>2037.3311358334597</v>
      </c>
      <c r="H85" s="66">
        <f>VLOOKUP(H24,$A79:$AE83,7,FALSE)</f>
        <v>2087.228135437424</v>
      </c>
      <c r="I85" s="66">
        <v>3</v>
      </c>
      <c r="J85" s="66">
        <f>VLOOKUP(J24,$A79:$AE83,7,FALSE)</f>
        <v>1945.9498682588744</v>
      </c>
      <c r="K85" s="66">
        <f>VLOOKUP(K24,$A79:$AE83,10,FALSE)</f>
        <v>1939.7394923574855</v>
      </c>
      <c r="L85" s="66">
        <v>4</v>
      </c>
      <c r="M85" s="66">
        <f>VLOOKUP(M24,$A79:$AE83,10,FALSE)</f>
        <v>2074.8687250735679</v>
      </c>
      <c r="N85" s="66">
        <f>VLOOKUP(N24,$A79:$AE83,13,FALSE)</f>
        <v>2060.5283350877889</v>
      </c>
      <c r="O85" s="66">
        <v>5</v>
      </c>
      <c r="P85" s="66">
        <f>VLOOKUP(P24,$A79:$AE83,13,FALSE)</f>
        <v>2042.8886531576004</v>
      </c>
      <c r="Q85" s="66">
        <f>VLOOKUP(Q24,$A79:$AE83,16,FALSE)</f>
        <v>2063.0146392793035</v>
      </c>
      <c r="R85" s="66">
        <v>6</v>
      </c>
      <c r="S85" s="66">
        <f>VLOOKUP(S24,$A79:$AE83,16,FALSE)</f>
        <v>1990.289350538698</v>
      </c>
      <c r="T85" s="66">
        <f>VLOOKUP(T24,$A79:$AE83,19,FALSE)</f>
        <v>1951.5935781517499</v>
      </c>
      <c r="U85" s="66">
        <v>7</v>
      </c>
      <c r="V85" s="66">
        <f>VLOOKUP(V24,$A79:$AE83,19,FALSE)</f>
        <v>2076.5119333653629</v>
      </c>
      <c r="W85" s="66">
        <f>VLOOKUP(W24,$A79:$AE83,22,FALSE)</f>
        <v>2026.9050548800265</v>
      </c>
      <c r="X85" s="66">
        <v>8</v>
      </c>
      <c r="Y85" s="66">
        <f>VLOOKUP(Y24,$A79:$AE83,22,FALSE)</f>
        <v>1996.8914540413693</v>
      </c>
      <c r="Z85" s="66">
        <f>VLOOKUP(Z24,$A79:$AE83,25,FALSE)</f>
        <v>2065.4779413518395</v>
      </c>
      <c r="AA85" s="66">
        <v>9</v>
      </c>
      <c r="AB85" s="66">
        <f>VLOOKUP(AB24,$A79:$AE83,25,FALSE)</f>
        <v>2056.4125357766325</v>
      </c>
      <c r="AC85" s="66">
        <f>VLOOKUP(AC24,$A79:$AE83,28,FALSE)</f>
        <v>2056.1475560047866</v>
      </c>
      <c r="AD85" s="66">
        <v>10</v>
      </c>
      <c r="AE85" s="66">
        <f>VLOOKUP(AE24,$A79:$AE83,28,FALSE)</f>
        <v>1962.627570165273</v>
      </c>
      <c r="AF85" s="4"/>
      <c r="AG85" s="59"/>
      <c r="AH85" s="59"/>
      <c r="AI85" s="59"/>
      <c r="AJ85" s="59"/>
      <c r="AK85" s="59"/>
      <c r="AL85" s="59"/>
      <c r="AM85" s="59"/>
      <c r="AN85" s="60"/>
      <c r="AO85" s="60"/>
      <c r="AP85" s="60"/>
      <c r="AQ85" s="60"/>
      <c r="AW85" s="65"/>
      <c r="BB85" s="65"/>
    </row>
    <row r="86" spans="1:54" s="71" customFormat="1" hidden="1" x14ac:dyDescent="0.2">
      <c r="A86" s="67" t="s">
        <v>90</v>
      </c>
      <c r="B86" s="67">
        <f>1/(1+(10^-((B85-D85)/400)))*(B36+D36)</f>
        <v>0.97809323065153919</v>
      </c>
      <c r="C86" s="67"/>
      <c r="D86" s="67">
        <f>1/(1+(10^-((D85-B85)/400)))*(B36+D36)</f>
        <v>1.0219067693484609</v>
      </c>
      <c r="E86" s="67">
        <f>1/(1+(10^-((E85-G85)/400)))*(E36+G36)</f>
        <v>1.1730496637533825</v>
      </c>
      <c r="F86" s="67"/>
      <c r="G86" s="67">
        <f>1/(1+(10^-((G85-E85)/400)))*(E36+G36)</f>
        <v>0.82695033624661773</v>
      </c>
      <c r="H86" s="67">
        <f>1/(1+(10^-((H85-J85)/400)))*(H36+J36)</f>
        <v>1.3856088212444879</v>
      </c>
      <c r="I86" s="67"/>
      <c r="J86" s="67">
        <f>1/(1+(10^-((J85-H85)/400)))*(H36+J36)</f>
        <v>0.61439117875551208</v>
      </c>
      <c r="K86" s="67">
        <f>1/(1+(10^-((K85-M85)/400)))*(K36+M36)</f>
        <v>0.62955981892923796</v>
      </c>
      <c r="L86" s="67"/>
      <c r="M86" s="67">
        <f>1/(1+(10^-((M85-K85)/400)))*(K36+M36)</f>
        <v>1.370440181070762</v>
      </c>
      <c r="N86" s="67">
        <f>1/(1+(10^-((N85-P85)/400)))*(N36+P36)</f>
        <v>1.0507275064925781</v>
      </c>
      <c r="O86" s="67"/>
      <c r="P86" s="67">
        <f>1/(1+(10^-((P85-N85)/400)))*(N36+P36)</f>
        <v>0.94927249350742193</v>
      </c>
      <c r="Q86" s="67">
        <f>1/(1+(10^-((Q85-S85)/400)))*(Q36+S36)</f>
        <v>1.2063157344584778</v>
      </c>
      <c r="R86" s="67"/>
      <c r="S86" s="67">
        <f>1/(1+(10^-((S85-Q85)/400)))*(Q36+S36)</f>
        <v>0.79368426554152216</v>
      </c>
      <c r="T86" s="67">
        <f>1/(1+(10^-((T85-V85)/400)))*(T36+V36)</f>
        <v>0.65518774957740045</v>
      </c>
      <c r="U86" s="67"/>
      <c r="V86" s="67">
        <f>1/(1+(10^-((V85-T85)/400)))*(T36+V36)</f>
        <v>1.3448122504225997</v>
      </c>
      <c r="W86" s="67">
        <f>1/(1+(10^-((W85-Y85)/400)))*(W36+Y36)</f>
        <v>1.0861718398512414</v>
      </c>
      <c r="X86" s="67"/>
      <c r="Y86" s="67">
        <f>1/(1+(10^-((Y85-W85)/400)))*(W36+Y36)</f>
        <v>0.91382816014875856</v>
      </c>
      <c r="Z86" s="67">
        <f>1/(1+(10^-((Z85-AB85)/400)))*(Z36+AB36)</f>
        <v>1.0260864149795037</v>
      </c>
      <c r="AA86" s="67"/>
      <c r="AB86" s="67">
        <f>1/(1+(10^-((AB85-Z85)/400)))*(Z36+AB36)</f>
        <v>0.9739135850204963</v>
      </c>
      <c r="AC86" s="67">
        <f>1/(1+(10^-((AC85-AE85)/400)))*(AC36+AE36)</f>
        <v>1.2628543576171674</v>
      </c>
      <c r="AD86" s="67"/>
      <c r="AE86" s="67">
        <f>1/(1+(10^-((AE85-AC85)/400)))*(AC36+AE36)</f>
        <v>0.73714564238283276</v>
      </c>
      <c r="AF86" s="68"/>
      <c r="AG86" s="69"/>
      <c r="AH86" s="69"/>
      <c r="AI86" s="69"/>
      <c r="AJ86" s="69"/>
      <c r="AK86" s="69"/>
      <c r="AL86" s="69"/>
      <c r="AM86" s="69"/>
      <c r="AN86" s="70"/>
      <c r="AO86" s="70"/>
      <c r="AP86" s="70"/>
      <c r="AQ86" s="70"/>
      <c r="AW86" s="72"/>
      <c r="BB86" s="72"/>
    </row>
    <row r="87" spans="1:54" s="77" customFormat="1" hidden="1" x14ac:dyDescent="0.2">
      <c r="A87" s="73" t="s">
        <v>91</v>
      </c>
      <c r="B87" s="73">
        <f>B85+(B36-B86)*$BA$1</f>
        <v>1939.7394923574855</v>
      </c>
      <c r="C87" s="73"/>
      <c r="D87" s="73">
        <f>D85+(D36-D86)*$BA$1</f>
        <v>1945.9498682588744</v>
      </c>
      <c r="E87" s="73">
        <f>E85+(E36-E86)*$BA$1</f>
        <v>2060.5283350877889</v>
      </c>
      <c r="F87" s="73"/>
      <c r="G87" s="73">
        <f>G85+(G36-G86)*$BA$1</f>
        <v>2074.8687250735679</v>
      </c>
      <c r="H87" s="73">
        <f>H85+(H36-H86)*$BA$1</f>
        <v>2042.8886531576004</v>
      </c>
      <c r="I87" s="73"/>
      <c r="J87" s="73">
        <f>J85+(J36-J86)*$BA$1</f>
        <v>1990.289350538698</v>
      </c>
      <c r="K87" s="73">
        <f>K85+(K36-K86)*$BA$1</f>
        <v>1951.5935781517499</v>
      </c>
      <c r="L87" s="73"/>
      <c r="M87" s="73">
        <f>M85+(M36-M86)*$BA$1</f>
        <v>2063.0146392793035</v>
      </c>
      <c r="N87" s="73">
        <f>N85+(N36-N86)*$BA$1</f>
        <v>2026.9050548800265</v>
      </c>
      <c r="O87" s="73"/>
      <c r="P87" s="73">
        <f>P85+(P36-P86)*$BA$1</f>
        <v>2076.5119333653629</v>
      </c>
      <c r="Q87" s="73">
        <f>Q85+(Q36-Q86)*$BA$1</f>
        <v>2056.4125357766325</v>
      </c>
      <c r="R87" s="73"/>
      <c r="S87" s="73">
        <f>S85+(S36-S86)*$BA$1</f>
        <v>1996.8914540413693</v>
      </c>
      <c r="T87" s="73">
        <f>T85+(T36-T86)*$BA$1</f>
        <v>1962.627570165273</v>
      </c>
      <c r="U87" s="73"/>
      <c r="V87" s="73">
        <f>V85+(V36-V86)*$BA$1</f>
        <v>2065.4779413518395</v>
      </c>
      <c r="W87" s="73">
        <f>W85+(W36-W86)*$BA$1</f>
        <v>2056.1475560047866</v>
      </c>
      <c r="X87" s="73"/>
      <c r="Y87" s="73">
        <f>Y85+(Y36-Y86)*$BA$1</f>
        <v>1967.648952916609</v>
      </c>
      <c r="Z87" s="73">
        <f>Z85+(Z36-Z86)*$BA$1</f>
        <v>2096.6431760724954</v>
      </c>
      <c r="AA87" s="73"/>
      <c r="AB87" s="73">
        <f>AB85+(AB36-AB86)*$BA$1</f>
        <v>2025.2473010559765</v>
      </c>
      <c r="AC87" s="73">
        <f>AC85+(AC36-AC86)*$BA$1</f>
        <v>2079.7362165610371</v>
      </c>
      <c r="AD87" s="73"/>
      <c r="AE87" s="73">
        <f>AE85+(AE36-AE86)*$BA$1</f>
        <v>1939.0389096090223</v>
      </c>
      <c r="AF87" s="74"/>
      <c r="AG87" s="75"/>
      <c r="AH87" s="75"/>
      <c r="AI87" s="75"/>
      <c r="AJ87" s="75"/>
      <c r="AK87" s="75"/>
      <c r="AL87" s="75"/>
      <c r="AM87" s="75"/>
      <c r="AN87" s="76"/>
      <c r="AO87" s="76"/>
      <c r="AP87" s="76"/>
      <c r="AQ87" s="76"/>
      <c r="AW87" s="78"/>
      <c r="BB87" s="78"/>
    </row>
    <row r="88" spans="1:54" s="77" customFormat="1" hidden="1" x14ac:dyDescent="0.2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4"/>
      <c r="AG88" s="75"/>
      <c r="AH88" s="75"/>
      <c r="AI88" s="75"/>
      <c r="AJ88" s="75"/>
      <c r="AK88" s="75"/>
      <c r="AL88" s="75"/>
      <c r="AM88" s="75"/>
      <c r="AN88" s="76"/>
      <c r="AO88" s="76"/>
      <c r="AP88" s="76"/>
      <c r="AQ88" s="76"/>
      <c r="AW88" s="78"/>
      <c r="BB88" s="78"/>
    </row>
    <row r="89" spans="1:54" s="61" customFormat="1" x14ac:dyDescent="0.2">
      <c r="A89" s="790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790"/>
      <c r="C89" s="790"/>
      <c r="D89" s="790"/>
      <c r="E89" s="790"/>
      <c r="F89" s="790"/>
      <c r="G89" s="790"/>
      <c r="H89" s="790"/>
      <c r="I89" s="790"/>
      <c r="J89" s="790"/>
      <c r="K89" s="790"/>
      <c r="L89" s="790"/>
      <c r="M89" s="790"/>
      <c r="N89" s="790"/>
      <c r="O89" s="790"/>
      <c r="P89" s="790"/>
      <c r="Q89" s="790"/>
      <c r="R89" s="790"/>
      <c r="S89" s="790"/>
      <c r="T89" s="790"/>
      <c r="U89" s="790"/>
      <c r="V89" s="790"/>
      <c r="W89" s="790"/>
      <c r="X89" s="790"/>
      <c r="Y89" s="790"/>
      <c r="Z89" s="790"/>
      <c r="AA89" s="790"/>
      <c r="AB89" s="790"/>
      <c r="AC89" s="790"/>
      <c r="AD89" s="790"/>
      <c r="AE89" s="790"/>
      <c r="AF89" s="790"/>
      <c r="AG89" s="790"/>
      <c r="AH89" s="790"/>
      <c r="AI89" s="790"/>
      <c r="AJ89" s="790"/>
      <c r="AK89" s="790"/>
      <c r="AL89" s="790"/>
      <c r="AM89" s="790"/>
      <c r="AN89" s="768"/>
      <c r="AO89" s="768"/>
      <c r="AP89" s="768"/>
      <c r="AQ89" s="768"/>
      <c r="AW89" s="65"/>
    </row>
    <row r="90" spans="1:54" s="61" customFormat="1" ht="13.5" thickBot="1" x14ac:dyDescent="0.25">
      <c r="A90" s="791"/>
      <c r="B90" s="791"/>
      <c r="C90" s="791"/>
      <c r="D90" s="791"/>
      <c r="E90" s="791"/>
      <c r="F90" s="791"/>
      <c r="G90" s="791"/>
      <c r="H90" s="791"/>
      <c r="I90" s="791"/>
      <c r="J90" s="791"/>
      <c r="K90" s="791"/>
      <c r="L90" s="791"/>
      <c r="M90" s="791"/>
      <c r="N90" s="791"/>
      <c r="O90" s="791"/>
      <c r="P90" s="791"/>
      <c r="Q90" s="791"/>
      <c r="R90" s="791"/>
      <c r="S90" s="791"/>
      <c r="T90" s="791"/>
      <c r="U90" s="791"/>
      <c r="V90" s="791"/>
      <c r="W90" s="791"/>
      <c r="X90" s="791"/>
      <c r="Y90" s="791"/>
      <c r="Z90" s="791"/>
      <c r="AA90" s="791"/>
      <c r="AB90" s="791"/>
      <c r="AC90" s="791"/>
      <c r="AD90" s="791"/>
      <c r="AE90" s="791"/>
      <c r="AF90" s="791"/>
      <c r="AG90" s="791"/>
      <c r="AH90" s="791"/>
      <c r="AI90" s="791"/>
      <c r="AJ90" s="791"/>
      <c r="AK90" s="791"/>
      <c r="AL90" s="791"/>
      <c r="AM90" s="791"/>
      <c r="AN90" s="791"/>
      <c r="AO90" s="791"/>
      <c r="AP90" s="791"/>
      <c r="AQ90" s="791"/>
      <c r="AW90" s="65"/>
    </row>
    <row r="91" spans="1:54" ht="24" customHeight="1" thickBot="1" x14ac:dyDescent="0.25">
      <c r="A91" s="22" t="s">
        <v>22</v>
      </c>
      <c r="B91" s="23" t="s">
        <v>92</v>
      </c>
      <c r="C91" s="862" t="s">
        <v>24</v>
      </c>
      <c r="D91" s="863"/>
      <c r="E91" s="863"/>
      <c r="F91" s="863"/>
      <c r="G91" s="863"/>
      <c r="H91" s="864"/>
      <c r="I91" s="865">
        <v>2</v>
      </c>
      <c r="J91" s="866"/>
      <c r="K91" s="867" t="str">
        <f>"Pool "&amp;B91&amp;" - Round 1 - Court "&amp;I91</f>
        <v>Pool B - Round 1 - Court 2</v>
      </c>
      <c r="L91" s="868"/>
      <c r="M91" s="868"/>
      <c r="N91" s="868"/>
      <c r="O91" s="868"/>
      <c r="P91" s="868"/>
      <c r="Q91" s="868"/>
      <c r="R91" s="868"/>
      <c r="S91" s="868"/>
      <c r="T91" s="868"/>
      <c r="U91" s="868"/>
      <c r="V91" s="868"/>
      <c r="W91" s="868"/>
      <c r="X91" s="868"/>
      <c r="Y91" s="868"/>
      <c r="Z91" s="868"/>
      <c r="AA91" s="868"/>
      <c r="AB91" s="868"/>
      <c r="AC91" s="868"/>
      <c r="AD91" s="868"/>
      <c r="AE91" s="868"/>
      <c r="AF91" s="868"/>
      <c r="AG91" s="868"/>
      <c r="AH91" s="868"/>
      <c r="AI91" s="869"/>
      <c r="AJ91" s="11"/>
      <c r="AK91" s="11"/>
      <c r="AL91" s="11"/>
      <c r="AM91" s="11"/>
      <c r="AN91" s="11"/>
      <c r="AO91" s="11"/>
      <c r="AP91" s="11"/>
      <c r="AQ91" s="11"/>
    </row>
    <row r="92" spans="1:54" ht="27" customHeight="1" thickBot="1" x14ac:dyDescent="0.25">
      <c r="A92" s="24" t="s">
        <v>25</v>
      </c>
      <c r="B92" s="870" t="s">
        <v>7</v>
      </c>
      <c r="C92" s="871"/>
      <c r="D92" s="871"/>
      <c r="E92" s="871"/>
      <c r="F92" s="871"/>
      <c r="G92" s="871"/>
      <c r="H92" s="871"/>
      <c r="I92" s="871"/>
      <c r="J92" s="871"/>
      <c r="K92" s="871"/>
      <c r="L92" s="870" t="str">
        <f>IF($AK95=0,"Games Won","Matches Won")</f>
        <v>Games Won</v>
      </c>
      <c r="M92" s="871"/>
      <c r="N92" s="871"/>
      <c r="O92" s="871"/>
      <c r="P92" s="871"/>
      <c r="Q92" s="872"/>
      <c r="R92" s="870" t="str">
        <f>IF($AK95=0,"Games Lost","Matches Lost")</f>
        <v>Games Lost</v>
      </c>
      <c r="S92" s="873"/>
      <c r="T92" s="873"/>
      <c r="U92" s="873"/>
      <c r="V92" s="874"/>
      <c r="W92" s="875" t="s">
        <v>26</v>
      </c>
      <c r="X92" s="876"/>
      <c r="Y92" s="877"/>
      <c r="Z92" s="875" t="s">
        <v>27</v>
      </c>
      <c r="AA92" s="876"/>
      <c r="AB92" s="877"/>
      <c r="AC92" s="878" t="s">
        <v>28</v>
      </c>
      <c r="AD92" s="879"/>
      <c r="AE92" s="880"/>
      <c r="AF92" s="25" t="s">
        <v>29</v>
      </c>
      <c r="AG92" s="26" t="s">
        <v>6</v>
      </c>
      <c r="AH92" s="860" t="s">
        <v>30</v>
      </c>
      <c r="AI92" s="861"/>
      <c r="AJ92" s="27"/>
      <c r="AK92" s="28">
        <v>2</v>
      </c>
      <c r="AL92" s="29" t="s">
        <v>31</v>
      </c>
      <c r="AM92" s="29"/>
      <c r="AN92" s="29"/>
      <c r="AO92" s="29"/>
      <c r="AP92" s="29"/>
      <c r="AQ92" s="29"/>
      <c r="AR92" s="30"/>
    </row>
    <row r="93" spans="1:54" ht="18.75" customHeight="1" x14ac:dyDescent="0.2">
      <c r="A93" s="829" t="str">
        <f>IF($AK94&gt;0,"1","")</f>
        <v>1</v>
      </c>
      <c r="B93" s="857" t="s">
        <v>7</v>
      </c>
      <c r="C93" s="858"/>
      <c r="D93" s="859"/>
      <c r="E93" s="833" t="str">
        <f>AU4</f>
        <v>MEVC14Power</v>
      </c>
      <c r="F93" s="834"/>
      <c r="G93" s="834"/>
      <c r="H93" s="834"/>
      <c r="I93" s="834"/>
      <c r="J93" s="834"/>
      <c r="K93" s="835"/>
      <c r="L93" s="836">
        <f>IF($AK95=0,AF149,AF131)</f>
        <v>6</v>
      </c>
      <c r="M93" s="837"/>
      <c r="N93" s="837"/>
      <c r="O93" s="837"/>
      <c r="P93" s="837"/>
      <c r="Q93" s="872"/>
      <c r="R93" s="836">
        <f>IF($AK95=0,AG149,AG131)</f>
        <v>2</v>
      </c>
      <c r="S93" s="837"/>
      <c r="T93" s="837"/>
      <c r="U93" s="837"/>
      <c r="V93" s="837"/>
      <c r="W93" s="836">
        <f>AQ109</f>
        <v>35</v>
      </c>
      <c r="X93" s="837"/>
      <c r="Y93" s="837"/>
      <c r="Z93" s="809">
        <f>IF(AF143&gt;0,(AQ109/AF143),0)</f>
        <v>0.17412935323383086</v>
      </c>
      <c r="AA93" s="810"/>
      <c r="AB93" s="810"/>
      <c r="AC93" s="813">
        <f>IF(AF157=0,0,(AF149/AF157))</f>
        <v>0.75</v>
      </c>
      <c r="AD93" s="814"/>
      <c r="AE93" s="815"/>
      <c r="AF93" s="819">
        <v>2</v>
      </c>
      <c r="AG93" s="819">
        <v>5</v>
      </c>
      <c r="AH93" s="821">
        <v>5</v>
      </c>
      <c r="AI93" s="822"/>
      <c r="AJ93" s="27"/>
      <c r="AK93" s="28">
        <v>10</v>
      </c>
      <c r="AL93" s="29" t="s">
        <v>32</v>
      </c>
      <c r="AM93" s="29"/>
      <c r="AN93" s="29"/>
      <c r="AO93" s="29"/>
      <c r="AP93" s="29"/>
      <c r="AQ93" s="29"/>
      <c r="AR93" s="30"/>
    </row>
    <row r="94" spans="1:54" ht="18.75" customHeight="1" thickBot="1" x14ac:dyDescent="0.25">
      <c r="A94" s="830"/>
      <c r="B94" s="854" t="s">
        <v>8</v>
      </c>
      <c r="C94" s="855"/>
      <c r="D94" s="856"/>
      <c r="E94" s="850" t="str">
        <f>AV4</f>
        <v>fj4mtnel1pm</v>
      </c>
      <c r="F94" s="851"/>
      <c r="G94" s="851"/>
      <c r="H94" s="851"/>
      <c r="I94" s="851"/>
      <c r="J94" s="851"/>
      <c r="K94" s="851"/>
      <c r="L94" s="852"/>
      <c r="M94" s="853"/>
      <c r="N94" s="853"/>
      <c r="O94" s="853"/>
      <c r="P94" s="853"/>
      <c r="Q94" s="872"/>
      <c r="R94" s="852"/>
      <c r="S94" s="853"/>
      <c r="T94" s="853"/>
      <c r="U94" s="853"/>
      <c r="V94" s="853"/>
      <c r="W94" s="852"/>
      <c r="X94" s="853"/>
      <c r="Y94" s="853"/>
      <c r="Z94" s="840"/>
      <c r="AA94" s="841"/>
      <c r="AB94" s="841"/>
      <c r="AC94" s="842"/>
      <c r="AD94" s="843"/>
      <c r="AE94" s="844"/>
      <c r="AF94" s="845"/>
      <c r="AG94" s="845"/>
      <c r="AH94" s="846"/>
      <c r="AI94" s="847"/>
      <c r="AJ94" s="27"/>
      <c r="AK94" s="28">
        <v>5</v>
      </c>
      <c r="AL94" s="29" t="s">
        <v>33</v>
      </c>
      <c r="AM94" s="27"/>
      <c r="AN94" s="27"/>
      <c r="AO94" s="27"/>
      <c r="AP94" s="27"/>
      <c r="AQ94" s="27"/>
      <c r="AR94" s="3"/>
    </row>
    <row r="95" spans="1:54" ht="18.75" customHeight="1" x14ac:dyDescent="0.2">
      <c r="A95" s="829" t="str">
        <f>IF($AK94&gt;1,"2","")</f>
        <v>2</v>
      </c>
      <c r="B95" s="857" t="s">
        <v>7</v>
      </c>
      <c r="C95" s="858"/>
      <c r="D95" s="859"/>
      <c r="E95" s="833" t="str">
        <f>AU7</f>
        <v>Extreme 15-2</v>
      </c>
      <c r="F95" s="834"/>
      <c r="G95" s="834"/>
      <c r="H95" s="834"/>
      <c r="I95" s="834"/>
      <c r="J95" s="834"/>
      <c r="K95" s="835"/>
      <c r="L95" s="836">
        <f>IF($AK95=0,AF150,AF132)</f>
        <v>6</v>
      </c>
      <c r="M95" s="837"/>
      <c r="N95" s="837"/>
      <c r="O95" s="837"/>
      <c r="P95" s="837"/>
      <c r="Q95" s="872"/>
      <c r="R95" s="836">
        <f>IF($AK95=0,AG150,AG132)</f>
        <v>2</v>
      </c>
      <c r="S95" s="837"/>
      <c r="T95" s="837"/>
      <c r="U95" s="837"/>
      <c r="V95" s="837"/>
      <c r="W95" s="836">
        <f>AQ110</f>
        <v>40</v>
      </c>
      <c r="X95" s="837"/>
      <c r="Y95" s="837"/>
      <c r="Z95" s="809">
        <f>IF(AF144&gt;0,(AQ110/AF144),0)</f>
        <v>0.19900497512437812</v>
      </c>
      <c r="AA95" s="810"/>
      <c r="AB95" s="810"/>
      <c r="AC95" s="813">
        <f>IF(AF158=0,0,(AF150/AF158))</f>
        <v>0.75</v>
      </c>
      <c r="AD95" s="814"/>
      <c r="AE95" s="815"/>
      <c r="AF95" s="819">
        <v>1</v>
      </c>
      <c r="AG95" s="819">
        <v>5</v>
      </c>
      <c r="AH95" s="821">
        <v>2</v>
      </c>
      <c r="AI95" s="822"/>
      <c r="AJ95" s="27"/>
      <c r="AK95" s="28">
        <v>0</v>
      </c>
      <c r="AL95" s="29" t="s">
        <v>34</v>
      </c>
      <c r="AM95" s="29"/>
      <c r="AN95" s="29"/>
      <c r="AO95" s="29"/>
      <c r="AP95" s="29"/>
      <c r="AQ95" s="29"/>
      <c r="AR95" s="30"/>
    </row>
    <row r="96" spans="1:54" ht="18.75" customHeight="1" thickBot="1" x14ac:dyDescent="0.25">
      <c r="A96" s="830"/>
      <c r="B96" s="848" t="s">
        <v>8</v>
      </c>
      <c r="C96" s="849"/>
      <c r="D96" s="849"/>
      <c r="E96" s="850" t="str">
        <f>AV7</f>
        <v>fj5extvb2so</v>
      </c>
      <c r="F96" s="851"/>
      <c r="G96" s="851"/>
      <c r="H96" s="851"/>
      <c r="I96" s="851"/>
      <c r="J96" s="851"/>
      <c r="K96" s="851"/>
      <c r="L96" s="852"/>
      <c r="M96" s="853"/>
      <c r="N96" s="853"/>
      <c r="O96" s="853"/>
      <c r="P96" s="853"/>
      <c r="Q96" s="872"/>
      <c r="R96" s="852"/>
      <c r="S96" s="853"/>
      <c r="T96" s="853"/>
      <c r="U96" s="853"/>
      <c r="V96" s="853"/>
      <c r="W96" s="852"/>
      <c r="X96" s="853"/>
      <c r="Y96" s="853"/>
      <c r="Z96" s="840"/>
      <c r="AA96" s="841"/>
      <c r="AB96" s="841"/>
      <c r="AC96" s="842"/>
      <c r="AD96" s="843"/>
      <c r="AE96" s="844"/>
      <c r="AF96" s="845"/>
      <c r="AG96" s="845"/>
      <c r="AH96" s="846"/>
      <c r="AI96" s="847"/>
      <c r="AJ96" s="27"/>
      <c r="AK96" s="28">
        <v>1</v>
      </c>
      <c r="AL96" s="29" t="s">
        <v>35</v>
      </c>
      <c r="AM96" s="27"/>
      <c r="AN96" s="27"/>
      <c r="AO96" s="27"/>
      <c r="AP96" s="27"/>
      <c r="AQ96" s="27"/>
      <c r="AR96" s="3"/>
    </row>
    <row r="97" spans="1:44" ht="18.75" customHeight="1" x14ac:dyDescent="0.2">
      <c r="A97" s="829" t="str">
        <f>IF($AK94&gt;2,"3","")</f>
        <v>3</v>
      </c>
      <c r="B97" s="831" t="s">
        <v>7</v>
      </c>
      <c r="C97" s="832"/>
      <c r="D97" s="832"/>
      <c r="E97" s="833" t="str">
        <f>AU10</f>
        <v>Augusta Elite 15U</v>
      </c>
      <c r="F97" s="834"/>
      <c r="G97" s="834"/>
      <c r="H97" s="834"/>
      <c r="I97" s="834"/>
      <c r="J97" s="834"/>
      <c r="K97" s="835"/>
      <c r="L97" s="836">
        <f>IF($AK95=0,AF151,AF133)</f>
        <v>3</v>
      </c>
      <c r="M97" s="837"/>
      <c r="N97" s="837"/>
      <c r="O97" s="837"/>
      <c r="P97" s="837"/>
      <c r="Q97" s="872"/>
      <c r="R97" s="836">
        <f>IF($AK95=0,AG151,AG133)</f>
        <v>5</v>
      </c>
      <c r="S97" s="837"/>
      <c r="T97" s="837"/>
      <c r="U97" s="837"/>
      <c r="V97" s="837"/>
      <c r="W97" s="836">
        <f>AQ111</f>
        <v>-11</v>
      </c>
      <c r="X97" s="837"/>
      <c r="Y97" s="837"/>
      <c r="Z97" s="809">
        <f>IF(AF145&gt;0,(AQ111/AF145),0)</f>
        <v>-5.5E-2</v>
      </c>
      <c r="AA97" s="810"/>
      <c r="AB97" s="810"/>
      <c r="AC97" s="813">
        <f>IF(AF159=0,0,(AF151/AF159))</f>
        <v>0.375</v>
      </c>
      <c r="AD97" s="814"/>
      <c r="AE97" s="815"/>
      <c r="AF97" s="819">
        <v>4</v>
      </c>
      <c r="AG97" s="819">
        <v>1</v>
      </c>
      <c r="AH97" s="821">
        <v>11</v>
      </c>
      <c r="AI97" s="822"/>
      <c r="AJ97" s="36"/>
      <c r="AK97" s="28">
        <v>8</v>
      </c>
      <c r="AL97" s="37" t="s">
        <v>36</v>
      </c>
      <c r="AM97" s="29"/>
      <c r="AN97" s="29"/>
      <c r="AO97" s="29"/>
      <c r="AP97" s="29"/>
      <c r="AQ97" s="29"/>
      <c r="AR97" s="30"/>
    </row>
    <row r="98" spans="1:44" ht="18.75" customHeight="1" thickBot="1" x14ac:dyDescent="0.25">
      <c r="A98" s="830"/>
      <c r="B98" s="848" t="s">
        <v>8</v>
      </c>
      <c r="C98" s="849"/>
      <c r="D98" s="849"/>
      <c r="E98" s="850" t="str">
        <f>AV10</f>
        <v>fj5aelit1pm</v>
      </c>
      <c r="F98" s="851"/>
      <c r="G98" s="851"/>
      <c r="H98" s="851"/>
      <c r="I98" s="851"/>
      <c r="J98" s="851"/>
      <c r="K98" s="851"/>
      <c r="L98" s="852"/>
      <c r="M98" s="853"/>
      <c r="N98" s="853"/>
      <c r="O98" s="853"/>
      <c r="P98" s="853"/>
      <c r="Q98" s="872"/>
      <c r="R98" s="852"/>
      <c r="S98" s="853"/>
      <c r="T98" s="853"/>
      <c r="U98" s="853"/>
      <c r="V98" s="853"/>
      <c r="W98" s="852"/>
      <c r="X98" s="853"/>
      <c r="Y98" s="853"/>
      <c r="Z98" s="840"/>
      <c r="AA98" s="841"/>
      <c r="AB98" s="841"/>
      <c r="AC98" s="842"/>
      <c r="AD98" s="843"/>
      <c r="AE98" s="844"/>
      <c r="AF98" s="845"/>
      <c r="AG98" s="845"/>
      <c r="AH98" s="846"/>
      <c r="AI98" s="847"/>
      <c r="AJ98" s="36"/>
      <c r="AK98" s="38"/>
      <c r="AL98" s="39"/>
      <c r="AM98" s="39"/>
      <c r="AN98" s="39"/>
      <c r="AO98" s="39"/>
      <c r="AP98" s="39"/>
      <c r="AQ98" s="27"/>
      <c r="AR98" s="3"/>
    </row>
    <row r="99" spans="1:44" ht="18.75" customHeight="1" x14ac:dyDescent="0.2">
      <c r="A99" s="829" t="str">
        <f>IF($AK94&gt;3,"4","")</f>
        <v>4</v>
      </c>
      <c r="B99" s="831" t="s">
        <v>7</v>
      </c>
      <c r="C99" s="832"/>
      <c r="D99" s="832"/>
      <c r="E99" s="833" t="str">
        <f>AU13</f>
        <v>Crossfire 13</v>
      </c>
      <c r="F99" s="834"/>
      <c r="G99" s="834"/>
      <c r="H99" s="834"/>
      <c r="I99" s="834"/>
      <c r="J99" s="834"/>
      <c r="K99" s="835"/>
      <c r="L99" s="836">
        <f>IF($AK95=0,AF152,AF134)</f>
        <v>5</v>
      </c>
      <c r="M99" s="837"/>
      <c r="N99" s="837"/>
      <c r="O99" s="837"/>
      <c r="P99" s="837"/>
      <c r="Q99" s="872"/>
      <c r="R99" s="836">
        <f>IF($AK95=0,AG152,AG134)</f>
        <v>3</v>
      </c>
      <c r="S99" s="837"/>
      <c r="T99" s="837"/>
      <c r="U99" s="837"/>
      <c r="V99" s="837"/>
      <c r="W99" s="836">
        <f>AQ112</f>
        <v>15</v>
      </c>
      <c r="X99" s="837"/>
      <c r="Y99" s="837"/>
      <c r="Z99" s="809">
        <f>IF(AF146&gt;0,(AQ112/AF146),0)</f>
        <v>7.4999999999999997E-2</v>
      </c>
      <c r="AA99" s="810"/>
      <c r="AB99" s="810"/>
      <c r="AC99" s="813">
        <f>IF(AF160=0,0,(AF152/AF160))</f>
        <v>0.625</v>
      </c>
      <c r="AD99" s="814"/>
      <c r="AE99" s="815"/>
      <c r="AF99" s="819">
        <v>3</v>
      </c>
      <c r="AG99" s="819">
        <v>1</v>
      </c>
      <c r="AH99" s="821">
        <v>7</v>
      </c>
      <c r="AI99" s="822"/>
      <c r="AJ99" s="11"/>
      <c r="AK99" s="39"/>
      <c r="AL99" s="39"/>
      <c r="AM99" s="39"/>
      <c r="AN99" s="39"/>
      <c r="AO99" s="39"/>
      <c r="AP99" s="39"/>
      <c r="AQ99" s="29"/>
      <c r="AR99" s="30"/>
    </row>
    <row r="100" spans="1:44" ht="18.75" customHeight="1" thickBot="1" x14ac:dyDescent="0.25">
      <c r="A100" s="830"/>
      <c r="B100" s="848" t="s">
        <v>8</v>
      </c>
      <c r="C100" s="849"/>
      <c r="D100" s="849"/>
      <c r="E100" s="850" t="str">
        <f>AV13</f>
        <v>fj3crosf1pm</v>
      </c>
      <c r="F100" s="851"/>
      <c r="G100" s="851"/>
      <c r="H100" s="851"/>
      <c r="I100" s="851"/>
      <c r="J100" s="851"/>
      <c r="K100" s="851"/>
      <c r="L100" s="852"/>
      <c r="M100" s="853"/>
      <c r="N100" s="853"/>
      <c r="O100" s="853"/>
      <c r="P100" s="853"/>
      <c r="Q100" s="872"/>
      <c r="R100" s="852"/>
      <c r="S100" s="853"/>
      <c r="T100" s="853"/>
      <c r="U100" s="853"/>
      <c r="V100" s="853"/>
      <c r="W100" s="852"/>
      <c r="X100" s="853"/>
      <c r="Y100" s="853"/>
      <c r="Z100" s="840"/>
      <c r="AA100" s="841"/>
      <c r="AB100" s="841"/>
      <c r="AC100" s="842"/>
      <c r="AD100" s="843"/>
      <c r="AE100" s="844"/>
      <c r="AF100" s="845"/>
      <c r="AG100" s="845"/>
      <c r="AH100" s="846"/>
      <c r="AI100" s="847"/>
      <c r="AJ100" s="11"/>
      <c r="AK100" s="39"/>
      <c r="AL100" s="39"/>
      <c r="AM100" s="39"/>
      <c r="AN100" s="39"/>
      <c r="AO100" s="39"/>
      <c r="AP100" s="39"/>
      <c r="AQ100" s="11"/>
      <c r="AR100" s="3"/>
    </row>
    <row r="101" spans="1:44" ht="18.75" customHeight="1" x14ac:dyDescent="0.2">
      <c r="A101" s="829" t="str">
        <f>IF($AK94&gt;4,"5","")</f>
        <v>5</v>
      </c>
      <c r="B101" s="831" t="s">
        <v>7</v>
      </c>
      <c r="C101" s="832"/>
      <c r="D101" s="832"/>
      <c r="E101" s="833" t="str">
        <f>AU16</f>
        <v>Agaist All Odds 15 Blue</v>
      </c>
      <c r="F101" s="834"/>
      <c r="G101" s="834"/>
      <c r="H101" s="834"/>
      <c r="I101" s="834"/>
      <c r="J101" s="834"/>
      <c r="K101" s="835"/>
      <c r="L101" s="836">
        <f>IF($AK95=0,AF153,AF135)</f>
        <v>0</v>
      </c>
      <c r="M101" s="837"/>
      <c r="N101" s="837"/>
      <c r="O101" s="837"/>
      <c r="P101" s="837"/>
      <c r="Q101" s="872"/>
      <c r="R101" s="836">
        <f>IF($AK95=0,AG153,AG135)</f>
        <v>8</v>
      </c>
      <c r="S101" s="837"/>
      <c r="T101" s="837"/>
      <c r="U101" s="837"/>
      <c r="V101" s="837"/>
      <c r="W101" s="836">
        <f>AQ113</f>
        <v>-79</v>
      </c>
      <c r="X101" s="837"/>
      <c r="Y101" s="837"/>
      <c r="Z101" s="809">
        <f>IF(AF147&gt;0,(AQ113/AF147),0)</f>
        <v>-0.39500000000000002</v>
      </c>
      <c r="AA101" s="810"/>
      <c r="AB101" s="810"/>
      <c r="AC101" s="813">
        <f>IF(AF161=0,0,(AF153/AF161))</f>
        <v>0</v>
      </c>
      <c r="AD101" s="814"/>
      <c r="AE101" s="815"/>
      <c r="AF101" s="819">
        <v>5</v>
      </c>
      <c r="AG101" s="819">
        <v>1</v>
      </c>
      <c r="AH101" s="821">
        <v>13</v>
      </c>
      <c r="AI101" s="822"/>
      <c r="AJ101" s="11"/>
      <c r="AK101" s="39"/>
      <c r="AL101" s="39"/>
      <c r="AM101" s="39"/>
      <c r="AN101" s="39"/>
      <c r="AO101" s="39"/>
      <c r="AP101" s="39"/>
      <c r="AQ101" s="11"/>
      <c r="AR101" s="3"/>
    </row>
    <row r="102" spans="1:44" ht="18.75" customHeight="1" thickBot="1" x14ac:dyDescent="0.25">
      <c r="A102" s="830"/>
      <c r="B102" s="825" t="s">
        <v>8</v>
      </c>
      <c r="C102" s="826"/>
      <c r="D102" s="826"/>
      <c r="E102" s="827" t="str">
        <f>AV16</f>
        <v>FJ5AAodd1pm</v>
      </c>
      <c r="F102" s="828"/>
      <c r="G102" s="828"/>
      <c r="H102" s="828"/>
      <c r="I102" s="828"/>
      <c r="J102" s="828"/>
      <c r="K102" s="828"/>
      <c r="L102" s="838"/>
      <c r="M102" s="839"/>
      <c r="N102" s="839"/>
      <c r="O102" s="839"/>
      <c r="P102" s="839"/>
      <c r="Q102" s="872"/>
      <c r="R102" s="838"/>
      <c r="S102" s="839"/>
      <c r="T102" s="839"/>
      <c r="U102" s="839"/>
      <c r="V102" s="839"/>
      <c r="W102" s="838"/>
      <c r="X102" s="839"/>
      <c r="Y102" s="839"/>
      <c r="Z102" s="811"/>
      <c r="AA102" s="812"/>
      <c r="AB102" s="812"/>
      <c r="AC102" s="816"/>
      <c r="AD102" s="817"/>
      <c r="AE102" s="818"/>
      <c r="AF102" s="820"/>
      <c r="AG102" s="820"/>
      <c r="AH102" s="823"/>
      <c r="AI102" s="824"/>
      <c r="AJ102" s="11"/>
      <c r="AK102" s="39"/>
      <c r="AL102" s="39"/>
      <c r="AM102" s="39"/>
      <c r="AN102" s="39"/>
      <c r="AO102" s="39"/>
      <c r="AP102" s="39"/>
      <c r="AQ102" s="11"/>
      <c r="AR102" s="3"/>
    </row>
    <row r="103" spans="1:44" ht="21" customHeight="1" thickTop="1" thickBot="1" x14ac:dyDescent="0.25">
      <c r="A103" s="40"/>
      <c r="B103" s="806" t="s">
        <v>168</v>
      </c>
      <c r="C103" s="807"/>
      <c r="D103" s="807"/>
      <c r="E103" s="807"/>
      <c r="F103" s="807"/>
      <c r="G103" s="807"/>
      <c r="H103" s="807"/>
      <c r="I103" s="807"/>
      <c r="J103" s="807"/>
      <c r="K103" s="807"/>
      <c r="L103" s="807"/>
      <c r="M103" s="807"/>
      <c r="N103" s="807"/>
      <c r="O103" s="807"/>
      <c r="P103" s="807"/>
      <c r="Q103" s="807"/>
      <c r="R103" s="807"/>
      <c r="S103" s="807"/>
      <c r="T103" s="807"/>
      <c r="U103" s="807"/>
      <c r="V103" s="807"/>
      <c r="W103" s="807"/>
      <c r="X103" s="807"/>
      <c r="Y103" s="807"/>
      <c r="Z103" s="807"/>
      <c r="AA103" s="807"/>
      <c r="AB103" s="807"/>
      <c r="AC103" s="807"/>
      <c r="AD103" s="807"/>
      <c r="AE103" s="807"/>
      <c r="AF103" s="807"/>
      <c r="AG103" s="807"/>
      <c r="AH103" s="807"/>
      <c r="AI103" s="808"/>
      <c r="AJ103" s="11"/>
      <c r="AK103" s="39"/>
      <c r="AL103" s="39"/>
      <c r="AM103" s="39"/>
      <c r="AN103" s="39"/>
      <c r="AO103" s="39"/>
      <c r="AP103" s="39"/>
      <c r="AQ103" s="11"/>
      <c r="AR103" s="3"/>
    </row>
    <row r="104" spans="1:44" ht="13.5" thickTop="1" x14ac:dyDescent="0.2">
      <c r="A104" s="4" t="s">
        <v>39</v>
      </c>
      <c r="B104" s="795">
        <v>0.35416666666666669</v>
      </c>
      <c r="C104" s="796"/>
      <c r="D104" s="797"/>
      <c r="E104" s="795">
        <v>0.38194444444444442</v>
      </c>
      <c r="F104" s="796"/>
      <c r="G104" s="797"/>
      <c r="H104" s="795">
        <v>0.40972222222222227</v>
      </c>
      <c r="I104" s="796"/>
      <c r="J104" s="797"/>
      <c r="K104" s="795">
        <v>0.4375</v>
      </c>
      <c r="L104" s="796"/>
      <c r="M104" s="797"/>
      <c r="N104" s="795">
        <v>0.46527777777777773</v>
      </c>
      <c r="O104" s="796"/>
      <c r="P104" s="797"/>
      <c r="Q104" s="795">
        <v>0.49305555555555558</v>
      </c>
      <c r="R104" s="796"/>
      <c r="S104" s="797"/>
      <c r="T104" s="795">
        <v>0.52083333333333337</v>
      </c>
      <c r="U104" s="796"/>
      <c r="V104" s="797"/>
      <c r="W104" s="795">
        <v>4.8611111111111112E-2</v>
      </c>
      <c r="X104" s="796"/>
      <c r="Y104" s="797"/>
      <c r="Z104" s="795">
        <v>7.6388888888888895E-2</v>
      </c>
      <c r="AA104" s="796"/>
      <c r="AB104" s="797"/>
      <c r="AC104" s="795">
        <v>0.10416666666666667</v>
      </c>
      <c r="AD104" s="796"/>
      <c r="AE104" s="797"/>
      <c r="AF104" s="798" t="s">
        <v>40</v>
      </c>
      <c r="AG104" s="799"/>
      <c r="AH104" s="799"/>
      <c r="AI104" s="799"/>
      <c r="AJ104" s="800"/>
      <c r="AK104" s="800"/>
      <c r="AL104" s="800"/>
      <c r="AM104" s="800"/>
      <c r="AN104" s="800"/>
      <c r="AO104" s="800"/>
      <c r="AP104" s="800"/>
      <c r="AQ104" s="801"/>
    </row>
    <row r="105" spans="1:44" x14ac:dyDescent="0.2">
      <c r="A105" s="41" t="s">
        <v>41</v>
      </c>
      <c r="B105" s="792">
        <v>0.35555555555555557</v>
      </c>
      <c r="C105" s="793"/>
      <c r="D105" s="794"/>
      <c r="E105" s="792">
        <v>0.38194444444444442</v>
      </c>
      <c r="F105" s="793"/>
      <c r="G105" s="794"/>
      <c r="H105" s="792">
        <v>0.41666666666666669</v>
      </c>
      <c r="I105" s="793"/>
      <c r="J105" s="794"/>
      <c r="K105" s="792">
        <v>0.4513888888888889</v>
      </c>
      <c r="L105" s="793"/>
      <c r="M105" s="794"/>
      <c r="N105" s="792">
        <v>0.4861111111111111</v>
      </c>
      <c r="O105" s="793"/>
      <c r="P105" s="794"/>
      <c r="Q105" s="792">
        <v>0.5</v>
      </c>
      <c r="R105" s="793"/>
      <c r="S105" s="794"/>
      <c r="T105" s="792">
        <v>4.6527777777777779E-2</v>
      </c>
      <c r="U105" s="793"/>
      <c r="V105" s="794"/>
      <c r="W105" s="792">
        <v>8.1944444444444445E-2</v>
      </c>
      <c r="X105" s="793"/>
      <c r="Y105" s="794"/>
      <c r="Z105" s="792">
        <v>0.10972222222222222</v>
      </c>
      <c r="AA105" s="793"/>
      <c r="AB105" s="794"/>
      <c r="AC105" s="792">
        <v>0.1423611111111111</v>
      </c>
      <c r="AD105" s="793"/>
      <c r="AE105" s="794"/>
      <c r="AF105" s="798"/>
      <c r="AG105" s="799"/>
      <c r="AH105" s="799"/>
      <c r="AI105" s="799"/>
      <c r="AJ105" s="799"/>
      <c r="AK105" s="799"/>
      <c r="AL105" s="799"/>
      <c r="AM105" s="799"/>
      <c r="AN105" s="799"/>
      <c r="AO105" s="799"/>
      <c r="AP105" s="799"/>
      <c r="AQ105" s="802"/>
    </row>
    <row r="106" spans="1:44" x14ac:dyDescent="0.2">
      <c r="A106" s="41" t="s">
        <v>42</v>
      </c>
      <c r="B106" s="792">
        <v>0.375</v>
      </c>
      <c r="C106" s="793"/>
      <c r="D106" s="794"/>
      <c r="E106" s="792">
        <v>0.41180555555555554</v>
      </c>
      <c r="F106" s="793"/>
      <c r="G106" s="794"/>
      <c r="H106" s="792">
        <v>0.44513888888888892</v>
      </c>
      <c r="I106" s="793"/>
      <c r="J106" s="794"/>
      <c r="K106" s="792">
        <v>0.47916666666666669</v>
      </c>
      <c r="L106" s="793"/>
      <c r="M106" s="794"/>
      <c r="N106" s="792">
        <v>0.51388888888888895</v>
      </c>
      <c r="O106" s="793"/>
      <c r="P106" s="794"/>
      <c r="Q106" s="792">
        <v>4.3055555555555562E-2</v>
      </c>
      <c r="R106" s="793"/>
      <c r="S106" s="794"/>
      <c r="T106" s="792">
        <v>6.9444444444444434E-2</v>
      </c>
      <c r="U106" s="793"/>
      <c r="V106" s="794"/>
      <c r="W106" s="792">
        <v>0.1111111111111111</v>
      </c>
      <c r="X106" s="793"/>
      <c r="Y106" s="794"/>
      <c r="Z106" s="792">
        <v>0.13541666666666666</v>
      </c>
      <c r="AA106" s="793"/>
      <c r="AB106" s="794"/>
      <c r="AC106" s="792">
        <v>0.16666666666666666</v>
      </c>
      <c r="AD106" s="793"/>
      <c r="AE106" s="794"/>
      <c r="AF106" s="798"/>
      <c r="AG106" s="799"/>
      <c r="AH106" s="799"/>
      <c r="AI106" s="799"/>
      <c r="AJ106" s="799"/>
      <c r="AK106" s="799"/>
      <c r="AL106" s="799"/>
      <c r="AM106" s="799"/>
      <c r="AN106" s="799"/>
      <c r="AO106" s="799"/>
      <c r="AP106" s="799"/>
      <c r="AQ106" s="802"/>
    </row>
    <row r="107" spans="1:44" ht="13.5" thickBot="1" x14ac:dyDescent="0.25">
      <c r="A107" s="11"/>
      <c r="B107" s="684" t="s">
        <v>43</v>
      </c>
      <c r="C107" s="685"/>
      <c r="D107" s="691"/>
      <c r="E107" s="684" t="str">
        <f>IF(AK93&gt;1,"Match 2","")</f>
        <v>Match 2</v>
      </c>
      <c r="F107" s="685"/>
      <c r="G107" s="691"/>
      <c r="H107" s="684" t="str">
        <f>IF(AK93&gt;2,"Match 3","")</f>
        <v>Match 3</v>
      </c>
      <c r="I107" s="685"/>
      <c r="J107" s="691"/>
      <c r="K107" s="684" t="str">
        <f>IF(AK93&gt;3,"Match 4","")</f>
        <v>Match 4</v>
      </c>
      <c r="L107" s="685"/>
      <c r="M107" s="691"/>
      <c r="N107" s="684" t="str">
        <f>IF(AK93&gt;4,"Match 5","")</f>
        <v>Match 5</v>
      </c>
      <c r="O107" s="685"/>
      <c r="P107" s="691"/>
      <c r="Q107" s="684" t="str">
        <f>IF(AK93&gt;5,"Match 6","")</f>
        <v>Match 6</v>
      </c>
      <c r="R107" s="685"/>
      <c r="S107" s="691"/>
      <c r="T107" s="684" t="str">
        <f>IF(AK93&gt;6,"Match 7","")</f>
        <v>Match 7</v>
      </c>
      <c r="U107" s="685"/>
      <c r="V107" s="691"/>
      <c r="W107" s="684" t="str">
        <f>IF(AK93&gt;7,"Match 8","")</f>
        <v>Match 8</v>
      </c>
      <c r="X107" s="685"/>
      <c r="Y107" s="691"/>
      <c r="Z107" s="684" t="str">
        <f>IF(AK93&gt;8,"Match 9","")</f>
        <v>Match 9</v>
      </c>
      <c r="AA107" s="685"/>
      <c r="AB107" s="691"/>
      <c r="AC107" s="684" t="str">
        <f>IF(AK93&gt;9,"Match 10","")</f>
        <v>Match 10</v>
      </c>
      <c r="AD107" s="685"/>
      <c r="AE107" s="691"/>
      <c r="AF107" s="803"/>
      <c r="AG107" s="804"/>
      <c r="AH107" s="804"/>
      <c r="AI107" s="804"/>
      <c r="AJ107" s="804"/>
      <c r="AK107" s="804"/>
      <c r="AL107" s="804"/>
      <c r="AM107" s="804"/>
      <c r="AN107" s="804"/>
      <c r="AO107" s="804"/>
      <c r="AP107" s="804"/>
      <c r="AQ107" s="805"/>
    </row>
    <row r="108" spans="1:44" ht="15.75" x14ac:dyDescent="0.25">
      <c r="A108" s="11"/>
      <c r="B108" s="786" t="s">
        <v>44</v>
      </c>
      <c r="C108" s="787"/>
      <c r="D108" s="788"/>
      <c r="E108" s="786" t="s">
        <v>45</v>
      </c>
      <c r="F108" s="787"/>
      <c r="G108" s="788"/>
      <c r="H108" s="786" t="s">
        <v>46</v>
      </c>
      <c r="I108" s="787"/>
      <c r="J108" s="788"/>
      <c r="K108" s="786" t="s">
        <v>47</v>
      </c>
      <c r="L108" s="787"/>
      <c r="M108" s="788"/>
      <c r="N108" s="786" t="s">
        <v>48</v>
      </c>
      <c r="O108" s="787"/>
      <c r="P108" s="788"/>
      <c r="Q108" s="786" t="s">
        <v>46</v>
      </c>
      <c r="R108" s="787"/>
      <c r="S108" s="788"/>
      <c r="T108" s="786" t="s">
        <v>44</v>
      </c>
      <c r="U108" s="787"/>
      <c r="V108" s="788"/>
      <c r="W108" s="786" t="s">
        <v>48</v>
      </c>
      <c r="X108" s="787"/>
      <c r="Y108" s="788"/>
      <c r="Z108" s="786" t="s">
        <v>47</v>
      </c>
      <c r="AA108" s="787"/>
      <c r="AB108" s="788"/>
      <c r="AC108" s="786" t="s">
        <v>45</v>
      </c>
      <c r="AD108" s="787"/>
      <c r="AE108" s="788"/>
      <c r="AF108" s="42" t="s">
        <v>49</v>
      </c>
      <c r="AG108" s="43">
        <v>1</v>
      </c>
      <c r="AH108" s="43">
        <v>2</v>
      </c>
      <c r="AI108" s="43">
        <v>3</v>
      </c>
      <c r="AJ108" s="43">
        <v>4</v>
      </c>
      <c r="AK108" s="43">
        <v>5</v>
      </c>
      <c r="AL108" s="43">
        <v>6</v>
      </c>
      <c r="AM108" s="43">
        <v>7</v>
      </c>
      <c r="AN108" s="43">
        <v>8</v>
      </c>
      <c r="AO108" s="43">
        <v>9</v>
      </c>
      <c r="AP108" s="43">
        <v>10</v>
      </c>
      <c r="AQ108" s="44" t="s">
        <v>50</v>
      </c>
    </row>
    <row r="109" spans="1:44" ht="15.75" x14ac:dyDescent="0.25">
      <c r="A109" s="11"/>
      <c r="B109" s="45">
        <v>2</v>
      </c>
      <c r="C109" s="46" t="s">
        <v>51</v>
      </c>
      <c r="D109" s="47">
        <v>5</v>
      </c>
      <c r="E109" s="45">
        <v>1</v>
      </c>
      <c r="F109" s="46" t="str">
        <f>IF(AK93&gt;1,"v","")</f>
        <v>v</v>
      </c>
      <c r="G109" s="47">
        <v>4</v>
      </c>
      <c r="H109" s="45">
        <v>3</v>
      </c>
      <c r="I109" s="46" t="str">
        <f>IF(AK93&gt;2,"v","")</f>
        <v>v</v>
      </c>
      <c r="J109" s="47">
        <v>5</v>
      </c>
      <c r="K109" s="45">
        <v>2</v>
      </c>
      <c r="L109" s="46" t="str">
        <f>IF(AK93&gt;3,"v","")</f>
        <v>v</v>
      </c>
      <c r="M109" s="47">
        <v>4</v>
      </c>
      <c r="N109" s="45">
        <v>1</v>
      </c>
      <c r="O109" s="46" t="str">
        <f>IF(AK93&gt;4,"v","")</f>
        <v>v</v>
      </c>
      <c r="P109" s="47">
        <v>3</v>
      </c>
      <c r="Q109" s="45">
        <v>4</v>
      </c>
      <c r="R109" s="46" t="str">
        <f>IF(AK93&gt;5,"v","")</f>
        <v>v</v>
      </c>
      <c r="S109" s="47">
        <v>5</v>
      </c>
      <c r="T109" s="45">
        <v>2</v>
      </c>
      <c r="U109" s="46" t="str">
        <f>IF(AK93&gt;6,"v","")</f>
        <v>v</v>
      </c>
      <c r="V109" s="47">
        <v>3</v>
      </c>
      <c r="W109" s="45">
        <v>1</v>
      </c>
      <c r="X109" s="46" t="str">
        <f>IF(AK93&gt;7,"v","")</f>
        <v>v</v>
      </c>
      <c r="Y109" s="47">
        <v>5</v>
      </c>
      <c r="Z109" s="45">
        <v>3</v>
      </c>
      <c r="AA109" s="46" t="str">
        <f>IF(AK93&gt;8,"v","")</f>
        <v>v</v>
      </c>
      <c r="AB109" s="47">
        <v>4</v>
      </c>
      <c r="AC109" s="45">
        <v>1</v>
      </c>
      <c r="AD109" s="46" t="str">
        <f>IF(AK93&gt;9,"v","")</f>
        <v>v</v>
      </c>
      <c r="AE109" s="47">
        <v>2</v>
      </c>
      <c r="AF109" s="42" t="str">
        <f>IF(AK94&gt;0,"Team 1","")</f>
        <v>Team 1</v>
      </c>
      <c r="AG109" s="48" t="str">
        <f>IF(AK94&lt;1,"",IF(AK93&lt;1,"",IF(B109=1,B115-D115,IF(D109=1,D115-B115,""))))</f>
        <v/>
      </c>
      <c r="AH109" s="48">
        <f>IF(AK94&lt;1,"",IF(AK93&lt;2,"",IF(E109=1,E115-G115,IF(G109=1,G115-E115,""))))</f>
        <v>3</v>
      </c>
      <c r="AI109" s="48" t="str">
        <f>IF(AK94&lt;1,"",IF(AK93&lt;3,"",IF(H109=1,H115-J115,IF(J109=1,J115-H115,""))))</f>
        <v/>
      </c>
      <c r="AJ109" s="48" t="str">
        <f>IF(AK94&lt;1,"",IF(AK93&lt;4,"",IF(K109=1,K115-M115,IF(M109=1,M115-K115,""))))</f>
        <v/>
      </c>
      <c r="AK109" s="48">
        <f>IF(AK94&lt;1,"",IF(AK93&lt;5,"",IF(N109=1,N115-P115,IF(P109=1,P115-N115,""))))</f>
        <v>8</v>
      </c>
      <c r="AL109" s="48" t="str">
        <f>IF(AK94&lt;1,"",IF(AK93&lt;6,"",IF(Q109=1,Q115-S115,IF(S109=1,S115-Q115,""))))</f>
        <v/>
      </c>
      <c r="AM109" s="48" t="str">
        <f>IF(AK94&lt;1,"",IF(AK93&lt;7,"",IF(T109=1,T115-V115,IF(V109=1,V115-T115,""))))</f>
        <v/>
      </c>
      <c r="AN109" s="48">
        <f>IF(AK94&lt;1,"",IF(AK93&lt;8,"",IF(W109=1,W115-Y115,IF(Y109=1,Y115-W115,""))))</f>
        <v>24</v>
      </c>
      <c r="AO109" s="48" t="str">
        <f>IF(AK94&lt;1,"",IF(AK93&lt;9,"",IF(Z109=1,Z115-AB115,IF(AB109=1,AB115-Z115,""))))</f>
        <v/>
      </c>
      <c r="AP109" s="48">
        <f>IF(AK94&lt;1,"",IF(AK93&lt;10,"",IF(AC109=1,AC115-AE115,IF(AE109=1,AE115-AC115,""))))</f>
        <v>0</v>
      </c>
      <c r="AQ109" s="44">
        <f>SUM(AG109:AP109)</f>
        <v>35</v>
      </c>
    </row>
    <row r="110" spans="1:44" ht="15" x14ac:dyDescent="0.2">
      <c r="A110" s="4" t="s">
        <v>52</v>
      </c>
      <c r="B110" s="49">
        <v>25</v>
      </c>
      <c r="C110" s="50" t="s">
        <v>53</v>
      </c>
      <c r="D110" s="51">
        <v>14</v>
      </c>
      <c r="E110" s="49">
        <v>25</v>
      </c>
      <c r="F110" s="50" t="str">
        <f>IF(AK93&gt;1,"/","")</f>
        <v>/</v>
      </c>
      <c r="G110" s="51">
        <v>20</v>
      </c>
      <c r="H110" s="49">
        <v>25</v>
      </c>
      <c r="I110" s="50" t="str">
        <f>IF(AK93&gt;2,"/","")</f>
        <v>/</v>
      </c>
      <c r="J110" s="51">
        <v>19</v>
      </c>
      <c r="K110" s="49">
        <v>25</v>
      </c>
      <c r="L110" s="50" t="str">
        <f>IF(AK93&gt;3,"/","")</f>
        <v>/</v>
      </c>
      <c r="M110" s="51">
        <v>11</v>
      </c>
      <c r="N110" s="49">
        <v>25</v>
      </c>
      <c r="O110" s="50" t="str">
        <f>IF(AK93&gt;4,"/","")</f>
        <v>/</v>
      </c>
      <c r="P110" s="51">
        <v>22</v>
      </c>
      <c r="Q110" s="49">
        <v>25</v>
      </c>
      <c r="R110" s="50" t="str">
        <f>IF(AK93&gt;5,"/","")</f>
        <v>/</v>
      </c>
      <c r="S110" s="51">
        <v>12</v>
      </c>
      <c r="T110" s="49">
        <v>25</v>
      </c>
      <c r="U110" s="50" t="str">
        <f>IF(AK93&gt;6,"/","")</f>
        <v>/</v>
      </c>
      <c r="V110" s="51">
        <v>21</v>
      </c>
      <c r="W110" s="49">
        <v>25</v>
      </c>
      <c r="X110" s="50" t="str">
        <f>IF(AK93&gt;7,"/","")</f>
        <v>/</v>
      </c>
      <c r="Y110" s="51">
        <v>9</v>
      </c>
      <c r="Z110" s="49">
        <v>13</v>
      </c>
      <c r="AA110" s="50" t="str">
        <f>IF(AK93&gt;8,"/","")</f>
        <v>/</v>
      </c>
      <c r="AB110" s="51">
        <v>25</v>
      </c>
      <c r="AC110" s="49">
        <v>24</v>
      </c>
      <c r="AD110" s="50" t="str">
        <f>IF(AK93&gt;9,"/","")</f>
        <v>/</v>
      </c>
      <c r="AE110" s="51">
        <v>26</v>
      </c>
      <c r="AF110" s="42" t="str">
        <f>IF(AK94&gt;1,"Team 2","")</f>
        <v>Team 2</v>
      </c>
      <c r="AG110" s="48">
        <f>IF(AK94&lt;2,"",IF(AK93&lt;1,"",IF(B109=2,B115-D115,IF(D109=2,D115-B115,""))))</f>
        <v>22</v>
      </c>
      <c r="AH110" s="48" t="str">
        <f>IF(AK94&lt;2,"",IF(AK93&lt;2,"",IF(E109=2,E115-G115,IF(G109=2,G115-E115,""))))</f>
        <v/>
      </c>
      <c r="AI110" s="48" t="str">
        <f>IF(AK94&lt;2,"",IF(AK93&lt;3,"",IF(H109=2,H115-J115,IF(J109=2,J115-H115,""))))</f>
        <v/>
      </c>
      <c r="AJ110" s="48">
        <f>IF(AK94&lt;2,"",IF(AK93&lt;4,"",IF(K109=2,K115-M115,IF(M109=2,M115-K115,""))))</f>
        <v>18</v>
      </c>
      <c r="AK110" s="48" t="str">
        <f>IF(AK94&lt;2,"",IF(AK93&lt;5,"",IF(N109=2,N115-P115,IF(P109=2,P115-N115,""))))</f>
        <v/>
      </c>
      <c r="AL110" s="48" t="str">
        <f>IF(AK94&lt;2,"",IF(AK93&lt;6,"",IF(Q109=2,Q115-S115,IF(S109=2,S115-Q115,""))))</f>
        <v/>
      </c>
      <c r="AM110" s="48">
        <f>IF(AK94&lt;2,"",IF(AK93&lt;7,"",IF(T109=2,T115-V115,IF(V109=2,V115-T115,""))))</f>
        <v>0</v>
      </c>
      <c r="AN110" s="48" t="str">
        <f>IF(AK94&lt;2,"",IF(AK93&lt;8,"",IF(W109=2,W115-Y115,IF(Y109=2,Y115-W115,""))))</f>
        <v/>
      </c>
      <c r="AO110" s="48" t="str">
        <f>IF(AK94&lt;2,"",IF(AK93&lt;9,"",IF(Z109=2,Z115-AB115,IF(AB109=2,AB115-Z115,""))))</f>
        <v/>
      </c>
      <c r="AP110" s="48">
        <f>IF(AK94&lt;2,"",IF(AK93&lt;10,"",IF(AC109=2,AC115-AE115,IF(AE109=2,AE115-AC115,""))))</f>
        <v>0</v>
      </c>
      <c r="AQ110" s="44">
        <f>SUM(AG110:AP110)</f>
        <v>40</v>
      </c>
    </row>
    <row r="111" spans="1:44" ht="15" x14ac:dyDescent="0.2">
      <c r="A111" s="3" t="str">
        <f>IF(AK92&gt;1,"Game 2","")</f>
        <v>Game 2</v>
      </c>
      <c r="B111" s="49">
        <v>25</v>
      </c>
      <c r="C111" s="50" t="s">
        <v>53</v>
      </c>
      <c r="D111" s="51">
        <v>14</v>
      </c>
      <c r="E111" s="49">
        <v>23</v>
      </c>
      <c r="F111" s="50" t="str">
        <f>IF(AK93&gt;1,IF(AK92&gt;1,"/",""),"")</f>
        <v>/</v>
      </c>
      <c r="G111" s="51">
        <v>25</v>
      </c>
      <c r="H111" s="49">
        <v>25</v>
      </c>
      <c r="I111" s="50" t="str">
        <f>IF(AK93&gt;2,IF(AK92&gt;1,"/",""),"")</f>
        <v>/</v>
      </c>
      <c r="J111" s="51">
        <v>19</v>
      </c>
      <c r="K111" s="49">
        <v>25</v>
      </c>
      <c r="L111" s="50" t="str">
        <f>IF(AK93&gt;3,IF(AK92&gt;1,"/",""),"")</f>
        <v>/</v>
      </c>
      <c r="M111" s="51">
        <v>21</v>
      </c>
      <c r="N111" s="49">
        <v>25</v>
      </c>
      <c r="O111" s="50" t="str">
        <f>IF(AK93&gt;4,IF(AK92&gt;1,"/",""),"")</f>
        <v>/</v>
      </c>
      <c r="P111" s="51">
        <v>20</v>
      </c>
      <c r="Q111" s="49">
        <v>25</v>
      </c>
      <c r="R111" s="50" t="str">
        <f>IF(AK93&gt;5,IF(AK92&gt;1,"/",""),"")</f>
        <v>/</v>
      </c>
      <c r="S111" s="51">
        <v>17</v>
      </c>
      <c r="T111" s="49">
        <v>21</v>
      </c>
      <c r="U111" s="50" t="str">
        <f>IF(AK93&gt;6,IF(AK92&gt;1,"/",""),"")</f>
        <v>/</v>
      </c>
      <c r="V111" s="51">
        <v>25</v>
      </c>
      <c r="W111" s="49">
        <v>25</v>
      </c>
      <c r="X111" s="50" t="str">
        <f>IF(AK93&gt;7,IF(AK92&gt;1,"/",""),"")</f>
        <v>/</v>
      </c>
      <c r="Y111" s="51">
        <v>17</v>
      </c>
      <c r="Z111" s="49">
        <v>22</v>
      </c>
      <c r="AA111" s="50" t="str">
        <f>IF(AK93&gt;8,IF(AK92&gt;1,"/",""),"")</f>
        <v>/</v>
      </c>
      <c r="AB111" s="51">
        <v>25</v>
      </c>
      <c r="AC111" s="49">
        <v>25</v>
      </c>
      <c r="AD111" s="50" t="str">
        <f>IF(AK93&gt;9,IF(AK92&gt;1,"/",""),"")</f>
        <v>/</v>
      </c>
      <c r="AE111" s="51">
        <v>23</v>
      </c>
      <c r="AF111" s="42" t="str">
        <f>IF(AK94&gt;2,"Team 3","")</f>
        <v>Team 3</v>
      </c>
      <c r="AG111" s="48" t="str">
        <f>IF(AK94&lt;3,"",IF(AK93&lt;1,"",IF(B109=3,B115-D115,IF(D109=3,D115-B115,""))))</f>
        <v/>
      </c>
      <c r="AH111" s="48" t="str">
        <f>IF(AK94&lt;3,"",IF(AK93&lt;2,"",IF(E109=3,E115-G115,IF(G109=3,G115-E115,""))))</f>
        <v/>
      </c>
      <c r="AI111" s="48">
        <f>IF(AK94&lt;3,"",IF(AK93&lt;3,"",IF(H109=3,H115-J115,IF(J109=3,J115-H115,""))))</f>
        <v>12</v>
      </c>
      <c r="AJ111" s="48" t="str">
        <f>IF(AK94&lt;3,"",IF(AK93&lt;4,"",IF(K109=3,K115-M115,IF(M109=3,M115-K115,""))))</f>
        <v/>
      </c>
      <c r="AK111" s="48">
        <f>IF(AK94&lt;3,"",IF(AK93&lt;5,"",IF(N109=3,N115-P115,IF(P109=3,P115-N115,""))))</f>
        <v>-8</v>
      </c>
      <c r="AL111" s="48" t="str">
        <f>IF(AK94&lt;3,"",IF(AK93&lt;6,"",IF(Q109=3,Q115-S115,IF(S109=3,S115-Q115,""))))</f>
        <v/>
      </c>
      <c r="AM111" s="48">
        <f>IF(AK94&lt;3,"",IF(AK93&lt;7,"",IF(T109=3,T115-V115,IF(V109=3,V115-T115,""))))</f>
        <v>0</v>
      </c>
      <c r="AN111" s="48" t="str">
        <f>IF(AK94&lt;3,"",IF(AK93&lt;8,"",IF(W109=3,W115-Y115,IF(Y109=3,Y115-W115,""))))</f>
        <v/>
      </c>
      <c r="AO111" s="48">
        <f>IF(AK94&lt;3,"",IF(AK93&lt;9,"",IF(Z109=3,Z115-AB115,IF(AB109=3,AB115-Z115,""))))</f>
        <v>-15</v>
      </c>
      <c r="AP111" s="48" t="str">
        <f>IF(AK94&lt;3,"",IF(AK93&lt;9,"",IF(AC109=3,AC115-AE115,IF(AE109=3,AE115-AC115,""))))</f>
        <v/>
      </c>
      <c r="AQ111" s="44">
        <f>SUM(AG111:AP111)</f>
        <v>-11</v>
      </c>
    </row>
    <row r="112" spans="1:44" ht="15" x14ac:dyDescent="0.2">
      <c r="A112" s="3" t="str">
        <f>IF(AK92&gt;2,"Game 3","")</f>
        <v/>
      </c>
      <c r="B112" s="49"/>
      <c r="C112" s="50" t="s">
        <v>53</v>
      </c>
      <c r="D112" s="51"/>
      <c r="E112" s="49"/>
      <c r="F112" s="50" t="str">
        <f>IF(AK93&gt;1,IF(AK92&gt;2,"/",""),"")</f>
        <v/>
      </c>
      <c r="G112" s="51"/>
      <c r="H112" s="49"/>
      <c r="I112" s="50" t="str">
        <f>IF(AK93&gt;2,IF(AK92&gt;2,"/",""),"")</f>
        <v/>
      </c>
      <c r="J112" s="51"/>
      <c r="K112" s="49"/>
      <c r="L112" s="50" t="str">
        <f>IF(AK93&gt;3,IF(AK92&gt;2,"/",""),"")</f>
        <v/>
      </c>
      <c r="M112" s="51"/>
      <c r="N112" s="49"/>
      <c r="O112" s="50" t="str">
        <f>IF(AK93&gt;4,IF(AK92&gt;2,"/",""),"")</f>
        <v/>
      </c>
      <c r="P112" s="51"/>
      <c r="Q112" s="49"/>
      <c r="R112" s="50" t="str">
        <f>IF(AK93&gt;5,IF(AK92&gt;2,"/",""),"")</f>
        <v/>
      </c>
      <c r="S112" s="51"/>
      <c r="T112" s="49"/>
      <c r="U112" s="50" t="str">
        <f>IF(AK93&gt;6,IF(AK92&gt;2,"/",""),"")</f>
        <v/>
      </c>
      <c r="V112" s="51"/>
      <c r="W112" s="49"/>
      <c r="X112" s="50" t="str">
        <f>IF(AK93&gt;7,IF(AK92&gt;2,"/",""),"")</f>
        <v/>
      </c>
      <c r="Y112" s="51"/>
      <c r="Z112" s="49"/>
      <c r="AA112" s="50" t="str">
        <f>IF(AK93&gt;8,IF(AK92&gt;2,"/",""),"")</f>
        <v/>
      </c>
      <c r="AB112" s="51"/>
      <c r="AC112" s="49"/>
      <c r="AD112" s="50" t="str">
        <f>IF(AK93&gt;9,IF(AK92&gt;2,"/",""),"")</f>
        <v/>
      </c>
      <c r="AE112" s="51"/>
      <c r="AF112" s="42" t="str">
        <f>IF(AK94&gt;3,"Team 4","")</f>
        <v>Team 4</v>
      </c>
      <c r="AG112" s="48" t="str">
        <f>IF(AK94&lt;4,"",IF(AK93&lt;1,"",IF(B109=4,B115-D115,IF(D109=4,D115-B115,""))))</f>
        <v/>
      </c>
      <c r="AH112" s="48">
        <f>IF(AK94&lt;4,"",IF(AK93&lt;2,"",IF(E109=4,E115-G115,IF(G109=4,G115-E115,""))))</f>
        <v>-3</v>
      </c>
      <c r="AI112" s="48" t="str">
        <f>IF(AK94&lt;4,"",IF(AK93&lt;3,"",IF(H109=4,H115-J115,IF(J109=4,J115-H115,""))))</f>
        <v/>
      </c>
      <c r="AJ112" s="48">
        <f>IF(AK94&lt;4,"",IF(AK93&lt;4,"",IF(K109=4,K115-M115,IF(M109=4,M115-K115,""))))</f>
        <v>-18</v>
      </c>
      <c r="AK112" s="48" t="str">
        <f>IF(AK94&lt;4,"",IF(AK93&lt;5,"",IF(N109=4,N115-P115,IF(P109=4,P115-N115,""))))</f>
        <v/>
      </c>
      <c r="AL112" s="48">
        <f>IF(AK94&lt;4,"",IF(AK93&lt;6,"",IF(Q109=4,Q115-S115,IF(S109=4,S115-Q115,""))))</f>
        <v>21</v>
      </c>
      <c r="AM112" s="48" t="str">
        <f>IF(AK94&lt;4,"",IF(AK93&lt;7,"",IF(T109=4,T115-V115,IF(V109=4,V115-T115,""))))</f>
        <v/>
      </c>
      <c r="AN112" s="48" t="str">
        <f>IF(AK94&lt;4,"",IF(AK93&lt;8,"",IF(W109=4,W115-Y115,IF(Y109=4,Y115-W115,""))))</f>
        <v/>
      </c>
      <c r="AO112" s="48">
        <f>IF(AK94&lt;4,"",IF(AK93&lt;9,"",IF(Z109=4,Z115-AB115,IF(AB109=4,AB115-Z115,""))))</f>
        <v>15</v>
      </c>
      <c r="AP112" s="48" t="str">
        <f>IF(AK94&lt;4,"",IF(AK93&lt;10,"",IF(AC109=4,AC115-AE115,IF(AE109=4,AE115-AC115,""))))</f>
        <v/>
      </c>
      <c r="AQ112" s="44">
        <f>SUM(AG112:AP112)</f>
        <v>15</v>
      </c>
    </row>
    <row r="113" spans="1:49" ht="15" x14ac:dyDescent="0.2">
      <c r="A113" s="3" t="str">
        <f>IF(AK92&gt;3,"Game 4","")</f>
        <v/>
      </c>
      <c r="B113" s="49"/>
      <c r="C113" s="50" t="s">
        <v>53</v>
      </c>
      <c r="D113" s="51"/>
      <c r="E113" s="49"/>
      <c r="F113" s="50" t="str">
        <f>IF(AK93&gt;1,IF(AK92&gt;3,"/",""),"")</f>
        <v/>
      </c>
      <c r="G113" s="51"/>
      <c r="H113" s="49"/>
      <c r="I113" s="50" t="str">
        <f>IF(AK93&gt;2,IF(AK92&gt;3,"/",""),"")</f>
        <v/>
      </c>
      <c r="J113" s="51"/>
      <c r="K113" s="49"/>
      <c r="L113" s="50" t="str">
        <f>IF(AK93&gt;3,IF(AK92&gt;3,"/",""),"")</f>
        <v/>
      </c>
      <c r="M113" s="51"/>
      <c r="N113" s="49"/>
      <c r="O113" s="50" t="str">
        <f>IF(AK93&gt;4,IF(AK92&gt;3,"/",""),"")</f>
        <v/>
      </c>
      <c r="P113" s="51"/>
      <c r="Q113" s="49"/>
      <c r="R113" s="50" t="str">
        <f>IF(AK93&gt;5,IF(AK92&gt;3,"/",""),"")</f>
        <v/>
      </c>
      <c r="S113" s="51"/>
      <c r="T113" s="49"/>
      <c r="U113" s="50" t="str">
        <f>IF(AK93&gt;6,IF(AK92&gt;3,"/",""),"")</f>
        <v/>
      </c>
      <c r="V113" s="51"/>
      <c r="W113" s="49"/>
      <c r="X113" s="50" t="str">
        <f>IF(AK93&gt;7,IF(AK92&gt;3,"/",""),"")</f>
        <v/>
      </c>
      <c r="Y113" s="51"/>
      <c r="Z113" s="49"/>
      <c r="AA113" s="50" t="str">
        <f>IF(AK93&gt;8,IF(AK92&gt;3,"/",""),"")</f>
        <v/>
      </c>
      <c r="AB113" s="51"/>
      <c r="AC113" s="49"/>
      <c r="AD113" s="50" t="str">
        <f>IF(AK93&gt;9,IF(AK92&gt;3,"/",""),"")</f>
        <v/>
      </c>
      <c r="AE113" s="51"/>
      <c r="AF113" s="42" t="str">
        <f>IF(AK94&gt;4,"Team 5","")</f>
        <v>Team 5</v>
      </c>
      <c r="AG113" s="52">
        <f>IF(AK94&lt;5,"",IF(AK93&lt;1,"",IF(B109=5,B115-D115,IF(D109=5,D115-B115,""))))</f>
        <v>-22</v>
      </c>
      <c r="AH113" s="48" t="str">
        <f>IF(AK94&lt;5,"",IF(AK93&lt;2,"",IF(E109=5,E115-G115,IF(G109=5,G115-E115,""))))</f>
        <v/>
      </c>
      <c r="AI113" s="48">
        <f>IF(AK94&lt;5,"",IF(AK93&lt;3,"",IF(H109=5,H115-J115,IF(J109=5,J115-H115,""))))</f>
        <v>-12</v>
      </c>
      <c r="AJ113" s="48" t="str">
        <f>IF(AK94&lt;5,"",IF(AK93&lt;4,"",IF(K109=5,K115-M115,IF(M109=5,M115-K115,""))))</f>
        <v/>
      </c>
      <c r="AK113" s="48" t="str">
        <f>IF(AK94&lt;5,"",IF(AK93&lt;5,"",IF(N109=5,N115-P115,IF(P109=5,P115-N115,""))))</f>
        <v/>
      </c>
      <c r="AL113" s="48">
        <f>IF(AK94&lt;5,"",IF(AK93&lt;6,"",IF(Q109=5,Q115-S115,IF(S109=5,S115-Q115,""))))</f>
        <v>-21</v>
      </c>
      <c r="AM113" s="48" t="str">
        <f>IF(AK94&lt;5,"",IF(AK93&lt;7,"",IF(T109=5,T115-V115,IF(V109=5,V115-T115,""))))</f>
        <v/>
      </c>
      <c r="AN113" s="48">
        <f>IF(AK94&lt;5,"",IF(AK93&lt;8,"",IF(W109=5,W115-Y115,IF(Y109=5,Y115-W115,""))))</f>
        <v>-24</v>
      </c>
      <c r="AO113" s="48" t="str">
        <f>IF(AK94&lt;5,"",IF(AK93&lt;9,"",IF(Z109=5,Z115-AB115,IF(AB109=5,AB115-Z115,""))))</f>
        <v/>
      </c>
      <c r="AP113" s="48" t="str">
        <f>IF(AK94&lt;5,"",IF(AK93&lt;10,"",IF(AC109=5,AC115-AE115,IF(AE109=5,AE115-AC115,""))))</f>
        <v/>
      </c>
      <c r="AQ113" s="44">
        <f>SUM(AG113:AP113)</f>
        <v>-79</v>
      </c>
    </row>
    <row r="114" spans="1:49" ht="15" x14ac:dyDescent="0.2">
      <c r="A114" s="3" t="str">
        <f>IF(AK92&gt;4,"Game 5","")</f>
        <v/>
      </c>
      <c r="B114" s="49"/>
      <c r="C114" s="50" t="s">
        <v>53</v>
      </c>
      <c r="D114" s="51"/>
      <c r="E114" s="49"/>
      <c r="F114" s="50" t="str">
        <f>IF(AK93&gt;1,IF(AK92&gt;4,"/",""),"")</f>
        <v/>
      </c>
      <c r="G114" s="51"/>
      <c r="H114" s="49"/>
      <c r="I114" s="50" t="str">
        <f>IF(AK93&gt;2,IF(AK92&gt;4,"/",""),"")</f>
        <v/>
      </c>
      <c r="J114" s="51"/>
      <c r="K114" s="49"/>
      <c r="L114" s="50" t="str">
        <f>IF(AK93&gt;3,IF(AK92&gt;4,"/",""),"")</f>
        <v/>
      </c>
      <c r="M114" s="51"/>
      <c r="N114" s="49"/>
      <c r="O114" s="50" t="str">
        <f>IF(AK93&gt;4,IF(AK92&gt;4,"/",""),"")</f>
        <v/>
      </c>
      <c r="P114" s="51"/>
      <c r="Q114" s="49"/>
      <c r="R114" s="50" t="str">
        <f>IF(AK93&gt;5,IF(AK92&gt;4,"/",""),"")</f>
        <v/>
      </c>
      <c r="S114" s="51"/>
      <c r="T114" s="49"/>
      <c r="U114" s="50" t="str">
        <f>IF(AK93&gt;6,IF(AK92&gt;4,"/",""),"")</f>
        <v/>
      </c>
      <c r="V114" s="51"/>
      <c r="W114" s="49"/>
      <c r="X114" s="50" t="str">
        <f>IF(AK93&gt;7,IF(AK92&gt;4,"/",""),"")</f>
        <v/>
      </c>
      <c r="Y114" s="51"/>
      <c r="Z114" s="49"/>
      <c r="AA114" s="50" t="str">
        <f>IF(AK93&gt;8,IF(AK92&gt;4,"/",""),"")</f>
        <v/>
      </c>
      <c r="AB114" s="51"/>
      <c r="AC114" s="49"/>
      <c r="AD114" s="50" t="str">
        <f>IF(AK93&gt;9,IF(AK92&gt;4,"/",""),"")</f>
        <v/>
      </c>
      <c r="AE114" s="5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</row>
    <row r="115" spans="1:49" hidden="1" x14ac:dyDescent="0.2">
      <c r="A115" s="53"/>
      <c r="B115" s="53">
        <f>IF($AK92=5,SUM(B110:B114),IF($AK92=4,SUM(B110:B113),IF($AK92=3,SUM(B110:B112),IF($AK92=2,SUM(B110:B111),B110))))</f>
        <v>50</v>
      </c>
      <c r="C115" s="53"/>
      <c r="D115" s="53">
        <f>IF($AK92=5,SUM(D110:D114),IF($AK92=4,SUM(D110:D113),IF($AK92=3,SUM(D110:D112),IF($AK92=2,SUM(D110:D111),D110))))</f>
        <v>28</v>
      </c>
      <c r="E115" s="53">
        <f>IF($AK92=5,SUM(E110:E114),IF($AK92=4,SUM(E110:E113),IF($AK92=3,SUM(E110:E112),IF($AK92=2,SUM(E110:E111),E110))))</f>
        <v>48</v>
      </c>
      <c r="F115" s="53"/>
      <c r="G115" s="53">
        <f>IF($AK92=5,SUM(G110:G114),IF($AK92=4,SUM(G110:G113),IF($AK92=3,SUM(G110:G112),IF($AK92=2,SUM(G110:G111),G110))))</f>
        <v>45</v>
      </c>
      <c r="H115" s="53">
        <f>IF($AK92=5,SUM(H110:H114),IF($AK92=4,SUM(H110:H113),IF($AK92=3,SUM(H110:H112),IF($AK92=2,SUM(H110:H111),H110))))</f>
        <v>50</v>
      </c>
      <c r="I115" s="53"/>
      <c r="J115" s="53">
        <f>IF($AK92=5,SUM(J110:J114),IF($AK92=4,SUM(J110:J113),IF($AK92=3,SUM(J110:J112),IF($AK92=2,SUM(J110:J111),J110))))</f>
        <v>38</v>
      </c>
      <c r="K115" s="53">
        <f>IF($AK92=5,SUM(K110:K114),IF($AK92=4,SUM(K110:K113),IF($AK92=3,SUM(K110:K112),IF($AK92=2,SUM(K110:K111),K110))))</f>
        <v>50</v>
      </c>
      <c r="L115" s="53"/>
      <c r="M115" s="53">
        <f>IF($AK92=5,SUM(M110:M114),IF($AK92=4,SUM(M110:M113),IF($AK92=3,SUM(M110:M112),IF($AK92=2,SUM(M110:M111),M110))))</f>
        <v>32</v>
      </c>
      <c r="N115" s="53">
        <f>IF($AK92=5,SUM(N110:N114),IF($AK92=4,SUM(N110:N113),IF($AK92=3,SUM(N110:N112),IF($AK92=2,SUM(N110:N111),N110))))</f>
        <v>50</v>
      </c>
      <c r="O115" s="53"/>
      <c r="P115" s="53">
        <f>IF($AK92=5,SUM(P110:P114),IF($AK92=4,SUM(P110:P113),IF($AK92=3,SUM(P110:P112),IF($AK92=2,SUM(P110:P111),P110))))</f>
        <v>42</v>
      </c>
      <c r="Q115" s="53">
        <f>IF($AK92=5,SUM(Q110:Q114),IF($AK92=4,SUM(Q110:Q113),IF($AK92=3,SUM(Q110:Q112),IF($AK92=2,SUM(Q110:Q111),Q110))))</f>
        <v>50</v>
      </c>
      <c r="R115" s="53"/>
      <c r="S115" s="53">
        <f>IF($AK92=5,SUM(S110:S114),IF($AK92=4,SUM(S110:S113),IF($AK92=3,SUM(S110:S112),IF($AK92=2,SUM(S110:S111),S110))))</f>
        <v>29</v>
      </c>
      <c r="T115" s="53">
        <f>IF($AK92=5,SUM(T110:T114),IF($AK92=4,SUM(T110:T113),IF($AK92=3,SUM(T110:T112),IF($AK92=2,SUM(T110:T111),T110))))</f>
        <v>46</v>
      </c>
      <c r="U115" s="53"/>
      <c r="V115" s="53">
        <f>IF($AK92=5,SUM(V110:V114),IF($AK92=4,SUM(V110:V113),IF($AK92=3,SUM(V110:V112),IF($AK92=2,SUM(V110:V111),V110))))</f>
        <v>46</v>
      </c>
      <c r="W115" s="53">
        <f>IF($AK92=5,SUM(W110:W114),IF($AK92=4,SUM(W110:W113),IF($AK92=3,SUM(W110:W112),IF($AK92=2,SUM(W110:W111),W110))))</f>
        <v>50</v>
      </c>
      <c r="X115" s="53"/>
      <c r="Y115" s="53">
        <f>IF($AK92=5,SUM(Y110:Y114),IF($AK92=4,SUM(Y110:Y113),IF($AK92=3,SUM(Y110:Y112),IF($AK92=2,SUM(Y110:Y111),Y110))))</f>
        <v>26</v>
      </c>
      <c r="Z115" s="53">
        <f>IF($AK92=5,SUM(Z110:Z114),IF($AK92=4,SUM(Z110:Z113),IF($AK92=3,SUM(Z110:Z112),IF($AK92=2,SUM(Z110:Z111),Z110))))</f>
        <v>35</v>
      </c>
      <c r="AA115" s="53"/>
      <c r="AB115" s="53">
        <f>IF($AK92=5,SUM(AB110:AB114),IF($AK92=4,SUM(AB110:AB113),IF($AK92=3,SUM(AB110:AB112),IF($AK92=2,SUM(AB110:AB111),AB110))))</f>
        <v>50</v>
      </c>
      <c r="AC115" s="53">
        <f>IF($AK92=5,SUM(AC110:AC114),IF($AK92=4,SUM(AC110:AC113),IF($AK92=3,SUM(AC110:AC112),IF($AK92=2,SUM(AC110:AC111),AC110))))</f>
        <v>49</v>
      </c>
      <c r="AD115" s="53"/>
      <c r="AE115" s="53">
        <f>IF($AK92=5,SUM(AE110:AE114),IF($AK92=4,SUM(AE110:AE113),IF($AK92=3,SUM(AE110:AE112),IF($AK92=2,SUM(AE110:AE111),AE110))))</f>
        <v>49</v>
      </c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</row>
    <row r="116" spans="1:49" s="54" customFormat="1" ht="12.75" hidden="1" customHeight="1" x14ac:dyDescent="0.2">
      <c r="A116" s="54" t="s">
        <v>54</v>
      </c>
      <c r="B116" s="55">
        <f>IF(AND(B110&gt;D110,$AK93&gt;0,ISNUMBER(B110),ISNUMBER(D110)),1,0)</f>
        <v>1</v>
      </c>
      <c r="C116" s="55"/>
      <c r="D116" s="56">
        <f>IF(AND(D110&gt;B110,$AK93&gt;0,ISNUMBER(B110),ISNUMBER(D110)),1,0)</f>
        <v>0</v>
      </c>
      <c r="E116" s="55">
        <f>IF(AND(E110&gt;G110,$AK93&gt;1,ISNUMBER(E110),ISNUMBER(G110)),1,0)</f>
        <v>1</v>
      </c>
      <c r="F116" s="55"/>
      <c r="G116" s="56">
        <f>IF(AND(G110&gt;E110,$AK93&gt;1,ISNUMBER(E110),ISNUMBER(G110)),1,0)</f>
        <v>0</v>
      </c>
      <c r="H116" s="55">
        <f>IF(AND(H110&gt;J110,$AK93&gt;2,ISNUMBER(H110),ISNUMBER(J110)),1,0)</f>
        <v>1</v>
      </c>
      <c r="I116" s="55"/>
      <c r="J116" s="56">
        <f>IF(AND(J110&gt;H110,$AK93&gt;2,ISNUMBER(H110),ISNUMBER(J110)),1,0)</f>
        <v>0</v>
      </c>
      <c r="K116" s="55">
        <f>IF(AND(K110&gt;M110,$AK93&gt;3,ISNUMBER(K110),ISNUMBER(M110)),1,0)</f>
        <v>1</v>
      </c>
      <c r="L116" s="55"/>
      <c r="M116" s="56">
        <f>IF(AND(M110&gt;K110,$AK93&gt;3,ISNUMBER(K110),ISNUMBER(M110)),1,0)</f>
        <v>0</v>
      </c>
      <c r="N116" s="55">
        <f>IF(AND(N110&gt;P110,$AK93&gt;4,ISNUMBER(N110),ISNUMBER(P110)),1,0)</f>
        <v>1</v>
      </c>
      <c r="O116" s="55"/>
      <c r="P116" s="56">
        <f>IF(AND(P110&gt;N110,$AK93&gt;4,ISNUMBER(N110),ISNUMBER(P110)),1,0)</f>
        <v>0</v>
      </c>
      <c r="Q116" s="55">
        <f>IF(AND(Q110&gt;S110,$AK93&gt;5,ISNUMBER(Q110),ISNUMBER(S110)),1,0)</f>
        <v>1</v>
      </c>
      <c r="R116" s="55"/>
      <c r="S116" s="56">
        <f>IF(AND(S110&gt;Q110,$AK93&gt;5,ISNUMBER(Q110),ISNUMBER(S110)),1,0)</f>
        <v>0</v>
      </c>
      <c r="T116" s="55">
        <f>IF(AND(T110&gt;V110,$AK93&gt;6,ISNUMBER(T110),ISNUMBER(V110)),1,0)</f>
        <v>1</v>
      </c>
      <c r="U116" s="55"/>
      <c r="V116" s="56">
        <f>IF(AND(V110&gt;T110,$AK93&gt;6,ISNUMBER(T110),ISNUMBER(V110)),1,0)</f>
        <v>0</v>
      </c>
      <c r="W116" s="55">
        <f>IF(AND(W110&gt;Y110,$AK93&gt;7,ISNUMBER(W110),ISNUMBER(Y110)),1,0)</f>
        <v>1</v>
      </c>
      <c r="X116" s="55"/>
      <c r="Y116" s="56">
        <f>IF(AND(Y110&gt;W110,$AK93&gt;7,ISNUMBER(W110),ISNUMBER(Y110)),1,0)</f>
        <v>0</v>
      </c>
      <c r="Z116" s="55">
        <f>IF(AND(Z110&gt;AB110,$AK93&gt;8,ISNUMBER(Z110),ISNUMBER(AB110)),1,0)</f>
        <v>0</v>
      </c>
      <c r="AA116" s="55"/>
      <c r="AB116" s="56">
        <f>IF(AND(AB110&gt;Z110,$AK93&gt;8,ISNUMBER(Z110),ISNUMBER(AB110)),1,0)</f>
        <v>1</v>
      </c>
      <c r="AC116" s="55">
        <f>IF(AND(AC110&gt;AE110,$AK93&gt;9,ISNUMBER(AC110),ISNUMBER(AE110)),1,0)</f>
        <v>0</v>
      </c>
      <c r="AD116" s="55"/>
      <c r="AE116" s="56">
        <f>IF(AND(AE110&gt;AC110,$AK93&gt;9,ISNUMBER(AC110),ISNUMBER(AE110)),1,0)</f>
        <v>1</v>
      </c>
      <c r="AW116" s="146"/>
    </row>
    <row r="117" spans="1:49" s="54" customFormat="1" ht="12.75" hidden="1" customHeight="1" x14ac:dyDescent="0.2">
      <c r="A117" s="54" t="s">
        <v>55</v>
      </c>
      <c r="B117" s="55">
        <f>IF(AND(B111&gt;D111,$AK93&gt;0,$AK92&gt;1,ISNUMBER(B111),ISNUMBER(D111)),1,0)</f>
        <v>1</v>
      </c>
      <c r="C117" s="55"/>
      <c r="D117" s="56">
        <f>IF(AND(D111&gt;B111,$AK93&gt;0,$AK92&gt;1,ISNUMBER(B111),ISNUMBER(D111)),1,0)</f>
        <v>0</v>
      </c>
      <c r="E117" s="55">
        <f>IF(AND(E111&gt;G111,$AK93&gt;1,$AK92&gt;1,ISNUMBER(E111),ISNUMBER(G111)),1,0)</f>
        <v>0</v>
      </c>
      <c r="F117" s="55"/>
      <c r="G117" s="56">
        <f>IF(AND(G111&gt;E111,$AK93&gt;1,$AK92&gt;1,ISNUMBER(E111),ISNUMBER(G111)),1,0)</f>
        <v>1</v>
      </c>
      <c r="H117" s="55">
        <f>IF(AND(H111&gt;J111,$AK93&gt;2,$AK92&gt;1,ISNUMBER(H111),ISNUMBER(J111)),1,0)</f>
        <v>1</v>
      </c>
      <c r="I117" s="55"/>
      <c r="J117" s="56">
        <f>IF(AND(J111&gt;H111,$AK93&gt;2,$AK92&gt;1,ISNUMBER(H111),ISNUMBER(J111)),1,0)</f>
        <v>0</v>
      </c>
      <c r="K117" s="55">
        <f>IF(AND(K111&gt;M111,$AK93&gt;3,$AK92&gt;1,ISNUMBER(K111),ISNUMBER(M111)),1,0)</f>
        <v>1</v>
      </c>
      <c r="L117" s="55"/>
      <c r="M117" s="56">
        <f>IF(AND(M111&gt;K111,$AK93&gt;3,$AK92&gt;1,ISNUMBER(K111),ISNUMBER(M111)),1,0)</f>
        <v>0</v>
      </c>
      <c r="N117" s="55">
        <f>IF(AND(N111&gt;P111,$AK93&gt;4,$AK92&gt;1,ISNUMBER(N111),ISNUMBER(P111)),1,0)</f>
        <v>1</v>
      </c>
      <c r="O117" s="55"/>
      <c r="P117" s="56">
        <f>IF(AND(P111&gt;N111,$AK93&gt;4,$AK92&gt;1,ISNUMBER(N111),ISNUMBER(P111)),1,0)</f>
        <v>0</v>
      </c>
      <c r="Q117" s="55">
        <f>IF(AND(Q111&gt;S111,$AK93&gt;5,$AK92&gt;1,ISNUMBER(Q111),ISNUMBER(S111)),1,0)</f>
        <v>1</v>
      </c>
      <c r="R117" s="55"/>
      <c r="S117" s="56">
        <f>IF(AND(S111&gt;Q111,$AK93&gt;5,$AK92&gt;1,ISNUMBER(Q111),ISNUMBER(S111)),1,0)</f>
        <v>0</v>
      </c>
      <c r="T117" s="55">
        <f>IF(AND(T111&gt;V111,$AK93&gt;6,$AK92&gt;1,ISNUMBER(T111),ISNUMBER(V111)),1,0)</f>
        <v>0</v>
      </c>
      <c r="U117" s="55"/>
      <c r="V117" s="56">
        <f>IF(AND(V111&gt;T111,$AK93&gt;6,$AK92&gt;1,ISNUMBER(T111),ISNUMBER(V111)),1,0)</f>
        <v>1</v>
      </c>
      <c r="W117" s="55">
        <f>IF(AND(W111&gt;Y111,$AK93&gt;7,$AK92&gt;1,ISNUMBER(W111),ISNUMBER(Y111)),1,0)</f>
        <v>1</v>
      </c>
      <c r="X117" s="55"/>
      <c r="Y117" s="56">
        <f>IF(AND(Y111&gt;W111,$AK93&gt;7,$AK92&gt;1,ISNUMBER(W111),ISNUMBER(Y111)),1,0)</f>
        <v>0</v>
      </c>
      <c r="Z117" s="55">
        <f>IF(AND(Z111&gt;AB111,$AK93&gt;8,$AK92&gt;1,ISNUMBER(Z111),ISNUMBER(AB111)),1,0)</f>
        <v>0</v>
      </c>
      <c r="AA117" s="55"/>
      <c r="AB117" s="56">
        <f>IF(AND(AB111&gt;Z111,$AK93&gt;8,$AK92&gt;1,ISNUMBER(Z111),ISNUMBER(AB111)),1,0)</f>
        <v>1</v>
      </c>
      <c r="AC117" s="55">
        <f>IF(AND(AC111&gt;AE111,$AK93&gt;9,$AK92&gt;1,ISNUMBER(AC111),ISNUMBER(AE111)),1,0)</f>
        <v>1</v>
      </c>
      <c r="AD117" s="55"/>
      <c r="AE117" s="56">
        <f>IF(AND(AE111&gt;AC111,$AK93&gt;9,$AK92&gt;1,ISNUMBER(AC111),ISNUMBER(AE111)),1,0)</f>
        <v>0</v>
      </c>
      <c r="AW117" s="146"/>
    </row>
    <row r="118" spans="1:49" s="54" customFormat="1" ht="12.75" hidden="1" customHeight="1" x14ac:dyDescent="0.2">
      <c r="A118" s="54" t="s">
        <v>56</v>
      </c>
      <c r="B118" s="55">
        <f>IF(AND(B112&gt;D112,$AK93&gt;0,$AK92&gt;2,ISNUMBER(B112),ISNUMBER(D112)),1,0)</f>
        <v>0</v>
      </c>
      <c r="C118" s="55"/>
      <c r="D118" s="56">
        <f>IF(AND(D112&gt;B112,$AK93&gt;0,$AK92&gt;2,ISNUMBER(B112),ISNUMBER(D112)),1,0)</f>
        <v>0</v>
      </c>
      <c r="E118" s="55">
        <f>IF(AND(E112&gt;G112,$AK93&gt;1,$AK92&gt;2,ISNUMBER(E112),ISNUMBER(G112)),1,0)</f>
        <v>0</v>
      </c>
      <c r="F118" s="55"/>
      <c r="G118" s="56">
        <f>IF(AND(G112&gt;E112,$AK93&gt;1,$AK92&gt;2,ISNUMBER(E112),ISNUMBER(G112)),1,0)</f>
        <v>0</v>
      </c>
      <c r="H118" s="55">
        <f>IF(AND(H112&gt;J112,$AK93&gt;2,$AK92&gt;2,ISNUMBER(H112),ISNUMBER(J112)),1,0)</f>
        <v>0</v>
      </c>
      <c r="I118" s="55"/>
      <c r="J118" s="56">
        <f>IF(AND(J112&gt;H112,$AK93&gt;2,$AK92&gt;2,ISNUMBER(H112),ISNUMBER(J112)),1,0)</f>
        <v>0</v>
      </c>
      <c r="K118" s="55">
        <f>IF(AND(K112&gt;M112,$AK93&gt;3,$AK92&gt;2,ISNUMBER(K112),ISNUMBER(M112)),1,0)</f>
        <v>0</v>
      </c>
      <c r="L118" s="55"/>
      <c r="M118" s="56">
        <f>IF(AND(M112&gt;K112,$AK93&gt;3,$AK92&gt;2,ISNUMBER(K112),ISNUMBER(M112)),1,0)</f>
        <v>0</v>
      </c>
      <c r="N118" s="55">
        <f>IF(AND(N112&gt;P112,$AK93&gt;4,$AK92&gt;2,ISNUMBER(N112),ISNUMBER(P112)),1,0)</f>
        <v>0</v>
      </c>
      <c r="O118" s="55"/>
      <c r="P118" s="56">
        <f>IF(AND(P112&gt;N112,$AK93&gt;4,$AK92&gt;2,ISNUMBER(N112),ISNUMBER(P112)),1,0)</f>
        <v>0</v>
      </c>
      <c r="Q118" s="55">
        <f>IF(AND(Q112&gt;S112,$AK93&gt;5,$AK92&gt;2,ISNUMBER(Q112),ISNUMBER(S112)),1,0)</f>
        <v>0</v>
      </c>
      <c r="R118" s="55"/>
      <c r="S118" s="56">
        <f>IF(AND(S112&gt;Q112,$AK93&gt;5,$AK92&gt;2,ISNUMBER(Q112),ISNUMBER(S112)),1,0)</f>
        <v>0</v>
      </c>
      <c r="T118" s="55">
        <f>IF(AND(T112&gt;V112,$AK93&gt;6,$AK92&gt;2,ISNUMBER(T112),ISNUMBER(V112)),1,0)</f>
        <v>0</v>
      </c>
      <c r="U118" s="55"/>
      <c r="V118" s="56">
        <f>IF(AND(V112&gt;T112,$AK93&gt;6,$AK92&gt;2,ISNUMBER(T112),ISNUMBER(V112)),1,0)</f>
        <v>0</v>
      </c>
      <c r="W118" s="55">
        <f>IF(AND(W112&gt;Y112,$AK93&gt;7,$AK92&gt;2,ISNUMBER(W112),ISNUMBER(Y112)),1,0)</f>
        <v>0</v>
      </c>
      <c r="X118" s="55"/>
      <c r="Y118" s="56">
        <f>IF(AND(Y112&gt;W112,$AK93&gt;7,$AK92&gt;2,ISNUMBER(W112),ISNUMBER(Y112)),1,0)</f>
        <v>0</v>
      </c>
      <c r="Z118" s="55">
        <f>IF(AND(Z112&gt;AB112,$AK93&gt;8,$AK92&gt;2,ISNUMBER(Z112),ISNUMBER(AB112)),1,0)</f>
        <v>0</v>
      </c>
      <c r="AA118" s="55"/>
      <c r="AB118" s="56">
        <f>IF(AND(AB112&gt;Z112,$AK93&gt;8,$AK92&gt;2,ISNUMBER(Z112),ISNUMBER(AB112)),1,0)</f>
        <v>0</v>
      </c>
      <c r="AC118" s="55">
        <f>IF(AND(AC112&gt;AE112,$AK93&gt;9,$AK92&gt;2,ISNUMBER(AC112),ISNUMBER(AE112)),1,0)</f>
        <v>0</v>
      </c>
      <c r="AD118" s="55"/>
      <c r="AE118" s="56">
        <f>IF(AND(AE112&gt;AC112,$AK93&gt;9,$AK92&gt;2,ISNUMBER(AC112),ISNUMBER(AE112)),1,0)</f>
        <v>0</v>
      </c>
      <c r="AW118" s="146"/>
    </row>
    <row r="119" spans="1:49" s="54" customFormat="1" ht="12.75" hidden="1" customHeight="1" x14ac:dyDescent="0.2">
      <c r="A119" s="54" t="s">
        <v>57</v>
      </c>
      <c r="B119" s="55">
        <f>IF(AND(B113&gt;D113,$AK93&gt;0,$AK92&gt;3,ISNUMBER(B113),ISNUMBER(D113)),1,0)</f>
        <v>0</v>
      </c>
      <c r="C119" s="55"/>
      <c r="D119" s="56">
        <f>IF(AND(D113&gt;B113,$AK93&gt;0,$AK92&gt;3,ISNUMBER(B113),ISNUMBER(D113)),1,0)</f>
        <v>0</v>
      </c>
      <c r="E119" s="55">
        <f>IF(AND(E113&gt;G113,$AK93&gt;1,$AK92&gt;3,ISNUMBER(E113),ISNUMBER(G113)),1,0)</f>
        <v>0</v>
      </c>
      <c r="F119" s="55"/>
      <c r="G119" s="56">
        <f>IF(AND(G113&gt;E113,$AK93&gt;1,$AK92&gt;3,ISNUMBER(E113),ISNUMBER(G113)),1,0)</f>
        <v>0</v>
      </c>
      <c r="H119" s="55">
        <f>IF(AND(H113&gt;J113,$AK93&gt;2,$AK92&gt;3,ISNUMBER(H113),ISNUMBER(J113)),1,0)</f>
        <v>0</v>
      </c>
      <c r="I119" s="55"/>
      <c r="J119" s="56">
        <f>IF(AND(J113&gt;H113,$AK93&gt;2,$AK92&gt;3,ISNUMBER(H113),ISNUMBER(J113)),1,0)</f>
        <v>0</v>
      </c>
      <c r="K119" s="55">
        <f>IF(AND(K113&gt;M113,$AK93&gt;3,$AK92&gt;3,ISNUMBER(K113),ISNUMBER(M113)),1,0)</f>
        <v>0</v>
      </c>
      <c r="L119" s="55"/>
      <c r="M119" s="56">
        <f>IF(AND(M113&gt;K113,$AK93&gt;3,$AK92&gt;3,ISNUMBER(K113),ISNUMBER(M113)),1,0)</f>
        <v>0</v>
      </c>
      <c r="N119" s="55">
        <f>IF(AND(N113&gt;P113,$AK93&gt;4,$AK92&gt;3,ISNUMBER(N113),ISNUMBER(P113)),1,0)</f>
        <v>0</v>
      </c>
      <c r="O119" s="55"/>
      <c r="P119" s="56">
        <f>IF(AND(P113&gt;N113,$AK93&gt;4,$AK92&gt;3,ISNUMBER(N113),ISNUMBER(P113)),1,0)</f>
        <v>0</v>
      </c>
      <c r="Q119" s="55">
        <f>IF(AND(Q113&gt;S113,$AK93&gt;5,$AK92&gt;3,ISNUMBER(Q113),ISNUMBER(S113)),1,0)</f>
        <v>0</v>
      </c>
      <c r="R119" s="55"/>
      <c r="S119" s="56">
        <f>IF(AND(S113&gt;Q113,$AK93&gt;5,$AK92&gt;3,ISNUMBER(Q113),ISNUMBER(S113)),1,0)</f>
        <v>0</v>
      </c>
      <c r="T119" s="55">
        <f>IF(AND(T113&gt;V113,$AK93&gt;6,$AK92&gt;3,ISNUMBER(T113),ISNUMBER(V113)),1,0)</f>
        <v>0</v>
      </c>
      <c r="U119" s="55"/>
      <c r="V119" s="56">
        <f>IF(AND(V113&gt;T113,$AK93&gt;6,$AK92&gt;3,ISNUMBER(T113),ISNUMBER(V113)),1,0)</f>
        <v>0</v>
      </c>
      <c r="W119" s="55">
        <f>IF(AND(W113&gt;Y113,$AK93&gt;7,$AK92&gt;3,ISNUMBER(W113),ISNUMBER(Y113)),1,0)</f>
        <v>0</v>
      </c>
      <c r="X119" s="55"/>
      <c r="Y119" s="56">
        <f>IF(AND(Y113&gt;W113,$AK93&gt;7,$AK92&gt;3,ISNUMBER(W113),ISNUMBER(Y113)),1,0)</f>
        <v>0</v>
      </c>
      <c r="Z119" s="55">
        <f>IF(AND(Z113&gt;AB113,$AK93&gt;8,$AK92&gt;3,ISNUMBER(Z113),ISNUMBER(AB113)),1,0)</f>
        <v>0</v>
      </c>
      <c r="AA119" s="55"/>
      <c r="AB119" s="56">
        <f>IF(AND(AB113&gt;Z113,$AK93&gt;8,$AK92&gt;3,ISNUMBER(Z113),ISNUMBER(AB113)),1,0)</f>
        <v>0</v>
      </c>
      <c r="AC119" s="55">
        <f>IF(AND(AC113&gt;AE113,$AK93&gt;9,$AK92&gt;3,ISNUMBER(AC113),ISNUMBER(AE113)),1,0)</f>
        <v>0</v>
      </c>
      <c r="AD119" s="55"/>
      <c r="AE119" s="56">
        <f>IF(AND(AE113&gt;AC113,$AK93&gt;9,$AK92&gt;3,ISNUMBER(AC113),ISNUMBER(AE113)),1,0)</f>
        <v>0</v>
      </c>
      <c r="AW119" s="146"/>
    </row>
    <row r="120" spans="1:49" s="54" customFormat="1" ht="12.75" hidden="1" customHeight="1" x14ac:dyDescent="0.2">
      <c r="A120" s="54" t="s">
        <v>58</v>
      </c>
      <c r="B120" s="55">
        <f>IF(AND(B114&gt;D114,$AK93&gt;0,$AK92&gt;4,ISNUMBER(B114),ISNUMBER(D114)),1,0)</f>
        <v>0</v>
      </c>
      <c r="C120" s="55"/>
      <c r="D120" s="56">
        <f>IF(AND(D114&gt;B114,$AK93&gt;0,$AK92&gt;4,ISNUMBER(B114),ISNUMBER(D114)),1,0)</f>
        <v>0</v>
      </c>
      <c r="E120" s="55">
        <f>IF(AND(E114&gt;G114,$AK93&gt;1,$AK92&gt;4,ISNUMBER(E114),ISNUMBER(G114)),1,0)</f>
        <v>0</v>
      </c>
      <c r="F120" s="55"/>
      <c r="G120" s="56">
        <f>IF(AND(G114&gt;E114,$AK93&gt;1,$AK92&gt;4,ISNUMBER(E114),ISNUMBER(G114)),1,0)</f>
        <v>0</v>
      </c>
      <c r="H120" s="55">
        <f>IF(AND(H114&gt;J114,$AK93&gt;2,$AK92&gt;4,ISNUMBER(H114),ISNUMBER(J114)),1,0)</f>
        <v>0</v>
      </c>
      <c r="I120" s="55"/>
      <c r="J120" s="56">
        <f>IF(AND(J114&gt;H114,$AK93&gt;2,$AK92&gt;4,ISNUMBER(H114),ISNUMBER(J114)),1,0)</f>
        <v>0</v>
      </c>
      <c r="K120" s="55">
        <f>IF(AND(K114&gt;M114,$AK93&gt;3,$AK92&gt;4,ISNUMBER(K114),ISNUMBER(M114)),1,0)</f>
        <v>0</v>
      </c>
      <c r="L120" s="55"/>
      <c r="M120" s="56">
        <f>IF(AND(M114&gt;K114,$AK93&gt;3,$AK92&gt;4,ISNUMBER(K114),ISNUMBER(M114)),1,0)</f>
        <v>0</v>
      </c>
      <c r="N120" s="55">
        <f>IF(AND(N114&gt;P114,$AK93&gt;4,$AK92&gt;4,ISNUMBER(N114),ISNUMBER(P114)),1,0)</f>
        <v>0</v>
      </c>
      <c r="O120" s="55"/>
      <c r="P120" s="56">
        <f>IF(AND(P114&gt;N114,$AK93&gt;4,$AK92&gt;4,ISNUMBER(N114),ISNUMBER(P114)),1,0)</f>
        <v>0</v>
      </c>
      <c r="Q120" s="55">
        <f>IF(AND(Q114&gt;S114,$AK93&gt;5,$AK92&gt;4,ISNUMBER(Q114),ISNUMBER(S114)),1,0)</f>
        <v>0</v>
      </c>
      <c r="R120" s="55"/>
      <c r="S120" s="56">
        <f>IF(AND(S114&gt;Q114,$AK93&gt;5,$AK92&gt;4,ISNUMBER(Q114),ISNUMBER(S114)),1,0)</f>
        <v>0</v>
      </c>
      <c r="T120" s="55">
        <f>IF(AND(T114&gt;V114,$AK93&gt;6,$AK92&gt;4,ISNUMBER(T114),ISNUMBER(V114)),1,0)</f>
        <v>0</v>
      </c>
      <c r="U120" s="55"/>
      <c r="V120" s="56">
        <f>IF(AND(V114&gt;T114,$AK93&gt;6,$AK92&gt;4,ISNUMBER(T114),ISNUMBER(V114)),1,0)</f>
        <v>0</v>
      </c>
      <c r="W120" s="55">
        <f>IF(AND(W114&gt;Y114,$AK93&gt;7,$AK92&gt;4,ISNUMBER(W114),ISNUMBER(Y114)),1,0)</f>
        <v>0</v>
      </c>
      <c r="X120" s="55"/>
      <c r="Y120" s="56">
        <f>IF(AND(Y114&gt;W114,$AK93&gt;7,$AK92&gt;4,ISNUMBER(W114),ISNUMBER(Y114)),1,0)</f>
        <v>0</v>
      </c>
      <c r="Z120" s="55">
        <f>IF(AND(Z114&gt;AB114,$AK93&gt;8,$AK92&gt;4,ISNUMBER(Z114),ISNUMBER(AB114)),1,0)</f>
        <v>0</v>
      </c>
      <c r="AA120" s="55"/>
      <c r="AB120" s="56">
        <f>IF(AND(AB114&gt;Z114,$AK93&gt;8,$AK92&gt;4,ISNUMBER(Z114),ISNUMBER(AB114)),1,0)</f>
        <v>0</v>
      </c>
      <c r="AC120" s="55">
        <f>IF(AND(AC114&gt;AE114,$AK93&gt;9,$AK92&gt;4,ISNUMBER(AC114),ISNUMBER(AE114)),1,0)</f>
        <v>0</v>
      </c>
      <c r="AD120" s="55"/>
      <c r="AE120" s="56">
        <f>IF(AND(AE114&gt;AC114,$AK93&gt;9,$AK92&gt;4,ISNUMBER(AC114),ISNUMBER(AE114)),1,0)</f>
        <v>0</v>
      </c>
      <c r="AW120" s="146"/>
    </row>
    <row r="121" spans="1:49" s="54" customFormat="1" ht="38.25" hidden="1" customHeight="1" x14ac:dyDescent="0.2">
      <c r="A121" s="57" t="s">
        <v>59</v>
      </c>
      <c r="B121" s="54">
        <f>SUM(B116:B120)</f>
        <v>2</v>
      </c>
      <c r="D121" s="58">
        <f>SUM(D116:D120)</f>
        <v>0</v>
      </c>
      <c r="E121" s="54">
        <f>SUM(E116:E120)</f>
        <v>1</v>
      </c>
      <c r="G121" s="58">
        <f>SUM(G116:G120)</f>
        <v>1</v>
      </c>
      <c r="H121" s="54">
        <f>SUM(H116:H120)</f>
        <v>2</v>
      </c>
      <c r="J121" s="58">
        <f>SUM(J116:J120)</f>
        <v>0</v>
      </c>
      <c r="K121" s="54">
        <f>SUM(K116:K120)</f>
        <v>2</v>
      </c>
      <c r="M121" s="58">
        <f>SUM(M116:M120)</f>
        <v>0</v>
      </c>
      <c r="N121" s="54">
        <f>SUM(N116:N120)</f>
        <v>2</v>
      </c>
      <c r="P121" s="58">
        <f>SUM(P116:P120)</f>
        <v>0</v>
      </c>
      <c r="Q121" s="54">
        <f>SUM(Q116:Q120)</f>
        <v>2</v>
      </c>
      <c r="S121" s="58">
        <f>SUM(S116:S120)</f>
        <v>0</v>
      </c>
      <c r="T121" s="54">
        <f>SUM(T116:T120)</f>
        <v>1</v>
      </c>
      <c r="V121" s="58">
        <f>SUM(V116:V120)</f>
        <v>1</v>
      </c>
      <c r="W121" s="54">
        <f>SUM(W116:W120)</f>
        <v>2</v>
      </c>
      <c r="Y121" s="58">
        <f>SUM(Y116:Y120)</f>
        <v>0</v>
      </c>
      <c r="Z121" s="54">
        <f>SUM(Z116:Z120)</f>
        <v>0</v>
      </c>
      <c r="AB121" s="58">
        <f>SUM(AB116:AB120)</f>
        <v>2</v>
      </c>
      <c r="AC121" s="54">
        <f>SUM(AC116:AC120)</f>
        <v>1</v>
      </c>
      <c r="AE121" s="58">
        <f>SUM(AE116:AE120)</f>
        <v>1</v>
      </c>
      <c r="AW121" s="146"/>
    </row>
    <row r="122" spans="1:49" s="54" customFormat="1" ht="25.5" hidden="1" customHeight="1" x14ac:dyDescent="0.2">
      <c r="A122" s="57" t="s">
        <v>60</v>
      </c>
      <c r="B122" s="54">
        <f>IF(B121&gt;D121,IF(C156=AK92,1,IF(C156=AK92-1,1,0)),0)</f>
        <v>1</v>
      </c>
      <c r="C122" s="54">
        <f>B122+D122</f>
        <v>1</v>
      </c>
      <c r="D122" s="58">
        <f>IF(D121&gt;B121,IF(C156=AK92,1,IF(C156=AK92-1,1,0)),0)</f>
        <v>0</v>
      </c>
      <c r="E122" s="54">
        <f>IF(E121&gt;G121,IF(F156=AK92,1,IF(F156=AK92-1,1,0)),0)</f>
        <v>0</v>
      </c>
      <c r="F122" s="54">
        <f>E122+G122</f>
        <v>0</v>
      </c>
      <c r="G122" s="58">
        <f>IF(G121&gt;E121,IF(F156=AK92,1,IF(F156=AK92-1,1,0)),0)</f>
        <v>0</v>
      </c>
      <c r="H122" s="54">
        <f>IF(H121&gt;J121,IF(I156=AK92,1,IF(I156=AK92-1,1,0)),0)</f>
        <v>1</v>
      </c>
      <c r="I122" s="54">
        <f>H122+J122</f>
        <v>1</v>
      </c>
      <c r="J122" s="58">
        <f>IF(J121&gt;H121,IF(I156=AK92,1,IF(I156=AK92-1,1,0)),0)</f>
        <v>0</v>
      </c>
      <c r="K122" s="54">
        <f>IF(K121&gt;M121,IF(L156=AK92,1,IF(L156=AK92-1,1,0)),0)</f>
        <v>1</v>
      </c>
      <c r="L122" s="54">
        <f>K122+M122</f>
        <v>1</v>
      </c>
      <c r="M122" s="58">
        <f>IF(M121&gt;K121,IF(L156=AK92,1,IF(L156=AK92-1,1,0)),0)</f>
        <v>0</v>
      </c>
      <c r="N122" s="54">
        <f>IF(N121&gt;P121,IF(O156=AK92,1,IF(O156=AK92-1,1,0)),0)</f>
        <v>1</v>
      </c>
      <c r="O122" s="54">
        <f>N122+P122</f>
        <v>1</v>
      </c>
      <c r="P122" s="58">
        <f>IF(P121&gt;N121,IF(O156=AK92,1,IF(O156=AK92-1,1,0)),0)</f>
        <v>0</v>
      </c>
      <c r="Q122" s="54">
        <f>IF(Q121&gt;S121,IF(R156=AK92,1,IF(R156=AK92-1,1,0)),0)</f>
        <v>1</v>
      </c>
      <c r="R122" s="54">
        <f>Q122+S122</f>
        <v>1</v>
      </c>
      <c r="S122" s="58">
        <f>IF(S121&gt;Q121,IF(R156=AK92,1,IF(R156=AK92-1,1,0)),0)</f>
        <v>0</v>
      </c>
      <c r="T122" s="54">
        <f>IF(T121&gt;V121,IF(U156=AK92,1,IF(U156=AK92-1,1,0)),0)</f>
        <v>0</v>
      </c>
      <c r="U122" s="54">
        <f>T122+V122</f>
        <v>0</v>
      </c>
      <c r="V122" s="58">
        <f>IF(V121&gt;T121,IF(U156=AK92,1,IF(U156=AK92-1,1,0)),0)</f>
        <v>0</v>
      </c>
      <c r="W122" s="54">
        <f>IF(W121&gt;Y121,IF(X156=AK92,1,IF(X156=AK92-1,1,0)),0)</f>
        <v>1</v>
      </c>
      <c r="X122" s="54">
        <f>W122+Y122</f>
        <v>1</v>
      </c>
      <c r="Y122" s="58">
        <f>IF(Y121&gt;W121,IF(X156=AK92,1,IF(X156=AK92-1,1,0)),0)</f>
        <v>0</v>
      </c>
      <c r="Z122" s="54">
        <f>IF(Z121&gt;AB121,IF(AA156=AK92,1,IF(AA156=AK92-1,1,0)),0)</f>
        <v>0</v>
      </c>
      <c r="AA122" s="54">
        <f>Z122+AB122</f>
        <v>1</v>
      </c>
      <c r="AB122" s="58">
        <f>IF(AB121&gt;Z121,IF(AA156=AK92,1,IF(AA156=AK92-1,1,0)),0)</f>
        <v>1</v>
      </c>
      <c r="AC122" s="54">
        <f>IF(AC121&gt;AE121,IF(AD156=AK92,1,IF(AD156=AK92-1,1,0)),0)</f>
        <v>0</v>
      </c>
      <c r="AD122" s="54">
        <f>AC122+AE122</f>
        <v>0</v>
      </c>
      <c r="AE122" s="58">
        <f>IF(AE121&gt;AC121,IF(AD156=AK92,1,IF(AD156=AK92-1,1,0)),0)</f>
        <v>0</v>
      </c>
      <c r="AW122" s="146"/>
    </row>
    <row r="123" spans="1:49" s="54" customFormat="1" ht="25.5" hidden="1" customHeight="1" x14ac:dyDescent="0.2">
      <c r="A123" s="57"/>
      <c r="D123" s="58"/>
      <c r="G123" s="58"/>
      <c r="J123" s="58"/>
      <c r="M123" s="58"/>
      <c r="P123" s="58"/>
      <c r="S123" s="58"/>
      <c r="V123" s="58"/>
      <c r="Y123" s="58"/>
      <c r="AB123" s="58"/>
      <c r="AE123" s="58"/>
      <c r="AW123" s="146"/>
    </row>
    <row r="124" spans="1:49" s="54" customFormat="1" ht="12.75" hidden="1" customHeight="1" x14ac:dyDescent="0.2">
      <c r="A124" s="54" t="s">
        <v>61</v>
      </c>
      <c r="B124" s="54">
        <f>IF(B116=1,B110,0)</f>
        <v>25</v>
      </c>
      <c r="D124" s="58">
        <f t="shared" ref="D124:E128" si="12">IF(D116=1,D110,0)</f>
        <v>0</v>
      </c>
      <c r="E124" s="54">
        <f t="shared" si="12"/>
        <v>25</v>
      </c>
      <c r="G124" s="58">
        <f t="shared" ref="G124:H128" si="13">IF(G116=1,G110,0)</f>
        <v>0</v>
      </c>
      <c r="H124" s="54">
        <f t="shared" si="13"/>
        <v>25</v>
      </c>
      <c r="J124" s="58">
        <f t="shared" ref="J124:K128" si="14">IF(J116=1,J110,0)</f>
        <v>0</v>
      </c>
      <c r="K124" s="54">
        <f t="shared" si="14"/>
        <v>25</v>
      </c>
      <c r="M124" s="58">
        <f t="shared" ref="M124:N128" si="15">IF(M116=1,M110,0)</f>
        <v>0</v>
      </c>
      <c r="N124" s="54">
        <f t="shared" si="15"/>
        <v>25</v>
      </c>
      <c r="P124" s="58">
        <f t="shared" ref="P124:Q128" si="16">IF(P116=1,P110,0)</f>
        <v>0</v>
      </c>
      <c r="Q124" s="54">
        <f t="shared" si="16"/>
        <v>25</v>
      </c>
      <c r="S124" s="58">
        <f t="shared" ref="S124:T128" si="17">IF(S116=1,S110,0)</f>
        <v>0</v>
      </c>
      <c r="T124" s="54">
        <f t="shared" si="17"/>
        <v>25</v>
      </c>
      <c r="V124" s="58">
        <f t="shared" ref="V124:W128" si="18">IF(V116=1,V110,0)</f>
        <v>0</v>
      </c>
      <c r="W124" s="54">
        <f t="shared" si="18"/>
        <v>25</v>
      </c>
      <c r="Y124" s="58">
        <f t="shared" ref="Y124:Z128" si="19">IF(Y116=1,Y110,0)</f>
        <v>0</v>
      </c>
      <c r="Z124" s="54">
        <f t="shared" si="19"/>
        <v>0</v>
      </c>
      <c r="AB124" s="58">
        <f t="shared" ref="AB124:AC128" si="20">IF(AB116=1,AB110,0)</f>
        <v>25</v>
      </c>
      <c r="AC124" s="54">
        <f t="shared" si="20"/>
        <v>0</v>
      </c>
      <c r="AE124" s="58">
        <f>IF(AE116=1,AE110,0)</f>
        <v>26</v>
      </c>
      <c r="AW124" s="146"/>
    </row>
    <row r="125" spans="1:49" s="54" customFormat="1" ht="12.75" hidden="1" customHeight="1" x14ac:dyDescent="0.2">
      <c r="A125" s="54" t="s">
        <v>62</v>
      </c>
      <c r="B125" s="54">
        <f>IF(B117=1,B111,0)</f>
        <v>25</v>
      </c>
      <c r="D125" s="58">
        <f t="shared" si="12"/>
        <v>0</v>
      </c>
      <c r="E125" s="54">
        <f t="shared" si="12"/>
        <v>0</v>
      </c>
      <c r="G125" s="58">
        <f t="shared" si="13"/>
        <v>25</v>
      </c>
      <c r="H125" s="54">
        <f t="shared" si="13"/>
        <v>25</v>
      </c>
      <c r="J125" s="58">
        <f t="shared" si="14"/>
        <v>0</v>
      </c>
      <c r="K125" s="54">
        <f t="shared" si="14"/>
        <v>25</v>
      </c>
      <c r="M125" s="58">
        <f t="shared" si="15"/>
        <v>0</v>
      </c>
      <c r="N125" s="54">
        <f t="shared" si="15"/>
        <v>25</v>
      </c>
      <c r="P125" s="58">
        <f t="shared" si="16"/>
        <v>0</v>
      </c>
      <c r="Q125" s="54">
        <f t="shared" si="16"/>
        <v>25</v>
      </c>
      <c r="S125" s="58">
        <f t="shared" si="17"/>
        <v>0</v>
      </c>
      <c r="T125" s="54">
        <f t="shared" si="17"/>
        <v>0</v>
      </c>
      <c r="V125" s="58">
        <f t="shared" si="18"/>
        <v>25</v>
      </c>
      <c r="W125" s="54">
        <f t="shared" si="18"/>
        <v>25</v>
      </c>
      <c r="Y125" s="58">
        <f t="shared" si="19"/>
        <v>0</v>
      </c>
      <c r="Z125" s="54">
        <f t="shared" si="19"/>
        <v>0</v>
      </c>
      <c r="AB125" s="58">
        <f t="shared" si="20"/>
        <v>25</v>
      </c>
      <c r="AC125" s="54">
        <f t="shared" si="20"/>
        <v>25</v>
      </c>
      <c r="AE125" s="58">
        <f>IF(AE117=1,AE111,0)</f>
        <v>0</v>
      </c>
      <c r="AW125" s="146"/>
    </row>
    <row r="126" spans="1:49" s="54" customFormat="1" ht="12.75" hidden="1" customHeight="1" x14ac:dyDescent="0.2">
      <c r="A126" s="54" t="s">
        <v>63</v>
      </c>
      <c r="B126" s="54">
        <f>IF(B118=1,B112,0)</f>
        <v>0</v>
      </c>
      <c r="D126" s="58">
        <f t="shared" si="12"/>
        <v>0</v>
      </c>
      <c r="E126" s="54">
        <f t="shared" si="12"/>
        <v>0</v>
      </c>
      <c r="G126" s="58">
        <f t="shared" si="13"/>
        <v>0</v>
      </c>
      <c r="H126" s="54">
        <f t="shared" si="13"/>
        <v>0</v>
      </c>
      <c r="J126" s="58">
        <f t="shared" si="14"/>
        <v>0</v>
      </c>
      <c r="K126" s="54">
        <f t="shared" si="14"/>
        <v>0</v>
      </c>
      <c r="M126" s="58">
        <f t="shared" si="15"/>
        <v>0</v>
      </c>
      <c r="N126" s="54">
        <f t="shared" si="15"/>
        <v>0</v>
      </c>
      <c r="P126" s="58">
        <f t="shared" si="16"/>
        <v>0</v>
      </c>
      <c r="Q126" s="54">
        <f t="shared" si="16"/>
        <v>0</v>
      </c>
      <c r="S126" s="58">
        <f t="shared" si="17"/>
        <v>0</v>
      </c>
      <c r="T126" s="54">
        <f t="shared" si="17"/>
        <v>0</v>
      </c>
      <c r="V126" s="58">
        <f t="shared" si="18"/>
        <v>0</v>
      </c>
      <c r="W126" s="54">
        <f t="shared" si="18"/>
        <v>0</v>
      </c>
      <c r="Y126" s="58">
        <f t="shared" si="19"/>
        <v>0</v>
      </c>
      <c r="Z126" s="54">
        <f t="shared" si="19"/>
        <v>0</v>
      </c>
      <c r="AB126" s="58">
        <f t="shared" si="20"/>
        <v>0</v>
      </c>
      <c r="AC126" s="54">
        <f t="shared" si="20"/>
        <v>0</v>
      </c>
      <c r="AE126" s="58">
        <f>IF(AE118=1,AE112,0)</f>
        <v>0</v>
      </c>
      <c r="AW126" s="146"/>
    </row>
    <row r="127" spans="1:49" s="54" customFormat="1" ht="12.75" hidden="1" customHeight="1" x14ac:dyDescent="0.2">
      <c r="A127" s="54" t="s">
        <v>64</v>
      </c>
      <c r="B127" s="54">
        <f>IF(B119=1,B113,0)</f>
        <v>0</v>
      </c>
      <c r="D127" s="58">
        <f t="shared" si="12"/>
        <v>0</v>
      </c>
      <c r="E127" s="54">
        <f t="shared" si="12"/>
        <v>0</v>
      </c>
      <c r="G127" s="58">
        <f t="shared" si="13"/>
        <v>0</v>
      </c>
      <c r="H127" s="54">
        <f t="shared" si="13"/>
        <v>0</v>
      </c>
      <c r="J127" s="58">
        <f t="shared" si="14"/>
        <v>0</v>
      </c>
      <c r="K127" s="54">
        <f t="shared" si="14"/>
        <v>0</v>
      </c>
      <c r="M127" s="58">
        <f t="shared" si="15"/>
        <v>0</v>
      </c>
      <c r="N127" s="54">
        <f t="shared" si="15"/>
        <v>0</v>
      </c>
      <c r="P127" s="58">
        <f t="shared" si="16"/>
        <v>0</v>
      </c>
      <c r="Q127" s="54">
        <f t="shared" si="16"/>
        <v>0</v>
      </c>
      <c r="S127" s="58">
        <f t="shared" si="17"/>
        <v>0</v>
      </c>
      <c r="T127" s="54">
        <f t="shared" si="17"/>
        <v>0</v>
      </c>
      <c r="V127" s="58">
        <f t="shared" si="18"/>
        <v>0</v>
      </c>
      <c r="W127" s="54">
        <f t="shared" si="18"/>
        <v>0</v>
      </c>
      <c r="Y127" s="58">
        <f t="shared" si="19"/>
        <v>0</v>
      </c>
      <c r="Z127" s="54">
        <f t="shared" si="19"/>
        <v>0</v>
      </c>
      <c r="AB127" s="58">
        <f t="shared" si="20"/>
        <v>0</v>
      </c>
      <c r="AC127" s="54">
        <f t="shared" si="20"/>
        <v>0</v>
      </c>
      <c r="AE127" s="58">
        <f>IF(AE119=1,AE113,0)</f>
        <v>0</v>
      </c>
      <c r="AW127" s="146"/>
    </row>
    <row r="128" spans="1:49" s="54" customFormat="1" ht="12.75" hidden="1" customHeight="1" x14ac:dyDescent="0.2">
      <c r="A128" s="54" t="s">
        <v>65</v>
      </c>
      <c r="B128" s="54">
        <f>IF(B120=1,B114,0)</f>
        <v>0</v>
      </c>
      <c r="D128" s="58">
        <f t="shared" si="12"/>
        <v>0</v>
      </c>
      <c r="E128" s="54">
        <f t="shared" si="12"/>
        <v>0</v>
      </c>
      <c r="G128" s="58">
        <f t="shared" si="13"/>
        <v>0</v>
      </c>
      <c r="H128" s="54">
        <f t="shared" si="13"/>
        <v>0</v>
      </c>
      <c r="J128" s="58">
        <f t="shared" si="14"/>
        <v>0</v>
      </c>
      <c r="K128" s="54">
        <f t="shared" si="14"/>
        <v>0</v>
      </c>
      <c r="M128" s="58">
        <f t="shared" si="15"/>
        <v>0</v>
      </c>
      <c r="N128" s="54">
        <f t="shared" si="15"/>
        <v>0</v>
      </c>
      <c r="P128" s="58">
        <f t="shared" si="16"/>
        <v>0</v>
      </c>
      <c r="Q128" s="54">
        <f t="shared" si="16"/>
        <v>0</v>
      </c>
      <c r="S128" s="58">
        <f t="shared" si="17"/>
        <v>0</v>
      </c>
      <c r="T128" s="54">
        <f t="shared" si="17"/>
        <v>0</v>
      </c>
      <c r="V128" s="58">
        <f t="shared" si="18"/>
        <v>0</v>
      </c>
      <c r="W128" s="54">
        <f t="shared" si="18"/>
        <v>0</v>
      </c>
      <c r="Y128" s="58">
        <f t="shared" si="19"/>
        <v>0</v>
      </c>
      <c r="Z128" s="54">
        <f t="shared" si="19"/>
        <v>0</v>
      </c>
      <c r="AB128" s="58">
        <f t="shared" si="20"/>
        <v>0</v>
      </c>
      <c r="AC128" s="54">
        <f t="shared" si="20"/>
        <v>0</v>
      </c>
      <c r="AE128" s="58">
        <f>IF(AE120=1,AE114,0)</f>
        <v>0</v>
      </c>
      <c r="AW128" s="146"/>
    </row>
    <row r="129" spans="1:49" s="54" customFormat="1" ht="38.25" hidden="1" customHeight="1" x14ac:dyDescent="0.2">
      <c r="A129" s="57" t="s">
        <v>66</v>
      </c>
      <c r="B129" s="54">
        <f>SUM(B124:D128)</f>
        <v>50</v>
      </c>
      <c r="D129" s="58"/>
      <c r="E129" s="54">
        <f>SUM(E124:G128)</f>
        <v>50</v>
      </c>
      <c r="G129" s="58"/>
      <c r="H129" s="54">
        <f>SUM(H124:J128)</f>
        <v>50</v>
      </c>
      <c r="J129" s="58"/>
      <c r="K129" s="54">
        <f>SUM(K124:M128)</f>
        <v>50</v>
      </c>
      <c r="M129" s="58"/>
      <c r="N129" s="54">
        <f>SUM(N124:P128)</f>
        <v>50</v>
      </c>
      <c r="P129" s="58"/>
      <c r="Q129" s="54">
        <f>SUM(Q124:S128)</f>
        <v>50</v>
      </c>
      <c r="S129" s="58"/>
      <c r="T129" s="54">
        <f>SUM(T124:V128)</f>
        <v>50</v>
      </c>
      <c r="V129" s="58"/>
      <c r="W129" s="54">
        <f>SUM(W124:Y128)</f>
        <v>50</v>
      </c>
      <c r="Y129" s="58"/>
      <c r="Z129" s="54">
        <f>SUM(Z124:AB128)</f>
        <v>50</v>
      </c>
      <c r="AB129" s="58"/>
      <c r="AC129" s="54">
        <f>SUM(AC124:AE128)</f>
        <v>51</v>
      </c>
      <c r="AE129" s="58"/>
      <c r="AW129" s="146"/>
    </row>
    <row r="130" spans="1:49" s="54" customFormat="1" ht="38.25" hidden="1" customHeight="1" x14ac:dyDescent="0.2">
      <c r="A130" s="54" t="s">
        <v>67</v>
      </c>
      <c r="D130" s="58"/>
      <c r="G130" s="58"/>
      <c r="J130" s="58"/>
      <c r="M130" s="58"/>
      <c r="P130" s="58"/>
      <c r="S130" s="58"/>
      <c r="V130" s="58"/>
      <c r="Y130" s="58"/>
      <c r="AB130" s="58"/>
      <c r="AE130" s="58"/>
      <c r="AF130" s="57" t="s">
        <v>68</v>
      </c>
      <c r="AG130" s="54" t="s">
        <v>69</v>
      </c>
      <c r="AW130" s="146"/>
    </row>
    <row r="131" spans="1:49" s="54" customFormat="1" ht="12.75" hidden="1" customHeight="1" x14ac:dyDescent="0.2">
      <c r="A131" s="54" t="s">
        <v>70</v>
      </c>
      <c r="B131" s="54">
        <f>IF(B109=1,IF(B122=1,1,0),0)</f>
        <v>0</v>
      </c>
      <c r="D131" s="58">
        <f>IF(D109=1,IF(D122=1,1,0),0)</f>
        <v>0</v>
      </c>
      <c r="E131" s="54">
        <f>IF(E109=1,IF(E122=1,1,0),0)</f>
        <v>0</v>
      </c>
      <c r="G131" s="58">
        <f>IF(G109=1,IF(G122=1,1,0),0)</f>
        <v>0</v>
      </c>
      <c r="H131" s="54">
        <f>IF(H109=1,IF(H122=1,1,0),0)</f>
        <v>0</v>
      </c>
      <c r="J131" s="58">
        <f>IF(J109=1,IF(J122=1,1,0),0)</f>
        <v>0</v>
      </c>
      <c r="K131" s="54">
        <f>IF(K109=1,IF(K122=1,1,0),0)</f>
        <v>0</v>
      </c>
      <c r="M131" s="58">
        <f>IF(M109=1,IF(M122=1,1,0),0)</f>
        <v>0</v>
      </c>
      <c r="N131" s="54">
        <f>IF(N109=1,IF(N122=1,1,0),0)</f>
        <v>1</v>
      </c>
      <c r="P131" s="58">
        <f>IF(P109=1,IF(P122=1,1,0),0)</f>
        <v>0</v>
      </c>
      <c r="Q131" s="54">
        <f>IF(Q109=1,IF(Q122=1,1,0),0)</f>
        <v>0</v>
      </c>
      <c r="S131" s="58">
        <f>IF(S109=1,IF(S122=1,1,0),0)</f>
        <v>0</v>
      </c>
      <c r="T131" s="54">
        <f>IF(T109=1,IF(T122=1,1,0),0)</f>
        <v>0</v>
      </c>
      <c r="V131" s="58">
        <f>IF(V109=1,IF(V122=1,1,0),0)</f>
        <v>0</v>
      </c>
      <c r="W131" s="54">
        <f>IF(W109=1,IF(W122=1,1,0),0)</f>
        <v>1</v>
      </c>
      <c r="Y131" s="58">
        <f>IF(Y109=1,IF(Y122=1,1,0),0)</f>
        <v>0</v>
      </c>
      <c r="Z131" s="54">
        <f>IF(Z109=1,IF(Z122=1,1,0),0)</f>
        <v>0</v>
      </c>
      <c r="AB131" s="58">
        <f>IF(AB109=1,IF(AB122=1,1,0),0)</f>
        <v>0</v>
      </c>
      <c r="AC131" s="54">
        <f>IF(AC109=1,IF(AC122=1,1,0),0)</f>
        <v>0</v>
      </c>
      <c r="AE131" s="58">
        <f>IF(AE109=1,IF(AE122=1,1,0),0)</f>
        <v>0</v>
      </c>
      <c r="AF131" s="54">
        <f>SUM(B131:AE131)</f>
        <v>2</v>
      </c>
      <c r="AG131" s="54">
        <f>AF137-AF131</f>
        <v>0</v>
      </c>
      <c r="AW131" s="146"/>
    </row>
    <row r="132" spans="1:49" s="54" customFormat="1" ht="12.75" hidden="1" customHeight="1" x14ac:dyDescent="0.2">
      <c r="A132" s="54" t="s">
        <v>71</v>
      </c>
      <c r="B132" s="54">
        <f>IF(B109=2,IF(B122=1,1,0),0)</f>
        <v>1</v>
      </c>
      <c r="D132" s="58">
        <f>IF(D109=2,IF(D122=1,1,0),0)</f>
        <v>0</v>
      </c>
      <c r="E132" s="54">
        <f>IF(E109=2,IF(E122=1,1,0),0)</f>
        <v>0</v>
      </c>
      <c r="G132" s="58">
        <f>IF(G109=2,IF(G122=1,1,0),0)</f>
        <v>0</v>
      </c>
      <c r="H132" s="54">
        <f>IF(H109=2,IF(H122=1,1,0),0)</f>
        <v>0</v>
      </c>
      <c r="J132" s="58">
        <f>IF(J109=2,IF(J122=1,1,0),0)</f>
        <v>0</v>
      </c>
      <c r="K132" s="54">
        <f>IF(K109=2,IF(K122=1,1,0),0)</f>
        <v>1</v>
      </c>
      <c r="M132" s="58">
        <f>IF(M109=2,IF(M122=1,1,0),0)</f>
        <v>0</v>
      </c>
      <c r="N132" s="54">
        <f>IF(N109=2,IF(N122=1,1,0),0)</f>
        <v>0</v>
      </c>
      <c r="P132" s="58">
        <f>IF(P109=2,IF(P122=1,1,0),0)</f>
        <v>0</v>
      </c>
      <c r="Q132" s="54">
        <f>IF(Q109=2,IF(Q122=1,1,0),0)</f>
        <v>0</v>
      </c>
      <c r="S132" s="58">
        <f>IF(S109=2,IF(S122=1,1,0),0)</f>
        <v>0</v>
      </c>
      <c r="T132" s="54">
        <f>IF(T109=2,IF(T122=1,1,0),0)</f>
        <v>0</v>
      </c>
      <c r="V132" s="58">
        <f>IF(V109=2,IF(V122=1,1,0),0)</f>
        <v>0</v>
      </c>
      <c r="W132" s="54">
        <f>IF(W109=2,IF(W122=1,1,0),0)</f>
        <v>0</v>
      </c>
      <c r="Y132" s="58">
        <f>IF(Y109=2,IF(Y122=1,1,0),0)</f>
        <v>0</v>
      </c>
      <c r="Z132" s="54">
        <f>IF(Z109=2,IF(Z122=1,1,0),0)</f>
        <v>0</v>
      </c>
      <c r="AB132" s="58">
        <f>IF(AB109=2,IF(AB122=1,1,0),0)</f>
        <v>0</v>
      </c>
      <c r="AC132" s="54">
        <f>IF(AC109=2,IF(AC122=1,1,0),0)</f>
        <v>0</v>
      </c>
      <c r="AE132" s="58">
        <f>IF(AE109=2,IF(AE122=1,1,0),0)</f>
        <v>0</v>
      </c>
      <c r="AF132" s="54">
        <f>SUM(B132:AE132)</f>
        <v>2</v>
      </c>
      <c r="AG132" s="54">
        <f>AF138-AF132</f>
        <v>0</v>
      </c>
      <c r="AW132" s="146"/>
    </row>
    <row r="133" spans="1:49" s="54" customFormat="1" ht="12.75" hidden="1" customHeight="1" x14ac:dyDescent="0.2">
      <c r="A133" s="54" t="s">
        <v>72</v>
      </c>
      <c r="B133" s="54">
        <f>IF(B109=3,IF(B122=1,1,0),0)</f>
        <v>0</v>
      </c>
      <c r="D133" s="58">
        <f>IF(D109=3,IF(D122=1,1,0),0)</f>
        <v>0</v>
      </c>
      <c r="E133" s="54">
        <f>IF(E109=3,IF(E122=1,1,0),0)</f>
        <v>0</v>
      </c>
      <c r="G133" s="58">
        <f>IF(G109=3,IF(G122=1,1,0),0)</f>
        <v>0</v>
      </c>
      <c r="H133" s="54">
        <f>IF(H109=3,IF(H122=1,1,0),0)</f>
        <v>1</v>
      </c>
      <c r="J133" s="58">
        <f>IF(J109=3,IF(J122=1,1,0),0)</f>
        <v>0</v>
      </c>
      <c r="K133" s="54">
        <f>IF(K109=3,IF(K122=1,1,0),0)</f>
        <v>0</v>
      </c>
      <c r="M133" s="58">
        <f>IF(M109=3,IF(M122=1,1,0),0)</f>
        <v>0</v>
      </c>
      <c r="N133" s="54">
        <f>IF(N109=3,IF(N122=1,1,0),0)</f>
        <v>0</v>
      </c>
      <c r="P133" s="58">
        <f>IF(P109=3,IF(P122=1,1,0),0)</f>
        <v>0</v>
      </c>
      <c r="Q133" s="54">
        <f>IF(Q109=3,IF(Q122=1,1,0),0)</f>
        <v>0</v>
      </c>
      <c r="S133" s="58">
        <f>IF(S109=3,IF(S122=1,1,0),0)</f>
        <v>0</v>
      </c>
      <c r="T133" s="54">
        <f>IF(T109=3,IF(T122=1,1,0),0)</f>
        <v>0</v>
      </c>
      <c r="V133" s="58">
        <f>IF(V109=3,IF(V122=1,1,0),0)</f>
        <v>0</v>
      </c>
      <c r="W133" s="54">
        <f>IF(W109=3,IF(W122=1,1,0),0)</f>
        <v>0</v>
      </c>
      <c r="Y133" s="58">
        <f>IF(Y109=3,IF(Y122=1,1,0),0)</f>
        <v>0</v>
      </c>
      <c r="Z133" s="54">
        <f>IF(Z109=3,IF(Z122=1,1,0),0)</f>
        <v>0</v>
      </c>
      <c r="AB133" s="58">
        <f>IF(AB109=3,IF(AB122=1,1,0),0)</f>
        <v>0</v>
      </c>
      <c r="AC133" s="54">
        <f>IF(AC109=3,IF(AC122=1,1,0),0)</f>
        <v>0</v>
      </c>
      <c r="AE133" s="58">
        <f>IF(AE109=3,IF(AE122=1,1,0),0)</f>
        <v>0</v>
      </c>
      <c r="AF133" s="54">
        <f>SUM(B133:AE133)</f>
        <v>1</v>
      </c>
      <c r="AG133" s="54">
        <f>AF139-AF133</f>
        <v>2</v>
      </c>
      <c r="AW133" s="146"/>
    </row>
    <row r="134" spans="1:49" s="54" customFormat="1" ht="12.75" hidden="1" customHeight="1" x14ac:dyDescent="0.2">
      <c r="A134" s="54" t="s">
        <v>73</v>
      </c>
      <c r="B134" s="54">
        <f>IF(B109=4,IF(B122=1,1,0),0)</f>
        <v>0</v>
      </c>
      <c r="D134" s="58">
        <f>IF(D109=4,IF(D122=1,1,0),0)</f>
        <v>0</v>
      </c>
      <c r="E134" s="54">
        <f>IF(E109=4,IF(E122=1,1,0),0)</f>
        <v>0</v>
      </c>
      <c r="G134" s="58">
        <f>IF(G109=4,IF(G122=1,1,0),0)</f>
        <v>0</v>
      </c>
      <c r="H134" s="54">
        <f>IF(H109=4,IF(H122=1,1,0),0)</f>
        <v>0</v>
      </c>
      <c r="J134" s="58">
        <f>IF(J109=4,IF(J122=1,1,0),0)</f>
        <v>0</v>
      </c>
      <c r="K134" s="54">
        <f>IF(K109=4,IF(K122=1,1,0),0)</f>
        <v>0</v>
      </c>
      <c r="M134" s="58">
        <f>IF(M109=4,IF(M122=1,1,0),0)</f>
        <v>0</v>
      </c>
      <c r="N134" s="54">
        <f>IF(N109=4,IF(N122=1,1,0),0)</f>
        <v>0</v>
      </c>
      <c r="P134" s="58">
        <f>IF(P109=4,IF(P122=1,1,0),0)</f>
        <v>0</v>
      </c>
      <c r="Q134" s="54">
        <f>IF(Q109=4,IF(Q122=1,1,0),0)</f>
        <v>1</v>
      </c>
      <c r="S134" s="58">
        <f>IF(S109=4,IF(S122=1,1,0),0)</f>
        <v>0</v>
      </c>
      <c r="T134" s="54">
        <f>IF(T109=4,IF(T122=1,1,0),0)</f>
        <v>0</v>
      </c>
      <c r="V134" s="58">
        <f>IF(V109=4,IF(V122=1,1,0),0)</f>
        <v>0</v>
      </c>
      <c r="W134" s="54">
        <f>IF(W109=4,IF(W122=1,1,0),0)</f>
        <v>0</v>
      </c>
      <c r="Y134" s="58">
        <f>IF(Y109=4,IF(Y122=1,1,0),0)</f>
        <v>0</v>
      </c>
      <c r="Z134" s="54">
        <f>IF(Z109=4,IF(Z122=1,1,0),0)</f>
        <v>0</v>
      </c>
      <c r="AB134" s="58">
        <f>IF(AB109=4,IF(AB122=1,1,0),0)</f>
        <v>1</v>
      </c>
      <c r="AC134" s="54">
        <f>IF(AC109=4,IF(AC122=1,1,0),0)</f>
        <v>0</v>
      </c>
      <c r="AE134" s="58">
        <f>IF(AE109=4,IF(AE122=1,1,0),0)</f>
        <v>0</v>
      </c>
      <c r="AF134" s="54">
        <f>SUM(B134:AE134)</f>
        <v>2</v>
      </c>
      <c r="AG134" s="54">
        <f>AF140-AF134</f>
        <v>1</v>
      </c>
      <c r="AW134" s="146"/>
    </row>
    <row r="135" spans="1:49" s="54" customFormat="1" ht="12.75" hidden="1" customHeight="1" x14ac:dyDescent="0.2">
      <c r="A135" s="54" t="s">
        <v>74</v>
      </c>
      <c r="B135" s="54">
        <f>IF(B109=5,IF(B122=1,1,0),0)</f>
        <v>0</v>
      </c>
      <c r="D135" s="58">
        <f>IF(D109=5,IF(D122=1,1,0),0)</f>
        <v>0</v>
      </c>
      <c r="E135" s="54">
        <f>IF(E109=5,IF(E122=1,1,0),0)</f>
        <v>0</v>
      </c>
      <c r="G135" s="58">
        <f>IF(G109=5,IF(G122=1,1,0),0)</f>
        <v>0</v>
      </c>
      <c r="H135" s="54">
        <f>IF(H109=5,IF(H122=1,1,0),0)</f>
        <v>0</v>
      </c>
      <c r="J135" s="58">
        <f>IF(J109=5,IF(J122=1,1,0),0)</f>
        <v>0</v>
      </c>
      <c r="K135" s="54">
        <f>IF(K109=5,IF(K122=1,1,0),0)</f>
        <v>0</v>
      </c>
      <c r="M135" s="58">
        <f>IF(M109=5,IF(M122=1,1,0),0)</f>
        <v>0</v>
      </c>
      <c r="N135" s="54">
        <f>IF(N109=5,IF(N122=1,1,0),0)</f>
        <v>0</v>
      </c>
      <c r="P135" s="58">
        <f>IF(P109=5,IF(P122=1,1,0),0)</f>
        <v>0</v>
      </c>
      <c r="Q135" s="54">
        <f>IF(Q109=5,IF(Q122=1,1,0),0)</f>
        <v>0</v>
      </c>
      <c r="S135" s="58">
        <f>IF(S109=5,IF(S122=1,1,0),0)</f>
        <v>0</v>
      </c>
      <c r="T135" s="54">
        <f>IF(T109=5,IF(T122=1,1,0),0)</f>
        <v>0</v>
      </c>
      <c r="V135" s="58">
        <f>IF(V109=5,IF(V122=1,1,0),0)</f>
        <v>0</v>
      </c>
      <c r="W135" s="54">
        <f>IF(W109=5,IF(W122=1,1,0),0)</f>
        <v>0</v>
      </c>
      <c r="Y135" s="58">
        <f>IF(Y109=5,IF(Y122=1,1,0),0)</f>
        <v>0</v>
      </c>
      <c r="Z135" s="54">
        <f>IF(Z109=5,IF(Z122=1,1,0),0)</f>
        <v>0</v>
      </c>
      <c r="AB135" s="58">
        <f>IF(AB109=5,IF(AB122=1,1,0),0)</f>
        <v>0</v>
      </c>
      <c r="AC135" s="54">
        <f>IF(AC109=5,IF(AC122=1,1,0),0)</f>
        <v>0</v>
      </c>
      <c r="AE135" s="58">
        <f>IF(AE109=5,IF(AE122=1,1,0),0)</f>
        <v>0</v>
      </c>
      <c r="AF135" s="54">
        <f>SUM(B135:AE135)</f>
        <v>0</v>
      </c>
      <c r="AG135" s="54">
        <f>AF141-AF135</f>
        <v>4</v>
      </c>
      <c r="AW135" s="146"/>
    </row>
    <row r="136" spans="1:49" s="54" customFormat="1" ht="38.25" hidden="1" customHeight="1" x14ac:dyDescent="0.2">
      <c r="A136" s="57"/>
      <c r="D136" s="58"/>
      <c r="G136" s="58"/>
      <c r="J136" s="58"/>
      <c r="M136" s="58"/>
      <c r="P136" s="58"/>
      <c r="S136" s="58"/>
      <c r="V136" s="58"/>
      <c r="Y136" s="58"/>
      <c r="AB136" s="58"/>
      <c r="AE136" s="58"/>
      <c r="AF136" s="57" t="s">
        <v>75</v>
      </c>
      <c r="AW136" s="146"/>
    </row>
    <row r="137" spans="1:49" s="54" customFormat="1" ht="12.75" hidden="1" customHeight="1" x14ac:dyDescent="0.2">
      <c r="A137" s="54" t="s">
        <v>76</v>
      </c>
      <c r="B137" s="54">
        <f>IF(B109=1,IF(C122=1,1,0),0)</f>
        <v>0</v>
      </c>
      <c r="D137" s="58">
        <f>IF(D109=1,IF(C122=1,1,0),0)</f>
        <v>0</v>
      </c>
      <c r="E137" s="54">
        <f>IF(E109=1,IF(F122=1,1,0),0)</f>
        <v>0</v>
      </c>
      <c r="G137" s="58">
        <f>IF(G109=1,IF(F122=1,1,0),0)</f>
        <v>0</v>
      </c>
      <c r="H137" s="54">
        <f>IF(H109=1,IF(I122=1,1,0),0)</f>
        <v>0</v>
      </c>
      <c r="J137" s="58">
        <f>IF(J109=1,IF(I122=1,1,0),0)</f>
        <v>0</v>
      </c>
      <c r="K137" s="54">
        <f>IF(K109=1,IF(L122=1,1,0),0)</f>
        <v>0</v>
      </c>
      <c r="M137" s="58">
        <f>IF(M109=1,IF(L122=1,1,0),0)</f>
        <v>0</v>
      </c>
      <c r="N137" s="54">
        <f>IF(N109=1,IF(O122=1,1,0),0)</f>
        <v>1</v>
      </c>
      <c r="P137" s="58">
        <f>IF(P109=1,IF(O122=1,1,0),0)</f>
        <v>0</v>
      </c>
      <c r="Q137" s="54">
        <f>IF(Q109=1,IF(R122=1,1,0),0)</f>
        <v>0</v>
      </c>
      <c r="S137" s="58">
        <f>IF(S109=1,IF(R122=1,1,0),0)</f>
        <v>0</v>
      </c>
      <c r="T137" s="54">
        <f>IF(T109=1,IF(U122=1,1,0),0)</f>
        <v>0</v>
      </c>
      <c r="V137" s="58">
        <f>IF(V109=1,IF(U122=1,1,0),0)</f>
        <v>0</v>
      </c>
      <c r="W137" s="54">
        <f>IF(W109=1,IF(X122=1,1,0),0)</f>
        <v>1</v>
      </c>
      <c r="Y137" s="58">
        <f>IF(Y109=1,IF(X122=1,1,0),0)</f>
        <v>0</v>
      </c>
      <c r="Z137" s="54">
        <f>IF(Z109=1,IF(AA122=1,1,0),0)</f>
        <v>0</v>
      </c>
      <c r="AB137" s="58">
        <f>IF(AB109=1,IF(AA122=1,1,0),0)</f>
        <v>0</v>
      </c>
      <c r="AC137" s="54">
        <f>IF(AC109=1,IF(AD122=1,1,0),0)</f>
        <v>0</v>
      </c>
      <c r="AE137" s="58">
        <f>IF(AE109=1,IF(AD122=1,1,0),0)</f>
        <v>0</v>
      </c>
      <c r="AF137" s="54">
        <f>SUM(B137:AE137)</f>
        <v>2</v>
      </c>
      <c r="AW137" s="146"/>
    </row>
    <row r="138" spans="1:49" s="54" customFormat="1" ht="12.75" hidden="1" customHeight="1" x14ac:dyDescent="0.2">
      <c r="A138" s="54" t="s">
        <v>77</v>
      </c>
      <c r="B138" s="54">
        <f>IF(B109=2,IF(C122=1,1,0),0)</f>
        <v>1</v>
      </c>
      <c r="D138" s="58">
        <f>IF(D109=2,IF(C122=1,1,0),0)</f>
        <v>0</v>
      </c>
      <c r="E138" s="54">
        <f>IF(E109=2,IF(F122=1,1,0),0)</f>
        <v>0</v>
      </c>
      <c r="G138" s="58">
        <f>IF(G109=2,IF(F122=1,1,0),0)</f>
        <v>0</v>
      </c>
      <c r="H138" s="54">
        <f>IF(H109=2,IF(I122=1,1,0),0)</f>
        <v>0</v>
      </c>
      <c r="J138" s="58">
        <f>IF(J109=2,IF(I122=1,1,0),0)</f>
        <v>0</v>
      </c>
      <c r="K138" s="54">
        <f>IF(K109=2,IF(L122=1,1,0),0)</f>
        <v>1</v>
      </c>
      <c r="M138" s="58">
        <f>IF(M109=2,IF(L122=1,1,0),0)</f>
        <v>0</v>
      </c>
      <c r="N138" s="54">
        <f>IF(N109=2,IF(O122=1,1,0),0)</f>
        <v>0</v>
      </c>
      <c r="P138" s="58">
        <f>IF(P109=2,IF(O122=1,1,0),0)</f>
        <v>0</v>
      </c>
      <c r="Q138" s="54">
        <f>IF(Q109=2,IF(R122=1,1,0),0)</f>
        <v>0</v>
      </c>
      <c r="S138" s="58">
        <f>IF(S109=2,IF(R122=1,1,0),0)</f>
        <v>0</v>
      </c>
      <c r="T138" s="54">
        <f>IF(T109=2,IF(U122=1,1,0),0)</f>
        <v>0</v>
      </c>
      <c r="V138" s="58">
        <f>IF(V109=2,IF(U122=1,1,0),0)</f>
        <v>0</v>
      </c>
      <c r="W138" s="54">
        <f>IF(W109=2,IF(X122=1,1,0),0)</f>
        <v>0</v>
      </c>
      <c r="Y138" s="58">
        <f>IF(Y109=2,IF(X122=1,1,0),0)</f>
        <v>0</v>
      </c>
      <c r="Z138" s="54">
        <f>IF(Z109=2,IF(AA122=1,1,0),0)</f>
        <v>0</v>
      </c>
      <c r="AB138" s="58">
        <f>IF(AB109=2,IF(AA122=1,1,0),0)</f>
        <v>0</v>
      </c>
      <c r="AC138" s="54">
        <f>IF(AC109=2,IF(AD122=1,1,0),0)</f>
        <v>0</v>
      </c>
      <c r="AE138" s="58">
        <f>IF(AE109=2,IF(AD122=1,1,0),0)</f>
        <v>0</v>
      </c>
      <c r="AF138" s="54">
        <f>SUM(B138:AE138)</f>
        <v>2</v>
      </c>
      <c r="AW138" s="146"/>
    </row>
    <row r="139" spans="1:49" s="54" customFormat="1" ht="12.75" hidden="1" customHeight="1" x14ac:dyDescent="0.2">
      <c r="A139" s="54" t="s">
        <v>78</v>
      </c>
      <c r="B139" s="54">
        <f>IF(B109=3,IF(C122=1,1,0),0)</f>
        <v>0</v>
      </c>
      <c r="D139" s="58">
        <f>IF(D109=3,IF(C122=1,1,0),0)</f>
        <v>0</v>
      </c>
      <c r="E139" s="54">
        <f>IF(E109=3,IF(F122=1,1,0),0)</f>
        <v>0</v>
      </c>
      <c r="G139" s="58">
        <f>IF(G109=3,IF(F122=1,1,0),0)</f>
        <v>0</v>
      </c>
      <c r="H139" s="54">
        <f>IF(H109=3,IF(I122=1,1,0),0)</f>
        <v>1</v>
      </c>
      <c r="J139" s="58">
        <f>IF(J109=3,IF(I122=1,1,0),0)</f>
        <v>0</v>
      </c>
      <c r="K139" s="54">
        <f>IF(K109=3,IF(L122=1,1,0),0)</f>
        <v>0</v>
      </c>
      <c r="M139" s="58">
        <f>IF(M109=3,IF(L122=1,1,0),0)</f>
        <v>0</v>
      </c>
      <c r="N139" s="54">
        <f>IF(N109=3,IF(O122=1,1,0),0)</f>
        <v>0</v>
      </c>
      <c r="P139" s="58">
        <f>IF(P109=3,IF(O122=1,1,0),0)</f>
        <v>1</v>
      </c>
      <c r="Q139" s="54">
        <f>IF(Q109=3,IF(R122=1,1,0),0)</f>
        <v>0</v>
      </c>
      <c r="S139" s="58">
        <f>IF(S109=3,IF(R122=1,1,0),0)</f>
        <v>0</v>
      </c>
      <c r="T139" s="54">
        <f>IF(T109=3,IF(U122=1,1,0),0)</f>
        <v>0</v>
      </c>
      <c r="V139" s="58">
        <f>IF(V109=3,IF(U122=1,1,0),0)</f>
        <v>0</v>
      </c>
      <c r="W139" s="54">
        <f>IF(W109=3,IF(X122=1,1,0),0)</f>
        <v>0</v>
      </c>
      <c r="Y139" s="58">
        <f>IF(Y109=3,IF(X122=1,1,0),0)</f>
        <v>0</v>
      </c>
      <c r="Z139" s="54">
        <f>IF(Z109=3,IF(AA122=1,1,0),0)</f>
        <v>1</v>
      </c>
      <c r="AB139" s="58">
        <f>IF(AB109=3,IF(AA122=1,1,0),0)</f>
        <v>0</v>
      </c>
      <c r="AC139" s="54">
        <f>IF(AC109=3,IF(AD122=1,1,0),0)</f>
        <v>0</v>
      </c>
      <c r="AE139" s="58">
        <f>IF(AE109=3,IF(AD122=1,1,0),0)</f>
        <v>0</v>
      </c>
      <c r="AF139" s="54">
        <f>SUM(B139:AE139)</f>
        <v>3</v>
      </c>
      <c r="AW139" s="146"/>
    </row>
    <row r="140" spans="1:49" s="54" customFormat="1" ht="12.75" hidden="1" customHeight="1" x14ac:dyDescent="0.2">
      <c r="A140" s="54" t="s">
        <v>79</v>
      </c>
      <c r="B140" s="54">
        <f>IF(B109=4,IF(C122=1,1,0),0)</f>
        <v>0</v>
      </c>
      <c r="D140" s="58">
        <f>IF(D109=4,IF(C122=1,1,0),0)</f>
        <v>0</v>
      </c>
      <c r="E140" s="54">
        <f>IF(E109=4,IF(F122=1,1,0),0)</f>
        <v>0</v>
      </c>
      <c r="G140" s="58">
        <f>IF(G109=4,IF(F122=1,1,0),0)</f>
        <v>0</v>
      </c>
      <c r="H140" s="54">
        <f>IF(H109=4,IF(I122=1,1,0),0)</f>
        <v>0</v>
      </c>
      <c r="J140" s="58">
        <f>IF(J109=4,IF(I122=1,1,0),0)</f>
        <v>0</v>
      </c>
      <c r="K140" s="54">
        <f>IF(K109=4,IF(L122=1,1,0),0)</f>
        <v>0</v>
      </c>
      <c r="M140" s="58">
        <f>IF(M109=4,IF(L122=1,1,0),0)</f>
        <v>1</v>
      </c>
      <c r="N140" s="54">
        <f>IF(N109=4,IF(O122=1,1,0),0)</f>
        <v>0</v>
      </c>
      <c r="P140" s="58">
        <f>IF(P109=4,IF(O122=1,1,0),0)</f>
        <v>0</v>
      </c>
      <c r="Q140" s="54">
        <f>IF(Q109=4,IF(R122=1,1,0),0)</f>
        <v>1</v>
      </c>
      <c r="S140" s="58">
        <f>IF(S109=4,IF(R122=1,1,0),0)</f>
        <v>0</v>
      </c>
      <c r="T140" s="54">
        <f>IF(T109=4,IF(U122=1,1,0),0)</f>
        <v>0</v>
      </c>
      <c r="V140" s="58">
        <f>IF(V109=4,IF(U122=1,1,0),0)</f>
        <v>0</v>
      </c>
      <c r="W140" s="54">
        <f>IF(W109=4,IF(X122=1,1,0),0)</f>
        <v>0</v>
      </c>
      <c r="Y140" s="58">
        <f>IF(Y109=4,IF(X122=1,1,0),0)</f>
        <v>0</v>
      </c>
      <c r="Z140" s="54">
        <f>IF(Z109=4,IF(AA122=1,1,0),0)</f>
        <v>0</v>
      </c>
      <c r="AB140" s="58">
        <f>IF(AB109=4,IF(AA122=1,1,0),0)</f>
        <v>1</v>
      </c>
      <c r="AC140" s="54">
        <f>IF(AC109=4,IF(AD122=1,1,0),0)</f>
        <v>0</v>
      </c>
      <c r="AE140" s="58">
        <f>IF(AE109=4,IF(AD122=1,1,0),0)</f>
        <v>0</v>
      </c>
      <c r="AF140" s="54">
        <f>SUM(B140:AE140)</f>
        <v>3</v>
      </c>
      <c r="AW140" s="146"/>
    </row>
    <row r="141" spans="1:49" s="54" customFormat="1" ht="12.75" hidden="1" customHeight="1" x14ac:dyDescent="0.2">
      <c r="A141" s="54" t="s">
        <v>80</v>
      </c>
      <c r="B141" s="54">
        <f>IF(B109=5,IF(C122=1,1,0),0)</f>
        <v>0</v>
      </c>
      <c r="D141" s="58">
        <f>IF(D109=5,IF(C122=1,1,0),0)</f>
        <v>1</v>
      </c>
      <c r="E141" s="54">
        <f>IF(E109=5,IF(F122=1,1,0),0)</f>
        <v>0</v>
      </c>
      <c r="G141" s="58">
        <f>IF(G109=5,IF(F122=1,1,0),0)</f>
        <v>0</v>
      </c>
      <c r="H141" s="54">
        <f>IF(H109=5,IF(I122=1,1,0),0)</f>
        <v>0</v>
      </c>
      <c r="J141" s="58">
        <f>IF(J109=5,IF(I122=1,1,0),0)</f>
        <v>1</v>
      </c>
      <c r="K141" s="54">
        <f>IF(K109=5,IF(L122=1,1,0),0)</f>
        <v>0</v>
      </c>
      <c r="M141" s="58">
        <f>IF(M109=5,IF(L122=1,1,0),0)</f>
        <v>0</v>
      </c>
      <c r="N141" s="54">
        <f>IF(N109=5,IF(O122=1,1,0),0)</f>
        <v>0</v>
      </c>
      <c r="P141" s="58">
        <f>IF(P109=5,IF(O122=1,1,0),0)</f>
        <v>0</v>
      </c>
      <c r="Q141" s="54">
        <f>IF(Q109=5,IF(R122=1,1,0),0)</f>
        <v>0</v>
      </c>
      <c r="S141" s="58">
        <f>IF(S109=5,IF(R122=1,1,0),0)</f>
        <v>1</v>
      </c>
      <c r="T141" s="54">
        <f>IF(T109=5,IF(U122=1,1,0),0)</f>
        <v>0</v>
      </c>
      <c r="V141" s="58">
        <f>IF(V109=5,IF(U122=1,1,0),0)</f>
        <v>0</v>
      </c>
      <c r="W141" s="54">
        <f>IF(W109=5,IF(X122=1,1,0),0)</f>
        <v>0</v>
      </c>
      <c r="Y141" s="58">
        <f>IF(Y109=5,IF(X122=1,1,0),0)</f>
        <v>1</v>
      </c>
      <c r="Z141" s="54">
        <f>IF(Z109=5,IF(AA122=1,1,0),0)</f>
        <v>0</v>
      </c>
      <c r="AB141" s="58">
        <f>IF(AB109=5,IF(AA122=1,1,0),0)</f>
        <v>0</v>
      </c>
      <c r="AC141" s="54">
        <f>IF(AC109=5,IF(AD122=1,1,0),0)</f>
        <v>0</v>
      </c>
      <c r="AE141" s="58">
        <f>IF(AE109=5,IF(AD122=1,1,0),0)</f>
        <v>0</v>
      </c>
      <c r="AF141" s="54">
        <f>SUM(B141:AE141)</f>
        <v>4</v>
      </c>
      <c r="AW141" s="146"/>
    </row>
    <row r="142" spans="1:49" s="54" customFormat="1" ht="38.25" hidden="1" customHeight="1" x14ac:dyDescent="0.2">
      <c r="A142" s="57"/>
      <c r="D142" s="58"/>
      <c r="G142" s="58"/>
      <c r="J142" s="58"/>
      <c r="M142" s="58"/>
      <c r="P142" s="58"/>
      <c r="S142" s="58"/>
      <c r="V142" s="58"/>
      <c r="Y142" s="58"/>
      <c r="AB142" s="58"/>
      <c r="AE142" s="58"/>
      <c r="AF142" s="57" t="s">
        <v>81</v>
      </c>
      <c r="AG142" s="789"/>
      <c r="AH142" s="789"/>
      <c r="AI142" s="789"/>
      <c r="AJ142" s="789"/>
      <c r="AK142" s="789"/>
      <c r="AW142" s="146"/>
    </row>
    <row r="143" spans="1:49" s="54" customFormat="1" ht="12.75" hidden="1" customHeight="1" x14ac:dyDescent="0.2">
      <c r="A143" s="54" t="s">
        <v>76</v>
      </c>
      <c r="B143" s="54">
        <f>IF(B109=1,B129,0)</f>
        <v>0</v>
      </c>
      <c r="D143" s="58">
        <f>IF(D109=1,B129,0)</f>
        <v>0</v>
      </c>
      <c r="E143" s="54">
        <f>IF(E109=1,E129,0)</f>
        <v>50</v>
      </c>
      <c r="G143" s="58">
        <f>IF(G109=1,E129,0)</f>
        <v>0</v>
      </c>
      <c r="H143" s="54">
        <f>IF(H109=1,H129,0)</f>
        <v>0</v>
      </c>
      <c r="J143" s="58">
        <f>IF(J109=1,H129,0)</f>
        <v>0</v>
      </c>
      <c r="K143" s="54">
        <f>IF(K109=1,K129,0)</f>
        <v>0</v>
      </c>
      <c r="M143" s="58">
        <f>IF(M109=1,K129,0)</f>
        <v>0</v>
      </c>
      <c r="N143" s="54">
        <f>IF(N109=1,N129,0)</f>
        <v>50</v>
      </c>
      <c r="P143" s="58">
        <f>IF(P109=1,N129,0)</f>
        <v>0</v>
      </c>
      <c r="Q143" s="54">
        <f>IF(Q109=1,Q129,0)</f>
        <v>0</v>
      </c>
      <c r="S143" s="58">
        <f>IF(S109=1,Q129,0)</f>
        <v>0</v>
      </c>
      <c r="T143" s="54">
        <f>IF(T109=1,T129,0)</f>
        <v>0</v>
      </c>
      <c r="V143" s="58">
        <f>IF(V109=1,T129,0)</f>
        <v>0</v>
      </c>
      <c r="W143" s="54">
        <f>IF(W109=1,W129,0)</f>
        <v>50</v>
      </c>
      <c r="Y143" s="58">
        <f>IF(Y109=1,W129,0)</f>
        <v>0</v>
      </c>
      <c r="Z143" s="54">
        <f>IF(Z109=1,Z129,0)</f>
        <v>0</v>
      </c>
      <c r="AB143" s="58">
        <f>IF(AB109=1,Z129,0)</f>
        <v>0</v>
      </c>
      <c r="AC143" s="54">
        <f>IF(AC109=1,AC129,0)</f>
        <v>51</v>
      </c>
      <c r="AE143" s="58">
        <f>IF(AE109=1,AC129,0)</f>
        <v>0</v>
      </c>
      <c r="AF143" s="54">
        <f>SUM(B143:AE143)</f>
        <v>201</v>
      </c>
      <c r="AW143" s="146"/>
    </row>
    <row r="144" spans="1:49" s="54" customFormat="1" ht="12.75" hidden="1" customHeight="1" x14ac:dyDescent="0.2">
      <c r="A144" s="54" t="s">
        <v>77</v>
      </c>
      <c r="B144" s="54">
        <f>IF(B109=2,B129,0)</f>
        <v>50</v>
      </c>
      <c r="D144" s="58">
        <f>IF(D109=2,B129,0)</f>
        <v>0</v>
      </c>
      <c r="E144" s="54">
        <f>IF(E109=2,E129,0)</f>
        <v>0</v>
      </c>
      <c r="G144" s="58">
        <f>IF(G109=2,E129,0)</f>
        <v>0</v>
      </c>
      <c r="H144" s="54">
        <f>IF(H109=2,H129,0)</f>
        <v>0</v>
      </c>
      <c r="J144" s="58">
        <f>IF(J109=2,H129,0)</f>
        <v>0</v>
      </c>
      <c r="K144" s="54">
        <f>IF(K109=2,K129,0)</f>
        <v>50</v>
      </c>
      <c r="M144" s="58">
        <f>IF(M109=2,K129,0)</f>
        <v>0</v>
      </c>
      <c r="N144" s="54">
        <f>IF(N109=2,N129,0)</f>
        <v>0</v>
      </c>
      <c r="P144" s="58">
        <f>IF(P109=2,N129,0)</f>
        <v>0</v>
      </c>
      <c r="Q144" s="54">
        <f>IF(Q109=2,Q129,0)</f>
        <v>0</v>
      </c>
      <c r="S144" s="58">
        <f>IF(S109=2,Q129,0)</f>
        <v>0</v>
      </c>
      <c r="T144" s="54">
        <f>IF(T109=2,T129,0)</f>
        <v>50</v>
      </c>
      <c r="V144" s="58">
        <f>IF(V109=2,T129,0)</f>
        <v>0</v>
      </c>
      <c r="W144" s="54">
        <f>IF(W109=2,W129,0)</f>
        <v>0</v>
      </c>
      <c r="Y144" s="58">
        <f>IF(Y109=2,W129,0)</f>
        <v>0</v>
      </c>
      <c r="Z144" s="54">
        <f>IF(Z109=2,Z129,0)</f>
        <v>0</v>
      </c>
      <c r="AB144" s="58">
        <f>IF(AB109=2,Z129,0)</f>
        <v>0</v>
      </c>
      <c r="AC144" s="54">
        <f>IF(AC109=2,AC129,0)</f>
        <v>0</v>
      </c>
      <c r="AE144" s="58">
        <f>IF(AE109=2,AC129,0)</f>
        <v>51</v>
      </c>
      <c r="AF144" s="54">
        <f>SUM(B144:AE144)</f>
        <v>201</v>
      </c>
      <c r="AW144" s="146"/>
    </row>
    <row r="145" spans="1:49" s="54" customFormat="1" ht="12.75" hidden="1" customHeight="1" x14ac:dyDescent="0.2">
      <c r="A145" s="54" t="s">
        <v>78</v>
      </c>
      <c r="B145" s="54">
        <f>IF(B109=3,B129,0)</f>
        <v>0</v>
      </c>
      <c r="D145" s="58">
        <f>IF(D109=3,B129,0)</f>
        <v>0</v>
      </c>
      <c r="E145" s="54">
        <f>IF(E109=3,E129,0)</f>
        <v>0</v>
      </c>
      <c r="G145" s="58">
        <f>IF(G109=3,E129,0)</f>
        <v>0</v>
      </c>
      <c r="H145" s="54">
        <f>IF(H109=3,H129,0)</f>
        <v>50</v>
      </c>
      <c r="J145" s="58">
        <f>IF(J109=3,H129,0)</f>
        <v>0</v>
      </c>
      <c r="K145" s="54">
        <f>IF(K109=3,K129,0)</f>
        <v>0</v>
      </c>
      <c r="M145" s="58">
        <f>IF(M109=3,K129,0)</f>
        <v>0</v>
      </c>
      <c r="N145" s="54">
        <f>IF(N109=3,N129,0)</f>
        <v>0</v>
      </c>
      <c r="P145" s="58">
        <f>IF(P109=3,N129,0)</f>
        <v>50</v>
      </c>
      <c r="Q145" s="54">
        <f>IF(Q109=3,Q129,0)</f>
        <v>0</v>
      </c>
      <c r="S145" s="58">
        <f>IF(S109=3,Q129,0)</f>
        <v>0</v>
      </c>
      <c r="T145" s="54">
        <f>IF(T109=3,T129,0)</f>
        <v>0</v>
      </c>
      <c r="V145" s="58">
        <f>IF(V109=3,T129,0)</f>
        <v>50</v>
      </c>
      <c r="W145" s="54">
        <f>IF(W109=3,W129,0)</f>
        <v>0</v>
      </c>
      <c r="Y145" s="58">
        <f>IF(Y109=3,W129,0)</f>
        <v>0</v>
      </c>
      <c r="Z145" s="54">
        <f>IF(Z109=3,Z129,0)</f>
        <v>50</v>
      </c>
      <c r="AB145" s="58">
        <f>IF(AB109=3,Z129,0)</f>
        <v>0</v>
      </c>
      <c r="AC145" s="54">
        <f>IF(AC109=3,AC129,0)</f>
        <v>0</v>
      </c>
      <c r="AE145" s="58">
        <f>IF(AE109=3,AC129,0)</f>
        <v>0</v>
      </c>
      <c r="AF145" s="54">
        <f>SUM(B145:AE145)</f>
        <v>200</v>
      </c>
      <c r="AW145" s="146"/>
    </row>
    <row r="146" spans="1:49" s="54" customFormat="1" ht="12.75" hidden="1" customHeight="1" x14ac:dyDescent="0.2">
      <c r="A146" s="54" t="s">
        <v>79</v>
      </c>
      <c r="B146" s="54">
        <f>IF(B109=4,B129,0)</f>
        <v>0</v>
      </c>
      <c r="D146" s="58">
        <f>IF(D109=4,B129,0)</f>
        <v>0</v>
      </c>
      <c r="E146" s="54">
        <f>IF(E109=4,E129,0)</f>
        <v>0</v>
      </c>
      <c r="G146" s="58">
        <f>IF(G109=4,E129,0)</f>
        <v>50</v>
      </c>
      <c r="H146" s="54">
        <f>IF(H109=4,H129,0)</f>
        <v>0</v>
      </c>
      <c r="J146" s="58">
        <f>IF(J109=4,H129,0)</f>
        <v>0</v>
      </c>
      <c r="K146" s="54">
        <f>IF(K109=4,K129,0)</f>
        <v>0</v>
      </c>
      <c r="M146" s="58">
        <f>IF(M109=4,K129,0)</f>
        <v>50</v>
      </c>
      <c r="N146" s="54">
        <f>IF(N109=4,N129,0)</f>
        <v>0</v>
      </c>
      <c r="P146" s="58">
        <f>IF(P109=4,N129,0)</f>
        <v>0</v>
      </c>
      <c r="Q146" s="54">
        <f>IF(Q109=4,Q129,0)</f>
        <v>50</v>
      </c>
      <c r="S146" s="58">
        <f>IF(S109=4,Q129,0)</f>
        <v>0</v>
      </c>
      <c r="T146" s="54">
        <f>IF(T109=4,T129,0)</f>
        <v>0</v>
      </c>
      <c r="V146" s="58">
        <f>IF(V109=4,T129,0)</f>
        <v>0</v>
      </c>
      <c r="W146" s="54">
        <f>IF(W109=4,W129,0)</f>
        <v>0</v>
      </c>
      <c r="Y146" s="58">
        <f>IF(Y109=4,W129,0)</f>
        <v>0</v>
      </c>
      <c r="Z146" s="54">
        <f>IF(Z109=4,Z129,0)</f>
        <v>0</v>
      </c>
      <c r="AB146" s="58">
        <f>IF(AB109=4,Z129,0)</f>
        <v>50</v>
      </c>
      <c r="AC146" s="54">
        <f>IF(AC109=4,AC129,0)</f>
        <v>0</v>
      </c>
      <c r="AE146" s="58">
        <f>IF(AE109=4,AC129,0)</f>
        <v>0</v>
      </c>
      <c r="AF146" s="54">
        <f>SUM(B146:AE146)</f>
        <v>200</v>
      </c>
      <c r="AW146" s="146"/>
    </row>
    <row r="147" spans="1:49" s="54" customFormat="1" ht="12.75" hidden="1" customHeight="1" x14ac:dyDescent="0.2">
      <c r="A147" s="54" t="s">
        <v>80</v>
      </c>
      <c r="B147" s="54">
        <f>IF(B109=5,B129,0)</f>
        <v>0</v>
      </c>
      <c r="D147" s="58">
        <f>IF(D109=5,B129,0)</f>
        <v>50</v>
      </c>
      <c r="E147" s="54">
        <f>IF(E109=5,E129,0)</f>
        <v>0</v>
      </c>
      <c r="G147" s="58">
        <f>IF(G109=5,E129,0)</f>
        <v>0</v>
      </c>
      <c r="H147" s="54">
        <f>IF(H109=5,H129,0)</f>
        <v>0</v>
      </c>
      <c r="J147" s="58">
        <f>IF(J109=5,H129,0)</f>
        <v>50</v>
      </c>
      <c r="K147" s="54">
        <f>IF(K109=5,K129,0)</f>
        <v>0</v>
      </c>
      <c r="M147" s="58">
        <f>IF(M109=5,K129,0)</f>
        <v>0</v>
      </c>
      <c r="N147" s="54">
        <f>IF(N109=5,N129,0)</f>
        <v>0</v>
      </c>
      <c r="P147" s="58">
        <f>IF(P109=5,N129,0)</f>
        <v>0</v>
      </c>
      <c r="Q147" s="54">
        <f>IF(Q109=5,Q129,0)</f>
        <v>0</v>
      </c>
      <c r="S147" s="58">
        <f>IF(S109=5,Q129,0)</f>
        <v>50</v>
      </c>
      <c r="T147" s="54">
        <f>IF(T109=5,T129,0)</f>
        <v>0</v>
      </c>
      <c r="V147" s="58">
        <f>IF(V109=5,T129,0)</f>
        <v>0</v>
      </c>
      <c r="W147" s="54">
        <f>IF(W109=5,W129,0)</f>
        <v>0</v>
      </c>
      <c r="Y147" s="58">
        <f>IF(Y109=5,W129,0)</f>
        <v>50</v>
      </c>
      <c r="Z147" s="54">
        <f>IF(Z109=5,Z129,0)</f>
        <v>0</v>
      </c>
      <c r="AB147" s="58">
        <f>IF(AB109=5,Z129,0)</f>
        <v>0</v>
      </c>
      <c r="AC147" s="54">
        <f>IF(AC109=5,AC129,0)</f>
        <v>0</v>
      </c>
      <c r="AE147" s="58">
        <f>IF(AE109=5,AC129,0)</f>
        <v>0</v>
      </c>
      <c r="AF147" s="54">
        <f>SUM(B147:AE147)</f>
        <v>200</v>
      </c>
      <c r="AW147" s="146"/>
    </row>
    <row r="148" spans="1:49" s="54" customFormat="1" ht="38.25" hidden="1" customHeight="1" x14ac:dyDescent="0.2">
      <c r="A148" s="54" t="s">
        <v>82</v>
      </c>
      <c r="D148" s="58"/>
      <c r="G148" s="58"/>
      <c r="J148" s="58"/>
      <c r="M148" s="58"/>
      <c r="P148" s="58"/>
      <c r="S148" s="58"/>
      <c r="V148" s="58"/>
      <c r="Y148" s="58"/>
      <c r="AB148" s="58"/>
      <c r="AE148" s="58"/>
      <c r="AF148" s="57" t="s">
        <v>83</v>
      </c>
      <c r="AG148" s="54" t="s">
        <v>84</v>
      </c>
      <c r="AW148" s="146"/>
    </row>
    <row r="149" spans="1:49" s="54" customFormat="1" ht="12.75" hidden="1" customHeight="1" x14ac:dyDescent="0.2">
      <c r="A149" s="54" t="s">
        <v>70</v>
      </c>
      <c r="B149" s="54">
        <f>IF(B109=1,SUMIF(B116:B120,"&gt;0"),0)</f>
        <v>0</v>
      </c>
      <c r="D149" s="58">
        <f>IF(D109=1,SUMIF(D116:D120,"&gt;0"),0)</f>
        <v>0</v>
      </c>
      <c r="E149" s="54">
        <f>IF(E109=1,SUMIF(E116:E120,"&gt;0"),0)</f>
        <v>1</v>
      </c>
      <c r="G149" s="58">
        <f>IF(G109=1,SUMIF(G116:G120,"&gt;0"),0)</f>
        <v>0</v>
      </c>
      <c r="H149" s="54">
        <f>IF(H109=1,SUMIF(H116:H120,"&gt;0"),0)</f>
        <v>0</v>
      </c>
      <c r="J149" s="58">
        <f>IF(J109=1,SUMIF(J116:J120,"&gt;0"),0)</f>
        <v>0</v>
      </c>
      <c r="K149" s="54">
        <f>IF(K109=1,SUMIF(K116:K120,"&gt;0"),0)</f>
        <v>0</v>
      </c>
      <c r="M149" s="58">
        <f>IF(M109=1,SUMIF(M116:M120,"&gt;0"),0)</f>
        <v>0</v>
      </c>
      <c r="N149" s="54">
        <f>IF(N109=1,SUMIF(N116:N120,"&gt;0"),0)</f>
        <v>2</v>
      </c>
      <c r="P149" s="58">
        <f>IF(P109=1,SUMIF(P116:P120,"&gt;0"),0)</f>
        <v>0</v>
      </c>
      <c r="Q149" s="54">
        <f>IF(Q109=1,SUMIF(Q116:Q120,"&gt;0"),0)</f>
        <v>0</v>
      </c>
      <c r="S149" s="58">
        <f>IF(S109=1,SUMIF(S116:S120,"&gt;0"),0)</f>
        <v>0</v>
      </c>
      <c r="T149" s="54">
        <f>IF(T109=1,SUMIF(T116:T120,"&gt;0"),0)</f>
        <v>0</v>
      </c>
      <c r="V149" s="58">
        <f>IF(V109=1,SUMIF(V116:V120,"&gt;0"),0)</f>
        <v>0</v>
      </c>
      <c r="W149" s="54">
        <f>IF(W109=1,SUMIF(W116:W120,"&gt;0"),0)</f>
        <v>2</v>
      </c>
      <c r="Y149" s="58">
        <f>IF(Y109=1,SUMIF(Y116:Y120,"&gt;0"),0)</f>
        <v>0</v>
      </c>
      <c r="Z149" s="54">
        <f>IF(Z109=1,SUMIF(Z116:Z120,"&gt;0"),0)</f>
        <v>0</v>
      </c>
      <c r="AB149" s="58">
        <f>IF(AB109=1,SUMIF(AB116:AB120,"&gt;0"),0)</f>
        <v>0</v>
      </c>
      <c r="AC149" s="54">
        <f>IF(AC109=1,SUMIF(AC116:AC120,"&gt;0"),0)</f>
        <v>1</v>
      </c>
      <c r="AE149" s="58">
        <f>IF(AE109=1,SUMIF(AE116:AE120,"&gt;0"),0)</f>
        <v>0</v>
      </c>
      <c r="AF149" s="54">
        <f>SUM(B149:AE149)</f>
        <v>6</v>
      </c>
      <c r="AG149" s="54">
        <f>AF157-AF149</f>
        <v>2</v>
      </c>
      <c r="AW149" s="146"/>
    </row>
    <row r="150" spans="1:49" s="54" customFormat="1" ht="12.75" hidden="1" customHeight="1" x14ac:dyDescent="0.2">
      <c r="A150" s="54" t="s">
        <v>71</v>
      </c>
      <c r="B150" s="54">
        <f>IF(B109=2,SUMIF(B116:B120,"&gt;0"),0)</f>
        <v>2</v>
      </c>
      <c r="D150" s="58">
        <f>IF(D109=2,SUMIF(D116:D120,"&gt;0"),0)</f>
        <v>0</v>
      </c>
      <c r="E150" s="54">
        <f>IF(E109=2,SUMIF(E116:E120,"&gt;0"),0)</f>
        <v>0</v>
      </c>
      <c r="G150" s="58">
        <f>IF(G109=2,SUMIF(G116:G120,"&gt;0"),0)</f>
        <v>0</v>
      </c>
      <c r="H150" s="54">
        <f>IF(H109=2,SUMIF(H116:H120,"&gt;0"),0)</f>
        <v>0</v>
      </c>
      <c r="J150" s="58">
        <f>IF(J109=2,SUMIF(J116:J120,"&gt;0"),0)</f>
        <v>0</v>
      </c>
      <c r="K150" s="54">
        <f>IF(K109=2,SUMIF(K116:K120,"&gt;0"),0)</f>
        <v>2</v>
      </c>
      <c r="M150" s="58">
        <f>IF(M109=2,SUMIF(M116:M120,"&gt;0"),0)</f>
        <v>0</v>
      </c>
      <c r="N150" s="54">
        <f>IF(N109=2,SUMIF(N116:N120,"&gt;0"),0)</f>
        <v>0</v>
      </c>
      <c r="P150" s="58">
        <f>IF(P109=2,SUMIF(P116:P120,"&gt;0"),0)</f>
        <v>0</v>
      </c>
      <c r="Q150" s="54">
        <f>IF(Q109=2,SUMIF(Q116:Q120,"&gt;0"),0)</f>
        <v>0</v>
      </c>
      <c r="S150" s="58">
        <f>IF(S109=2,SUMIF(S116:S120,"&gt;0"),0)</f>
        <v>0</v>
      </c>
      <c r="T150" s="54">
        <f>IF(T109=2,SUMIF(T116:T120,"&gt;0"),0)</f>
        <v>1</v>
      </c>
      <c r="V150" s="58">
        <f>IF(V109=2,SUMIF(V116:V120,"&gt;0"),0)</f>
        <v>0</v>
      </c>
      <c r="W150" s="54">
        <f>IF(W109=2,SUMIF(W116:W120,"&gt;0"),0)</f>
        <v>0</v>
      </c>
      <c r="Y150" s="58">
        <f>IF(Y109=2,SUMIF(Y116:Y120,"&gt;0"),0)</f>
        <v>0</v>
      </c>
      <c r="Z150" s="54">
        <f>IF(Z109=2,SUMIF(Z116:Z120,"&gt;0"),0)</f>
        <v>0</v>
      </c>
      <c r="AB150" s="58">
        <f>IF(AB109=2,SUMIF(AB116:AB120,"&gt;0"),0)</f>
        <v>0</v>
      </c>
      <c r="AC150" s="54">
        <f>IF(AC109=2,SUMIF(AC116:AC120,"&gt;0"),0)</f>
        <v>0</v>
      </c>
      <c r="AE150" s="58">
        <f>IF(AE109=2,SUMIF(AE116:AE120,"&gt;0"),0)</f>
        <v>1</v>
      </c>
      <c r="AF150" s="54">
        <f>SUM(B150:AE150)</f>
        <v>6</v>
      </c>
      <c r="AG150" s="54">
        <f>AF158-AF150</f>
        <v>2</v>
      </c>
      <c r="AW150" s="146"/>
    </row>
    <row r="151" spans="1:49" s="54" customFormat="1" ht="12.75" hidden="1" customHeight="1" x14ac:dyDescent="0.2">
      <c r="A151" s="54" t="s">
        <v>72</v>
      </c>
      <c r="B151" s="54">
        <f>IF(B109=3,SUMIF(B116:B120,"&gt;0"),0)</f>
        <v>0</v>
      </c>
      <c r="D151" s="58">
        <f>IF(D109=3,SUMIF(D116:D120,"&gt;0"),0)</f>
        <v>0</v>
      </c>
      <c r="E151" s="54">
        <f>IF(E109=3,SUMIF(E116:E120,"&gt;0"),0)</f>
        <v>0</v>
      </c>
      <c r="G151" s="58">
        <f>IF(G109=3,SUMIF(G116:G120,"&gt;0"),0)</f>
        <v>0</v>
      </c>
      <c r="H151" s="54">
        <f>IF(H109=3,SUMIF(H116:H120,"&gt;0"),0)</f>
        <v>2</v>
      </c>
      <c r="J151" s="58">
        <f>IF(J109=3,SUMIF(J116:J120,"&gt;0"),0)</f>
        <v>0</v>
      </c>
      <c r="K151" s="54">
        <f>IF(K109=3,SUMIF(K116:K120,"&gt;0"),0)</f>
        <v>0</v>
      </c>
      <c r="M151" s="58">
        <f>IF(M109=3,SUMIF(M116:M120,"&gt;0"),0)</f>
        <v>0</v>
      </c>
      <c r="N151" s="54">
        <f>IF(N109=3,SUMIF(N116:N120,"&gt;0"),0)</f>
        <v>0</v>
      </c>
      <c r="P151" s="58">
        <f>IF(P109=3,SUMIF(P116:P120,"&gt;0"),0)</f>
        <v>0</v>
      </c>
      <c r="Q151" s="54">
        <f>IF(Q109=3,SUMIF(Q116:Q120,"&gt;0"),0)</f>
        <v>0</v>
      </c>
      <c r="S151" s="58">
        <f>IF(S109=3,SUMIF(S116:S120,"&gt;0"),0)</f>
        <v>0</v>
      </c>
      <c r="T151" s="54">
        <f>IF(T109=3,SUMIF(T116:T120,"&gt;0"),0)</f>
        <v>0</v>
      </c>
      <c r="V151" s="58">
        <f>IF(V109=3,SUMIF(V116:V120,"&gt;0"),0)</f>
        <v>1</v>
      </c>
      <c r="W151" s="54">
        <f>IF(W109=3,SUMIF(W116:W120,"&gt;0"),0)</f>
        <v>0</v>
      </c>
      <c r="Y151" s="58">
        <f>IF(Y109=3,SUMIF(Y116:Y120,"&gt;0"),0)</f>
        <v>0</v>
      </c>
      <c r="Z151" s="54">
        <f>IF(Z109=3,SUMIF(Z116:Z120,"&gt;0"),0)</f>
        <v>0</v>
      </c>
      <c r="AB151" s="58">
        <f>IF(AB109=3,SUMIF(AB116:AB120,"&gt;0"),0)</f>
        <v>0</v>
      </c>
      <c r="AC151" s="54">
        <f>IF(AC109=3,SUMIF(AC116:AC120,"&gt;0"),0)</f>
        <v>0</v>
      </c>
      <c r="AE151" s="58">
        <f>IF(AE109=3,SUMIF(AE116:AE120,"&gt;0"),0)</f>
        <v>0</v>
      </c>
      <c r="AF151" s="54">
        <f>SUM(B151:AE151)</f>
        <v>3</v>
      </c>
      <c r="AG151" s="54">
        <f>AF159-AF151</f>
        <v>5</v>
      </c>
      <c r="AW151" s="146"/>
    </row>
    <row r="152" spans="1:49" s="54" customFormat="1" ht="12.75" hidden="1" customHeight="1" x14ac:dyDescent="0.2">
      <c r="A152" s="54" t="s">
        <v>73</v>
      </c>
      <c r="B152" s="54">
        <f>IF(B109=4,SUMIF(B116:B120,"&gt;0"),0)</f>
        <v>0</v>
      </c>
      <c r="D152" s="58">
        <f>IF(D109=4,SUMIF(D116:D120,"&gt;0"),0)</f>
        <v>0</v>
      </c>
      <c r="E152" s="54">
        <f>IF(E109=4,SUMIF(E116:E120,"&gt;0"),0)</f>
        <v>0</v>
      </c>
      <c r="G152" s="58">
        <f>IF(G109=4,SUMIF(G116:G120,"&gt;0"),0)</f>
        <v>1</v>
      </c>
      <c r="H152" s="54">
        <f>IF(H109=4,SUMIF(H116:H120,"&gt;0"),0)</f>
        <v>0</v>
      </c>
      <c r="J152" s="58">
        <f>IF(J109=4,SUMIF(J116:J120,"&gt;0"),0)</f>
        <v>0</v>
      </c>
      <c r="K152" s="54">
        <f>IF(K109=4,SUMIF(K116:K120,"&gt;0"),0)</f>
        <v>0</v>
      </c>
      <c r="M152" s="58">
        <f>IF(M109=4,SUMIF(M116:M120,"&gt;0"),0)</f>
        <v>0</v>
      </c>
      <c r="N152" s="54">
        <f>IF(N109=4,SUMIF(N116:N120,"&gt;0"),0)</f>
        <v>0</v>
      </c>
      <c r="P152" s="58">
        <f>IF(P109=4,SUMIF(P116:P120,"&gt;0"),0)</f>
        <v>0</v>
      </c>
      <c r="Q152" s="54">
        <f>IF(Q109=4,SUMIF(Q116:Q120,"&gt;0"),0)</f>
        <v>2</v>
      </c>
      <c r="S152" s="58">
        <f>IF(S109=4,SUMIF(S116:S120,"&gt;0"),0)</f>
        <v>0</v>
      </c>
      <c r="T152" s="54">
        <f>IF(T109=4,SUMIF(T116:T120,"&gt;0"),0)</f>
        <v>0</v>
      </c>
      <c r="V152" s="58">
        <f>IF(V109=4,SUMIF(V116:V120,"&gt;0"),0)</f>
        <v>0</v>
      </c>
      <c r="W152" s="54">
        <f>IF(W109=4,SUMIF(W116:W120,"&gt;0"),0)</f>
        <v>0</v>
      </c>
      <c r="Y152" s="58">
        <f>IF(Y109=4,SUMIF(Y116:Y120,"&gt;0"),0)</f>
        <v>0</v>
      </c>
      <c r="Z152" s="54">
        <f>IF(Z109=4,SUMIF(Z116:Z120,"&gt;0"),0)</f>
        <v>0</v>
      </c>
      <c r="AB152" s="58">
        <f>IF(AB109=4,SUMIF(AB116:AB120,"&gt;0"),0)</f>
        <v>2</v>
      </c>
      <c r="AC152" s="54">
        <f>IF(AC109=4,SUMIF(AC116:AC120,"&gt;0"),0)</f>
        <v>0</v>
      </c>
      <c r="AE152" s="58">
        <f>IF(AE109=4,SUMIF(AE116:AE120,"&gt;0"),0)</f>
        <v>0</v>
      </c>
      <c r="AF152" s="54">
        <f>SUM(B152:AE152)</f>
        <v>5</v>
      </c>
      <c r="AG152" s="54">
        <f>AF160-AF152</f>
        <v>3</v>
      </c>
      <c r="AW152" s="146"/>
    </row>
    <row r="153" spans="1:49" s="54" customFormat="1" ht="12.75" hidden="1" customHeight="1" x14ac:dyDescent="0.2">
      <c r="A153" s="54" t="s">
        <v>74</v>
      </c>
      <c r="B153" s="54">
        <f>IF(B109=5,SUMIF(B116:B120,"&gt;0"),0)</f>
        <v>0</v>
      </c>
      <c r="D153" s="58">
        <f>IF(D109=5,SUMIF(D116:D120,"&gt;0"),0)</f>
        <v>0</v>
      </c>
      <c r="E153" s="54">
        <f>IF(E109=5,SUMIF(E116:E120,"&gt;0"),0)</f>
        <v>0</v>
      </c>
      <c r="G153" s="58">
        <f>IF(G109=5,SUMIF(G116:G120,"&gt;0"),0)</f>
        <v>0</v>
      </c>
      <c r="H153" s="54">
        <f>IF(H109=5,SUMIF(H116:H120,"&gt;0"),0)</f>
        <v>0</v>
      </c>
      <c r="J153" s="58">
        <f>IF(J109=5,SUMIF(J116:J120,"&gt;0"),0)</f>
        <v>0</v>
      </c>
      <c r="K153" s="54">
        <f>IF(K109=5,SUMIF(K116:K120,"&gt;0"),0)</f>
        <v>0</v>
      </c>
      <c r="M153" s="58">
        <f>IF(M109=5,SUMIF(M116:M120,"&gt;0"),0)</f>
        <v>0</v>
      </c>
      <c r="N153" s="54">
        <f>IF(N109=5,SUMIF(N116:N120,"&gt;0"),0)</f>
        <v>0</v>
      </c>
      <c r="P153" s="58">
        <f>IF(P109=5,SUMIF(P116:P120,"&gt;0"),0)</f>
        <v>0</v>
      </c>
      <c r="Q153" s="54">
        <f>IF(Q109=5,SUMIF(Q116:Q120,"&gt;0"),0)</f>
        <v>0</v>
      </c>
      <c r="S153" s="58">
        <f>IF(S109=5,SUMIF(S116:S120,"&gt;0"),0)</f>
        <v>0</v>
      </c>
      <c r="T153" s="54">
        <f>IF(T109=5,SUMIF(T116:T120,"&gt;0"),0)</f>
        <v>0</v>
      </c>
      <c r="V153" s="58">
        <f>IF(V109=5,SUMIF(V116:V120,"&gt;0"),0)</f>
        <v>0</v>
      </c>
      <c r="W153" s="54">
        <f>IF(W109=5,SUMIF(W116:W120,"&gt;0"),0)</f>
        <v>0</v>
      </c>
      <c r="Y153" s="58">
        <f>IF(Y109=5,SUMIF(Y116:Y120,"&gt;0"),0)</f>
        <v>0</v>
      </c>
      <c r="Z153" s="54">
        <f>IF(Z109=5,SUMIF(Z116:Z120,"&gt;0"),0)</f>
        <v>0</v>
      </c>
      <c r="AB153" s="58">
        <f>IF(AB109=5,SUMIF(AB116:AB120,"&gt;0"),0)</f>
        <v>0</v>
      </c>
      <c r="AC153" s="54">
        <f>IF(AC109=5,SUMIF(AC116:AC120,"&gt;0"),0)</f>
        <v>0</v>
      </c>
      <c r="AE153" s="58">
        <f>IF(AE109=5,SUMIF(AE116:AE120,"&gt;0"),0)</f>
        <v>0</v>
      </c>
      <c r="AF153" s="54">
        <f>SUM(B153:AE153)</f>
        <v>0</v>
      </c>
      <c r="AG153" s="54">
        <f>AF161-AF153</f>
        <v>8</v>
      </c>
      <c r="AW153" s="146"/>
    </row>
    <row r="154" spans="1:49" s="54" customFormat="1" ht="12.75" hidden="1" customHeight="1" x14ac:dyDescent="0.2">
      <c r="D154" s="58"/>
      <c r="G154" s="58"/>
      <c r="J154" s="58"/>
      <c r="M154" s="58"/>
      <c r="P154" s="58"/>
      <c r="S154" s="58"/>
      <c r="V154" s="58"/>
      <c r="Y154" s="58"/>
      <c r="AB154" s="58"/>
      <c r="AE154" s="58"/>
      <c r="AW154" s="146"/>
    </row>
    <row r="155" spans="1:49" s="54" customFormat="1" ht="12.75" hidden="1" customHeight="1" x14ac:dyDescent="0.2">
      <c r="D155" s="58"/>
      <c r="G155" s="58"/>
      <c r="J155" s="58"/>
      <c r="M155" s="58"/>
      <c r="P155" s="58"/>
      <c r="S155" s="58"/>
      <c r="V155" s="58"/>
      <c r="Y155" s="58"/>
      <c r="AB155" s="58"/>
      <c r="AE155" s="58"/>
      <c r="AW155" s="146"/>
    </row>
    <row r="156" spans="1:49" s="54" customFormat="1" ht="51" hidden="1" customHeight="1" x14ac:dyDescent="0.2">
      <c r="A156" s="57" t="s">
        <v>85</v>
      </c>
      <c r="C156" s="54">
        <f>SUMIF(B149:D153,"&gt;0")</f>
        <v>2</v>
      </c>
      <c r="D156" s="58"/>
      <c r="F156" s="54">
        <f>SUMIF(E149:G153,"&gt;0")</f>
        <v>2</v>
      </c>
      <c r="G156" s="58"/>
      <c r="I156" s="54">
        <f>SUMIF(H149:J153,"&gt;0")</f>
        <v>2</v>
      </c>
      <c r="J156" s="58"/>
      <c r="L156" s="54">
        <f>SUMIF(K149:M153,"&gt;0")</f>
        <v>2</v>
      </c>
      <c r="M156" s="58"/>
      <c r="O156" s="54">
        <f>SUMIF(N149:P153,"&gt;0")</f>
        <v>2</v>
      </c>
      <c r="P156" s="58"/>
      <c r="R156" s="54">
        <f>SUMIF(Q149:S153,"&gt;0")</f>
        <v>2</v>
      </c>
      <c r="S156" s="58"/>
      <c r="U156" s="54">
        <f>SUMIF(T149:V153,"&gt;0")</f>
        <v>2</v>
      </c>
      <c r="V156" s="58"/>
      <c r="X156" s="54">
        <f>SUMIF(W149:Y153,"&gt;0")</f>
        <v>2</v>
      </c>
      <c r="Y156" s="58"/>
      <c r="AA156" s="54">
        <f>SUMIF(Z149:AB153,"&gt;0")</f>
        <v>2</v>
      </c>
      <c r="AB156" s="58"/>
      <c r="AD156" s="54">
        <f>SUMIF(AC149:AE153,"&gt;0")</f>
        <v>2</v>
      </c>
      <c r="AE156" s="58"/>
      <c r="AF156" s="57" t="s">
        <v>86</v>
      </c>
      <c r="AW156" s="146"/>
    </row>
    <row r="157" spans="1:49" s="54" customFormat="1" ht="12.75" hidden="1" customHeight="1" x14ac:dyDescent="0.2">
      <c r="A157" s="54" t="s">
        <v>76</v>
      </c>
      <c r="B157" s="54">
        <f>IF(B109=1,C156,0)</f>
        <v>0</v>
      </c>
      <c r="D157" s="58">
        <f>IF(D109=1,C156,0)</f>
        <v>0</v>
      </c>
      <c r="E157" s="54">
        <f>IF(E109=1,F156,0)</f>
        <v>2</v>
      </c>
      <c r="G157" s="58">
        <f>IF(G109=1,F156,0)</f>
        <v>0</v>
      </c>
      <c r="H157" s="54">
        <f>IF(H109=1,I156,0)</f>
        <v>0</v>
      </c>
      <c r="J157" s="58">
        <f>IF(J109=1,I156,0)</f>
        <v>0</v>
      </c>
      <c r="K157" s="54">
        <f>IF(K109=1,L156,0)</f>
        <v>0</v>
      </c>
      <c r="M157" s="58">
        <f>IF(M109=1,L156,0)</f>
        <v>0</v>
      </c>
      <c r="N157" s="54">
        <f>IF(N109=1,O156,0)</f>
        <v>2</v>
      </c>
      <c r="P157" s="58">
        <f>IF(P109=1,O156,0)</f>
        <v>0</v>
      </c>
      <c r="Q157" s="54">
        <f>IF(Q109=1,R156,0)</f>
        <v>0</v>
      </c>
      <c r="S157" s="58">
        <f>IF(S109=1,R156,0)</f>
        <v>0</v>
      </c>
      <c r="T157" s="54">
        <f>IF(T109=1,U156,0)</f>
        <v>0</v>
      </c>
      <c r="V157" s="58">
        <f>IF(V109=1,U156,0)</f>
        <v>0</v>
      </c>
      <c r="W157" s="54">
        <f>IF(W109=1,X156,0)</f>
        <v>2</v>
      </c>
      <c r="Y157" s="58">
        <f>IF(Y109=1,X156,0)</f>
        <v>0</v>
      </c>
      <c r="Z157" s="54">
        <f>IF(Z109=1,AA156,0)</f>
        <v>0</v>
      </c>
      <c r="AB157" s="58">
        <f>IF(AB109=1,AA156,0)</f>
        <v>0</v>
      </c>
      <c r="AC157" s="54">
        <f>IF(AC109=1,AD156,0)</f>
        <v>2</v>
      </c>
      <c r="AE157" s="58">
        <f>IF(AE109=1,AD156,0)</f>
        <v>0</v>
      </c>
      <c r="AF157" s="54">
        <f>SUM(B157:AE157)</f>
        <v>8</v>
      </c>
      <c r="AW157" s="146"/>
    </row>
    <row r="158" spans="1:49" s="54" customFormat="1" ht="12.75" hidden="1" customHeight="1" x14ac:dyDescent="0.2">
      <c r="A158" s="54" t="s">
        <v>77</v>
      </c>
      <c r="B158" s="54">
        <f>IF(B109=2,C156,0)</f>
        <v>2</v>
      </c>
      <c r="D158" s="58">
        <f>IF(D109=2,C156,0)</f>
        <v>0</v>
      </c>
      <c r="E158" s="54">
        <f>IF(E109=2,F156,0)</f>
        <v>0</v>
      </c>
      <c r="G158" s="58">
        <f>IF(G109=2,F156,0)</f>
        <v>0</v>
      </c>
      <c r="H158" s="54">
        <f>IF(H109=2,I156,0)</f>
        <v>0</v>
      </c>
      <c r="J158" s="58">
        <f>IF(J109=2,I156,0)</f>
        <v>0</v>
      </c>
      <c r="K158" s="54">
        <f>IF(K109=2,L156,0)</f>
        <v>2</v>
      </c>
      <c r="M158" s="58">
        <f>IF(M109=2,L156,0)</f>
        <v>0</v>
      </c>
      <c r="N158" s="54">
        <f>IF(N109=2,O156,0)</f>
        <v>0</v>
      </c>
      <c r="P158" s="58">
        <f>IF(P109=2,O156,0)</f>
        <v>0</v>
      </c>
      <c r="Q158" s="54">
        <f>IF(Q109=2,R156,0)</f>
        <v>0</v>
      </c>
      <c r="S158" s="58">
        <f>IF(S109=2,R156,0)</f>
        <v>0</v>
      </c>
      <c r="T158" s="54">
        <f>IF(T109=2,U156,0)</f>
        <v>2</v>
      </c>
      <c r="V158" s="58">
        <f>IF(V109=2,U156,0)</f>
        <v>0</v>
      </c>
      <c r="W158" s="54">
        <f>IF(W109=2,X156,0)</f>
        <v>0</v>
      </c>
      <c r="Y158" s="58">
        <f>IF(Y109=2,X156,0)</f>
        <v>0</v>
      </c>
      <c r="Z158" s="54">
        <f>IF(Z109=2,AA156,0)</f>
        <v>0</v>
      </c>
      <c r="AB158" s="58">
        <f>IF(AB109=2,AA156,0)</f>
        <v>0</v>
      </c>
      <c r="AC158" s="54">
        <f>IF(AC109=2,AD156,0)</f>
        <v>0</v>
      </c>
      <c r="AE158" s="58">
        <f>IF(AE109=2,AD156,0)</f>
        <v>2</v>
      </c>
      <c r="AF158" s="54">
        <f>SUM(B158:AE158)</f>
        <v>8</v>
      </c>
      <c r="AW158" s="146"/>
    </row>
    <row r="159" spans="1:49" s="54" customFormat="1" ht="12.75" hidden="1" customHeight="1" x14ac:dyDescent="0.2">
      <c r="A159" s="54" t="s">
        <v>78</v>
      </c>
      <c r="B159" s="54">
        <f>IF(B109=3,C156,0)</f>
        <v>0</v>
      </c>
      <c r="D159" s="58">
        <f>IF(D109=3,C156,0)</f>
        <v>0</v>
      </c>
      <c r="E159" s="54">
        <f>IF(E109=3,F156,0)</f>
        <v>0</v>
      </c>
      <c r="G159" s="58">
        <f>IF(G109=3,F156,0)</f>
        <v>0</v>
      </c>
      <c r="H159" s="54">
        <f>IF(H109=3,I156,0)</f>
        <v>2</v>
      </c>
      <c r="J159" s="58">
        <f>IF(J109=3,I156,0)</f>
        <v>0</v>
      </c>
      <c r="K159" s="54">
        <f>IF(K109=3,L156,0)</f>
        <v>0</v>
      </c>
      <c r="M159" s="58">
        <f>IF(M109=3,L156,0)</f>
        <v>0</v>
      </c>
      <c r="N159" s="54">
        <f>IF(N109=3,O156,0)</f>
        <v>0</v>
      </c>
      <c r="P159" s="58">
        <f>IF(P109=3,O156,0)</f>
        <v>2</v>
      </c>
      <c r="Q159" s="54">
        <f>IF(Q109=3,R156,0)</f>
        <v>0</v>
      </c>
      <c r="S159" s="58">
        <f>IF(S109=3,R156,0)</f>
        <v>0</v>
      </c>
      <c r="T159" s="54">
        <f>IF(T109=3,U156,0)</f>
        <v>0</v>
      </c>
      <c r="V159" s="58">
        <f>IF(V109=3,U156,0)</f>
        <v>2</v>
      </c>
      <c r="W159" s="54">
        <f>IF(W109=3,X156,0)</f>
        <v>0</v>
      </c>
      <c r="Y159" s="58">
        <f>IF(Y109=3,X156,0)</f>
        <v>0</v>
      </c>
      <c r="Z159" s="54">
        <f>IF(Z109=3,AA156,0)</f>
        <v>2</v>
      </c>
      <c r="AB159" s="58">
        <f>IF(AB109=3,AA156,0)</f>
        <v>0</v>
      </c>
      <c r="AC159" s="54">
        <f>IF(AC109=3,AD156,0)</f>
        <v>0</v>
      </c>
      <c r="AE159" s="58">
        <f>IF(AE109=3,AD156,0)</f>
        <v>0</v>
      </c>
      <c r="AF159" s="54">
        <f>SUM(B159:AE159)</f>
        <v>8</v>
      </c>
      <c r="AW159" s="146"/>
    </row>
    <row r="160" spans="1:49" s="54" customFormat="1" ht="12.75" hidden="1" customHeight="1" x14ac:dyDescent="0.2">
      <c r="A160" s="54" t="s">
        <v>79</v>
      </c>
      <c r="B160" s="54">
        <f>IF(B109=4,C156,0)</f>
        <v>0</v>
      </c>
      <c r="D160" s="58">
        <f>IF(D109=4,C156,0)</f>
        <v>0</v>
      </c>
      <c r="E160" s="54">
        <f>IF(E109=4,F156,0)</f>
        <v>0</v>
      </c>
      <c r="G160" s="58">
        <f>IF(G109=4,F156,0)</f>
        <v>2</v>
      </c>
      <c r="H160" s="54">
        <f>IF(H109=4,I156,0)</f>
        <v>0</v>
      </c>
      <c r="J160" s="58">
        <f>IF(J109=4,I156,0)</f>
        <v>0</v>
      </c>
      <c r="K160" s="54">
        <f>IF(K109=4,L156,0)</f>
        <v>0</v>
      </c>
      <c r="M160" s="58">
        <f>IF(M109=4,L156,0)</f>
        <v>2</v>
      </c>
      <c r="N160" s="54">
        <f>IF(N109=4,O156,0)</f>
        <v>0</v>
      </c>
      <c r="P160" s="58">
        <f>IF(P109=4,O156,0)</f>
        <v>0</v>
      </c>
      <c r="Q160" s="54">
        <f>IF(Q109=4,R156,0)</f>
        <v>2</v>
      </c>
      <c r="S160" s="58">
        <f>IF(S109=4,R156,0)</f>
        <v>0</v>
      </c>
      <c r="T160" s="54">
        <f>IF(T109=4,U156,0)</f>
        <v>0</v>
      </c>
      <c r="V160" s="58">
        <f>IF(V109=4,U156,0)</f>
        <v>0</v>
      </c>
      <c r="W160" s="54">
        <f>IF(W109=4,X156,0)</f>
        <v>0</v>
      </c>
      <c r="Y160" s="58">
        <f>IF(Y109=4,X156,0)</f>
        <v>0</v>
      </c>
      <c r="Z160" s="54">
        <f>IF(Z109=4,AA156,0)</f>
        <v>0</v>
      </c>
      <c r="AB160" s="58">
        <f>IF(AB109=4,AA156,0)</f>
        <v>2</v>
      </c>
      <c r="AC160" s="54">
        <f>IF(AC109=4,AD156,0)</f>
        <v>0</v>
      </c>
      <c r="AE160" s="58">
        <f>IF(AE109=4,AD156,0)</f>
        <v>0</v>
      </c>
      <c r="AF160" s="54">
        <f>SUM(B160:AE160)</f>
        <v>8</v>
      </c>
      <c r="AW160" s="146"/>
    </row>
    <row r="161" spans="1:54" s="54" customFormat="1" ht="12.75" hidden="1" customHeight="1" x14ac:dyDescent="0.2">
      <c r="A161" s="54" t="s">
        <v>80</v>
      </c>
      <c r="B161" s="54">
        <f>IF(B109=5,C156,0)</f>
        <v>0</v>
      </c>
      <c r="D161" s="58">
        <f>IF(D109=5,C156,0)</f>
        <v>2</v>
      </c>
      <c r="E161" s="54">
        <f>IF(E109=5,F156,0)</f>
        <v>0</v>
      </c>
      <c r="G161" s="58">
        <f>IF(G109=5,F156,0)</f>
        <v>0</v>
      </c>
      <c r="H161" s="54">
        <f>IF(H109=5,I156,0)</f>
        <v>0</v>
      </c>
      <c r="J161" s="58">
        <f>IF(J109=5,I156,0)</f>
        <v>2</v>
      </c>
      <c r="K161" s="54">
        <f>IF(K109=5,L156,0)</f>
        <v>0</v>
      </c>
      <c r="M161" s="58">
        <f>IF(M109=5,L156,0)</f>
        <v>0</v>
      </c>
      <c r="N161" s="54">
        <f>IF(N109=5,O156,0)</f>
        <v>0</v>
      </c>
      <c r="P161" s="58">
        <f>IF(P109=5,O156,0)</f>
        <v>0</v>
      </c>
      <c r="Q161" s="54">
        <f>IF(Q109=5,R156,0)</f>
        <v>0</v>
      </c>
      <c r="S161" s="58">
        <f>IF(S109=5,R156,0)</f>
        <v>2</v>
      </c>
      <c r="T161" s="54">
        <f>IF(T109=5,U156,0)</f>
        <v>0</v>
      </c>
      <c r="V161" s="58">
        <f>IF(V109=5,U156,0)</f>
        <v>0</v>
      </c>
      <c r="W161" s="54">
        <f>IF(W109=5,X156,0)</f>
        <v>0</v>
      </c>
      <c r="Y161" s="58">
        <f>IF(Y109=5,X156,0)</f>
        <v>2</v>
      </c>
      <c r="Z161" s="54">
        <f>IF(Z109=5,AA156,0)</f>
        <v>0</v>
      </c>
      <c r="AB161" s="58">
        <f>IF(AB109=5,AA156,0)</f>
        <v>0</v>
      </c>
      <c r="AC161" s="54">
        <f>IF(AC109=5,AD156,0)</f>
        <v>0</v>
      </c>
      <c r="AE161" s="58">
        <f>IF(AE109=5,AD156,0)</f>
        <v>0</v>
      </c>
      <c r="AF161" s="54">
        <f>SUM(B161:AE161)</f>
        <v>8</v>
      </c>
      <c r="AW161" s="146"/>
    </row>
    <row r="162" spans="1:54" hidden="1" x14ac:dyDescent="0.2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60"/>
      <c r="AO162" s="60"/>
      <c r="AP162" s="60"/>
      <c r="AQ162" s="60"/>
      <c r="AR162" s="61"/>
      <c r="AS162" s="61"/>
      <c r="AT162" s="61"/>
      <c r="AU162" s="61"/>
      <c r="AV162" s="61"/>
      <c r="BB162" s="62"/>
    </row>
    <row r="163" spans="1:54" s="61" customFormat="1" hidden="1" x14ac:dyDescent="0.2">
      <c r="A163" s="63"/>
      <c r="B163" s="63"/>
      <c r="C163" s="63" t="s">
        <v>87</v>
      </c>
      <c r="D163" s="63">
        <v>1</v>
      </c>
      <c r="E163" s="63"/>
      <c r="F163" s="63"/>
      <c r="G163" s="63">
        <v>2</v>
      </c>
      <c r="H163" s="63"/>
      <c r="I163" s="63"/>
      <c r="J163" s="63">
        <v>3</v>
      </c>
      <c r="K163" s="63"/>
      <c r="L163" s="63"/>
      <c r="M163" s="63">
        <v>4</v>
      </c>
      <c r="N163" s="63"/>
      <c r="O163" s="63"/>
      <c r="P163" s="63">
        <v>5</v>
      </c>
      <c r="Q163" s="63"/>
      <c r="R163" s="63"/>
      <c r="S163" s="63">
        <v>6</v>
      </c>
      <c r="T163" s="63"/>
      <c r="U163" s="63"/>
      <c r="V163" s="63">
        <v>7</v>
      </c>
      <c r="W163" s="63"/>
      <c r="X163" s="63"/>
      <c r="Y163" s="63">
        <v>8</v>
      </c>
      <c r="Z163" s="63"/>
      <c r="AA163" s="63"/>
      <c r="AB163" s="63">
        <v>9</v>
      </c>
      <c r="AC163" s="63"/>
      <c r="AD163" s="63"/>
      <c r="AE163" s="63">
        <v>10</v>
      </c>
      <c r="AF163" s="4"/>
      <c r="AG163" s="63"/>
      <c r="AI163" s="64"/>
      <c r="AJ163" s="4"/>
      <c r="AK163" s="4"/>
      <c r="AL163" s="4"/>
      <c r="AM163" s="4"/>
      <c r="AN163" s="4"/>
      <c r="AO163" s="4"/>
      <c r="AT163" s="64" t="s">
        <v>88</v>
      </c>
      <c r="AW163" s="65"/>
      <c r="BB163" s="65"/>
    </row>
    <row r="164" spans="1:54" s="61" customFormat="1" hidden="1" x14ac:dyDescent="0.2">
      <c r="A164" s="66">
        <v>1</v>
      </c>
      <c r="B164" s="66" t="str">
        <f>E93</f>
        <v>MEVC14Power</v>
      </c>
      <c r="C164" s="66">
        <f>VLOOKUP(B164,AU$3:BB$33,3,FALSE)</f>
        <v>2073.7324729018796</v>
      </c>
      <c r="D164" s="66">
        <f>IF(B157,B172,IF(D157,D172,C164))</f>
        <v>2073.7324729018796</v>
      </c>
      <c r="E164" s="66"/>
      <c r="F164" s="66"/>
      <c r="G164" s="66">
        <f>IF(E157,E172,IF(G157,G172,D164))</f>
        <v>2057.5995012829003</v>
      </c>
      <c r="H164" s="66"/>
      <c r="I164" s="66"/>
      <c r="J164" s="66">
        <f>IF(H157,H172,IF(J157,J172,G164))</f>
        <v>2057.5995012829003</v>
      </c>
      <c r="K164" s="66"/>
      <c r="L164" s="66"/>
      <c r="M164" s="66">
        <f>IF(K157,K172,IF(M157,M172,J164))</f>
        <v>2057.5995012829003</v>
      </c>
      <c r="N164" s="66"/>
      <c r="O164" s="66"/>
      <c r="P164" s="66">
        <f>IF(N157,N172,IF(P157,P172,M164))</f>
        <v>2081.754179838365</v>
      </c>
      <c r="Q164" s="66"/>
      <c r="R164" s="66"/>
      <c r="S164" s="66">
        <f>IF(Q157,Q172,IF(S157,S172,P164))</f>
        <v>2081.754179838365</v>
      </c>
      <c r="T164" s="66"/>
      <c r="U164" s="66"/>
      <c r="V164" s="66">
        <f>IF(T157,T172,IF(V157,V172,S164))</f>
        <v>2081.754179838365</v>
      </c>
      <c r="W164" s="66"/>
      <c r="X164" s="66"/>
      <c r="Y164" s="66">
        <f>IF(W157,W172,IF(Y157,Y172,V164))</f>
        <v>2098.7796711329138</v>
      </c>
      <c r="Z164" s="66"/>
      <c r="AA164" s="66"/>
      <c r="AB164" s="66">
        <f>IF(Z157,Z172,IF(AB157,AB172,Y164))</f>
        <v>2098.7796711329138</v>
      </c>
      <c r="AC164" s="66"/>
      <c r="AD164" s="66"/>
      <c r="AE164" s="66">
        <f>IF(AC157,AC172,IF(AE157,AE172,AB164))</f>
        <v>2102.4268038766127</v>
      </c>
      <c r="AF164" s="4"/>
      <c r="AG164" s="4"/>
      <c r="AJ164" s="4"/>
      <c r="AK164" s="4"/>
      <c r="AL164" s="4"/>
      <c r="AM164" s="4"/>
      <c r="AN164" s="4"/>
      <c r="AO164" s="4"/>
      <c r="AT164" s="61" t="str">
        <f>B164</f>
        <v>MEVC14Power</v>
      </c>
      <c r="AU164" s="61">
        <f>AE164</f>
        <v>2102.4268038766127</v>
      </c>
      <c r="AW164" s="65"/>
      <c r="BB164" s="65"/>
    </row>
    <row r="165" spans="1:54" s="61" customFormat="1" hidden="1" x14ac:dyDescent="0.2">
      <c r="A165" s="66">
        <v>2</v>
      </c>
      <c r="B165" s="66" t="str">
        <f>E95</f>
        <v>Extreme 15-2</v>
      </c>
      <c r="C165" s="66">
        <f>VLOOKUP(B165,AU$3:BB$33,3,FALSE)</f>
        <v>2122.1116419046489</v>
      </c>
      <c r="D165" s="66">
        <f>IF(B158,B172,IF(D158,D172,C165))</f>
        <v>2143.3060535780246</v>
      </c>
      <c r="E165" s="66"/>
      <c r="F165" s="66"/>
      <c r="G165" s="66">
        <f>IF(E158,E172,IF(G158,G172,D165))</f>
        <v>2143.3060535780246</v>
      </c>
      <c r="H165" s="66"/>
      <c r="I165" s="66"/>
      <c r="J165" s="66">
        <f>IF(H158,H172,IF(J158,J172,G165))</f>
        <v>2143.3060535780246</v>
      </c>
      <c r="K165" s="66"/>
      <c r="L165" s="66"/>
      <c r="M165" s="66">
        <f>IF(K158,K172,IF(M158,M172,J165))</f>
        <v>2155.7909739437432</v>
      </c>
      <c r="N165" s="66"/>
      <c r="O165" s="66"/>
      <c r="P165" s="66">
        <f>IF(N158,N172,IF(P158,P172,M165))</f>
        <v>2155.7909739437432</v>
      </c>
      <c r="Q165" s="66"/>
      <c r="R165" s="66"/>
      <c r="S165" s="66">
        <f>IF(Q158,Q172,IF(S158,S172,P165))</f>
        <v>2155.7909739437432</v>
      </c>
      <c r="T165" s="66"/>
      <c r="U165" s="66"/>
      <c r="V165" s="66">
        <f>IF(T158,T172,IF(V158,V172,S165))</f>
        <v>2138.5507186442669</v>
      </c>
      <c r="W165" s="66"/>
      <c r="X165" s="66"/>
      <c r="Y165" s="66">
        <f>IF(W158,W172,IF(Y158,Y172,V165))</f>
        <v>2138.5507186442669</v>
      </c>
      <c r="Z165" s="66"/>
      <c r="AA165" s="66"/>
      <c r="AB165" s="66">
        <f>IF(Z158,Z172,IF(AB158,AB172,Y165))</f>
        <v>2138.5507186442669</v>
      </c>
      <c r="AC165" s="66"/>
      <c r="AD165" s="66"/>
      <c r="AE165" s="66">
        <f>IF(AC158,AC172,IF(AE158,AE172,AB165))</f>
        <v>2134.903585900568</v>
      </c>
      <c r="AF165" s="4"/>
      <c r="AG165" s="4"/>
      <c r="AJ165" s="4"/>
      <c r="AL165" s="4"/>
      <c r="AM165" s="4"/>
      <c r="AN165" s="4"/>
      <c r="AO165" s="4"/>
      <c r="AT165" s="61" t="str">
        <f>B165</f>
        <v>Extreme 15-2</v>
      </c>
      <c r="AU165" s="61">
        <f>AE165</f>
        <v>2134.903585900568</v>
      </c>
      <c r="AW165" s="65"/>
      <c r="BB165" s="65"/>
    </row>
    <row r="166" spans="1:54" s="61" customFormat="1" hidden="1" x14ac:dyDescent="0.2">
      <c r="A166" s="66">
        <v>3</v>
      </c>
      <c r="B166" s="66" t="str">
        <f>E97</f>
        <v>Augusta Elite 15U</v>
      </c>
      <c r="C166" s="66">
        <f>VLOOKUP(B166,AU$3:BB$33,3,FALSE)</f>
        <v>1934.5993580275974</v>
      </c>
      <c r="D166" s="66">
        <f>IF(B159,B172,IF(D159,D172,C166))</f>
        <v>1934.5993580275974</v>
      </c>
      <c r="E166" s="66"/>
      <c r="F166" s="66"/>
      <c r="G166" s="66">
        <f>IF(E159,E172,IF(G159,G172,D166))</f>
        <v>1934.5993580275974</v>
      </c>
      <c r="H166" s="66"/>
      <c r="I166" s="66"/>
      <c r="J166" s="66">
        <f>IF(H159,H172,IF(J159,J172,G166))</f>
        <v>1970.6490723281961</v>
      </c>
      <c r="K166" s="66"/>
      <c r="L166" s="66"/>
      <c r="M166" s="66">
        <f>IF(K159,K172,IF(M159,M172,J166))</f>
        <v>1970.6490723281961</v>
      </c>
      <c r="N166" s="66"/>
      <c r="O166" s="66"/>
      <c r="P166" s="66">
        <f>IF(N159,N172,IF(P159,P172,M166))</f>
        <v>1946.4943937727317</v>
      </c>
      <c r="Q166" s="66"/>
      <c r="R166" s="66"/>
      <c r="S166" s="66">
        <f>IF(Q159,Q172,IF(S159,S172,P166))</f>
        <v>1946.4943937727317</v>
      </c>
      <c r="T166" s="66"/>
      <c r="U166" s="66"/>
      <c r="V166" s="66">
        <f>IF(T159,T172,IF(V159,V172,S166))</f>
        <v>1963.7346490722077</v>
      </c>
      <c r="W166" s="66"/>
      <c r="X166" s="66"/>
      <c r="Y166" s="66">
        <f>IF(W159,W172,IF(Y159,Y172,V166))</f>
        <v>1963.7346490722077</v>
      </c>
      <c r="Z166" s="66"/>
      <c r="AA166" s="66"/>
      <c r="AB166" s="66">
        <f>IF(Z159,Z172,IF(AB159,AB172,Y166))</f>
        <v>1927.9008144743593</v>
      </c>
      <c r="AC166" s="66"/>
      <c r="AD166" s="66"/>
      <c r="AE166" s="66">
        <f>IF(AC159,AC172,IF(AE159,AE172,AB166))</f>
        <v>1927.9008144743593</v>
      </c>
      <c r="AF166" s="4"/>
      <c r="AG166" s="4"/>
      <c r="AJ166" s="4"/>
      <c r="AL166" s="4"/>
      <c r="AM166" s="4"/>
      <c r="AN166" s="4"/>
      <c r="AO166" s="4"/>
      <c r="AT166" s="61" t="str">
        <f>B166</f>
        <v>Augusta Elite 15U</v>
      </c>
      <c r="AU166" s="61">
        <f>AE166</f>
        <v>1927.9008144743593</v>
      </c>
      <c r="AW166" s="65"/>
      <c r="BB166" s="65"/>
    </row>
    <row r="167" spans="1:54" s="61" customFormat="1" hidden="1" x14ac:dyDescent="0.2">
      <c r="A167" s="66">
        <v>4</v>
      </c>
      <c r="B167" s="66" t="str">
        <f>E99</f>
        <v>Crossfire 13</v>
      </c>
      <c r="C167" s="66">
        <f>VLOOKUP(B167,AU$3:BB$33,3,FALSE)</f>
        <v>1880.9536423839288</v>
      </c>
      <c r="D167" s="66">
        <f>IF(B160,B172,IF(D160,D172,C167))</f>
        <v>1880.9536423839288</v>
      </c>
      <c r="E167" s="66"/>
      <c r="F167" s="66"/>
      <c r="G167" s="66">
        <f>IF(E160,E172,IF(G160,G172,D167))</f>
        <v>1897.0866140029079</v>
      </c>
      <c r="H167" s="66"/>
      <c r="I167" s="66"/>
      <c r="J167" s="66">
        <f>IF(H160,H172,IF(J160,J172,G167))</f>
        <v>1897.0866140029079</v>
      </c>
      <c r="K167" s="66"/>
      <c r="L167" s="66"/>
      <c r="M167" s="66">
        <f>IF(K160,K172,IF(M160,M172,J167))</f>
        <v>1884.6016936371896</v>
      </c>
      <c r="N167" s="66"/>
      <c r="O167" s="66"/>
      <c r="P167" s="66">
        <f>IF(N160,N172,IF(P160,P172,M167))</f>
        <v>1884.6016936371896</v>
      </c>
      <c r="Q167" s="66"/>
      <c r="R167" s="66"/>
      <c r="S167" s="66">
        <f>IF(Q160,Q172,IF(S160,S172,P167))</f>
        <v>1921.9084252947375</v>
      </c>
      <c r="T167" s="66"/>
      <c r="U167" s="66"/>
      <c r="V167" s="66">
        <f>IF(T160,T172,IF(V160,V172,S167))</f>
        <v>1921.9084252947375</v>
      </c>
      <c r="W167" s="66"/>
      <c r="X167" s="66"/>
      <c r="Y167" s="66">
        <f>IF(W160,W172,IF(Y160,Y172,V167))</f>
        <v>1921.9084252947375</v>
      </c>
      <c r="Z167" s="66"/>
      <c r="AA167" s="66"/>
      <c r="AB167" s="66">
        <f>IF(Z160,Z172,IF(AB160,AB172,Y167))</f>
        <v>1957.7422598925859</v>
      </c>
      <c r="AC167" s="66"/>
      <c r="AD167" s="66"/>
      <c r="AE167" s="66">
        <f>IF(AC160,AC172,IF(AE160,AE172,AB167))</f>
        <v>1957.7422598925859</v>
      </c>
      <c r="AF167" s="4"/>
      <c r="AG167" s="4"/>
      <c r="AJ167" s="4"/>
      <c r="AL167" s="4"/>
      <c r="AM167" s="4"/>
      <c r="AN167" s="4"/>
      <c r="AO167" s="4"/>
      <c r="AT167" s="61" t="str">
        <f>B167</f>
        <v>Crossfire 13</v>
      </c>
      <c r="AU167" s="61">
        <f>AE167</f>
        <v>1957.7422598925859</v>
      </c>
      <c r="AW167" s="65"/>
      <c r="BB167" s="65"/>
    </row>
    <row r="168" spans="1:54" s="61" customFormat="1" hidden="1" x14ac:dyDescent="0.2">
      <c r="A168" s="66">
        <v>5</v>
      </c>
      <c r="B168" s="66" t="str">
        <f>E101</f>
        <v>Agaist All Odds 15 Blue</v>
      </c>
      <c r="C168" s="66">
        <f>VLOOKUP(B168,AU$3:BB$33,3,FALSE)</f>
        <v>2000</v>
      </c>
      <c r="D168" s="66">
        <f>IF(B161,B172,IF(D161,D172,C168))</f>
        <v>1978.8055883266243</v>
      </c>
      <c r="E168" s="66"/>
      <c r="F168" s="66"/>
      <c r="G168" s="66">
        <f>IF(E161,E172,IF(G161,G172,D168))</f>
        <v>1978.8055883266243</v>
      </c>
      <c r="H168" s="66"/>
      <c r="I168" s="66"/>
      <c r="J168" s="66">
        <f>IF(H161,H172,IF(J161,J172,G168))</f>
        <v>1942.7558740260256</v>
      </c>
      <c r="K168" s="66"/>
      <c r="L168" s="66"/>
      <c r="M168" s="66">
        <f>IF(K161,K172,IF(M161,M172,J168))</f>
        <v>1942.7558740260256</v>
      </c>
      <c r="N168" s="66"/>
      <c r="O168" s="66"/>
      <c r="P168" s="66">
        <f>IF(N161,N172,IF(P161,P172,M168))</f>
        <v>1942.7558740260256</v>
      </c>
      <c r="Q168" s="66"/>
      <c r="R168" s="66"/>
      <c r="S168" s="66">
        <f>IF(Q161,Q172,IF(S161,S172,P168))</f>
        <v>1905.4491423684776</v>
      </c>
      <c r="T168" s="66"/>
      <c r="U168" s="66"/>
      <c r="V168" s="66">
        <f>IF(T161,T172,IF(V161,V172,S168))</f>
        <v>1905.4491423684776</v>
      </c>
      <c r="W168" s="66"/>
      <c r="X168" s="66"/>
      <c r="Y168" s="66">
        <f>IF(W161,W172,IF(Y161,Y172,V168))</f>
        <v>1888.423651073929</v>
      </c>
      <c r="Z168" s="66"/>
      <c r="AA168" s="66"/>
      <c r="AB168" s="66">
        <f>IF(Z161,Z172,IF(AB161,AB172,Y168))</f>
        <v>1888.423651073929</v>
      </c>
      <c r="AC168" s="66"/>
      <c r="AD168" s="66"/>
      <c r="AE168" s="66">
        <f>IF(AC161,AC172,IF(AE161,AE172,AB168))</f>
        <v>1888.423651073929</v>
      </c>
      <c r="AF168" s="4"/>
      <c r="AG168" s="4"/>
      <c r="AJ168" s="4"/>
      <c r="AL168" s="4"/>
      <c r="AM168" s="4"/>
      <c r="AN168" s="4"/>
      <c r="AO168" s="4"/>
      <c r="AT168" s="61" t="str">
        <f>B168</f>
        <v>Agaist All Odds 15 Blue</v>
      </c>
      <c r="AU168" s="61">
        <f>AE168</f>
        <v>1888.423651073929</v>
      </c>
      <c r="AW168" s="65"/>
      <c r="BB168" s="65"/>
    </row>
    <row r="169" spans="1:54" s="61" customFormat="1" hidden="1" x14ac:dyDescent="0.2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4"/>
      <c r="AG169" s="4"/>
      <c r="AJ169" s="4"/>
      <c r="AL169" s="4"/>
      <c r="AM169" s="4"/>
      <c r="AN169" s="4"/>
      <c r="AO169" s="4"/>
      <c r="AW169" s="65"/>
      <c r="BB169" s="65"/>
    </row>
    <row r="170" spans="1:54" s="61" customFormat="1" hidden="1" x14ac:dyDescent="0.2">
      <c r="A170" s="66" t="s">
        <v>89</v>
      </c>
      <c r="B170" s="66">
        <f>VLOOKUP(B109,$A164:$AE168,3,FALSE)</f>
        <v>2122.1116419046489</v>
      </c>
      <c r="C170" s="66">
        <v>1</v>
      </c>
      <c r="D170" s="66">
        <f>VLOOKUP(D109,$A164:$AE168,3,FALSE)</f>
        <v>2000</v>
      </c>
      <c r="E170" s="66">
        <f>VLOOKUP(E109,$A164:$AE168,4,FALSE)</f>
        <v>2073.7324729018796</v>
      </c>
      <c r="F170" s="66">
        <v>2</v>
      </c>
      <c r="G170" s="66">
        <f>VLOOKUP(G109,$A164:$AE168,4,FALSE)</f>
        <v>1880.9536423839288</v>
      </c>
      <c r="H170" s="66">
        <f>VLOOKUP(H109,$A164:$AE168,7,FALSE)</f>
        <v>1934.5993580275974</v>
      </c>
      <c r="I170" s="66">
        <v>3</v>
      </c>
      <c r="J170" s="66">
        <f>VLOOKUP(J109,$A164:$AE168,7,FALSE)</f>
        <v>1978.8055883266243</v>
      </c>
      <c r="K170" s="66">
        <f>VLOOKUP(K109,$A164:$AE168,10,FALSE)</f>
        <v>2143.3060535780246</v>
      </c>
      <c r="L170" s="66">
        <v>4</v>
      </c>
      <c r="M170" s="66">
        <f>VLOOKUP(M109,$A164:$AE168,10,FALSE)</f>
        <v>1897.0866140029079</v>
      </c>
      <c r="N170" s="66">
        <f>VLOOKUP(N109,$A164:$AE168,13,FALSE)</f>
        <v>2057.5995012829003</v>
      </c>
      <c r="O170" s="66">
        <v>5</v>
      </c>
      <c r="P170" s="66">
        <f>VLOOKUP(P109,$A164:$AE168,13,FALSE)</f>
        <v>1970.6490723281961</v>
      </c>
      <c r="Q170" s="66">
        <f>VLOOKUP(Q109,$A164:$AE168,16,FALSE)</f>
        <v>1884.6016936371896</v>
      </c>
      <c r="R170" s="66">
        <v>6</v>
      </c>
      <c r="S170" s="66">
        <f>VLOOKUP(S109,$A164:$AE168,16,FALSE)</f>
        <v>1942.7558740260256</v>
      </c>
      <c r="T170" s="66">
        <f>VLOOKUP(T109,$A164:$AE168,19,FALSE)</f>
        <v>2155.7909739437432</v>
      </c>
      <c r="U170" s="66">
        <v>7</v>
      </c>
      <c r="V170" s="66">
        <f>VLOOKUP(V109,$A164:$AE168,19,FALSE)</f>
        <v>1946.4943937727317</v>
      </c>
      <c r="W170" s="66">
        <f>VLOOKUP(W109,$A164:$AE168,22,FALSE)</f>
        <v>2081.754179838365</v>
      </c>
      <c r="X170" s="66">
        <v>8</v>
      </c>
      <c r="Y170" s="66">
        <f>VLOOKUP(Y109,$A164:$AE168,22,FALSE)</f>
        <v>1905.4491423684776</v>
      </c>
      <c r="Z170" s="66">
        <f>VLOOKUP(Z109,$A164:$AE168,25,FALSE)</f>
        <v>1963.7346490722077</v>
      </c>
      <c r="AA170" s="66">
        <v>9</v>
      </c>
      <c r="AB170" s="66">
        <f>VLOOKUP(AB109,$A164:$AE168,25,FALSE)</f>
        <v>1921.9084252947375</v>
      </c>
      <c r="AC170" s="66">
        <f>VLOOKUP(AC109,$A164:$AE168,28,FALSE)</f>
        <v>2098.7796711329138</v>
      </c>
      <c r="AD170" s="66">
        <v>10</v>
      </c>
      <c r="AE170" s="66">
        <f>VLOOKUP(AE109,$A164:$AE168,28,FALSE)</f>
        <v>2138.5507186442669</v>
      </c>
      <c r="AF170" s="4"/>
      <c r="AG170" s="59"/>
      <c r="AH170" s="59"/>
      <c r="AI170" s="59"/>
      <c r="AJ170" s="59"/>
      <c r="AK170" s="59"/>
      <c r="AL170" s="59"/>
      <c r="AM170" s="59"/>
      <c r="AN170" s="60"/>
      <c r="AO170" s="60"/>
      <c r="AP170" s="60"/>
      <c r="AQ170" s="60"/>
      <c r="AW170" s="65"/>
      <c r="BB170" s="65"/>
    </row>
    <row r="171" spans="1:54" s="71" customFormat="1" hidden="1" x14ac:dyDescent="0.2">
      <c r="A171" s="67" t="s">
        <v>90</v>
      </c>
      <c r="B171" s="67">
        <f>1/(1+(10^-((B170-D170)/400)))*(B121+D121)</f>
        <v>1.3376746352070072</v>
      </c>
      <c r="C171" s="67"/>
      <c r="D171" s="67">
        <f>1/(1+(10^-((D170-B170)/400)))*(B121+D121)</f>
        <v>0.66232536479299275</v>
      </c>
      <c r="E171" s="67">
        <f>1/(1+(10^-((E170-G170)/400)))*(E121+G121)</f>
        <v>1.5041553630930982</v>
      </c>
      <c r="F171" s="67"/>
      <c r="G171" s="67">
        <f>1/(1+(10^-((G170-E170)/400)))*(E121+G121)</f>
        <v>0.49584463690690195</v>
      </c>
      <c r="H171" s="67">
        <f>1/(1+(10^-((H170-J170)/400)))*(H121+J121)</f>
        <v>0.87344642810629314</v>
      </c>
      <c r="I171" s="67"/>
      <c r="J171" s="67">
        <f>1/(1+(10^-((J170-H170)/400)))*(H121+J121)</f>
        <v>1.126553571893707</v>
      </c>
      <c r="K171" s="67">
        <f>1/(1+(10^-((K170-M170)/400)))*(K121+M121)</f>
        <v>1.6098462385712999</v>
      </c>
      <c r="L171" s="67"/>
      <c r="M171" s="67">
        <f>1/(1+(10^-((M170-K170)/400)))*(K121+M121)</f>
        <v>0.39015376142869995</v>
      </c>
      <c r="N171" s="67">
        <f>1/(1+(10^-((N170-P170)/400)))*(N121+P121)</f>
        <v>1.2451662951417335</v>
      </c>
      <c r="O171" s="67"/>
      <c r="P171" s="67">
        <f>1/(1+(10^-((P170-N170)/400)))*(N121+P121)</f>
        <v>0.75483370485826662</v>
      </c>
      <c r="Q171" s="67">
        <f>1/(1+(10^-((Q170-S170)/400)))*(Q121+S121)</f>
        <v>0.83416463570162391</v>
      </c>
      <c r="R171" s="67"/>
      <c r="S171" s="67">
        <f>1/(1+(10^-((S170-Q170)/400)))*(Q121+S121)</f>
        <v>1.1658353642983761</v>
      </c>
      <c r="T171" s="67">
        <f>1/(1+(10^-((T170-V170)/400)))*(T121+V121)</f>
        <v>1.5387579781086298</v>
      </c>
      <c r="U171" s="67"/>
      <c r="V171" s="67">
        <f>1/(1+(10^-((V170-T170)/400)))*(T121+V121)</f>
        <v>0.4612420218913702</v>
      </c>
      <c r="W171" s="67">
        <f>1/(1+(10^-((W170-Y170)/400)))*(W121+Y121)</f>
        <v>1.4679533970453529</v>
      </c>
      <c r="X171" s="67"/>
      <c r="Y171" s="67">
        <f>1/(1+(10^-((Y170-W170)/400)))*(W121+Y121)</f>
        <v>0.53204660295464712</v>
      </c>
      <c r="Z171" s="67">
        <f>1/(1+(10^-((Z170-AB170)/400)))*(Z121+AB121)</f>
        <v>1.1198073311827648</v>
      </c>
      <c r="AA171" s="67"/>
      <c r="AB171" s="67">
        <f>1/(1+(10^-((AB170-Z170)/400)))*(Z121+AB121)</f>
        <v>0.88019266881723524</v>
      </c>
      <c r="AC171" s="67">
        <f>1/(1+(10^-((AC170-AE170)/400)))*(AC121+AE121)</f>
        <v>0.88602710175940536</v>
      </c>
      <c r="AD171" s="67"/>
      <c r="AE171" s="67">
        <f>1/(1+(10^-((AE170-AC170)/400)))*(AC121+AE121)</f>
        <v>1.1139728982405948</v>
      </c>
      <c r="AF171" s="68"/>
      <c r="AG171" s="69"/>
      <c r="AH171" s="69"/>
      <c r="AI171" s="69"/>
      <c r="AJ171" s="69"/>
      <c r="AK171" s="69"/>
      <c r="AL171" s="69"/>
      <c r="AM171" s="69"/>
      <c r="AN171" s="70"/>
      <c r="AO171" s="70"/>
      <c r="AP171" s="70"/>
      <c r="AQ171" s="70"/>
      <c r="AW171" s="72"/>
      <c r="BB171" s="72"/>
    </row>
    <row r="172" spans="1:54" s="77" customFormat="1" hidden="1" x14ac:dyDescent="0.2">
      <c r="A172" s="73" t="s">
        <v>91</v>
      </c>
      <c r="B172" s="73">
        <f>B170+(B121-B171)*$BA$1</f>
        <v>2143.3060535780246</v>
      </c>
      <c r="C172" s="73"/>
      <c r="D172" s="73">
        <f>D170+(D121-D171)*$BA$1</f>
        <v>1978.8055883266243</v>
      </c>
      <c r="E172" s="73">
        <f>E170+(E121-E171)*$BA$1</f>
        <v>2057.5995012829003</v>
      </c>
      <c r="F172" s="73"/>
      <c r="G172" s="73">
        <f>G170+(G121-G171)*$BA$1</f>
        <v>1897.0866140029079</v>
      </c>
      <c r="H172" s="73">
        <f>H170+(H121-H171)*$BA$1</f>
        <v>1970.6490723281961</v>
      </c>
      <c r="I172" s="73"/>
      <c r="J172" s="73">
        <f>J170+(J121-J171)*$BA$1</f>
        <v>1942.7558740260256</v>
      </c>
      <c r="K172" s="73">
        <f>K170+(K121-K171)*$BA$1</f>
        <v>2155.7909739437432</v>
      </c>
      <c r="L172" s="73"/>
      <c r="M172" s="73">
        <f>M170+(M121-M171)*$BA$1</f>
        <v>1884.6016936371896</v>
      </c>
      <c r="N172" s="73">
        <f>N170+(N121-N171)*$BA$1</f>
        <v>2081.754179838365</v>
      </c>
      <c r="O172" s="73"/>
      <c r="P172" s="73">
        <f>P170+(P121-P171)*$BA$1</f>
        <v>1946.4943937727317</v>
      </c>
      <c r="Q172" s="73">
        <f>Q170+(Q121-Q171)*$BA$1</f>
        <v>1921.9084252947375</v>
      </c>
      <c r="R172" s="73"/>
      <c r="S172" s="73">
        <f>S170+(S121-S171)*$BA$1</f>
        <v>1905.4491423684776</v>
      </c>
      <c r="T172" s="73">
        <f>T170+(T121-T171)*$BA$1</f>
        <v>2138.5507186442669</v>
      </c>
      <c r="U172" s="73"/>
      <c r="V172" s="73">
        <f>V170+(V121-V171)*$BA$1</f>
        <v>1963.7346490722077</v>
      </c>
      <c r="W172" s="73">
        <f>W170+(W121-W171)*$BA$1</f>
        <v>2098.7796711329138</v>
      </c>
      <c r="X172" s="73"/>
      <c r="Y172" s="73">
        <f>Y170+(Y121-Y171)*$BA$1</f>
        <v>1888.423651073929</v>
      </c>
      <c r="Z172" s="73">
        <f>Z170+(Z121-Z171)*$BA$1</f>
        <v>1927.9008144743593</v>
      </c>
      <c r="AA172" s="73"/>
      <c r="AB172" s="73">
        <f>AB170+(AB121-AB171)*$BA$1</f>
        <v>1957.7422598925859</v>
      </c>
      <c r="AC172" s="73">
        <f>AC170+(AC121-AC171)*$BA$1</f>
        <v>2102.4268038766127</v>
      </c>
      <c r="AD172" s="73"/>
      <c r="AE172" s="73">
        <f>AE170+(AE121-AE171)*$BA$1</f>
        <v>2134.903585900568</v>
      </c>
      <c r="AF172" s="74"/>
      <c r="AG172" s="75"/>
      <c r="AH172" s="75"/>
      <c r="AI172" s="75"/>
      <c r="AJ172" s="75"/>
      <c r="AK172" s="75"/>
      <c r="AL172" s="75"/>
      <c r="AM172" s="75"/>
      <c r="AN172" s="76"/>
      <c r="AO172" s="76"/>
      <c r="AP172" s="76"/>
      <c r="AQ172" s="76"/>
      <c r="AW172" s="78"/>
      <c r="BB172" s="78"/>
    </row>
    <row r="173" spans="1:54" s="77" customFormat="1" hidden="1" x14ac:dyDescent="0.2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  <c r="AD173" s="73"/>
      <c r="AE173" s="73"/>
      <c r="AF173" s="74"/>
      <c r="AG173" s="75"/>
      <c r="AH173" s="75"/>
      <c r="AI173" s="75"/>
      <c r="AJ173" s="75"/>
      <c r="AK173" s="75"/>
      <c r="AL173" s="75"/>
      <c r="AM173" s="75"/>
      <c r="AN173" s="76"/>
      <c r="AO173" s="76"/>
      <c r="AP173" s="76"/>
      <c r="AQ173" s="76"/>
      <c r="AW173" s="78"/>
      <c r="BB173" s="78"/>
    </row>
    <row r="174" spans="1:54" s="61" customFormat="1" x14ac:dyDescent="0.2">
      <c r="A174" s="790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790"/>
      <c r="C174" s="790"/>
      <c r="D174" s="790"/>
      <c r="E174" s="790"/>
      <c r="F174" s="790"/>
      <c r="G174" s="790"/>
      <c r="H174" s="790"/>
      <c r="I174" s="790"/>
      <c r="J174" s="790"/>
      <c r="K174" s="790"/>
      <c r="L174" s="790"/>
      <c r="M174" s="790"/>
      <c r="N174" s="790"/>
      <c r="O174" s="790"/>
      <c r="P174" s="790"/>
      <c r="Q174" s="790"/>
      <c r="R174" s="790"/>
      <c r="S174" s="790"/>
      <c r="T174" s="790"/>
      <c r="U174" s="790"/>
      <c r="V174" s="790"/>
      <c r="W174" s="790"/>
      <c r="X174" s="790"/>
      <c r="Y174" s="790"/>
      <c r="Z174" s="790"/>
      <c r="AA174" s="790"/>
      <c r="AB174" s="790"/>
      <c r="AC174" s="790"/>
      <c r="AD174" s="790"/>
      <c r="AE174" s="790"/>
      <c r="AF174" s="790"/>
      <c r="AG174" s="790"/>
      <c r="AH174" s="790"/>
      <c r="AI174" s="790"/>
      <c r="AJ174" s="790"/>
      <c r="AK174" s="790"/>
      <c r="AL174" s="790"/>
      <c r="AM174" s="790"/>
      <c r="AN174" s="768"/>
      <c r="AO174" s="768"/>
      <c r="AP174" s="768"/>
      <c r="AQ174" s="768"/>
      <c r="AW174" s="65"/>
    </row>
    <row r="175" spans="1:54" s="61" customFormat="1" ht="13.5" thickBot="1" x14ac:dyDescent="0.25">
      <c r="A175" s="791"/>
      <c r="B175" s="791"/>
      <c r="C175" s="791"/>
      <c r="D175" s="791"/>
      <c r="E175" s="791"/>
      <c r="F175" s="791"/>
      <c r="G175" s="791"/>
      <c r="H175" s="791"/>
      <c r="I175" s="791"/>
      <c r="J175" s="791"/>
      <c r="K175" s="791"/>
      <c r="L175" s="791"/>
      <c r="M175" s="791"/>
      <c r="N175" s="791"/>
      <c r="O175" s="791"/>
      <c r="P175" s="791"/>
      <c r="Q175" s="791"/>
      <c r="R175" s="791"/>
      <c r="S175" s="791"/>
      <c r="T175" s="791"/>
      <c r="U175" s="791"/>
      <c r="V175" s="791"/>
      <c r="W175" s="791"/>
      <c r="X175" s="791"/>
      <c r="Y175" s="791"/>
      <c r="Z175" s="791"/>
      <c r="AA175" s="791"/>
      <c r="AB175" s="791"/>
      <c r="AC175" s="791"/>
      <c r="AD175" s="791"/>
      <c r="AE175" s="791"/>
      <c r="AF175" s="791"/>
      <c r="AG175" s="791"/>
      <c r="AH175" s="791"/>
      <c r="AI175" s="791"/>
      <c r="AJ175" s="791"/>
      <c r="AK175" s="791"/>
      <c r="AL175" s="791"/>
      <c r="AM175" s="791"/>
      <c r="AN175" s="791"/>
      <c r="AO175" s="791"/>
      <c r="AP175" s="791"/>
      <c r="AQ175" s="791"/>
      <c r="AW175" s="65"/>
    </row>
    <row r="176" spans="1:54" ht="24" customHeight="1" thickBot="1" x14ac:dyDescent="0.25">
      <c r="A176" s="22" t="s">
        <v>22</v>
      </c>
      <c r="B176" s="23" t="s">
        <v>142</v>
      </c>
      <c r="C176" s="862" t="s">
        <v>24</v>
      </c>
      <c r="D176" s="863"/>
      <c r="E176" s="863"/>
      <c r="F176" s="863"/>
      <c r="G176" s="863"/>
      <c r="H176" s="864"/>
      <c r="I176" s="865">
        <v>3</v>
      </c>
      <c r="J176" s="866"/>
      <c r="K176" s="867" t="str">
        <f>"Pool "&amp;B176&amp;" - Round 1 - Court "&amp;I176</f>
        <v>Pool C - Round 1 - Court 3</v>
      </c>
      <c r="L176" s="868"/>
      <c r="M176" s="868"/>
      <c r="N176" s="868"/>
      <c r="O176" s="868"/>
      <c r="P176" s="868"/>
      <c r="Q176" s="868"/>
      <c r="R176" s="868"/>
      <c r="S176" s="868"/>
      <c r="T176" s="868"/>
      <c r="U176" s="868"/>
      <c r="V176" s="868"/>
      <c r="W176" s="868"/>
      <c r="X176" s="868"/>
      <c r="Y176" s="868"/>
      <c r="Z176" s="868"/>
      <c r="AA176" s="868"/>
      <c r="AB176" s="868"/>
      <c r="AC176" s="868"/>
      <c r="AD176" s="868"/>
      <c r="AE176" s="868"/>
      <c r="AF176" s="868"/>
      <c r="AG176" s="868"/>
      <c r="AH176" s="868"/>
      <c r="AI176" s="869"/>
      <c r="AJ176" s="11"/>
      <c r="AK176" s="11"/>
      <c r="AL176" s="11"/>
      <c r="AM176" s="11"/>
      <c r="AN176" s="11"/>
      <c r="AO176" s="11"/>
      <c r="AP176" s="11"/>
      <c r="AQ176" s="11"/>
    </row>
    <row r="177" spans="1:44" ht="27" customHeight="1" thickBot="1" x14ac:dyDescent="0.25">
      <c r="A177" s="24" t="s">
        <v>25</v>
      </c>
      <c r="B177" s="870" t="s">
        <v>7</v>
      </c>
      <c r="C177" s="871"/>
      <c r="D177" s="871"/>
      <c r="E177" s="871"/>
      <c r="F177" s="871"/>
      <c r="G177" s="871"/>
      <c r="H177" s="871"/>
      <c r="I177" s="871"/>
      <c r="J177" s="871"/>
      <c r="K177" s="871"/>
      <c r="L177" s="870" t="str">
        <f>IF($AK180=0,"Games Won","Matches Won")</f>
        <v>Games Won</v>
      </c>
      <c r="M177" s="871"/>
      <c r="N177" s="871"/>
      <c r="O177" s="871"/>
      <c r="P177" s="871"/>
      <c r="Q177" s="872"/>
      <c r="R177" s="870" t="str">
        <f>IF($AK180=0,"Games Lost","Matches Lost")</f>
        <v>Games Lost</v>
      </c>
      <c r="S177" s="873"/>
      <c r="T177" s="873"/>
      <c r="U177" s="873"/>
      <c r="V177" s="874"/>
      <c r="W177" s="875" t="s">
        <v>26</v>
      </c>
      <c r="X177" s="876"/>
      <c r="Y177" s="877"/>
      <c r="Z177" s="875" t="s">
        <v>27</v>
      </c>
      <c r="AA177" s="876"/>
      <c r="AB177" s="877"/>
      <c r="AC177" s="878" t="s">
        <v>28</v>
      </c>
      <c r="AD177" s="879"/>
      <c r="AE177" s="880"/>
      <c r="AF177" s="25" t="s">
        <v>29</v>
      </c>
      <c r="AG177" s="26" t="s">
        <v>6</v>
      </c>
      <c r="AH177" s="860" t="s">
        <v>30</v>
      </c>
      <c r="AI177" s="861"/>
      <c r="AJ177" s="27"/>
      <c r="AK177" s="28">
        <v>2</v>
      </c>
      <c r="AL177" s="29" t="s">
        <v>31</v>
      </c>
      <c r="AM177" s="29"/>
      <c r="AN177" s="29"/>
      <c r="AO177" s="29"/>
      <c r="AP177" s="29"/>
      <c r="AQ177" s="29"/>
      <c r="AR177" s="30"/>
    </row>
    <row r="178" spans="1:44" ht="18.75" customHeight="1" x14ac:dyDescent="0.2">
      <c r="A178" s="829" t="str">
        <f>IF($AK179&gt;0,"1","")</f>
        <v>1</v>
      </c>
      <c r="B178" s="857" t="s">
        <v>7</v>
      </c>
      <c r="C178" s="858"/>
      <c r="D178" s="859"/>
      <c r="E178" s="833" t="str">
        <f>AU5</f>
        <v>Lake Murray 15 Black</v>
      </c>
      <c r="F178" s="834"/>
      <c r="G178" s="834"/>
      <c r="H178" s="834"/>
      <c r="I178" s="834"/>
      <c r="J178" s="834"/>
      <c r="K178" s="835"/>
      <c r="L178" s="836">
        <f>IF($AK180=0,AF234,AF216)</f>
        <v>7</v>
      </c>
      <c r="M178" s="837"/>
      <c r="N178" s="837"/>
      <c r="O178" s="837"/>
      <c r="P178" s="837"/>
      <c r="Q178" s="872"/>
      <c r="R178" s="836">
        <f>IF($AK180=0,AG234,AG216)</f>
        <v>1</v>
      </c>
      <c r="S178" s="837"/>
      <c r="T178" s="837"/>
      <c r="U178" s="837"/>
      <c r="V178" s="837"/>
      <c r="W178" s="836">
        <f>AQ194</f>
        <v>34</v>
      </c>
      <c r="X178" s="837"/>
      <c r="Y178" s="837"/>
      <c r="Z178" s="809">
        <f>IF(AF228&gt;0,(AQ194/AF228),0)</f>
        <v>0.16831683168316833</v>
      </c>
      <c r="AA178" s="810"/>
      <c r="AB178" s="810"/>
      <c r="AC178" s="813">
        <f>IF(AF242=0,0,(AF234/AF242))</f>
        <v>0.875</v>
      </c>
      <c r="AD178" s="814"/>
      <c r="AE178" s="815"/>
      <c r="AF178" s="819">
        <v>1</v>
      </c>
      <c r="AG178" s="819">
        <v>1</v>
      </c>
      <c r="AH178" s="821">
        <v>3</v>
      </c>
      <c r="AI178" s="822"/>
      <c r="AJ178" s="27"/>
      <c r="AK178" s="28">
        <v>10</v>
      </c>
      <c r="AL178" s="29" t="s">
        <v>32</v>
      </c>
      <c r="AM178" s="29"/>
      <c r="AN178" s="29"/>
      <c r="AO178" s="29"/>
      <c r="AP178" s="29"/>
      <c r="AQ178" s="29"/>
      <c r="AR178" s="30"/>
    </row>
    <row r="179" spans="1:44" ht="18.75" customHeight="1" thickBot="1" x14ac:dyDescent="0.25">
      <c r="A179" s="830"/>
      <c r="B179" s="854" t="s">
        <v>8</v>
      </c>
      <c r="C179" s="855"/>
      <c r="D179" s="856"/>
      <c r="E179" s="850" t="str">
        <f>AV5</f>
        <v>fj5lakem2pm</v>
      </c>
      <c r="F179" s="851"/>
      <c r="G179" s="851"/>
      <c r="H179" s="851"/>
      <c r="I179" s="851"/>
      <c r="J179" s="851"/>
      <c r="K179" s="851"/>
      <c r="L179" s="852"/>
      <c r="M179" s="853"/>
      <c r="N179" s="853"/>
      <c r="O179" s="853"/>
      <c r="P179" s="853"/>
      <c r="Q179" s="872"/>
      <c r="R179" s="852"/>
      <c r="S179" s="853"/>
      <c r="T179" s="853"/>
      <c r="U179" s="853"/>
      <c r="V179" s="853"/>
      <c r="W179" s="852"/>
      <c r="X179" s="853"/>
      <c r="Y179" s="853"/>
      <c r="Z179" s="840"/>
      <c r="AA179" s="841"/>
      <c r="AB179" s="841"/>
      <c r="AC179" s="842"/>
      <c r="AD179" s="843"/>
      <c r="AE179" s="844"/>
      <c r="AF179" s="845"/>
      <c r="AG179" s="845"/>
      <c r="AH179" s="846"/>
      <c r="AI179" s="847"/>
      <c r="AJ179" s="27"/>
      <c r="AK179" s="28">
        <v>5</v>
      </c>
      <c r="AL179" s="29" t="s">
        <v>33</v>
      </c>
      <c r="AM179" s="27"/>
      <c r="AN179" s="27"/>
      <c r="AO179" s="27"/>
      <c r="AP179" s="27"/>
      <c r="AQ179" s="27"/>
      <c r="AR179" s="3"/>
    </row>
    <row r="180" spans="1:44" ht="18.75" customHeight="1" x14ac:dyDescent="0.2">
      <c r="A180" s="829" t="str">
        <f>IF($AK179&gt;1,"2","")</f>
        <v>2</v>
      </c>
      <c r="B180" s="857" t="s">
        <v>7</v>
      </c>
      <c r="C180" s="858"/>
      <c r="D180" s="859"/>
      <c r="E180" s="833" t="str">
        <f>AU6</f>
        <v>SC Midlands 15 Black</v>
      </c>
      <c r="F180" s="834"/>
      <c r="G180" s="834"/>
      <c r="H180" s="834"/>
      <c r="I180" s="834"/>
      <c r="J180" s="834"/>
      <c r="K180" s="835"/>
      <c r="L180" s="836">
        <f>IF($AK180=0,AF235,AF217)</f>
        <v>3</v>
      </c>
      <c r="M180" s="837"/>
      <c r="N180" s="837"/>
      <c r="O180" s="837"/>
      <c r="P180" s="837"/>
      <c r="Q180" s="872"/>
      <c r="R180" s="836">
        <f>IF($AK180=0,AG235,AG217)</f>
        <v>5</v>
      </c>
      <c r="S180" s="837"/>
      <c r="T180" s="837"/>
      <c r="U180" s="837"/>
      <c r="V180" s="837"/>
      <c r="W180" s="836">
        <f>AQ195</f>
        <v>4</v>
      </c>
      <c r="X180" s="837"/>
      <c r="Y180" s="837"/>
      <c r="Z180" s="809">
        <f>IF(AF229&gt;0,(AQ195/AF229),0)</f>
        <v>1.9607843137254902E-2</v>
      </c>
      <c r="AA180" s="810"/>
      <c r="AB180" s="810"/>
      <c r="AC180" s="813">
        <f>IF(AF243=0,0,(AF235/AF243))</f>
        <v>0.375</v>
      </c>
      <c r="AD180" s="814"/>
      <c r="AE180" s="815"/>
      <c r="AF180" s="819">
        <v>4</v>
      </c>
      <c r="AG180" s="819">
        <v>1</v>
      </c>
      <c r="AH180" s="821">
        <v>11</v>
      </c>
      <c r="AI180" s="822"/>
      <c r="AJ180" s="27"/>
      <c r="AK180" s="28">
        <v>0</v>
      </c>
      <c r="AL180" s="29" t="s">
        <v>34</v>
      </c>
      <c r="AM180" s="29"/>
      <c r="AN180" s="29"/>
      <c r="AO180" s="29"/>
      <c r="AP180" s="29"/>
      <c r="AQ180" s="29"/>
      <c r="AR180" s="30"/>
    </row>
    <row r="181" spans="1:44" ht="18.75" customHeight="1" thickBot="1" x14ac:dyDescent="0.25">
      <c r="A181" s="830"/>
      <c r="B181" s="848" t="s">
        <v>8</v>
      </c>
      <c r="C181" s="849"/>
      <c r="D181" s="849"/>
      <c r="E181" s="850" t="str">
        <f>AV6</f>
        <v>fj5scmid3pm</v>
      </c>
      <c r="F181" s="851"/>
      <c r="G181" s="851"/>
      <c r="H181" s="851"/>
      <c r="I181" s="851"/>
      <c r="J181" s="851"/>
      <c r="K181" s="851"/>
      <c r="L181" s="852"/>
      <c r="M181" s="853"/>
      <c r="N181" s="853"/>
      <c r="O181" s="853"/>
      <c r="P181" s="853"/>
      <c r="Q181" s="872"/>
      <c r="R181" s="852"/>
      <c r="S181" s="853"/>
      <c r="T181" s="853"/>
      <c r="U181" s="853"/>
      <c r="V181" s="853"/>
      <c r="W181" s="852"/>
      <c r="X181" s="853"/>
      <c r="Y181" s="853"/>
      <c r="Z181" s="840"/>
      <c r="AA181" s="841"/>
      <c r="AB181" s="841"/>
      <c r="AC181" s="842"/>
      <c r="AD181" s="843"/>
      <c r="AE181" s="844"/>
      <c r="AF181" s="845"/>
      <c r="AG181" s="845"/>
      <c r="AH181" s="846"/>
      <c r="AI181" s="847"/>
      <c r="AJ181" s="27"/>
      <c r="AK181" s="28">
        <v>1</v>
      </c>
      <c r="AL181" s="29" t="s">
        <v>35</v>
      </c>
      <c r="AM181" s="27"/>
      <c r="AN181" s="27"/>
      <c r="AO181" s="27"/>
      <c r="AP181" s="27"/>
      <c r="AQ181" s="27"/>
      <c r="AR181" s="3"/>
    </row>
    <row r="182" spans="1:44" ht="18.75" customHeight="1" x14ac:dyDescent="0.2">
      <c r="A182" s="829" t="str">
        <f>IF($AK179&gt;2,"3","")</f>
        <v>3</v>
      </c>
      <c r="B182" s="831" t="s">
        <v>7</v>
      </c>
      <c r="C182" s="832"/>
      <c r="D182" s="832"/>
      <c r="E182" s="833" t="str">
        <f>AU11</f>
        <v>OLC 15s Purple</v>
      </c>
      <c r="F182" s="834"/>
      <c r="G182" s="834"/>
      <c r="H182" s="834"/>
      <c r="I182" s="834"/>
      <c r="J182" s="834"/>
      <c r="K182" s="835"/>
      <c r="L182" s="836">
        <f>IF($AK180=0,AF236,AF218)</f>
        <v>4</v>
      </c>
      <c r="M182" s="837"/>
      <c r="N182" s="837"/>
      <c r="O182" s="837"/>
      <c r="P182" s="837"/>
      <c r="Q182" s="872"/>
      <c r="R182" s="836">
        <f>IF($AK180=0,AG236,AG218)</f>
        <v>4</v>
      </c>
      <c r="S182" s="837"/>
      <c r="T182" s="837"/>
      <c r="U182" s="837"/>
      <c r="V182" s="837"/>
      <c r="W182" s="836">
        <f>AQ196</f>
        <v>5</v>
      </c>
      <c r="X182" s="837"/>
      <c r="Y182" s="837"/>
      <c r="Z182" s="809">
        <f>IF(AF230&gt;0,(AQ196/AF230),0)</f>
        <v>2.4752475247524754E-2</v>
      </c>
      <c r="AA182" s="810"/>
      <c r="AB182" s="810"/>
      <c r="AC182" s="813">
        <f>IF(AF244=0,0,(AF236/AF244))</f>
        <v>0.5</v>
      </c>
      <c r="AD182" s="814"/>
      <c r="AE182" s="815"/>
      <c r="AF182" s="819">
        <v>3</v>
      </c>
      <c r="AG182" s="819">
        <v>1</v>
      </c>
      <c r="AH182" s="821">
        <v>7</v>
      </c>
      <c r="AI182" s="822"/>
      <c r="AJ182" s="36"/>
      <c r="AK182" s="28">
        <v>8</v>
      </c>
      <c r="AL182" s="37" t="s">
        <v>36</v>
      </c>
      <c r="AM182" s="29"/>
      <c r="AN182" s="29"/>
      <c r="AO182" s="29"/>
      <c r="AP182" s="29"/>
      <c r="AQ182" s="29"/>
      <c r="AR182" s="30"/>
    </row>
    <row r="183" spans="1:44" ht="18.75" customHeight="1" thickBot="1" x14ac:dyDescent="0.25">
      <c r="A183" s="830"/>
      <c r="B183" s="848" t="s">
        <v>8</v>
      </c>
      <c r="C183" s="849"/>
      <c r="D183" s="849"/>
      <c r="E183" s="850" t="str">
        <f>AV11</f>
        <v>fj5ladyc1pm</v>
      </c>
      <c r="F183" s="851"/>
      <c r="G183" s="851"/>
      <c r="H183" s="851"/>
      <c r="I183" s="851"/>
      <c r="J183" s="851"/>
      <c r="K183" s="851"/>
      <c r="L183" s="852"/>
      <c r="M183" s="853"/>
      <c r="N183" s="853"/>
      <c r="O183" s="853"/>
      <c r="P183" s="853"/>
      <c r="Q183" s="872"/>
      <c r="R183" s="852"/>
      <c r="S183" s="853"/>
      <c r="T183" s="853"/>
      <c r="U183" s="853"/>
      <c r="V183" s="853"/>
      <c r="W183" s="852"/>
      <c r="X183" s="853"/>
      <c r="Y183" s="853"/>
      <c r="Z183" s="840"/>
      <c r="AA183" s="841"/>
      <c r="AB183" s="841"/>
      <c r="AC183" s="842"/>
      <c r="AD183" s="843"/>
      <c r="AE183" s="844"/>
      <c r="AF183" s="845"/>
      <c r="AG183" s="845"/>
      <c r="AH183" s="846"/>
      <c r="AI183" s="847"/>
      <c r="AJ183" s="36"/>
      <c r="AK183" s="38"/>
      <c r="AL183" s="39"/>
      <c r="AM183" s="39"/>
      <c r="AN183" s="39"/>
      <c r="AO183" s="39"/>
      <c r="AP183" s="39"/>
      <c r="AQ183" s="27"/>
      <c r="AR183" s="3"/>
    </row>
    <row r="184" spans="1:44" ht="18.75" customHeight="1" x14ac:dyDescent="0.2">
      <c r="A184" s="829" t="str">
        <f>IF($AK179&gt;3,"4","")</f>
        <v>4</v>
      </c>
      <c r="B184" s="831" t="s">
        <v>7</v>
      </c>
      <c r="C184" s="832"/>
      <c r="D184" s="832"/>
      <c r="E184" s="833" t="str">
        <f>AU12</f>
        <v>Kershaw 15 Black</v>
      </c>
      <c r="F184" s="834"/>
      <c r="G184" s="834"/>
      <c r="H184" s="834"/>
      <c r="I184" s="834"/>
      <c r="J184" s="834"/>
      <c r="K184" s="835"/>
      <c r="L184" s="836">
        <f>IF($AK180=0,AF237,AF219)</f>
        <v>6</v>
      </c>
      <c r="M184" s="837"/>
      <c r="N184" s="837"/>
      <c r="O184" s="837"/>
      <c r="P184" s="837"/>
      <c r="Q184" s="872"/>
      <c r="R184" s="836">
        <f>IF($AK180=0,AG237,AG219)</f>
        <v>2</v>
      </c>
      <c r="S184" s="837"/>
      <c r="T184" s="837"/>
      <c r="U184" s="837"/>
      <c r="V184" s="837"/>
      <c r="W184" s="836">
        <f>AQ197</f>
        <v>50</v>
      </c>
      <c r="X184" s="837"/>
      <c r="Y184" s="837"/>
      <c r="Z184" s="809">
        <f>IF(AF231&gt;0,(AQ197/AF231),0)</f>
        <v>0.25</v>
      </c>
      <c r="AA184" s="810"/>
      <c r="AB184" s="810"/>
      <c r="AC184" s="813">
        <f>IF(AF245=0,0,(AF237/AF245))</f>
        <v>0.75</v>
      </c>
      <c r="AD184" s="814"/>
      <c r="AE184" s="815"/>
      <c r="AF184" s="819">
        <v>2</v>
      </c>
      <c r="AG184" s="819">
        <v>1</v>
      </c>
      <c r="AH184" s="821">
        <v>1</v>
      </c>
      <c r="AI184" s="822"/>
      <c r="AJ184" s="11"/>
      <c r="AK184" s="39"/>
      <c r="AL184" s="39"/>
      <c r="AM184" s="39"/>
      <c r="AN184" s="39"/>
      <c r="AO184" s="39"/>
      <c r="AP184" s="39"/>
      <c r="AQ184" s="29"/>
      <c r="AR184" s="30"/>
    </row>
    <row r="185" spans="1:44" ht="18.75" customHeight="1" thickBot="1" x14ac:dyDescent="0.25">
      <c r="A185" s="830"/>
      <c r="B185" s="848" t="s">
        <v>8</v>
      </c>
      <c r="C185" s="849"/>
      <c r="D185" s="849"/>
      <c r="E185" s="850" t="str">
        <f>AV12</f>
        <v>fj5kersh1pm</v>
      </c>
      <c r="F185" s="851"/>
      <c r="G185" s="851"/>
      <c r="H185" s="851"/>
      <c r="I185" s="851"/>
      <c r="J185" s="851"/>
      <c r="K185" s="851"/>
      <c r="L185" s="852"/>
      <c r="M185" s="853"/>
      <c r="N185" s="853"/>
      <c r="O185" s="853"/>
      <c r="P185" s="853"/>
      <c r="Q185" s="872"/>
      <c r="R185" s="852"/>
      <c r="S185" s="853"/>
      <c r="T185" s="853"/>
      <c r="U185" s="853"/>
      <c r="V185" s="853"/>
      <c r="W185" s="852"/>
      <c r="X185" s="853"/>
      <c r="Y185" s="853"/>
      <c r="Z185" s="840"/>
      <c r="AA185" s="841"/>
      <c r="AB185" s="841"/>
      <c r="AC185" s="842"/>
      <c r="AD185" s="843"/>
      <c r="AE185" s="844"/>
      <c r="AF185" s="845"/>
      <c r="AG185" s="845"/>
      <c r="AH185" s="846"/>
      <c r="AI185" s="847"/>
      <c r="AJ185" s="11"/>
      <c r="AK185" s="39"/>
      <c r="AL185" s="39"/>
      <c r="AM185" s="39"/>
      <c r="AN185" s="39"/>
      <c r="AO185" s="39"/>
      <c r="AP185" s="39"/>
      <c r="AQ185" s="11"/>
      <c r="AR185" s="3"/>
    </row>
    <row r="186" spans="1:44" ht="18.75" customHeight="1" x14ac:dyDescent="0.2">
      <c r="A186" s="829" t="str">
        <f>IF($AK179&gt;4,"5","")</f>
        <v>5</v>
      </c>
      <c r="B186" s="831" t="s">
        <v>7</v>
      </c>
      <c r="C186" s="832"/>
      <c r="D186" s="832"/>
      <c r="E186" s="833" t="str">
        <f>AU17</f>
        <v>Against All Odds 15 Green</v>
      </c>
      <c r="F186" s="834"/>
      <c r="G186" s="834"/>
      <c r="H186" s="834"/>
      <c r="I186" s="834"/>
      <c r="J186" s="834"/>
      <c r="K186" s="835"/>
      <c r="L186" s="836">
        <f>IF($AK180=0,AF238,AF220)</f>
        <v>0</v>
      </c>
      <c r="M186" s="837"/>
      <c r="N186" s="837"/>
      <c r="O186" s="837"/>
      <c r="P186" s="837"/>
      <c r="Q186" s="872"/>
      <c r="R186" s="836">
        <f>IF($AK180=0,AG238,AG220)</f>
        <v>8</v>
      </c>
      <c r="S186" s="837"/>
      <c r="T186" s="837"/>
      <c r="U186" s="837"/>
      <c r="V186" s="837"/>
      <c r="W186" s="836">
        <f>AQ198</f>
        <v>-93</v>
      </c>
      <c r="X186" s="837"/>
      <c r="Y186" s="837"/>
      <c r="Z186" s="809">
        <f>IF(AF232&gt;0,(AQ198/AF232),0)</f>
        <v>-0.46500000000000002</v>
      </c>
      <c r="AA186" s="810"/>
      <c r="AB186" s="810"/>
      <c r="AC186" s="813">
        <f>IF(AF246=0,0,(AF238/AF246))</f>
        <v>0</v>
      </c>
      <c r="AD186" s="814"/>
      <c r="AE186" s="815"/>
      <c r="AF186" s="819">
        <v>5</v>
      </c>
      <c r="AG186" s="819">
        <v>1</v>
      </c>
      <c r="AH186" s="821">
        <v>13</v>
      </c>
      <c r="AI186" s="822"/>
      <c r="AJ186" s="11"/>
      <c r="AK186" s="39"/>
      <c r="AL186" s="39"/>
      <c r="AM186" s="39"/>
      <c r="AN186" s="39"/>
      <c r="AO186" s="39"/>
      <c r="AP186" s="39"/>
      <c r="AQ186" s="11"/>
      <c r="AR186" s="3"/>
    </row>
    <row r="187" spans="1:44" ht="18.75" customHeight="1" thickBot="1" x14ac:dyDescent="0.25">
      <c r="A187" s="830"/>
      <c r="B187" s="825" t="s">
        <v>8</v>
      </c>
      <c r="C187" s="826"/>
      <c r="D187" s="826"/>
      <c r="E187" s="827" t="str">
        <f>AV17</f>
        <v>FJ5AAodd2pm</v>
      </c>
      <c r="F187" s="828"/>
      <c r="G187" s="828"/>
      <c r="H187" s="828"/>
      <c r="I187" s="828"/>
      <c r="J187" s="828"/>
      <c r="K187" s="828"/>
      <c r="L187" s="838"/>
      <c r="M187" s="839"/>
      <c r="N187" s="839"/>
      <c r="O187" s="839"/>
      <c r="P187" s="839"/>
      <c r="Q187" s="872"/>
      <c r="R187" s="838"/>
      <c r="S187" s="839"/>
      <c r="T187" s="839"/>
      <c r="U187" s="839"/>
      <c r="V187" s="839"/>
      <c r="W187" s="838"/>
      <c r="X187" s="839"/>
      <c r="Y187" s="839"/>
      <c r="Z187" s="811"/>
      <c r="AA187" s="812"/>
      <c r="AB187" s="812"/>
      <c r="AC187" s="816"/>
      <c r="AD187" s="817"/>
      <c r="AE187" s="818"/>
      <c r="AF187" s="820"/>
      <c r="AG187" s="820"/>
      <c r="AH187" s="823"/>
      <c r="AI187" s="824"/>
      <c r="AJ187" s="11"/>
      <c r="AK187" s="39"/>
      <c r="AL187" s="39"/>
      <c r="AM187" s="39"/>
      <c r="AN187" s="39"/>
      <c r="AO187" s="39"/>
      <c r="AP187" s="39"/>
      <c r="AQ187" s="11"/>
      <c r="AR187" s="3"/>
    </row>
    <row r="188" spans="1:44" ht="21" customHeight="1" thickTop="1" thickBot="1" x14ac:dyDescent="0.25">
      <c r="A188" s="40"/>
      <c r="B188" s="806" t="s">
        <v>168</v>
      </c>
      <c r="C188" s="807"/>
      <c r="D188" s="807"/>
      <c r="E188" s="807"/>
      <c r="F188" s="807"/>
      <c r="G188" s="807"/>
      <c r="H188" s="807"/>
      <c r="I188" s="807"/>
      <c r="J188" s="807"/>
      <c r="K188" s="807"/>
      <c r="L188" s="807"/>
      <c r="M188" s="807"/>
      <c r="N188" s="807"/>
      <c r="O188" s="807"/>
      <c r="P188" s="807"/>
      <c r="Q188" s="807"/>
      <c r="R188" s="807"/>
      <c r="S188" s="807"/>
      <c r="T188" s="807"/>
      <c r="U188" s="807"/>
      <c r="V188" s="807"/>
      <c r="W188" s="807"/>
      <c r="X188" s="807"/>
      <c r="Y188" s="807"/>
      <c r="Z188" s="807"/>
      <c r="AA188" s="807"/>
      <c r="AB188" s="807"/>
      <c r="AC188" s="807"/>
      <c r="AD188" s="807"/>
      <c r="AE188" s="807"/>
      <c r="AF188" s="807"/>
      <c r="AG188" s="807"/>
      <c r="AH188" s="807"/>
      <c r="AI188" s="808"/>
      <c r="AJ188" s="11"/>
      <c r="AK188" s="39"/>
      <c r="AL188" s="39"/>
      <c r="AM188" s="39"/>
      <c r="AN188" s="39"/>
      <c r="AO188" s="39"/>
      <c r="AP188" s="39"/>
      <c r="AQ188" s="11"/>
      <c r="AR188" s="3"/>
    </row>
    <row r="189" spans="1:44" ht="13.5" thickTop="1" x14ac:dyDescent="0.2">
      <c r="A189" s="4" t="s">
        <v>39</v>
      </c>
      <c r="B189" s="795">
        <v>0.35416666666666669</v>
      </c>
      <c r="C189" s="796"/>
      <c r="D189" s="797"/>
      <c r="E189" s="795">
        <v>0.38194444444444442</v>
      </c>
      <c r="F189" s="796"/>
      <c r="G189" s="797"/>
      <c r="H189" s="795">
        <v>0.40972222222222227</v>
      </c>
      <c r="I189" s="796"/>
      <c r="J189" s="797"/>
      <c r="K189" s="795">
        <v>0.4375</v>
      </c>
      <c r="L189" s="796"/>
      <c r="M189" s="797"/>
      <c r="N189" s="795">
        <v>0.46527777777777773</v>
      </c>
      <c r="O189" s="796"/>
      <c r="P189" s="797"/>
      <c r="Q189" s="795">
        <v>0.49305555555555558</v>
      </c>
      <c r="R189" s="796"/>
      <c r="S189" s="797"/>
      <c r="T189" s="795">
        <v>0.52083333333333337</v>
      </c>
      <c r="U189" s="796"/>
      <c r="V189" s="797"/>
      <c r="W189" s="795">
        <v>4.8611111111111112E-2</v>
      </c>
      <c r="X189" s="796"/>
      <c r="Y189" s="797"/>
      <c r="Z189" s="795">
        <v>7.6388888888888895E-2</v>
      </c>
      <c r="AA189" s="796"/>
      <c r="AB189" s="797"/>
      <c r="AC189" s="795">
        <v>0.10416666666666667</v>
      </c>
      <c r="AD189" s="796"/>
      <c r="AE189" s="797"/>
      <c r="AF189" s="798" t="s">
        <v>40</v>
      </c>
      <c r="AG189" s="799"/>
      <c r="AH189" s="799"/>
      <c r="AI189" s="799"/>
      <c r="AJ189" s="800"/>
      <c r="AK189" s="800"/>
      <c r="AL189" s="800"/>
      <c r="AM189" s="800"/>
      <c r="AN189" s="800"/>
      <c r="AO189" s="800"/>
      <c r="AP189" s="800"/>
      <c r="AQ189" s="801"/>
    </row>
    <row r="190" spans="1:44" x14ac:dyDescent="0.2">
      <c r="A190" s="41" t="s">
        <v>41</v>
      </c>
      <c r="B190" s="792">
        <v>0.35902777777777778</v>
      </c>
      <c r="C190" s="793"/>
      <c r="D190" s="794"/>
      <c r="E190" s="792">
        <v>0.37847222222222227</v>
      </c>
      <c r="F190" s="793"/>
      <c r="G190" s="794"/>
      <c r="H190" s="792">
        <v>0.41805555555555557</v>
      </c>
      <c r="I190" s="793"/>
      <c r="J190" s="794"/>
      <c r="K190" s="792">
        <v>0.4375</v>
      </c>
      <c r="L190" s="793"/>
      <c r="M190" s="794"/>
      <c r="N190" s="792">
        <v>0.48194444444444445</v>
      </c>
      <c r="O190" s="793"/>
      <c r="P190" s="794"/>
      <c r="Q190" s="792">
        <v>0.51736111111111105</v>
      </c>
      <c r="R190" s="793"/>
      <c r="S190" s="794"/>
      <c r="T190" s="792">
        <v>0.53888888888888886</v>
      </c>
      <c r="U190" s="793"/>
      <c r="V190" s="794"/>
      <c r="W190" s="792">
        <v>8.3333333333333329E-2</v>
      </c>
      <c r="X190" s="793"/>
      <c r="Y190" s="794"/>
      <c r="Z190" s="792">
        <v>0.11666666666666665</v>
      </c>
      <c r="AA190" s="793"/>
      <c r="AB190" s="794"/>
      <c r="AC190" s="792">
        <v>0.14583333333333334</v>
      </c>
      <c r="AD190" s="793"/>
      <c r="AE190" s="794"/>
      <c r="AF190" s="798"/>
      <c r="AG190" s="799"/>
      <c r="AH190" s="799"/>
      <c r="AI190" s="799"/>
      <c r="AJ190" s="799"/>
      <c r="AK190" s="799"/>
      <c r="AL190" s="799"/>
      <c r="AM190" s="799"/>
      <c r="AN190" s="799"/>
      <c r="AO190" s="799"/>
      <c r="AP190" s="799"/>
      <c r="AQ190" s="802"/>
    </row>
    <row r="191" spans="1:44" x14ac:dyDescent="0.2">
      <c r="A191" s="41" t="s">
        <v>42</v>
      </c>
      <c r="B191" s="792">
        <v>0.375</v>
      </c>
      <c r="C191" s="793"/>
      <c r="D191" s="794"/>
      <c r="E191" s="792">
        <v>0.41319444444444442</v>
      </c>
      <c r="F191" s="793"/>
      <c r="G191" s="794"/>
      <c r="H191" s="792">
        <v>0.4375</v>
      </c>
      <c r="I191" s="793"/>
      <c r="J191" s="794"/>
      <c r="K191" s="792">
        <v>0.47569444444444442</v>
      </c>
      <c r="L191" s="793"/>
      <c r="M191" s="794"/>
      <c r="N191" s="792">
        <v>0.50902777777777775</v>
      </c>
      <c r="O191" s="793"/>
      <c r="P191" s="794"/>
      <c r="Q191" s="792">
        <v>0.53472222222222221</v>
      </c>
      <c r="R191" s="793"/>
      <c r="S191" s="794"/>
      <c r="T191" s="792">
        <v>7.1527777777777787E-2</v>
      </c>
      <c r="U191" s="793"/>
      <c r="V191" s="794"/>
      <c r="W191" s="792">
        <v>0.1111111111111111</v>
      </c>
      <c r="X191" s="793"/>
      <c r="Y191" s="794"/>
      <c r="Z191" s="792">
        <v>0.14166666666666666</v>
      </c>
      <c r="AA191" s="793"/>
      <c r="AB191" s="794"/>
      <c r="AC191" s="792">
        <v>0.17430555555555557</v>
      </c>
      <c r="AD191" s="793"/>
      <c r="AE191" s="794"/>
      <c r="AF191" s="798"/>
      <c r="AG191" s="799"/>
      <c r="AH191" s="799"/>
      <c r="AI191" s="799"/>
      <c r="AJ191" s="799"/>
      <c r="AK191" s="799"/>
      <c r="AL191" s="799"/>
      <c r="AM191" s="799"/>
      <c r="AN191" s="799"/>
      <c r="AO191" s="799"/>
      <c r="AP191" s="799"/>
      <c r="AQ191" s="802"/>
    </row>
    <row r="192" spans="1:44" ht="13.5" thickBot="1" x14ac:dyDescent="0.25">
      <c r="A192" s="11"/>
      <c r="B192" s="684" t="s">
        <v>43</v>
      </c>
      <c r="C192" s="685"/>
      <c r="D192" s="691"/>
      <c r="E192" s="684" t="str">
        <f>IF(AK178&gt;1,"Match 2","")</f>
        <v>Match 2</v>
      </c>
      <c r="F192" s="685"/>
      <c r="G192" s="691"/>
      <c r="H192" s="684" t="str">
        <f>IF(AK178&gt;2,"Match 3","")</f>
        <v>Match 3</v>
      </c>
      <c r="I192" s="685"/>
      <c r="J192" s="691"/>
      <c r="K192" s="684" t="str">
        <f>IF(AK178&gt;3,"Match 4","")</f>
        <v>Match 4</v>
      </c>
      <c r="L192" s="685"/>
      <c r="M192" s="691"/>
      <c r="N192" s="684" t="str">
        <f>IF(AK178&gt;4,"Match 5","")</f>
        <v>Match 5</v>
      </c>
      <c r="O192" s="685"/>
      <c r="P192" s="691"/>
      <c r="Q192" s="684" t="str">
        <f>IF(AK178&gt;5,"Match 6","")</f>
        <v>Match 6</v>
      </c>
      <c r="R192" s="685"/>
      <c r="S192" s="691"/>
      <c r="T192" s="684" t="str">
        <f>IF(AK178&gt;6,"Match 7","")</f>
        <v>Match 7</v>
      </c>
      <c r="U192" s="685"/>
      <c r="V192" s="691"/>
      <c r="W192" s="684" t="str">
        <f>IF(AK178&gt;7,"Match 8","")</f>
        <v>Match 8</v>
      </c>
      <c r="X192" s="685"/>
      <c r="Y192" s="691"/>
      <c r="Z192" s="684" t="str">
        <f>IF(AK178&gt;8,"Match 9","")</f>
        <v>Match 9</v>
      </c>
      <c r="AA192" s="685"/>
      <c r="AB192" s="691"/>
      <c r="AC192" s="684" t="str">
        <f>IF(AK178&gt;9,"Match 10","")</f>
        <v>Match 10</v>
      </c>
      <c r="AD192" s="685"/>
      <c r="AE192" s="691"/>
      <c r="AF192" s="803"/>
      <c r="AG192" s="804"/>
      <c r="AH192" s="804"/>
      <c r="AI192" s="804"/>
      <c r="AJ192" s="804"/>
      <c r="AK192" s="804"/>
      <c r="AL192" s="804"/>
      <c r="AM192" s="804"/>
      <c r="AN192" s="804"/>
      <c r="AO192" s="804"/>
      <c r="AP192" s="804"/>
      <c r="AQ192" s="805"/>
    </row>
    <row r="193" spans="1:49" ht="15.75" x14ac:dyDescent="0.25">
      <c r="A193" s="11"/>
      <c r="B193" s="786" t="s">
        <v>44</v>
      </c>
      <c r="C193" s="787"/>
      <c r="D193" s="788"/>
      <c r="E193" s="786" t="s">
        <v>45</v>
      </c>
      <c r="F193" s="787"/>
      <c r="G193" s="788"/>
      <c r="H193" s="786" t="s">
        <v>46</v>
      </c>
      <c r="I193" s="787"/>
      <c r="J193" s="788"/>
      <c r="K193" s="786" t="s">
        <v>47</v>
      </c>
      <c r="L193" s="787"/>
      <c r="M193" s="788"/>
      <c r="N193" s="786" t="s">
        <v>48</v>
      </c>
      <c r="O193" s="787"/>
      <c r="P193" s="788"/>
      <c r="Q193" s="786" t="s">
        <v>46</v>
      </c>
      <c r="R193" s="787"/>
      <c r="S193" s="788"/>
      <c r="T193" s="786" t="s">
        <v>44</v>
      </c>
      <c r="U193" s="787"/>
      <c r="V193" s="788"/>
      <c r="W193" s="786" t="s">
        <v>48</v>
      </c>
      <c r="X193" s="787"/>
      <c r="Y193" s="788"/>
      <c r="Z193" s="786" t="s">
        <v>47</v>
      </c>
      <c r="AA193" s="787"/>
      <c r="AB193" s="788"/>
      <c r="AC193" s="786" t="s">
        <v>45</v>
      </c>
      <c r="AD193" s="787"/>
      <c r="AE193" s="788"/>
      <c r="AF193" s="42" t="s">
        <v>49</v>
      </c>
      <c r="AG193" s="43">
        <v>1</v>
      </c>
      <c r="AH193" s="43">
        <v>2</v>
      </c>
      <c r="AI193" s="43">
        <v>3</v>
      </c>
      <c r="AJ193" s="43">
        <v>4</v>
      </c>
      <c r="AK193" s="43">
        <v>5</v>
      </c>
      <c r="AL193" s="43">
        <v>6</v>
      </c>
      <c r="AM193" s="43">
        <v>7</v>
      </c>
      <c r="AN193" s="43">
        <v>8</v>
      </c>
      <c r="AO193" s="43">
        <v>9</v>
      </c>
      <c r="AP193" s="43">
        <v>10</v>
      </c>
      <c r="AQ193" s="44" t="s">
        <v>50</v>
      </c>
    </row>
    <row r="194" spans="1:49" ht="15.75" x14ac:dyDescent="0.25">
      <c r="A194" s="11"/>
      <c r="B194" s="45">
        <v>2</v>
      </c>
      <c r="C194" s="46" t="s">
        <v>51</v>
      </c>
      <c r="D194" s="47">
        <v>5</v>
      </c>
      <c r="E194" s="45">
        <v>1</v>
      </c>
      <c r="F194" s="46" t="str">
        <f>IF(AK178&gt;1,"v","")</f>
        <v>v</v>
      </c>
      <c r="G194" s="47">
        <v>4</v>
      </c>
      <c r="H194" s="45">
        <v>3</v>
      </c>
      <c r="I194" s="46" t="str">
        <f>IF(AK178&gt;2,"v","")</f>
        <v>v</v>
      </c>
      <c r="J194" s="47">
        <v>5</v>
      </c>
      <c r="K194" s="45">
        <v>2</v>
      </c>
      <c r="L194" s="46" t="str">
        <f>IF(AK178&gt;3,"v","")</f>
        <v>v</v>
      </c>
      <c r="M194" s="47">
        <v>4</v>
      </c>
      <c r="N194" s="45">
        <v>1</v>
      </c>
      <c r="O194" s="46" t="str">
        <f>IF(AK178&gt;4,"v","")</f>
        <v>v</v>
      </c>
      <c r="P194" s="47">
        <v>3</v>
      </c>
      <c r="Q194" s="45">
        <v>4</v>
      </c>
      <c r="R194" s="46" t="str">
        <f>IF(AK178&gt;5,"v","")</f>
        <v>v</v>
      </c>
      <c r="S194" s="47">
        <v>5</v>
      </c>
      <c r="T194" s="45">
        <v>2</v>
      </c>
      <c r="U194" s="46" t="str">
        <f>IF(AK178&gt;6,"v","")</f>
        <v>v</v>
      </c>
      <c r="V194" s="47">
        <v>3</v>
      </c>
      <c r="W194" s="45">
        <v>1</v>
      </c>
      <c r="X194" s="46" t="str">
        <f>IF(AK178&gt;7,"v","")</f>
        <v>v</v>
      </c>
      <c r="Y194" s="47">
        <v>5</v>
      </c>
      <c r="Z194" s="45">
        <v>3</v>
      </c>
      <c r="AA194" s="46" t="str">
        <f>IF(AK178&gt;8,"v","")</f>
        <v>v</v>
      </c>
      <c r="AB194" s="47">
        <v>4</v>
      </c>
      <c r="AC194" s="45">
        <v>1</v>
      </c>
      <c r="AD194" s="46" t="str">
        <f>IF(AK178&gt;9,"v","")</f>
        <v>v</v>
      </c>
      <c r="AE194" s="47">
        <v>2</v>
      </c>
      <c r="AF194" s="42" t="str">
        <f>IF(AK179&gt;0,"Team 1","")</f>
        <v>Team 1</v>
      </c>
      <c r="AG194" s="48" t="str">
        <f>IF(AK179&lt;1,"",IF(AK178&lt;1,"",IF(B194=1,B200-D200,IF(D194=1,D200-B200,""))))</f>
        <v/>
      </c>
      <c r="AH194" s="48">
        <f>IF(AK179&lt;1,"",IF(AK178&lt;2,"",IF(E194=1,E200-G200,IF(G194=1,G200-E200,""))))</f>
        <v>8</v>
      </c>
      <c r="AI194" s="48" t="str">
        <f>IF(AK179&lt;1,"",IF(AK178&lt;3,"",IF(H194=1,H200-J200,IF(J194=1,J200-H200,""))))</f>
        <v/>
      </c>
      <c r="AJ194" s="48" t="str">
        <f>IF(AK179&lt;1,"",IF(AK178&lt;4,"",IF(K194=1,K200-M200,IF(M194=1,M200-K200,""))))</f>
        <v/>
      </c>
      <c r="AK194" s="48">
        <f>IF(AK179&lt;1,"",IF(AK178&lt;5,"",IF(N194=1,N200-P200,IF(P194=1,P200-N200,""))))</f>
        <v>-10</v>
      </c>
      <c r="AL194" s="48" t="str">
        <f>IF(AK179&lt;1,"",IF(AK178&lt;6,"",IF(Q194=1,Q200-S200,IF(S194=1,S200-Q200,""))))</f>
        <v/>
      </c>
      <c r="AM194" s="48" t="str">
        <f>IF(AK179&lt;1,"",IF(AK178&lt;7,"",IF(T194=1,T200-V200,IF(V194=1,V200-T200,""))))</f>
        <v/>
      </c>
      <c r="AN194" s="48">
        <f>IF(AK179&lt;1,"",IF(AK178&lt;8,"",IF(W194=1,W200-Y200,IF(Y194=1,Y200-W200,""))))</f>
        <v>28</v>
      </c>
      <c r="AO194" s="48" t="str">
        <f>IF(AK179&lt;1,"",IF(AK178&lt;9,"",IF(Z194=1,Z200-AB200,IF(AB194=1,AB200-Z200,""))))</f>
        <v/>
      </c>
      <c r="AP194" s="48">
        <f>IF(AK179&lt;1,"",IF(AK178&lt;10,"",IF(AC194=1,AC200-AE200,IF(AE194=1,AE200-AC200,""))))</f>
        <v>8</v>
      </c>
      <c r="AQ194" s="44">
        <f>SUM(AG194:AP194)</f>
        <v>34</v>
      </c>
    </row>
    <row r="195" spans="1:49" ht="15" x14ac:dyDescent="0.2">
      <c r="A195" s="4" t="s">
        <v>52</v>
      </c>
      <c r="B195" s="49">
        <v>25</v>
      </c>
      <c r="C195" s="50" t="s">
        <v>53</v>
      </c>
      <c r="D195" s="51">
        <v>18</v>
      </c>
      <c r="E195" s="49">
        <v>25</v>
      </c>
      <c r="F195" s="50" t="str">
        <f>IF(AK178&gt;1,"/","")</f>
        <v>/</v>
      </c>
      <c r="G195" s="51">
        <v>22</v>
      </c>
      <c r="H195" s="49">
        <v>25</v>
      </c>
      <c r="I195" s="50" t="str">
        <f>IF(AK178&gt;2,"/","")</f>
        <v>/</v>
      </c>
      <c r="J195" s="51">
        <v>18</v>
      </c>
      <c r="K195" s="49">
        <v>16</v>
      </c>
      <c r="L195" s="50" t="str">
        <f>IF(AK178&gt;3,"/","")</f>
        <v>/</v>
      </c>
      <c r="M195" s="51">
        <v>25</v>
      </c>
      <c r="N195" s="49">
        <v>25</v>
      </c>
      <c r="O195" s="50" t="str">
        <f>IF(AK178&gt;4,"/","")</f>
        <v>/</v>
      </c>
      <c r="P195" s="51">
        <v>22</v>
      </c>
      <c r="Q195" s="49">
        <v>25</v>
      </c>
      <c r="R195" s="50" t="str">
        <f>IF(AK178&gt;5,"/","")</f>
        <v>/</v>
      </c>
      <c r="S195" s="51">
        <v>13</v>
      </c>
      <c r="T195" s="49">
        <v>25</v>
      </c>
      <c r="U195" s="50" t="str">
        <f>IF(AK178&gt;6,"/","")</f>
        <v>/</v>
      </c>
      <c r="V195" s="51">
        <v>18</v>
      </c>
      <c r="W195" s="49">
        <v>25</v>
      </c>
      <c r="X195" s="50" t="str">
        <f>IF(AK178&gt;7,"/","")</f>
        <v>/</v>
      </c>
      <c r="Y195" s="51">
        <v>12</v>
      </c>
      <c r="Z195" s="49">
        <v>20</v>
      </c>
      <c r="AA195" s="50" t="str">
        <f>IF(AK178&gt;8,"/","")</f>
        <v>/</v>
      </c>
      <c r="AB195" s="51">
        <v>25</v>
      </c>
      <c r="AC195" s="49">
        <v>25</v>
      </c>
      <c r="AD195" s="50" t="str">
        <f>IF(AK178&gt;9,"/","")</f>
        <v>/</v>
      </c>
      <c r="AE195" s="51">
        <v>19</v>
      </c>
      <c r="AF195" s="42" t="str">
        <f>IF(AK179&gt;1,"Team 2","")</f>
        <v>Team 2</v>
      </c>
      <c r="AG195" s="48">
        <f>IF(AK179&lt;2,"",IF(AK178&lt;1,"",IF(B194=2,B200-D200,IF(D194=2,D200-B200,""))))</f>
        <v>23</v>
      </c>
      <c r="AH195" s="48" t="str">
        <f>IF(AK179&lt;2,"",IF(AK178&lt;2,"",IF(E194=2,E200-G200,IF(G194=2,G200-E200,""))))</f>
        <v/>
      </c>
      <c r="AI195" s="48" t="str">
        <f>IF(AK179&lt;2,"",IF(AK178&lt;3,"",IF(H194=2,H200-J200,IF(J194=2,J200-H200,""))))</f>
        <v/>
      </c>
      <c r="AJ195" s="48">
        <f>IF(AK179&lt;2,"",IF(AK178&lt;4,"",IF(K194=2,K200-M200,IF(M194=2,M200-K200,""))))</f>
        <v>-17</v>
      </c>
      <c r="AK195" s="48" t="str">
        <f>IF(AK179&lt;2,"",IF(AK178&lt;5,"",IF(N194=2,N200-P200,IF(P194=2,P200-N200,""))))</f>
        <v/>
      </c>
      <c r="AL195" s="48" t="str">
        <f>IF(AK179&lt;2,"",IF(AK178&lt;6,"",IF(Q194=2,Q200-S200,IF(S194=2,S200-Q200,""))))</f>
        <v/>
      </c>
      <c r="AM195" s="48">
        <f>IF(AK179&lt;2,"",IF(AK178&lt;7,"",IF(T194=2,T200-V200,IF(V194=2,V200-T200,""))))</f>
        <v>6</v>
      </c>
      <c r="AN195" s="48" t="str">
        <f>IF(AK179&lt;2,"",IF(AK178&lt;8,"",IF(W194=2,W200-Y200,IF(Y194=2,Y200-W200,""))))</f>
        <v/>
      </c>
      <c r="AO195" s="48" t="str">
        <f>IF(AK179&lt;2,"",IF(AK178&lt;9,"",IF(Z194=2,Z200-AB200,IF(AB194=2,AB200-Z200,""))))</f>
        <v/>
      </c>
      <c r="AP195" s="48">
        <f>IF(AK179&lt;2,"",IF(AK178&lt;10,"",IF(AC194=2,AC200-AE200,IF(AE194=2,AE200-AC200,""))))</f>
        <v>-8</v>
      </c>
      <c r="AQ195" s="44">
        <f>SUM(AG195:AP195)</f>
        <v>4</v>
      </c>
    </row>
    <row r="196" spans="1:49" ht="15" x14ac:dyDescent="0.2">
      <c r="A196" s="3" t="str">
        <f>IF(AK177&gt;1,"Game 2","")</f>
        <v>Game 2</v>
      </c>
      <c r="B196" s="49">
        <v>25</v>
      </c>
      <c r="C196" s="50" t="s">
        <v>53</v>
      </c>
      <c r="D196" s="51">
        <v>9</v>
      </c>
      <c r="E196" s="49">
        <v>25</v>
      </c>
      <c r="F196" s="50" t="str">
        <f>IF(AK178&gt;1,IF(AK177&gt;1,"/",""),"")</f>
        <v>/</v>
      </c>
      <c r="G196" s="51">
        <v>20</v>
      </c>
      <c r="H196" s="49">
        <v>25</v>
      </c>
      <c r="I196" s="50" t="str">
        <f>IF(AK178&gt;2,IF(AK177&gt;1,"/",""),"")</f>
        <v>/</v>
      </c>
      <c r="J196" s="51">
        <v>12</v>
      </c>
      <c r="K196" s="49">
        <v>17</v>
      </c>
      <c r="L196" s="50" t="str">
        <f>IF(AK178&gt;3,IF(AK177&gt;1,"/",""),"")</f>
        <v>/</v>
      </c>
      <c r="M196" s="51">
        <v>25</v>
      </c>
      <c r="N196" s="49">
        <v>12</v>
      </c>
      <c r="O196" s="50" t="str">
        <f>IF(AK178&gt;4,IF(AK177&gt;1,"/",""),"")</f>
        <v>/</v>
      </c>
      <c r="P196" s="51">
        <v>25</v>
      </c>
      <c r="Q196" s="49">
        <v>25</v>
      </c>
      <c r="R196" s="50" t="str">
        <f>IF(AK178&gt;5,IF(AK177&gt;1,"/",""),"")</f>
        <v>/</v>
      </c>
      <c r="S196" s="51">
        <v>15</v>
      </c>
      <c r="T196" s="49">
        <v>26</v>
      </c>
      <c r="U196" s="50" t="str">
        <f>IF(AK178&gt;6,IF(AK177&gt;1,"/",""),"")</f>
        <v>/</v>
      </c>
      <c r="V196" s="51">
        <v>27</v>
      </c>
      <c r="W196" s="49">
        <v>25</v>
      </c>
      <c r="X196" s="50" t="str">
        <f>IF(AK178&gt;7,IF(AK177&gt;1,"/",""),"")</f>
        <v>/</v>
      </c>
      <c r="Y196" s="51">
        <v>10</v>
      </c>
      <c r="Z196" s="49">
        <v>11</v>
      </c>
      <c r="AA196" s="50" t="str">
        <f>IF(AK178&gt;8,IF(AK177&gt;1,"/",""),"")</f>
        <v>/</v>
      </c>
      <c r="AB196" s="51">
        <v>25</v>
      </c>
      <c r="AC196" s="49">
        <v>27</v>
      </c>
      <c r="AD196" s="50" t="str">
        <f>IF(AK178&gt;9,IF(AK177&gt;1,"/",""),"")</f>
        <v>/</v>
      </c>
      <c r="AE196" s="51">
        <v>25</v>
      </c>
      <c r="AF196" s="42" t="str">
        <f>IF(AK179&gt;2,"Team 3","")</f>
        <v>Team 3</v>
      </c>
      <c r="AG196" s="48" t="str">
        <f>IF(AK179&lt;3,"",IF(AK178&lt;1,"",IF(B194=3,B200-D200,IF(D194=3,D200-B200,""))))</f>
        <v/>
      </c>
      <c r="AH196" s="48" t="str">
        <f>IF(AK179&lt;3,"",IF(AK178&lt;2,"",IF(E194=3,E200-G200,IF(G194=3,G200-E200,""))))</f>
        <v/>
      </c>
      <c r="AI196" s="48">
        <f>IF(AK179&lt;3,"",IF(AK178&lt;3,"",IF(H194=3,H200-J200,IF(J194=3,J200-H200,""))))</f>
        <v>20</v>
      </c>
      <c r="AJ196" s="48" t="str">
        <f>IF(AK179&lt;3,"",IF(AK178&lt;4,"",IF(K194=3,K200-M200,IF(M194=3,M200-K200,""))))</f>
        <v/>
      </c>
      <c r="AK196" s="48">
        <f>IF(AK179&lt;3,"",IF(AK178&lt;5,"",IF(N194=3,N200-P200,IF(P194=3,P200-N200,""))))</f>
        <v>10</v>
      </c>
      <c r="AL196" s="48" t="str">
        <f>IF(AK179&lt;3,"",IF(AK178&lt;6,"",IF(Q194=3,Q200-S200,IF(S194=3,S200-Q200,""))))</f>
        <v/>
      </c>
      <c r="AM196" s="48">
        <f>IF(AK179&lt;3,"",IF(AK178&lt;7,"",IF(T194=3,T200-V200,IF(V194=3,V200-T200,""))))</f>
        <v>-6</v>
      </c>
      <c r="AN196" s="48" t="str">
        <f>IF(AK179&lt;3,"",IF(AK178&lt;8,"",IF(W194=3,W200-Y200,IF(Y194=3,Y200-W200,""))))</f>
        <v/>
      </c>
      <c r="AO196" s="48">
        <f>IF(AK179&lt;3,"",IF(AK178&lt;9,"",IF(Z194=3,Z200-AB200,IF(AB194=3,AB200-Z200,""))))</f>
        <v>-19</v>
      </c>
      <c r="AP196" s="48" t="str">
        <f>IF(AK179&lt;3,"",IF(AK178&lt;9,"",IF(AC194=3,AC200-AE200,IF(AE194=3,AE200-AC200,""))))</f>
        <v/>
      </c>
      <c r="AQ196" s="44">
        <f>SUM(AG196:AP196)</f>
        <v>5</v>
      </c>
    </row>
    <row r="197" spans="1:49" ht="15" x14ac:dyDescent="0.2">
      <c r="A197" s="3" t="str">
        <f>IF(AK177&gt;2,"Game 3","")</f>
        <v/>
      </c>
      <c r="B197" s="49"/>
      <c r="C197" s="50" t="s">
        <v>53</v>
      </c>
      <c r="D197" s="51"/>
      <c r="E197" s="49"/>
      <c r="F197" s="50" t="str">
        <f>IF(AK178&gt;1,IF(AK177&gt;2,"/",""),"")</f>
        <v/>
      </c>
      <c r="G197" s="51"/>
      <c r="H197" s="49"/>
      <c r="I197" s="50" t="str">
        <f>IF(AK178&gt;2,IF(AK177&gt;2,"/",""),"")</f>
        <v/>
      </c>
      <c r="J197" s="51"/>
      <c r="K197" s="49"/>
      <c r="L197" s="50" t="str">
        <f>IF(AK178&gt;3,IF(AK177&gt;2,"/",""),"")</f>
        <v/>
      </c>
      <c r="M197" s="51"/>
      <c r="N197" s="49"/>
      <c r="O197" s="50" t="str">
        <f>IF(AK178&gt;4,IF(AK177&gt;2,"/",""),"")</f>
        <v/>
      </c>
      <c r="P197" s="51"/>
      <c r="Q197" s="49"/>
      <c r="R197" s="50" t="str">
        <f>IF(AK178&gt;5,IF(AK177&gt;2,"/",""),"")</f>
        <v/>
      </c>
      <c r="S197" s="51"/>
      <c r="T197" s="49"/>
      <c r="U197" s="50" t="str">
        <f>IF(AK178&gt;6,IF(AK177&gt;2,"/",""),"")</f>
        <v/>
      </c>
      <c r="V197" s="51"/>
      <c r="W197" s="49"/>
      <c r="X197" s="50" t="str">
        <f>IF(AK178&gt;7,IF(AK177&gt;2,"/",""),"")</f>
        <v/>
      </c>
      <c r="Y197" s="51"/>
      <c r="Z197" s="49"/>
      <c r="AA197" s="50" t="str">
        <f>IF(AK178&gt;8,IF(AK177&gt;2,"/",""),"")</f>
        <v/>
      </c>
      <c r="AB197" s="51"/>
      <c r="AC197" s="49"/>
      <c r="AD197" s="50" t="str">
        <f>IF(AK178&gt;9,IF(AK177&gt;2,"/",""),"")</f>
        <v/>
      </c>
      <c r="AE197" s="51"/>
      <c r="AF197" s="42" t="str">
        <f>IF(AK179&gt;3,"Team 4","")</f>
        <v>Team 4</v>
      </c>
      <c r="AG197" s="48" t="str">
        <f>IF(AK179&lt;4,"",IF(AK178&lt;1,"",IF(B194=4,B200-D200,IF(D194=4,D200-B200,""))))</f>
        <v/>
      </c>
      <c r="AH197" s="48">
        <f>IF(AK179&lt;4,"",IF(AK178&lt;2,"",IF(E194=4,E200-G200,IF(G194=4,G200-E200,""))))</f>
        <v>-8</v>
      </c>
      <c r="AI197" s="48" t="str">
        <f>IF(AK179&lt;4,"",IF(AK178&lt;3,"",IF(H194=4,H200-J200,IF(J194=4,J200-H200,""))))</f>
        <v/>
      </c>
      <c r="AJ197" s="48">
        <f>IF(AK179&lt;4,"",IF(AK178&lt;4,"",IF(K194=4,K200-M200,IF(M194=4,M200-K200,""))))</f>
        <v>17</v>
      </c>
      <c r="AK197" s="48" t="str">
        <f>IF(AK179&lt;4,"",IF(AK178&lt;5,"",IF(N194=4,N200-P200,IF(P194=4,P200-N200,""))))</f>
        <v/>
      </c>
      <c r="AL197" s="48">
        <f>IF(AK179&lt;4,"",IF(AK178&lt;6,"",IF(Q194=4,Q200-S200,IF(S194=4,S200-Q200,""))))</f>
        <v>22</v>
      </c>
      <c r="AM197" s="48" t="str">
        <f>IF(AK179&lt;4,"",IF(AK178&lt;7,"",IF(T194=4,T200-V200,IF(V194=4,V200-T200,""))))</f>
        <v/>
      </c>
      <c r="AN197" s="48" t="str">
        <f>IF(AK179&lt;4,"",IF(AK178&lt;8,"",IF(W194=4,W200-Y200,IF(Y194=4,Y200-W200,""))))</f>
        <v/>
      </c>
      <c r="AO197" s="48">
        <f>IF(AK179&lt;4,"",IF(AK178&lt;9,"",IF(Z194=4,Z200-AB200,IF(AB194=4,AB200-Z200,""))))</f>
        <v>19</v>
      </c>
      <c r="AP197" s="48" t="str">
        <f>IF(AK179&lt;4,"",IF(AK178&lt;10,"",IF(AC194=4,AC200-AE200,IF(AE194=4,AE200-AC200,""))))</f>
        <v/>
      </c>
      <c r="AQ197" s="44">
        <f>SUM(AG197:AP197)</f>
        <v>50</v>
      </c>
    </row>
    <row r="198" spans="1:49" ht="15" x14ac:dyDescent="0.2">
      <c r="A198" s="3" t="str">
        <f>IF(AK177&gt;3,"Game 4","")</f>
        <v/>
      </c>
      <c r="B198" s="49"/>
      <c r="C198" s="50" t="s">
        <v>53</v>
      </c>
      <c r="D198" s="51"/>
      <c r="E198" s="49"/>
      <c r="F198" s="50" t="str">
        <f>IF(AK178&gt;1,IF(AK177&gt;3,"/",""),"")</f>
        <v/>
      </c>
      <c r="G198" s="51"/>
      <c r="H198" s="49"/>
      <c r="I198" s="50" t="str">
        <f>IF(AK178&gt;2,IF(AK177&gt;3,"/",""),"")</f>
        <v/>
      </c>
      <c r="J198" s="51"/>
      <c r="K198" s="49"/>
      <c r="L198" s="50" t="str">
        <f>IF(AK178&gt;3,IF(AK177&gt;3,"/",""),"")</f>
        <v/>
      </c>
      <c r="M198" s="51"/>
      <c r="N198" s="49"/>
      <c r="O198" s="50" t="str">
        <f>IF(AK178&gt;4,IF(AK177&gt;3,"/",""),"")</f>
        <v/>
      </c>
      <c r="P198" s="51"/>
      <c r="Q198" s="49"/>
      <c r="R198" s="50" t="str">
        <f>IF(AK178&gt;5,IF(AK177&gt;3,"/",""),"")</f>
        <v/>
      </c>
      <c r="S198" s="51"/>
      <c r="T198" s="49"/>
      <c r="U198" s="50" t="str">
        <f>IF(AK178&gt;6,IF(AK177&gt;3,"/",""),"")</f>
        <v/>
      </c>
      <c r="V198" s="51"/>
      <c r="W198" s="49"/>
      <c r="X198" s="50" t="str">
        <f>IF(AK178&gt;7,IF(AK177&gt;3,"/",""),"")</f>
        <v/>
      </c>
      <c r="Y198" s="51"/>
      <c r="Z198" s="49"/>
      <c r="AA198" s="50" t="str">
        <f>IF(AK178&gt;8,IF(AK177&gt;3,"/",""),"")</f>
        <v/>
      </c>
      <c r="AB198" s="51"/>
      <c r="AC198" s="49"/>
      <c r="AD198" s="50" t="str">
        <f>IF(AK178&gt;9,IF(AK177&gt;3,"/",""),"")</f>
        <v/>
      </c>
      <c r="AE198" s="51"/>
      <c r="AF198" s="42" t="str">
        <f>IF(AK179&gt;4,"Team 5","")</f>
        <v>Team 5</v>
      </c>
      <c r="AG198" s="52">
        <f>IF(AK179&lt;5,"",IF(AK178&lt;1,"",IF(B194=5,B200-D200,IF(D194=5,D200-B200,""))))</f>
        <v>-23</v>
      </c>
      <c r="AH198" s="48" t="str">
        <f>IF(AK179&lt;5,"",IF(AK178&lt;2,"",IF(E194=5,E200-G200,IF(G194=5,G200-E200,""))))</f>
        <v/>
      </c>
      <c r="AI198" s="48">
        <f>IF(AK179&lt;5,"",IF(AK178&lt;3,"",IF(H194=5,H200-J200,IF(J194=5,J200-H200,""))))</f>
        <v>-20</v>
      </c>
      <c r="AJ198" s="48" t="str">
        <f>IF(AK179&lt;5,"",IF(AK178&lt;4,"",IF(K194=5,K200-M200,IF(M194=5,M200-K200,""))))</f>
        <v/>
      </c>
      <c r="AK198" s="48" t="str">
        <f>IF(AK179&lt;5,"",IF(AK178&lt;5,"",IF(N194=5,N200-P200,IF(P194=5,P200-N200,""))))</f>
        <v/>
      </c>
      <c r="AL198" s="48">
        <f>IF(AK179&lt;5,"",IF(AK178&lt;6,"",IF(Q194=5,Q200-S200,IF(S194=5,S200-Q200,""))))</f>
        <v>-22</v>
      </c>
      <c r="AM198" s="48" t="str">
        <f>IF(AK179&lt;5,"",IF(AK178&lt;7,"",IF(T194=5,T200-V200,IF(V194=5,V200-T200,""))))</f>
        <v/>
      </c>
      <c r="AN198" s="48">
        <f>IF(AK179&lt;5,"",IF(AK178&lt;8,"",IF(W194=5,W200-Y200,IF(Y194=5,Y200-W200,""))))</f>
        <v>-28</v>
      </c>
      <c r="AO198" s="48" t="str">
        <f>IF(AK179&lt;5,"",IF(AK178&lt;9,"",IF(Z194=5,Z200-AB200,IF(AB194=5,AB200-Z200,""))))</f>
        <v/>
      </c>
      <c r="AP198" s="48" t="str">
        <f>IF(AK179&lt;5,"",IF(AK178&lt;10,"",IF(AC194=5,AC200-AE200,IF(AE194=5,AE200-AC200,""))))</f>
        <v/>
      </c>
      <c r="AQ198" s="44">
        <f>SUM(AG198:AP198)</f>
        <v>-93</v>
      </c>
    </row>
    <row r="199" spans="1:49" ht="15" x14ac:dyDescent="0.2">
      <c r="A199" s="3" t="str">
        <f>IF(AK177&gt;4,"Game 5","")</f>
        <v/>
      </c>
      <c r="B199" s="49"/>
      <c r="C199" s="50" t="s">
        <v>53</v>
      </c>
      <c r="D199" s="51"/>
      <c r="E199" s="49"/>
      <c r="F199" s="50" t="str">
        <f>IF(AK178&gt;1,IF(AK177&gt;4,"/",""),"")</f>
        <v/>
      </c>
      <c r="G199" s="51"/>
      <c r="H199" s="49"/>
      <c r="I199" s="50" t="str">
        <f>IF(AK178&gt;2,IF(AK177&gt;4,"/",""),"")</f>
        <v/>
      </c>
      <c r="J199" s="51"/>
      <c r="K199" s="49"/>
      <c r="L199" s="50" t="str">
        <f>IF(AK178&gt;3,IF(AK177&gt;4,"/",""),"")</f>
        <v/>
      </c>
      <c r="M199" s="51"/>
      <c r="N199" s="49"/>
      <c r="O199" s="50" t="str">
        <f>IF(AK178&gt;4,IF(AK177&gt;4,"/",""),"")</f>
        <v/>
      </c>
      <c r="P199" s="51"/>
      <c r="Q199" s="49"/>
      <c r="R199" s="50" t="str">
        <f>IF(AK178&gt;5,IF(AK177&gt;4,"/",""),"")</f>
        <v/>
      </c>
      <c r="S199" s="51"/>
      <c r="T199" s="49"/>
      <c r="U199" s="50" t="str">
        <f>IF(AK178&gt;6,IF(AK177&gt;4,"/",""),"")</f>
        <v/>
      </c>
      <c r="V199" s="51"/>
      <c r="W199" s="49"/>
      <c r="X199" s="50" t="str">
        <f>IF(AK178&gt;7,IF(AK177&gt;4,"/",""),"")</f>
        <v/>
      </c>
      <c r="Y199" s="51"/>
      <c r="Z199" s="49"/>
      <c r="AA199" s="50" t="str">
        <f>IF(AK178&gt;8,IF(AK177&gt;4,"/",""),"")</f>
        <v/>
      </c>
      <c r="AB199" s="51"/>
      <c r="AC199" s="49"/>
      <c r="AD199" s="50" t="str">
        <f>IF(AK178&gt;9,IF(AK177&gt;4,"/",""),"")</f>
        <v/>
      </c>
      <c r="AE199" s="5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</row>
    <row r="200" spans="1:49" hidden="1" x14ac:dyDescent="0.2">
      <c r="A200" s="53"/>
      <c r="B200" s="53">
        <f>IF($AK177=5,SUM(B195:B199),IF($AK177=4,SUM(B195:B198),IF($AK177=3,SUM(B195:B197),IF($AK177=2,SUM(B195:B196),B195))))</f>
        <v>50</v>
      </c>
      <c r="C200" s="53"/>
      <c r="D200" s="53">
        <f>IF($AK177=5,SUM(D195:D199),IF($AK177=4,SUM(D195:D198),IF($AK177=3,SUM(D195:D197),IF($AK177=2,SUM(D195:D196),D195))))</f>
        <v>27</v>
      </c>
      <c r="E200" s="53">
        <f>IF($AK177=5,SUM(E195:E199),IF($AK177=4,SUM(E195:E198),IF($AK177=3,SUM(E195:E197),IF($AK177=2,SUM(E195:E196),E195))))</f>
        <v>50</v>
      </c>
      <c r="F200" s="53"/>
      <c r="G200" s="53">
        <f>IF($AK177=5,SUM(G195:G199),IF($AK177=4,SUM(G195:G198),IF($AK177=3,SUM(G195:G197),IF($AK177=2,SUM(G195:G196),G195))))</f>
        <v>42</v>
      </c>
      <c r="H200" s="53">
        <f>IF($AK177=5,SUM(H195:H199),IF($AK177=4,SUM(H195:H198),IF($AK177=3,SUM(H195:H197),IF($AK177=2,SUM(H195:H196),H195))))</f>
        <v>50</v>
      </c>
      <c r="I200" s="53"/>
      <c r="J200" s="53">
        <f>IF($AK177=5,SUM(J195:J199),IF($AK177=4,SUM(J195:J198),IF($AK177=3,SUM(J195:J197),IF($AK177=2,SUM(J195:J196),J195))))</f>
        <v>30</v>
      </c>
      <c r="K200" s="53">
        <f>IF($AK177=5,SUM(K195:K199),IF($AK177=4,SUM(K195:K198),IF($AK177=3,SUM(K195:K197),IF($AK177=2,SUM(K195:K196),K195))))</f>
        <v>33</v>
      </c>
      <c r="L200" s="53"/>
      <c r="M200" s="53">
        <f>IF($AK177=5,SUM(M195:M199),IF($AK177=4,SUM(M195:M198),IF($AK177=3,SUM(M195:M197),IF($AK177=2,SUM(M195:M196),M195))))</f>
        <v>50</v>
      </c>
      <c r="N200" s="53">
        <f>IF($AK177=5,SUM(N195:N199),IF($AK177=4,SUM(N195:N198),IF($AK177=3,SUM(N195:N197),IF($AK177=2,SUM(N195:N196),N195))))</f>
        <v>37</v>
      </c>
      <c r="O200" s="53"/>
      <c r="P200" s="53">
        <f>IF($AK177=5,SUM(P195:P199),IF($AK177=4,SUM(P195:P198),IF($AK177=3,SUM(P195:P197),IF($AK177=2,SUM(P195:P196),P195))))</f>
        <v>47</v>
      </c>
      <c r="Q200" s="53">
        <f>IF($AK177=5,SUM(Q195:Q199),IF($AK177=4,SUM(Q195:Q198),IF($AK177=3,SUM(Q195:Q197),IF($AK177=2,SUM(Q195:Q196),Q195))))</f>
        <v>50</v>
      </c>
      <c r="R200" s="53"/>
      <c r="S200" s="53">
        <f>IF($AK177=5,SUM(S195:S199),IF($AK177=4,SUM(S195:S198),IF($AK177=3,SUM(S195:S197),IF($AK177=2,SUM(S195:S196),S195))))</f>
        <v>28</v>
      </c>
      <c r="T200" s="53">
        <f>IF($AK177=5,SUM(T195:T199),IF($AK177=4,SUM(T195:T198),IF($AK177=3,SUM(T195:T197),IF($AK177=2,SUM(T195:T196),T195))))</f>
        <v>51</v>
      </c>
      <c r="U200" s="53"/>
      <c r="V200" s="53">
        <f>IF($AK177=5,SUM(V195:V199),IF($AK177=4,SUM(V195:V198),IF($AK177=3,SUM(V195:V197),IF($AK177=2,SUM(V195:V196),V195))))</f>
        <v>45</v>
      </c>
      <c r="W200" s="53">
        <f>IF($AK177=5,SUM(W195:W199),IF($AK177=4,SUM(W195:W198),IF($AK177=3,SUM(W195:W197),IF($AK177=2,SUM(W195:W196),W195))))</f>
        <v>50</v>
      </c>
      <c r="X200" s="53"/>
      <c r="Y200" s="53">
        <f>IF($AK177=5,SUM(Y195:Y199),IF($AK177=4,SUM(Y195:Y198),IF($AK177=3,SUM(Y195:Y197),IF($AK177=2,SUM(Y195:Y196),Y195))))</f>
        <v>22</v>
      </c>
      <c r="Z200" s="53">
        <f>IF($AK177=5,SUM(Z195:Z199),IF($AK177=4,SUM(Z195:Z198),IF($AK177=3,SUM(Z195:Z197),IF($AK177=2,SUM(Z195:Z196),Z195))))</f>
        <v>31</v>
      </c>
      <c r="AA200" s="53"/>
      <c r="AB200" s="53">
        <f>IF($AK177=5,SUM(AB195:AB199),IF($AK177=4,SUM(AB195:AB198),IF($AK177=3,SUM(AB195:AB197),IF($AK177=2,SUM(AB195:AB196),AB195))))</f>
        <v>50</v>
      </c>
      <c r="AC200" s="53">
        <f>IF($AK177=5,SUM(AC195:AC199),IF($AK177=4,SUM(AC195:AC198),IF($AK177=3,SUM(AC195:AC197),IF($AK177=2,SUM(AC195:AC196),AC195))))</f>
        <v>52</v>
      </c>
      <c r="AD200" s="53"/>
      <c r="AE200" s="53">
        <f>IF($AK177=5,SUM(AE195:AE199),IF($AK177=4,SUM(AE195:AE198),IF($AK177=3,SUM(AE195:AE197),IF($AK177=2,SUM(AE195:AE196),AE195))))</f>
        <v>44</v>
      </c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</row>
    <row r="201" spans="1:49" s="54" customFormat="1" ht="12.75" hidden="1" customHeight="1" x14ac:dyDescent="0.2">
      <c r="A201" s="54" t="s">
        <v>54</v>
      </c>
      <c r="B201" s="55">
        <f>IF(AND(B195&gt;D195,$AK178&gt;0,ISNUMBER(B195),ISNUMBER(D195)),1,0)</f>
        <v>1</v>
      </c>
      <c r="C201" s="55"/>
      <c r="D201" s="56">
        <f>IF(AND(D195&gt;B195,$AK178&gt;0,ISNUMBER(B195),ISNUMBER(D195)),1,0)</f>
        <v>0</v>
      </c>
      <c r="E201" s="55">
        <f>IF(AND(E195&gt;G195,$AK178&gt;1,ISNUMBER(E195),ISNUMBER(G195)),1,0)</f>
        <v>1</v>
      </c>
      <c r="F201" s="55"/>
      <c r="G201" s="56">
        <f>IF(AND(G195&gt;E195,$AK178&gt;1,ISNUMBER(E195),ISNUMBER(G195)),1,0)</f>
        <v>0</v>
      </c>
      <c r="H201" s="55">
        <f>IF(AND(H195&gt;J195,$AK178&gt;2,ISNUMBER(H195),ISNUMBER(J195)),1,0)</f>
        <v>1</v>
      </c>
      <c r="I201" s="55"/>
      <c r="J201" s="56">
        <f>IF(AND(J195&gt;H195,$AK178&gt;2,ISNUMBER(H195),ISNUMBER(J195)),1,0)</f>
        <v>0</v>
      </c>
      <c r="K201" s="55">
        <f>IF(AND(K195&gt;M195,$AK178&gt;3,ISNUMBER(K195),ISNUMBER(M195)),1,0)</f>
        <v>0</v>
      </c>
      <c r="L201" s="55"/>
      <c r="M201" s="56">
        <f>IF(AND(M195&gt;K195,$AK178&gt;3,ISNUMBER(K195),ISNUMBER(M195)),1,0)</f>
        <v>1</v>
      </c>
      <c r="N201" s="55">
        <f>IF(AND(N195&gt;P195,$AK178&gt;4,ISNUMBER(N195),ISNUMBER(P195)),1,0)</f>
        <v>1</v>
      </c>
      <c r="O201" s="55"/>
      <c r="P201" s="56">
        <f>IF(AND(P195&gt;N195,$AK178&gt;4,ISNUMBER(N195),ISNUMBER(P195)),1,0)</f>
        <v>0</v>
      </c>
      <c r="Q201" s="55">
        <f>IF(AND(Q195&gt;S195,$AK178&gt;5,ISNUMBER(Q195),ISNUMBER(S195)),1,0)</f>
        <v>1</v>
      </c>
      <c r="R201" s="55"/>
      <c r="S201" s="56">
        <f>IF(AND(S195&gt;Q195,$AK178&gt;5,ISNUMBER(Q195),ISNUMBER(S195)),1,0)</f>
        <v>0</v>
      </c>
      <c r="T201" s="55">
        <f>IF(AND(T195&gt;V195,$AK178&gt;6,ISNUMBER(T195),ISNUMBER(V195)),1,0)</f>
        <v>1</v>
      </c>
      <c r="U201" s="55"/>
      <c r="V201" s="56">
        <f>IF(AND(V195&gt;T195,$AK178&gt;6,ISNUMBER(T195),ISNUMBER(V195)),1,0)</f>
        <v>0</v>
      </c>
      <c r="W201" s="55">
        <f>IF(AND(W195&gt;Y195,$AK178&gt;7,ISNUMBER(W195),ISNUMBER(Y195)),1,0)</f>
        <v>1</v>
      </c>
      <c r="X201" s="55"/>
      <c r="Y201" s="56">
        <f>IF(AND(Y195&gt;W195,$AK178&gt;7,ISNUMBER(W195),ISNUMBER(Y195)),1,0)</f>
        <v>0</v>
      </c>
      <c r="Z201" s="55">
        <f>IF(AND(Z195&gt;AB195,$AK178&gt;8,ISNUMBER(Z195),ISNUMBER(AB195)),1,0)</f>
        <v>0</v>
      </c>
      <c r="AA201" s="55"/>
      <c r="AB201" s="56">
        <f>IF(AND(AB195&gt;Z195,$AK178&gt;8,ISNUMBER(Z195),ISNUMBER(AB195)),1,0)</f>
        <v>1</v>
      </c>
      <c r="AC201" s="55">
        <f>IF(AND(AC195&gt;AE195,$AK178&gt;9,ISNUMBER(AC195),ISNUMBER(AE195)),1,0)</f>
        <v>1</v>
      </c>
      <c r="AD201" s="55"/>
      <c r="AE201" s="56">
        <f>IF(AND(AE195&gt;AC195,$AK178&gt;9,ISNUMBER(AC195),ISNUMBER(AE195)),1,0)</f>
        <v>0</v>
      </c>
      <c r="AW201" s="146"/>
    </row>
    <row r="202" spans="1:49" s="54" customFormat="1" ht="12.75" hidden="1" customHeight="1" x14ac:dyDescent="0.2">
      <c r="A202" s="54" t="s">
        <v>55</v>
      </c>
      <c r="B202" s="55">
        <f>IF(AND(B196&gt;D196,$AK178&gt;0,$AK177&gt;1,ISNUMBER(B196),ISNUMBER(D196)),1,0)</f>
        <v>1</v>
      </c>
      <c r="C202" s="55"/>
      <c r="D202" s="56">
        <f>IF(AND(D196&gt;B196,$AK178&gt;0,$AK177&gt;1,ISNUMBER(B196),ISNUMBER(D196)),1,0)</f>
        <v>0</v>
      </c>
      <c r="E202" s="55">
        <f>IF(AND(E196&gt;G196,$AK178&gt;1,$AK177&gt;1,ISNUMBER(E196),ISNUMBER(G196)),1,0)</f>
        <v>1</v>
      </c>
      <c r="F202" s="55"/>
      <c r="G202" s="56">
        <f>IF(AND(G196&gt;E196,$AK178&gt;1,$AK177&gt;1,ISNUMBER(E196),ISNUMBER(G196)),1,0)</f>
        <v>0</v>
      </c>
      <c r="H202" s="55">
        <f>IF(AND(H196&gt;J196,$AK178&gt;2,$AK177&gt;1,ISNUMBER(H196),ISNUMBER(J196)),1,0)</f>
        <v>1</v>
      </c>
      <c r="I202" s="55"/>
      <c r="J202" s="56">
        <f>IF(AND(J196&gt;H196,$AK178&gt;2,$AK177&gt;1,ISNUMBER(H196),ISNUMBER(J196)),1,0)</f>
        <v>0</v>
      </c>
      <c r="K202" s="55">
        <f>IF(AND(K196&gt;M196,$AK178&gt;3,$AK177&gt;1,ISNUMBER(K196),ISNUMBER(M196)),1,0)</f>
        <v>0</v>
      </c>
      <c r="L202" s="55"/>
      <c r="M202" s="56">
        <f>IF(AND(M196&gt;K196,$AK178&gt;3,$AK177&gt;1,ISNUMBER(K196),ISNUMBER(M196)),1,0)</f>
        <v>1</v>
      </c>
      <c r="N202" s="55">
        <f>IF(AND(N196&gt;P196,$AK178&gt;4,$AK177&gt;1,ISNUMBER(N196),ISNUMBER(P196)),1,0)</f>
        <v>0</v>
      </c>
      <c r="O202" s="55"/>
      <c r="P202" s="56">
        <f>IF(AND(P196&gt;N196,$AK178&gt;4,$AK177&gt;1,ISNUMBER(N196),ISNUMBER(P196)),1,0)</f>
        <v>1</v>
      </c>
      <c r="Q202" s="55">
        <f>IF(AND(Q196&gt;S196,$AK178&gt;5,$AK177&gt;1,ISNUMBER(Q196),ISNUMBER(S196)),1,0)</f>
        <v>1</v>
      </c>
      <c r="R202" s="55"/>
      <c r="S202" s="56">
        <f>IF(AND(S196&gt;Q196,$AK178&gt;5,$AK177&gt;1,ISNUMBER(Q196),ISNUMBER(S196)),1,0)</f>
        <v>0</v>
      </c>
      <c r="T202" s="55">
        <f>IF(AND(T196&gt;V196,$AK178&gt;6,$AK177&gt;1,ISNUMBER(T196),ISNUMBER(V196)),1,0)</f>
        <v>0</v>
      </c>
      <c r="U202" s="55"/>
      <c r="V202" s="56">
        <f>IF(AND(V196&gt;T196,$AK178&gt;6,$AK177&gt;1,ISNUMBER(T196),ISNUMBER(V196)),1,0)</f>
        <v>1</v>
      </c>
      <c r="W202" s="55">
        <f>IF(AND(W196&gt;Y196,$AK178&gt;7,$AK177&gt;1,ISNUMBER(W196),ISNUMBER(Y196)),1,0)</f>
        <v>1</v>
      </c>
      <c r="X202" s="55"/>
      <c r="Y202" s="56">
        <f>IF(AND(Y196&gt;W196,$AK178&gt;7,$AK177&gt;1,ISNUMBER(W196),ISNUMBER(Y196)),1,0)</f>
        <v>0</v>
      </c>
      <c r="Z202" s="55">
        <f>IF(AND(Z196&gt;AB196,$AK178&gt;8,$AK177&gt;1,ISNUMBER(Z196),ISNUMBER(AB196)),1,0)</f>
        <v>0</v>
      </c>
      <c r="AA202" s="55"/>
      <c r="AB202" s="56">
        <f>IF(AND(AB196&gt;Z196,$AK178&gt;8,$AK177&gt;1,ISNUMBER(Z196),ISNUMBER(AB196)),1,0)</f>
        <v>1</v>
      </c>
      <c r="AC202" s="55">
        <f>IF(AND(AC196&gt;AE196,$AK178&gt;9,$AK177&gt;1,ISNUMBER(AC196),ISNUMBER(AE196)),1,0)</f>
        <v>1</v>
      </c>
      <c r="AD202" s="55"/>
      <c r="AE202" s="56">
        <f>IF(AND(AE196&gt;AC196,$AK178&gt;9,$AK177&gt;1,ISNUMBER(AC196),ISNUMBER(AE196)),1,0)</f>
        <v>0</v>
      </c>
      <c r="AW202" s="146"/>
    </row>
    <row r="203" spans="1:49" s="54" customFormat="1" ht="12.75" hidden="1" customHeight="1" x14ac:dyDescent="0.2">
      <c r="A203" s="54" t="s">
        <v>56</v>
      </c>
      <c r="B203" s="55">
        <f>IF(AND(B197&gt;D197,$AK178&gt;0,$AK177&gt;2,ISNUMBER(B197),ISNUMBER(D197)),1,0)</f>
        <v>0</v>
      </c>
      <c r="C203" s="55"/>
      <c r="D203" s="56">
        <f>IF(AND(D197&gt;B197,$AK178&gt;0,$AK177&gt;2,ISNUMBER(B197),ISNUMBER(D197)),1,0)</f>
        <v>0</v>
      </c>
      <c r="E203" s="55">
        <f>IF(AND(E197&gt;G197,$AK178&gt;1,$AK177&gt;2,ISNUMBER(E197),ISNUMBER(G197)),1,0)</f>
        <v>0</v>
      </c>
      <c r="F203" s="55"/>
      <c r="G203" s="56">
        <f>IF(AND(G197&gt;E197,$AK178&gt;1,$AK177&gt;2,ISNUMBER(E197),ISNUMBER(G197)),1,0)</f>
        <v>0</v>
      </c>
      <c r="H203" s="55">
        <f>IF(AND(H197&gt;J197,$AK178&gt;2,$AK177&gt;2,ISNUMBER(H197),ISNUMBER(J197)),1,0)</f>
        <v>0</v>
      </c>
      <c r="I203" s="55"/>
      <c r="J203" s="56">
        <f>IF(AND(J197&gt;H197,$AK178&gt;2,$AK177&gt;2,ISNUMBER(H197),ISNUMBER(J197)),1,0)</f>
        <v>0</v>
      </c>
      <c r="K203" s="55">
        <f>IF(AND(K197&gt;M197,$AK178&gt;3,$AK177&gt;2,ISNUMBER(K197),ISNUMBER(M197)),1,0)</f>
        <v>0</v>
      </c>
      <c r="L203" s="55"/>
      <c r="M203" s="56">
        <f>IF(AND(M197&gt;K197,$AK178&gt;3,$AK177&gt;2,ISNUMBER(K197),ISNUMBER(M197)),1,0)</f>
        <v>0</v>
      </c>
      <c r="N203" s="55">
        <f>IF(AND(N197&gt;P197,$AK178&gt;4,$AK177&gt;2,ISNUMBER(N197),ISNUMBER(P197)),1,0)</f>
        <v>0</v>
      </c>
      <c r="O203" s="55"/>
      <c r="P203" s="56">
        <f>IF(AND(P197&gt;N197,$AK178&gt;4,$AK177&gt;2,ISNUMBER(N197),ISNUMBER(P197)),1,0)</f>
        <v>0</v>
      </c>
      <c r="Q203" s="55">
        <f>IF(AND(Q197&gt;S197,$AK178&gt;5,$AK177&gt;2,ISNUMBER(Q197),ISNUMBER(S197)),1,0)</f>
        <v>0</v>
      </c>
      <c r="R203" s="55"/>
      <c r="S203" s="56">
        <f>IF(AND(S197&gt;Q197,$AK178&gt;5,$AK177&gt;2,ISNUMBER(Q197),ISNUMBER(S197)),1,0)</f>
        <v>0</v>
      </c>
      <c r="T203" s="55">
        <f>IF(AND(T197&gt;V197,$AK178&gt;6,$AK177&gt;2,ISNUMBER(T197),ISNUMBER(V197)),1,0)</f>
        <v>0</v>
      </c>
      <c r="U203" s="55"/>
      <c r="V203" s="56">
        <f>IF(AND(V197&gt;T197,$AK178&gt;6,$AK177&gt;2,ISNUMBER(T197),ISNUMBER(V197)),1,0)</f>
        <v>0</v>
      </c>
      <c r="W203" s="55">
        <f>IF(AND(W197&gt;Y197,$AK178&gt;7,$AK177&gt;2,ISNUMBER(W197),ISNUMBER(Y197)),1,0)</f>
        <v>0</v>
      </c>
      <c r="X203" s="55"/>
      <c r="Y203" s="56">
        <f>IF(AND(Y197&gt;W197,$AK178&gt;7,$AK177&gt;2,ISNUMBER(W197),ISNUMBER(Y197)),1,0)</f>
        <v>0</v>
      </c>
      <c r="Z203" s="55">
        <f>IF(AND(Z197&gt;AB197,$AK178&gt;8,$AK177&gt;2,ISNUMBER(Z197),ISNUMBER(AB197)),1,0)</f>
        <v>0</v>
      </c>
      <c r="AA203" s="55"/>
      <c r="AB203" s="56">
        <f>IF(AND(AB197&gt;Z197,$AK178&gt;8,$AK177&gt;2,ISNUMBER(Z197),ISNUMBER(AB197)),1,0)</f>
        <v>0</v>
      </c>
      <c r="AC203" s="55">
        <f>IF(AND(AC197&gt;AE197,$AK178&gt;9,$AK177&gt;2,ISNUMBER(AC197),ISNUMBER(AE197)),1,0)</f>
        <v>0</v>
      </c>
      <c r="AD203" s="55"/>
      <c r="AE203" s="56">
        <f>IF(AND(AE197&gt;AC197,$AK178&gt;9,$AK177&gt;2,ISNUMBER(AC197),ISNUMBER(AE197)),1,0)</f>
        <v>0</v>
      </c>
      <c r="AW203" s="146"/>
    </row>
    <row r="204" spans="1:49" s="54" customFormat="1" ht="12.75" hidden="1" customHeight="1" x14ac:dyDescent="0.2">
      <c r="A204" s="54" t="s">
        <v>57</v>
      </c>
      <c r="B204" s="55">
        <f>IF(AND(B198&gt;D198,$AK178&gt;0,$AK177&gt;3,ISNUMBER(B198),ISNUMBER(D198)),1,0)</f>
        <v>0</v>
      </c>
      <c r="C204" s="55"/>
      <c r="D204" s="56">
        <f>IF(AND(D198&gt;B198,$AK178&gt;0,$AK177&gt;3,ISNUMBER(B198),ISNUMBER(D198)),1,0)</f>
        <v>0</v>
      </c>
      <c r="E204" s="55">
        <f>IF(AND(E198&gt;G198,$AK178&gt;1,$AK177&gt;3,ISNUMBER(E198),ISNUMBER(G198)),1,0)</f>
        <v>0</v>
      </c>
      <c r="F204" s="55"/>
      <c r="G204" s="56">
        <f>IF(AND(G198&gt;E198,$AK178&gt;1,$AK177&gt;3,ISNUMBER(E198),ISNUMBER(G198)),1,0)</f>
        <v>0</v>
      </c>
      <c r="H204" s="55">
        <f>IF(AND(H198&gt;J198,$AK178&gt;2,$AK177&gt;3,ISNUMBER(H198),ISNUMBER(J198)),1,0)</f>
        <v>0</v>
      </c>
      <c r="I204" s="55"/>
      <c r="J204" s="56">
        <f>IF(AND(J198&gt;H198,$AK178&gt;2,$AK177&gt;3,ISNUMBER(H198),ISNUMBER(J198)),1,0)</f>
        <v>0</v>
      </c>
      <c r="K204" s="55">
        <f>IF(AND(K198&gt;M198,$AK178&gt;3,$AK177&gt;3,ISNUMBER(K198),ISNUMBER(M198)),1,0)</f>
        <v>0</v>
      </c>
      <c r="L204" s="55"/>
      <c r="M204" s="56">
        <f>IF(AND(M198&gt;K198,$AK178&gt;3,$AK177&gt;3,ISNUMBER(K198),ISNUMBER(M198)),1,0)</f>
        <v>0</v>
      </c>
      <c r="N204" s="55">
        <f>IF(AND(N198&gt;P198,$AK178&gt;4,$AK177&gt;3,ISNUMBER(N198),ISNUMBER(P198)),1,0)</f>
        <v>0</v>
      </c>
      <c r="O204" s="55"/>
      <c r="P204" s="56">
        <f>IF(AND(P198&gt;N198,$AK178&gt;4,$AK177&gt;3,ISNUMBER(N198),ISNUMBER(P198)),1,0)</f>
        <v>0</v>
      </c>
      <c r="Q204" s="55">
        <f>IF(AND(Q198&gt;S198,$AK178&gt;5,$AK177&gt;3,ISNUMBER(Q198),ISNUMBER(S198)),1,0)</f>
        <v>0</v>
      </c>
      <c r="R204" s="55"/>
      <c r="S204" s="56">
        <f>IF(AND(S198&gt;Q198,$AK178&gt;5,$AK177&gt;3,ISNUMBER(Q198),ISNUMBER(S198)),1,0)</f>
        <v>0</v>
      </c>
      <c r="T204" s="55">
        <f>IF(AND(T198&gt;V198,$AK178&gt;6,$AK177&gt;3,ISNUMBER(T198),ISNUMBER(V198)),1,0)</f>
        <v>0</v>
      </c>
      <c r="U204" s="55"/>
      <c r="V204" s="56">
        <f>IF(AND(V198&gt;T198,$AK178&gt;6,$AK177&gt;3,ISNUMBER(T198),ISNUMBER(V198)),1,0)</f>
        <v>0</v>
      </c>
      <c r="W204" s="55">
        <f>IF(AND(W198&gt;Y198,$AK178&gt;7,$AK177&gt;3,ISNUMBER(W198),ISNUMBER(Y198)),1,0)</f>
        <v>0</v>
      </c>
      <c r="X204" s="55"/>
      <c r="Y204" s="56">
        <f>IF(AND(Y198&gt;W198,$AK178&gt;7,$AK177&gt;3,ISNUMBER(W198),ISNUMBER(Y198)),1,0)</f>
        <v>0</v>
      </c>
      <c r="Z204" s="55">
        <f>IF(AND(Z198&gt;AB198,$AK178&gt;8,$AK177&gt;3,ISNUMBER(Z198),ISNUMBER(AB198)),1,0)</f>
        <v>0</v>
      </c>
      <c r="AA204" s="55"/>
      <c r="AB204" s="56">
        <f>IF(AND(AB198&gt;Z198,$AK178&gt;8,$AK177&gt;3,ISNUMBER(Z198),ISNUMBER(AB198)),1,0)</f>
        <v>0</v>
      </c>
      <c r="AC204" s="55">
        <f>IF(AND(AC198&gt;AE198,$AK178&gt;9,$AK177&gt;3,ISNUMBER(AC198),ISNUMBER(AE198)),1,0)</f>
        <v>0</v>
      </c>
      <c r="AD204" s="55"/>
      <c r="AE204" s="56">
        <f>IF(AND(AE198&gt;AC198,$AK178&gt;9,$AK177&gt;3,ISNUMBER(AC198),ISNUMBER(AE198)),1,0)</f>
        <v>0</v>
      </c>
      <c r="AW204" s="146"/>
    </row>
    <row r="205" spans="1:49" s="54" customFormat="1" ht="12.75" hidden="1" customHeight="1" x14ac:dyDescent="0.2">
      <c r="A205" s="54" t="s">
        <v>58</v>
      </c>
      <c r="B205" s="55">
        <f>IF(AND(B199&gt;D199,$AK178&gt;0,$AK177&gt;4,ISNUMBER(B199),ISNUMBER(D199)),1,0)</f>
        <v>0</v>
      </c>
      <c r="C205" s="55"/>
      <c r="D205" s="56">
        <f>IF(AND(D199&gt;B199,$AK178&gt;0,$AK177&gt;4,ISNUMBER(B199),ISNUMBER(D199)),1,0)</f>
        <v>0</v>
      </c>
      <c r="E205" s="55">
        <f>IF(AND(E199&gt;G199,$AK178&gt;1,$AK177&gt;4,ISNUMBER(E199),ISNUMBER(G199)),1,0)</f>
        <v>0</v>
      </c>
      <c r="F205" s="55"/>
      <c r="G205" s="56">
        <f>IF(AND(G199&gt;E199,$AK178&gt;1,$AK177&gt;4,ISNUMBER(E199),ISNUMBER(G199)),1,0)</f>
        <v>0</v>
      </c>
      <c r="H205" s="55">
        <f>IF(AND(H199&gt;J199,$AK178&gt;2,$AK177&gt;4,ISNUMBER(H199),ISNUMBER(J199)),1,0)</f>
        <v>0</v>
      </c>
      <c r="I205" s="55"/>
      <c r="J205" s="56">
        <f>IF(AND(J199&gt;H199,$AK178&gt;2,$AK177&gt;4,ISNUMBER(H199),ISNUMBER(J199)),1,0)</f>
        <v>0</v>
      </c>
      <c r="K205" s="55">
        <f>IF(AND(K199&gt;M199,$AK178&gt;3,$AK177&gt;4,ISNUMBER(K199),ISNUMBER(M199)),1,0)</f>
        <v>0</v>
      </c>
      <c r="L205" s="55"/>
      <c r="M205" s="56">
        <f>IF(AND(M199&gt;K199,$AK178&gt;3,$AK177&gt;4,ISNUMBER(K199),ISNUMBER(M199)),1,0)</f>
        <v>0</v>
      </c>
      <c r="N205" s="55">
        <f>IF(AND(N199&gt;P199,$AK178&gt;4,$AK177&gt;4,ISNUMBER(N199),ISNUMBER(P199)),1,0)</f>
        <v>0</v>
      </c>
      <c r="O205" s="55"/>
      <c r="P205" s="56">
        <f>IF(AND(P199&gt;N199,$AK178&gt;4,$AK177&gt;4,ISNUMBER(N199),ISNUMBER(P199)),1,0)</f>
        <v>0</v>
      </c>
      <c r="Q205" s="55">
        <f>IF(AND(Q199&gt;S199,$AK178&gt;5,$AK177&gt;4,ISNUMBER(Q199),ISNUMBER(S199)),1,0)</f>
        <v>0</v>
      </c>
      <c r="R205" s="55"/>
      <c r="S205" s="56">
        <f>IF(AND(S199&gt;Q199,$AK178&gt;5,$AK177&gt;4,ISNUMBER(Q199),ISNUMBER(S199)),1,0)</f>
        <v>0</v>
      </c>
      <c r="T205" s="55">
        <f>IF(AND(T199&gt;V199,$AK178&gt;6,$AK177&gt;4,ISNUMBER(T199),ISNUMBER(V199)),1,0)</f>
        <v>0</v>
      </c>
      <c r="U205" s="55"/>
      <c r="V205" s="56">
        <f>IF(AND(V199&gt;T199,$AK178&gt;6,$AK177&gt;4,ISNUMBER(T199),ISNUMBER(V199)),1,0)</f>
        <v>0</v>
      </c>
      <c r="W205" s="55">
        <f>IF(AND(W199&gt;Y199,$AK178&gt;7,$AK177&gt;4,ISNUMBER(W199),ISNUMBER(Y199)),1,0)</f>
        <v>0</v>
      </c>
      <c r="X205" s="55"/>
      <c r="Y205" s="56">
        <f>IF(AND(Y199&gt;W199,$AK178&gt;7,$AK177&gt;4,ISNUMBER(W199),ISNUMBER(Y199)),1,0)</f>
        <v>0</v>
      </c>
      <c r="Z205" s="55">
        <f>IF(AND(Z199&gt;AB199,$AK178&gt;8,$AK177&gt;4,ISNUMBER(Z199),ISNUMBER(AB199)),1,0)</f>
        <v>0</v>
      </c>
      <c r="AA205" s="55"/>
      <c r="AB205" s="56">
        <f>IF(AND(AB199&gt;Z199,$AK178&gt;8,$AK177&gt;4,ISNUMBER(Z199),ISNUMBER(AB199)),1,0)</f>
        <v>0</v>
      </c>
      <c r="AC205" s="55">
        <f>IF(AND(AC199&gt;AE199,$AK178&gt;9,$AK177&gt;4,ISNUMBER(AC199),ISNUMBER(AE199)),1,0)</f>
        <v>0</v>
      </c>
      <c r="AD205" s="55"/>
      <c r="AE205" s="56">
        <f>IF(AND(AE199&gt;AC199,$AK178&gt;9,$AK177&gt;4,ISNUMBER(AC199),ISNUMBER(AE199)),1,0)</f>
        <v>0</v>
      </c>
      <c r="AW205" s="146"/>
    </row>
    <row r="206" spans="1:49" s="54" customFormat="1" ht="38.25" hidden="1" customHeight="1" x14ac:dyDescent="0.2">
      <c r="A206" s="57" t="s">
        <v>59</v>
      </c>
      <c r="B206" s="54">
        <f>SUM(B201:B205)</f>
        <v>2</v>
      </c>
      <c r="D206" s="58">
        <f>SUM(D201:D205)</f>
        <v>0</v>
      </c>
      <c r="E206" s="54">
        <f>SUM(E201:E205)</f>
        <v>2</v>
      </c>
      <c r="G206" s="58">
        <f>SUM(G201:G205)</f>
        <v>0</v>
      </c>
      <c r="H206" s="54">
        <f>SUM(H201:H205)</f>
        <v>2</v>
      </c>
      <c r="J206" s="58">
        <f>SUM(J201:J205)</f>
        <v>0</v>
      </c>
      <c r="K206" s="54">
        <f>SUM(K201:K205)</f>
        <v>0</v>
      </c>
      <c r="M206" s="58">
        <f>SUM(M201:M205)</f>
        <v>2</v>
      </c>
      <c r="N206" s="54">
        <f>SUM(N201:N205)</f>
        <v>1</v>
      </c>
      <c r="P206" s="58">
        <f>SUM(P201:P205)</f>
        <v>1</v>
      </c>
      <c r="Q206" s="54">
        <f>SUM(Q201:Q205)</f>
        <v>2</v>
      </c>
      <c r="S206" s="58">
        <f>SUM(S201:S205)</f>
        <v>0</v>
      </c>
      <c r="T206" s="54">
        <f>SUM(T201:T205)</f>
        <v>1</v>
      </c>
      <c r="V206" s="58">
        <f>SUM(V201:V205)</f>
        <v>1</v>
      </c>
      <c r="W206" s="54">
        <f>SUM(W201:W205)</f>
        <v>2</v>
      </c>
      <c r="Y206" s="58">
        <f>SUM(Y201:Y205)</f>
        <v>0</v>
      </c>
      <c r="Z206" s="54">
        <f>SUM(Z201:Z205)</f>
        <v>0</v>
      </c>
      <c r="AB206" s="58">
        <f>SUM(AB201:AB205)</f>
        <v>2</v>
      </c>
      <c r="AC206" s="54">
        <f>SUM(AC201:AC205)</f>
        <v>2</v>
      </c>
      <c r="AE206" s="58">
        <f>SUM(AE201:AE205)</f>
        <v>0</v>
      </c>
      <c r="AW206" s="146"/>
    </row>
    <row r="207" spans="1:49" s="54" customFormat="1" ht="25.5" hidden="1" customHeight="1" x14ac:dyDescent="0.2">
      <c r="A207" s="57" t="s">
        <v>60</v>
      </c>
      <c r="B207" s="54">
        <f>IF(B206&gt;D206,IF(C241=AK177,1,IF(C241=AK177-1,1,0)),0)</f>
        <v>1</v>
      </c>
      <c r="C207" s="54">
        <f>B207+D207</f>
        <v>1</v>
      </c>
      <c r="D207" s="58">
        <f>IF(D206&gt;B206,IF(C241=AK177,1,IF(C241=AK177-1,1,0)),0)</f>
        <v>0</v>
      </c>
      <c r="E207" s="54">
        <f>IF(E206&gt;G206,IF(F241=AK177,1,IF(F241=AK177-1,1,0)),0)</f>
        <v>1</v>
      </c>
      <c r="F207" s="54">
        <f>E207+G207</f>
        <v>1</v>
      </c>
      <c r="G207" s="58">
        <f>IF(G206&gt;E206,IF(F241=AK177,1,IF(F241=AK177-1,1,0)),0)</f>
        <v>0</v>
      </c>
      <c r="H207" s="54">
        <f>IF(H206&gt;J206,IF(I241=AK177,1,IF(I241=AK177-1,1,0)),0)</f>
        <v>1</v>
      </c>
      <c r="I207" s="54">
        <f>H207+J207</f>
        <v>1</v>
      </c>
      <c r="J207" s="58">
        <f>IF(J206&gt;H206,IF(I241=AK177,1,IF(I241=AK177-1,1,0)),0)</f>
        <v>0</v>
      </c>
      <c r="K207" s="54">
        <f>IF(K206&gt;M206,IF(L241=AK177,1,IF(L241=AK177-1,1,0)),0)</f>
        <v>0</v>
      </c>
      <c r="L207" s="54">
        <f>K207+M207</f>
        <v>1</v>
      </c>
      <c r="M207" s="58">
        <f>IF(M206&gt;K206,IF(L241=AK177,1,IF(L241=AK177-1,1,0)),0)</f>
        <v>1</v>
      </c>
      <c r="N207" s="54">
        <f>IF(N206&gt;P206,IF(O241=AK177,1,IF(O241=AK177-1,1,0)),0)</f>
        <v>0</v>
      </c>
      <c r="O207" s="54">
        <f>N207+P207</f>
        <v>0</v>
      </c>
      <c r="P207" s="58">
        <f>IF(P206&gt;N206,IF(O241=AK177,1,IF(O241=AK177-1,1,0)),0)</f>
        <v>0</v>
      </c>
      <c r="Q207" s="54">
        <f>IF(Q206&gt;S206,IF(R241=AK177,1,IF(R241=AK177-1,1,0)),0)</f>
        <v>1</v>
      </c>
      <c r="R207" s="54">
        <f>Q207+S207</f>
        <v>1</v>
      </c>
      <c r="S207" s="58">
        <f>IF(S206&gt;Q206,IF(R241=AK177,1,IF(R241=AK177-1,1,0)),0)</f>
        <v>0</v>
      </c>
      <c r="T207" s="54">
        <f>IF(T206&gt;V206,IF(U241=AK177,1,IF(U241=AK177-1,1,0)),0)</f>
        <v>0</v>
      </c>
      <c r="U207" s="54">
        <f>T207+V207</f>
        <v>0</v>
      </c>
      <c r="V207" s="58">
        <f>IF(V206&gt;T206,IF(U241=AK177,1,IF(U241=AK177-1,1,0)),0)</f>
        <v>0</v>
      </c>
      <c r="W207" s="54">
        <f>IF(W206&gt;Y206,IF(X241=AK177,1,IF(X241=AK177-1,1,0)),0)</f>
        <v>1</v>
      </c>
      <c r="X207" s="54">
        <f>W207+Y207</f>
        <v>1</v>
      </c>
      <c r="Y207" s="58">
        <f>IF(Y206&gt;W206,IF(X241=AK177,1,IF(X241=AK177-1,1,0)),0)</f>
        <v>0</v>
      </c>
      <c r="Z207" s="54">
        <f>IF(Z206&gt;AB206,IF(AA241=AK177,1,IF(AA241=AK177-1,1,0)),0)</f>
        <v>0</v>
      </c>
      <c r="AA207" s="54">
        <f>Z207+AB207</f>
        <v>1</v>
      </c>
      <c r="AB207" s="58">
        <f>IF(AB206&gt;Z206,IF(AA241=AK177,1,IF(AA241=AK177-1,1,0)),0)</f>
        <v>1</v>
      </c>
      <c r="AC207" s="54">
        <f>IF(AC206&gt;AE206,IF(AD241=AK177,1,IF(AD241=AK177-1,1,0)),0)</f>
        <v>1</v>
      </c>
      <c r="AD207" s="54">
        <f>AC207+AE207</f>
        <v>1</v>
      </c>
      <c r="AE207" s="58">
        <f>IF(AE206&gt;AC206,IF(AD241=AK177,1,IF(AD241=AK177-1,1,0)),0)</f>
        <v>0</v>
      </c>
      <c r="AW207" s="146"/>
    </row>
    <row r="208" spans="1:49" s="54" customFormat="1" ht="25.5" hidden="1" customHeight="1" x14ac:dyDescent="0.2">
      <c r="A208" s="57"/>
      <c r="D208" s="58"/>
      <c r="G208" s="58"/>
      <c r="J208" s="58"/>
      <c r="M208" s="58"/>
      <c r="P208" s="58"/>
      <c r="S208" s="58"/>
      <c r="V208" s="58"/>
      <c r="Y208" s="58"/>
      <c r="AB208" s="58"/>
      <c r="AE208" s="58"/>
      <c r="AW208" s="146"/>
    </row>
    <row r="209" spans="1:49" s="54" customFormat="1" ht="12.75" hidden="1" customHeight="1" x14ac:dyDescent="0.2">
      <c r="A209" s="54" t="s">
        <v>61</v>
      </c>
      <c r="B209" s="54">
        <f>IF(B201=1,B195,0)</f>
        <v>25</v>
      </c>
      <c r="D209" s="58">
        <f t="shared" ref="D209:E213" si="21">IF(D201=1,D195,0)</f>
        <v>0</v>
      </c>
      <c r="E209" s="54">
        <f t="shared" si="21"/>
        <v>25</v>
      </c>
      <c r="G209" s="58">
        <f t="shared" ref="G209:H213" si="22">IF(G201=1,G195,0)</f>
        <v>0</v>
      </c>
      <c r="H209" s="54">
        <f t="shared" si="22"/>
        <v>25</v>
      </c>
      <c r="J209" s="58">
        <f t="shared" ref="J209:K213" si="23">IF(J201=1,J195,0)</f>
        <v>0</v>
      </c>
      <c r="K209" s="54">
        <f t="shared" si="23"/>
        <v>0</v>
      </c>
      <c r="M209" s="58">
        <f t="shared" ref="M209:N213" si="24">IF(M201=1,M195,0)</f>
        <v>25</v>
      </c>
      <c r="N209" s="54">
        <f t="shared" si="24"/>
        <v>25</v>
      </c>
      <c r="P209" s="58">
        <f t="shared" ref="P209:Q213" si="25">IF(P201=1,P195,0)</f>
        <v>0</v>
      </c>
      <c r="Q209" s="54">
        <f t="shared" si="25"/>
        <v>25</v>
      </c>
      <c r="S209" s="58">
        <f t="shared" ref="S209:T213" si="26">IF(S201=1,S195,0)</f>
        <v>0</v>
      </c>
      <c r="T209" s="54">
        <f t="shared" si="26"/>
        <v>25</v>
      </c>
      <c r="V209" s="58">
        <f t="shared" ref="V209:W213" si="27">IF(V201=1,V195,0)</f>
        <v>0</v>
      </c>
      <c r="W209" s="54">
        <f t="shared" si="27"/>
        <v>25</v>
      </c>
      <c r="Y209" s="58">
        <f t="shared" ref="Y209:Z213" si="28">IF(Y201=1,Y195,0)</f>
        <v>0</v>
      </c>
      <c r="Z209" s="54">
        <f t="shared" si="28"/>
        <v>0</v>
      </c>
      <c r="AB209" s="58">
        <f t="shared" ref="AB209:AC213" si="29">IF(AB201=1,AB195,0)</f>
        <v>25</v>
      </c>
      <c r="AC209" s="54">
        <f t="shared" si="29"/>
        <v>25</v>
      </c>
      <c r="AE209" s="58">
        <f>IF(AE201=1,AE195,0)</f>
        <v>0</v>
      </c>
      <c r="AW209" s="146"/>
    </row>
    <row r="210" spans="1:49" s="54" customFormat="1" ht="12.75" hidden="1" customHeight="1" x14ac:dyDescent="0.2">
      <c r="A210" s="54" t="s">
        <v>62</v>
      </c>
      <c r="B210" s="54">
        <f>IF(B202=1,B196,0)</f>
        <v>25</v>
      </c>
      <c r="D210" s="58">
        <f t="shared" si="21"/>
        <v>0</v>
      </c>
      <c r="E210" s="54">
        <f t="shared" si="21"/>
        <v>25</v>
      </c>
      <c r="G210" s="58">
        <f t="shared" si="22"/>
        <v>0</v>
      </c>
      <c r="H210" s="54">
        <f t="shared" si="22"/>
        <v>25</v>
      </c>
      <c r="J210" s="58">
        <f t="shared" si="23"/>
        <v>0</v>
      </c>
      <c r="K210" s="54">
        <f t="shared" si="23"/>
        <v>0</v>
      </c>
      <c r="M210" s="58">
        <f t="shared" si="24"/>
        <v>25</v>
      </c>
      <c r="N210" s="54">
        <f t="shared" si="24"/>
        <v>0</v>
      </c>
      <c r="P210" s="58">
        <f t="shared" si="25"/>
        <v>25</v>
      </c>
      <c r="Q210" s="54">
        <f t="shared" si="25"/>
        <v>25</v>
      </c>
      <c r="S210" s="58">
        <f t="shared" si="26"/>
        <v>0</v>
      </c>
      <c r="T210" s="54">
        <f t="shared" si="26"/>
        <v>0</v>
      </c>
      <c r="V210" s="58">
        <f t="shared" si="27"/>
        <v>27</v>
      </c>
      <c r="W210" s="54">
        <f t="shared" si="27"/>
        <v>25</v>
      </c>
      <c r="Y210" s="58">
        <f t="shared" si="28"/>
        <v>0</v>
      </c>
      <c r="Z210" s="54">
        <f t="shared" si="28"/>
        <v>0</v>
      </c>
      <c r="AB210" s="58">
        <f t="shared" si="29"/>
        <v>25</v>
      </c>
      <c r="AC210" s="54">
        <f t="shared" si="29"/>
        <v>27</v>
      </c>
      <c r="AE210" s="58">
        <f>IF(AE202=1,AE196,0)</f>
        <v>0</v>
      </c>
      <c r="AW210" s="146"/>
    </row>
    <row r="211" spans="1:49" s="54" customFormat="1" ht="12.75" hidden="1" customHeight="1" x14ac:dyDescent="0.2">
      <c r="A211" s="54" t="s">
        <v>63</v>
      </c>
      <c r="B211" s="54">
        <f>IF(B203=1,B197,0)</f>
        <v>0</v>
      </c>
      <c r="D211" s="58">
        <f t="shared" si="21"/>
        <v>0</v>
      </c>
      <c r="E211" s="54">
        <f t="shared" si="21"/>
        <v>0</v>
      </c>
      <c r="G211" s="58">
        <f t="shared" si="22"/>
        <v>0</v>
      </c>
      <c r="H211" s="54">
        <f t="shared" si="22"/>
        <v>0</v>
      </c>
      <c r="J211" s="58">
        <f t="shared" si="23"/>
        <v>0</v>
      </c>
      <c r="K211" s="54">
        <f t="shared" si="23"/>
        <v>0</v>
      </c>
      <c r="M211" s="58">
        <f t="shared" si="24"/>
        <v>0</v>
      </c>
      <c r="N211" s="54">
        <f t="shared" si="24"/>
        <v>0</v>
      </c>
      <c r="P211" s="58">
        <f t="shared" si="25"/>
        <v>0</v>
      </c>
      <c r="Q211" s="54">
        <f t="shared" si="25"/>
        <v>0</v>
      </c>
      <c r="S211" s="58">
        <f t="shared" si="26"/>
        <v>0</v>
      </c>
      <c r="T211" s="54">
        <f t="shared" si="26"/>
        <v>0</v>
      </c>
      <c r="V211" s="58">
        <f t="shared" si="27"/>
        <v>0</v>
      </c>
      <c r="W211" s="54">
        <f t="shared" si="27"/>
        <v>0</v>
      </c>
      <c r="Y211" s="58">
        <f t="shared" si="28"/>
        <v>0</v>
      </c>
      <c r="Z211" s="54">
        <f t="shared" si="28"/>
        <v>0</v>
      </c>
      <c r="AB211" s="58">
        <f t="shared" si="29"/>
        <v>0</v>
      </c>
      <c r="AC211" s="54">
        <f t="shared" si="29"/>
        <v>0</v>
      </c>
      <c r="AE211" s="58">
        <f>IF(AE203=1,AE197,0)</f>
        <v>0</v>
      </c>
      <c r="AW211" s="146"/>
    </row>
    <row r="212" spans="1:49" s="54" customFormat="1" ht="12.75" hidden="1" customHeight="1" x14ac:dyDescent="0.2">
      <c r="A212" s="54" t="s">
        <v>64</v>
      </c>
      <c r="B212" s="54">
        <f>IF(B204=1,B198,0)</f>
        <v>0</v>
      </c>
      <c r="D212" s="58">
        <f t="shared" si="21"/>
        <v>0</v>
      </c>
      <c r="E212" s="54">
        <f t="shared" si="21"/>
        <v>0</v>
      </c>
      <c r="G212" s="58">
        <f t="shared" si="22"/>
        <v>0</v>
      </c>
      <c r="H212" s="54">
        <f t="shared" si="22"/>
        <v>0</v>
      </c>
      <c r="J212" s="58">
        <f t="shared" si="23"/>
        <v>0</v>
      </c>
      <c r="K212" s="54">
        <f t="shared" si="23"/>
        <v>0</v>
      </c>
      <c r="M212" s="58">
        <f t="shared" si="24"/>
        <v>0</v>
      </c>
      <c r="N212" s="54">
        <f t="shared" si="24"/>
        <v>0</v>
      </c>
      <c r="P212" s="58">
        <f t="shared" si="25"/>
        <v>0</v>
      </c>
      <c r="Q212" s="54">
        <f t="shared" si="25"/>
        <v>0</v>
      </c>
      <c r="S212" s="58">
        <f t="shared" si="26"/>
        <v>0</v>
      </c>
      <c r="T212" s="54">
        <f t="shared" si="26"/>
        <v>0</v>
      </c>
      <c r="V212" s="58">
        <f t="shared" si="27"/>
        <v>0</v>
      </c>
      <c r="W212" s="54">
        <f t="shared" si="27"/>
        <v>0</v>
      </c>
      <c r="Y212" s="58">
        <f t="shared" si="28"/>
        <v>0</v>
      </c>
      <c r="Z212" s="54">
        <f t="shared" si="28"/>
        <v>0</v>
      </c>
      <c r="AB212" s="58">
        <f t="shared" si="29"/>
        <v>0</v>
      </c>
      <c r="AC212" s="54">
        <f t="shared" si="29"/>
        <v>0</v>
      </c>
      <c r="AE212" s="58">
        <f>IF(AE204=1,AE198,0)</f>
        <v>0</v>
      </c>
      <c r="AW212" s="146"/>
    </row>
    <row r="213" spans="1:49" s="54" customFormat="1" ht="12.75" hidden="1" customHeight="1" x14ac:dyDescent="0.2">
      <c r="A213" s="54" t="s">
        <v>65</v>
      </c>
      <c r="B213" s="54">
        <f>IF(B205=1,B199,0)</f>
        <v>0</v>
      </c>
      <c r="D213" s="58">
        <f t="shared" si="21"/>
        <v>0</v>
      </c>
      <c r="E213" s="54">
        <f t="shared" si="21"/>
        <v>0</v>
      </c>
      <c r="G213" s="58">
        <f t="shared" si="22"/>
        <v>0</v>
      </c>
      <c r="H213" s="54">
        <f t="shared" si="22"/>
        <v>0</v>
      </c>
      <c r="J213" s="58">
        <f t="shared" si="23"/>
        <v>0</v>
      </c>
      <c r="K213" s="54">
        <f t="shared" si="23"/>
        <v>0</v>
      </c>
      <c r="M213" s="58">
        <f t="shared" si="24"/>
        <v>0</v>
      </c>
      <c r="N213" s="54">
        <f t="shared" si="24"/>
        <v>0</v>
      </c>
      <c r="P213" s="58">
        <f t="shared" si="25"/>
        <v>0</v>
      </c>
      <c r="Q213" s="54">
        <f t="shared" si="25"/>
        <v>0</v>
      </c>
      <c r="S213" s="58">
        <f t="shared" si="26"/>
        <v>0</v>
      </c>
      <c r="T213" s="54">
        <f t="shared" si="26"/>
        <v>0</v>
      </c>
      <c r="V213" s="58">
        <f t="shared" si="27"/>
        <v>0</v>
      </c>
      <c r="W213" s="54">
        <f t="shared" si="27"/>
        <v>0</v>
      </c>
      <c r="Y213" s="58">
        <f t="shared" si="28"/>
        <v>0</v>
      </c>
      <c r="Z213" s="54">
        <f t="shared" si="28"/>
        <v>0</v>
      </c>
      <c r="AB213" s="58">
        <f t="shared" si="29"/>
        <v>0</v>
      </c>
      <c r="AC213" s="54">
        <f t="shared" si="29"/>
        <v>0</v>
      </c>
      <c r="AE213" s="58">
        <f>IF(AE205=1,AE199,0)</f>
        <v>0</v>
      </c>
      <c r="AW213" s="146"/>
    </row>
    <row r="214" spans="1:49" s="54" customFormat="1" ht="38.25" hidden="1" customHeight="1" x14ac:dyDescent="0.2">
      <c r="A214" s="57" t="s">
        <v>66</v>
      </c>
      <c r="B214" s="54">
        <f>SUM(B209:D213)</f>
        <v>50</v>
      </c>
      <c r="D214" s="58"/>
      <c r="E214" s="54">
        <f>SUM(E209:G213)</f>
        <v>50</v>
      </c>
      <c r="G214" s="58"/>
      <c r="H214" s="54">
        <f>SUM(H209:J213)</f>
        <v>50</v>
      </c>
      <c r="J214" s="58"/>
      <c r="K214" s="54">
        <f>SUM(K209:M213)</f>
        <v>50</v>
      </c>
      <c r="M214" s="58"/>
      <c r="N214" s="54">
        <f>SUM(N209:P213)</f>
        <v>50</v>
      </c>
      <c r="P214" s="58"/>
      <c r="Q214" s="54">
        <f>SUM(Q209:S213)</f>
        <v>50</v>
      </c>
      <c r="S214" s="58"/>
      <c r="T214" s="54">
        <f>SUM(T209:V213)</f>
        <v>52</v>
      </c>
      <c r="V214" s="58"/>
      <c r="W214" s="54">
        <f>SUM(W209:Y213)</f>
        <v>50</v>
      </c>
      <c r="Y214" s="58"/>
      <c r="Z214" s="54">
        <f>SUM(Z209:AB213)</f>
        <v>50</v>
      </c>
      <c r="AB214" s="58"/>
      <c r="AC214" s="54">
        <f>SUM(AC209:AE213)</f>
        <v>52</v>
      </c>
      <c r="AE214" s="58"/>
      <c r="AW214" s="146"/>
    </row>
    <row r="215" spans="1:49" s="54" customFormat="1" ht="38.25" hidden="1" customHeight="1" x14ac:dyDescent="0.2">
      <c r="A215" s="54" t="s">
        <v>67</v>
      </c>
      <c r="D215" s="58"/>
      <c r="G215" s="58"/>
      <c r="J215" s="58"/>
      <c r="M215" s="58"/>
      <c r="P215" s="58"/>
      <c r="S215" s="58"/>
      <c r="V215" s="58"/>
      <c r="Y215" s="58"/>
      <c r="AB215" s="58"/>
      <c r="AE215" s="58"/>
      <c r="AF215" s="57" t="s">
        <v>68</v>
      </c>
      <c r="AG215" s="54" t="s">
        <v>69</v>
      </c>
      <c r="AW215" s="146"/>
    </row>
    <row r="216" spans="1:49" s="54" customFormat="1" ht="12.75" hidden="1" customHeight="1" x14ac:dyDescent="0.2">
      <c r="A216" s="54" t="s">
        <v>70</v>
      </c>
      <c r="B216" s="54">
        <f>IF(B194=1,IF(B207=1,1,0),0)</f>
        <v>0</v>
      </c>
      <c r="D216" s="58">
        <f>IF(D194=1,IF(D207=1,1,0),0)</f>
        <v>0</v>
      </c>
      <c r="E216" s="54">
        <f>IF(E194=1,IF(E207=1,1,0),0)</f>
        <v>1</v>
      </c>
      <c r="G216" s="58">
        <f>IF(G194=1,IF(G207=1,1,0),0)</f>
        <v>0</v>
      </c>
      <c r="H216" s="54">
        <f>IF(H194=1,IF(H207=1,1,0),0)</f>
        <v>0</v>
      </c>
      <c r="J216" s="58">
        <f>IF(J194=1,IF(J207=1,1,0),0)</f>
        <v>0</v>
      </c>
      <c r="K216" s="54">
        <f>IF(K194=1,IF(K207=1,1,0),0)</f>
        <v>0</v>
      </c>
      <c r="M216" s="58">
        <f>IF(M194=1,IF(M207=1,1,0),0)</f>
        <v>0</v>
      </c>
      <c r="N216" s="54">
        <f>IF(N194=1,IF(N207=1,1,0),0)</f>
        <v>0</v>
      </c>
      <c r="P216" s="58">
        <f>IF(P194=1,IF(P207=1,1,0),0)</f>
        <v>0</v>
      </c>
      <c r="Q216" s="54">
        <f>IF(Q194=1,IF(Q207=1,1,0),0)</f>
        <v>0</v>
      </c>
      <c r="S216" s="58">
        <f>IF(S194=1,IF(S207=1,1,0),0)</f>
        <v>0</v>
      </c>
      <c r="T216" s="54">
        <f>IF(T194=1,IF(T207=1,1,0),0)</f>
        <v>0</v>
      </c>
      <c r="V216" s="58">
        <f>IF(V194=1,IF(V207=1,1,0),0)</f>
        <v>0</v>
      </c>
      <c r="W216" s="54">
        <f>IF(W194=1,IF(W207=1,1,0),0)</f>
        <v>1</v>
      </c>
      <c r="Y216" s="58">
        <f>IF(Y194=1,IF(Y207=1,1,0),0)</f>
        <v>0</v>
      </c>
      <c r="Z216" s="54">
        <f>IF(Z194=1,IF(Z207=1,1,0),0)</f>
        <v>0</v>
      </c>
      <c r="AB216" s="58">
        <f>IF(AB194=1,IF(AB207=1,1,0),0)</f>
        <v>0</v>
      </c>
      <c r="AC216" s="54">
        <f>IF(AC194=1,IF(AC207=1,1,0),0)</f>
        <v>1</v>
      </c>
      <c r="AE216" s="58">
        <f>IF(AE194=1,IF(AE207=1,1,0),0)</f>
        <v>0</v>
      </c>
      <c r="AF216" s="54">
        <f>SUM(B216:AE216)</f>
        <v>3</v>
      </c>
      <c r="AG216" s="54">
        <f>AF222-AF216</f>
        <v>0</v>
      </c>
      <c r="AW216" s="146"/>
    </row>
    <row r="217" spans="1:49" s="54" customFormat="1" ht="12.75" hidden="1" customHeight="1" x14ac:dyDescent="0.2">
      <c r="A217" s="54" t="s">
        <v>71</v>
      </c>
      <c r="B217" s="54">
        <f>IF(B194=2,IF(B207=1,1,0),0)</f>
        <v>1</v>
      </c>
      <c r="D217" s="58">
        <f>IF(D194=2,IF(D207=1,1,0),0)</f>
        <v>0</v>
      </c>
      <c r="E217" s="54">
        <f>IF(E194=2,IF(E207=1,1,0),0)</f>
        <v>0</v>
      </c>
      <c r="G217" s="58">
        <f>IF(G194=2,IF(G207=1,1,0),0)</f>
        <v>0</v>
      </c>
      <c r="H217" s="54">
        <f>IF(H194=2,IF(H207=1,1,0),0)</f>
        <v>0</v>
      </c>
      <c r="J217" s="58">
        <f>IF(J194=2,IF(J207=1,1,0),0)</f>
        <v>0</v>
      </c>
      <c r="K217" s="54">
        <f>IF(K194=2,IF(K207=1,1,0),0)</f>
        <v>0</v>
      </c>
      <c r="M217" s="58">
        <f>IF(M194=2,IF(M207=1,1,0),0)</f>
        <v>0</v>
      </c>
      <c r="N217" s="54">
        <f>IF(N194=2,IF(N207=1,1,0),0)</f>
        <v>0</v>
      </c>
      <c r="P217" s="58">
        <f>IF(P194=2,IF(P207=1,1,0),0)</f>
        <v>0</v>
      </c>
      <c r="Q217" s="54">
        <f>IF(Q194=2,IF(Q207=1,1,0),0)</f>
        <v>0</v>
      </c>
      <c r="S217" s="58">
        <f>IF(S194=2,IF(S207=1,1,0),0)</f>
        <v>0</v>
      </c>
      <c r="T217" s="54">
        <f>IF(T194=2,IF(T207=1,1,0),0)</f>
        <v>0</v>
      </c>
      <c r="V217" s="58">
        <f>IF(V194=2,IF(V207=1,1,0),0)</f>
        <v>0</v>
      </c>
      <c r="W217" s="54">
        <f>IF(W194=2,IF(W207=1,1,0),0)</f>
        <v>0</v>
      </c>
      <c r="Y217" s="58">
        <f>IF(Y194=2,IF(Y207=1,1,0),0)</f>
        <v>0</v>
      </c>
      <c r="Z217" s="54">
        <f>IF(Z194=2,IF(Z207=1,1,0),0)</f>
        <v>0</v>
      </c>
      <c r="AB217" s="58">
        <f>IF(AB194=2,IF(AB207=1,1,0),0)</f>
        <v>0</v>
      </c>
      <c r="AC217" s="54">
        <f>IF(AC194=2,IF(AC207=1,1,0),0)</f>
        <v>0</v>
      </c>
      <c r="AE217" s="58">
        <f>IF(AE194=2,IF(AE207=1,1,0),0)</f>
        <v>0</v>
      </c>
      <c r="AF217" s="54">
        <f>SUM(B217:AE217)</f>
        <v>1</v>
      </c>
      <c r="AG217" s="54">
        <f>AF223-AF217</f>
        <v>2</v>
      </c>
      <c r="AW217" s="146"/>
    </row>
    <row r="218" spans="1:49" s="54" customFormat="1" ht="12.75" hidden="1" customHeight="1" x14ac:dyDescent="0.2">
      <c r="A218" s="54" t="s">
        <v>72</v>
      </c>
      <c r="B218" s="54">
        <f>IF(B194=3,IF(B207=1,1,0),0)</f>
        <v>0</v>
      </c>
      <c r="D218" s="58">
        <f>IF(D194=3,IF(D207=1,1,0),0)</f>
        <v>0</v>
      </c>
      <c r="E218" s="54">
        <f>IF(E194=3,IF(E207=1,1,0),0)</f>
        <v>0</v>
      </c>
      <c r="G218" s="58">
        <f>IF(G194=3,IF(G207=1,1,0),0)</f>
        <v>0</v>
      </c>
      <c r="H218" s="54">
        <f>IF(H194=3,IF(H207=1,1,0),0)</f>
        <v>1</v>
      </c>
      <c r="J218" s="58">
        <f>IF(J194=3,IF(J207=1,1,0),0)</f>
        <v>0</v>
      </c>
      <c r="K218" s="54">
        <f>IF(K194=3,IF(K207=1,1,0),0)</f>
        <v>0</v>
      </c>
      <c r="M218" s="58">
        <f>IF(M194=3,IF(M207=1,1,0),0)</f>
        <v>0</v>
      </c>
      <c r="N218" s="54">
        <f>IF(N194=3,IF(N207=1,1,0),0)</f>
        <v>0</v>
      </c>
      <c r="P218" s="58">
        <f>IF(P194=3,IF(P207=1,1,0),0)</f>
        <v>0</v>
      </c>
      <c r="Q218" s="54">
        <f>IF(Q194=3,IF(Q207=1,1,0),0)</f>
        <v>0</v>
      </c>
      <c r="S218" s="58">
        <f>IF(S194=3,IF(S207=1,1,0),0)</f>
        <v>0</v>
      </c>
      <c r="T218" s="54">
        <f>IF(T194=3,IF(T207=1,1,0),0)</f>
        <v>0</v>
      </c>
      <c r="V218" s="58">
        <f>IF(V194=3,IF(V207=1,1,0),0)</f>
        <v>0</v>
      </c>
      <c r="W218" s="54">
        <f>IF(W194=3,IF(W207=1,1,0),0)</f>
        <v>0</v>
      </c>
      <c r="Y218" s="58">
        <f>IF(Y194=3,IF(Y207=1,1,0),0)</f>
        <v>0</v>
      </c>
      <c r="Z218" s="54">
        <f>IF(Z194=3,IF(Z207=1,1,0),0)</f>
        <v>0</v>
      </c>
      <c r="AB218" s="58">
        <f>IF(AB194=3,IF(AB207=1,1,0),0)</f>
        <v>0</v>
      </c>
      <c r="AC218" s="54">
        <f>IF(AC194=3,IF(AC207=1,1,0),0)</f>
        <v>0</v>
      </c>
      <c r="AE218" s="58">
        <f>IF(AE194=3,IF(AE207=1,1,0),0)</f>
        <v>0</v>
      </c>
      <c r="AF218" s="54">
        <f>SUM(B218:AE218)</f>
        <v>1</v>
      </c>
      <c r="AG218" s="54">
        <f>AF224-AF218</f>
        <v>1</v>
      </c>
      <c r="AW218" s="146"/>
    </row>
    <row r="219" spans="1:49" s="54" customFormat="1" ht="12.75" hidden="1" customHeight="1" x14ac:dyDescent="0.2">
      <c r="A219" s="54" t="s">
        <v>73</v>
      </c>
      <c r="B219" s="54">
        <f>IF(B194=4,IF(B207=1,1,0),0)</f>
        <v>0</v>
      </c>
      <c r="D219" s="58">
        <f>IF(D194=4,IF(D207=1,1,0),0)</f>
        <v>0</v>
      </c>
      <c r="E219" s="54">
        <f>IF(E194=4,IF(E207=1,1,0),0)</f>
        <v>0</v>
      </c>
      <c r="G219" s="58">
        <f>IF(G194=4,IF(G207=1,1,0),0)</f>
        <v>0</v>
      </c>
      <c r="H219" s="54">
        <f>IF(H194=4,IF(H207=1,1,0),0)</f>
        <v>0</v>
      </c>
      <c r="J219" s="58">
        <f>IF(J194=4,IF(J207=1,1,0),0)</f>
        <v>0</v>
      </c>
      <c r="K219" s="54">
        <f>IF(K194=4,IF(K207=1,1,0),0)</f>
        <v>0</v>
      </c>
      <c r="M219" s="58">
        <f>IF(M194=4,IF(M207=1,1,0),0)</f>
        <v>1</v>
      </c>
      <c r="N219" s="54">
        <f>IF(N194=4,IF(N207=1,1,0),0)</f>
        <v>0</v>
      </c>
      <c r="P219" s="58">
        <f>IF(P194=4,IF(P207=1,1,0),0)</f>
        <v>0</v>
      </c>
      <c r="Q219" s="54">
        <f>IF(Q194=4,IF(Q207=1,1,0),0)</f>
        <v>1</v>
      </c>
      <c r="S219" s="58">
        <f>IF(S194=4,IF(S207=1,1,0),0)</f>
        <v>0</v>
      </c>
      <c r="T219" s="54">
        <f>IF(T194=4,IF(T207=1,1,0),0)</f>
        <v>0</v>
      </c>
      <c r="V219" s="58">
        <f>IF(V194=4,IF(V207=1,1,0),0)</f>
        <v>0</v>
      </c>
      <c r="W219" s="54">
        <f>IF(W194=4,IF(W207=1,1,0),0)</f>
        <v>0</v>
      </c>
      <c r="Y219" s="58">
        <f>IF(Y194=4,IF(Y207=1,1,0),0)</f>
        <v>0</v>
      </c>
      <c r="Z219" s="54">
        <f>IF(Z194=4,IF(Z207=1,1,0),0)</f>
        <v>0</v>
      </c>
      <c r="AB219" s="58">
        <f>IF(AB194=4,IF(AB207=1,1,0),0)</f>
        <v>1</v>
      </c>
      <c r="AC219" s="54">
        <f>IF(AC194=4,IF(AC207=1,1,0),0)</f>
        <v>0</v>
      </c>
      <c r="AE219" s="58">
        <f>IF(AE194=4,IF(AE207=1,1,0),0)</f>
        <v>0</v>
      </c>
      <c r="AF219" s="54">
        <f>SUM(B219:AE219)</f>
        <v>3</v>
      </c>
      <c r="AG219" s="54">
        <f>AF225-AF219</f>
        <v>1</v>
      </c>
      <c r="AW219" s="146"/>
    </row>
    <row r="220" spans="1:49" s="54" customFormat="1" ht="12.75" hidden="1" customHeight="1" x14ac:dyDescent="0.2">
      <c r="A220" s="54" t="s">
        <v>74</v>
      </c>
      <c r="B220" s="54">
        <f>IF(B194=5,IF(B207=1,1,0),0)</f>
        <v>0</v>
      </c>
      <c r="D220" s="58">
        <f>IF(D194=5,IF(D207=1,1,0),0)</f>
        <v>0</v>
      </c>
      <c r="E220" s="54">
        <f>IF(E194=5,IF(E207=1,1,0),0)</f>
        <v>0</v>
      </c>
      <c r="G220" s="58">
        <f>IF(G194=5,IF(G207=1,1,0),0)</f>
        <v>0</v>
      </c>
      <c r="H220" s="54">
        <f>IF(H194=5,IF(H207=1,1,0),0)</f>
        <v>0</v>
      </c>
      <c r="J220" s="58">
        <f>IF(J194=5,IF(J207=1,1,0),0)</f>
        <v>0</v>
      </c>
      <c r="K220" s="54">
        <f>IF(K194=5,IF(K207=1,1,0),0)</f>
        <v>0</v>
      </c>
      <c r="M220" s="58">
        <f>IF(M194=5,IF(M207=1,1,0),0)</f>
        <v>0</v>
      </c>
      <c r="N220" s="54">
        <f>IF(N194=5,IF(N207=1,1,0),0)</f>
        <v>0</v>
      </c>
      <c r="P220" s="58">
        <f>IF(P194=5,IF(P207=1,1,0),0)</f>
        <v>0</v>
      </c>
      <c r="Q220" s="54">
        <f>IF(Q194=5,IF(Q207=1,1,0),0)</f>
        <v>0</v>
      </c>
      <c r="S220" s="58">
        <f>IF(S194=5,IF(S207=1,1,0),0)</f>
        <v>0</v>
      </c>
      <c r="T220" s="54">
        <f>IF(T194=5,IF(T207=1,1,0),0)</f>
        <v>0</v>
      </c>
      <c r="V220" s="58">
        <f>IF(V194=5,IF(V207=1,1,0),0)</f>
        <v>0</v>
      </c>
      <c r="W220" s="54">
        <f>IF(W194=5,IF(W207=1,1,0),0)</f>
        <v>0</v>
      </c>
      <c r="Y220" s="58">
        <f>IF(Y194=5,IF(Y207=1,1,0),0)</f>
        <v>0</v>
      </c>
      <c r="Z220" s="54">
        <f>IF(Z194=5,IF(Z207=1,1,0),0)</f>
        <v>0</v>
      </c>
      <c r="AB220" s="58">
        <f>IF(AB194=5,IF(AB207=1,1,0),0)</f>
        <v>0</v>
      </c>
      <c r="AC220" s="54">
        <f>IF(AC194=5,IF(AC207=1,1,0),0)</f>
        <v>0</v>
      </c>
      <c r="AE220" s="58">
        <f>IF(AE194=5,IF(AE207=1,1,0),0)</f>
        <v>0</v>
      </c>
      <c r="AF220" s="54">
        <f>SUM(B220:AE220)</f>
        <v>0</v>
      </c>
      <c r="AG220" s="54">
        <f>AF226-AF220</f>
        <v>4</v>
      </c>
      <c r="AW220" s="146"/>
    </row>
    <row r="221" spans="1:49" s="54" customFormat="1" ht="38.25" hidden="1" customHeight="1" x14ac:dyDescent="0.2">
      <c r="A221" s="57"/>
      <c r="D221" s="58"/>
      <c r="G221" s="58"/>
      <c r="J221" s="58"/>
      <c r="M221" s="58"/>
      <c r="P221" s="58"/>
      <c r="S221" s="58"/>
      <c r="V221" s="58"/>
      <c r="Y221" s="58"/>
      <c r="AB221" s="58"/>
      <c r="AE221" s="58"/>
      <c r="AF221" s="57" t="s">
        <v>75</v>
      </c>
      <c r="AW221" s="146"/>
    </row>
    <row r="222" spans="1:49" s="54" customFormat="1" ht="12.75" hidden="1" customHeight="1" x14ac:dyDescent="0.2">
      <c r="A222" s="54" t="s">
        <v>76</v>
      </c>
      <c r="B222" s="54">
        <f>IF(B194=1,IF(C207=1,1,0),0)</f>
        <v>0</v>
      </c>
      <c r="D222" s="58">
        <f>IF(D194=1,IF(C207=1,1,0),0)</f>
        <v>0</v>
      </c>
      <c r="E222" s="54">
        <f>IF(E194=1,IF(F207=1,1,0),0)</f>
        <v>1</v>
      </c>
      <c r="G222" s="58">
        <f>IF(G194=1,IF(F207=1,1,0),0)</f>
        <v>0</v>
      </c>
      <c r="H222" s="54">
        <f>IF(H194=1,IF(I207=1,1,0),0)</f>
        <v>0</v>
      </c>
      <c r="J222" s="58">
        <f>IF(J194=1,IF(I207=1,1,0),0)</f>
        <v>0</v>
      </c>
      <c r="K222" s="54">
        <f>IF(K194=1,IF(L207=1,1,0),0)</f>
        <v>0</v>
      </c>
      <c r="M222" s="58">
        <f>IF(M194=1,IF(L207=1,1,0),0)</f>
        <v>0</v>
      </c>
      <c r="N222" s="54">
        <f>IF(N194=1,IF(O207=1,1,0),0)</f>
        <v>0</v>
      </c>
      <c r="P222" s="58">
        <f>IF(P194=1,IF(O207=1,1,0),0)</f>
        <v>0</v>
      </c>
      <c r="Q222" s="54">
        <f>IF(Q194=1,IF(R207=1,1,0),0)</f>
        <v>0</v>
      </c>
      <c r="S222" s="58">
        <f>IF(S194=1,IF(R207=1,1,0),0)</f>
        <v>0</v>
      </c>
      <c r="T222" s="54">
        <f>IF(T194=1,IF(U207=1,1,0),0)</f>
        <v>0</v>
      </c>
      <c r="V222" s="58">
        <f>IF(V194=1,IF(U207=1,1,0),0)</f>
        <v>0</v>
      </c>
      <c r="W222" s="54">
        <f>IF(W194=1,IF(X207=1,1,0),0)</f>
        <v>1</v>
      </c>
      <c r="Y222" s="58">
        <f>IF(Y194=1,IF(X207=1,1,0),0)</f>
        <v>0</v>
      </c>
      <c r="Z222" s="54">
        <f>IF(Z194=1,IF(AA207=1,1,0),0)</f>
        <v>0</v>
      </c>
      <c r="AB222" s="58">
        <f>IF(AB194=1,IF(AA207=1,1,0),0)</f>
        <v>0</v>
      </c>
      <c r="AC222" s="54">
        <f>IF(AC194=1,IF(AD207=1,1,0),0)</f>
        <v>1</v>
      </c>
      <c r="AE222" s="58">
        <f>IF(AE194=1,IF(AD207=1,1,0),0)</f>
        <v>0</v>
      </c>
      <c r="AF222" s="54">
        <f>SUM(B222:AE222)</f>
        <v>3</v>
      </c>
      <c r="AW222" s="146"/>
    </row>
    <row r="223" spans="1:49" s="54" customFormat="1" ht="12.75" hidden="1" customHeight="1" x14ac:dyDescent="0.2">
      <c r="A223" s="54" t="s">
        <v>77</v>
      </c>
      <c r="B223" s="54">
        <f>IF(B194=2,IF(C207=1,1,0),0)</f>
        <v>1</v>
      </c>
      <c r="D223" s="58">
        <f>IF(D194=2,IF(C207=1,1,0),0)</f>
        <v>0</v>
      </c>
      <c r="E223" s="54">
        <f>IF(E194=2,IF(F207=1,1,0),0)</f>
        <v>0</v>
      </c>
      <c r="G223" s="58">
        <f>IF(G194=2,IF(F207=1,1,0),0)</f>
        <v>0</v>
      </c>
      <c r="H223" s="54">
        <f>IF(H194=2,IF(I207=1,1,0),0)</f>
        <v>0</v>
      </c>
      <c r="J223" s="58">
        <f>IF(J194=2,IF(I207=1,1,0),0)</f>
        <v>0</v>
      </c>
      <c r="K223" s="54">
        <f>IF(K194=2,IF(L207=1,1,0),0)</f>
        <v>1</v>
      </c>
      <c r="M223" s="58">
        <f>IF(M194=2,IF(L207=1,1,0),0)</f>
        <v>0</v>
      </c>
      <c r="N223" s="54">
        <f>IF(N194=2,IF(O207=1,1,0),0)</f>
        <v>0</v>
      </c>
      <c r="P223" s="58">
        <f>IF(P194=2,IF(O207=1,1,0),0)</f>
        <v>0</v>
      </c>
      <c r="Q223" s="54">
        <f>IF(Q194=2,IF(R207=1,1,0),0)</f>
        <v>0</v>
      </c>
      <c r="S223" s="58">
        <f>IF(S194=2,IF(R207=1,1,0),0)</f>
        <v>0</v>
      </c>
      <c r="T223" s="54">
        <f>IF(T194=2,IF(U207=1,1,0),0)</f>
        <v>0</v>
      </c>
      <c r="V223" s="58">
        <f>IF(V194=2,IF(U207=1,1,0),0)</f>
        <v>0</v>
      </c>
      <c r="W223" s="54">
        <f>IF(W194=2,IF(X207=1,1,0),0)</f>
        <v>0</v>
      </c>
      <c r="Y223" s="58">
        <f>IF(Y194=2,IF(X207=1,1,0),0)</f>
        <v>0</v>
      </c>
      <c r="Z223" s="54">
        <f>IF(Z194=2,IF(AA207=1,1,0),0)</f>
        <v>0</v>
      </c>
      <c r="AB223" s="58">
        <f>IF(AB194=2,IF(AA207=1,1,0),0)</f>
        <v>0</v>
      </c>
      <c r="AC223" s="54">
        <f>IF(AC194=2,IF(AD207=1,1,0),0)</f>
        <v>0</v>
      </c>
      <c r="AE223" s="58">
        <f>IF(AE194=2,IF(AD207=1,1,0),0)</f>
        <v>1</v>
      </c>
      <c r="AF223" s="54">
        <f>SUM(B223:AE223)</f>
        <v>3</v>
      </c>
      <c r="AW223" s="146"/>
    </row>
    <row r="224" spans="1:49" s="54" customFormat="1" ht="12.75" hidden="1" customHeight="1" x14ac:dyDescent="0.2">
      <c r="A224" s="54" t="s">
        <v>78</v>
      </c>
      <c r="B224" s="54">
        <f>IF(B194=3,IF(C207=1,1,0),0)</f>
        <v>0</v>
      </c>
      <c r="D224" s="58">
        <f>IF(D194=3,IF(C207=1,1,0),0)</f>
        <v>0</v>
      </c>
      <c r="E224" s="54">
        <f>IF(E194=3,IF(F207=1,1,0),0)</f>
        <v>0</v>
      </c>
      <c r="G224" s="58">
        <f>IF(G194=3,IF(F207=1,1,0),0)</f>
        <v>0</v>
      </c>
      <c r="H224" s="54">
        <f>IF(H194=3,IF(I207=1,1,0),0)</f>
        <v>1</v>
      </c>
      <c r="J224" s="58">
        <f>IF(J194=3,IF(I207=1,1,0),0)</f>
        <v>0</v>
      </c>
      <c r="K224" s="54">
        <f>IF(K194=3,IF(L207=1,1,0),0)</f>
        <v>0</v>
      </c>
      <c r="M224" s="58">
        <f>IF(M194=3,IF(L207=1,1,0),0)</f>
        <v>0</v>
      </c>
      <c r="N224" s="54">
        <f>IF(N194=3,IF(O207=1,1,0),0)</f>
        <v>0</v>
      </c>
      <c r="P224" s="58">
        <f>IF(P194=3,IF(O207=1,1,0),0)</f>
        <v>0</v>
      </c>
      <c r="Q224" s="54">
        <f>IF(Q194=3,IF(R207=1,1,0),0)</f>
        <v>0</v>
      </c>
      <c r="S224" s="58">
        <f>IF(S194=3,IF(R207=1,1,0),0)</f>
        <v>0</v>
      </c>
      <c r="T224" s="54">
        <f>IF(T194=3,IF(U207=1,1,0),0)</f>
        <v>0</v>
      </c>
      <c r="V224" s="58">
        <f>IF(V194=3,IF(U207=1,1,0),0)</f>
        <v>0</v>
      </c>
      <c r="W224" s="54">
        <f>IF(W194=3,IF(X207=1,1,0),0)</f>
        <v>0</v>
      </c>
      <c r="Y224" s="58">
        <f>IF(Y194=3,IF(X207=1,1,0),0)</f>
        <v>0</v>
      </c>
      <c r="Z224" s="54">
        <f>IF(Z194=3,IF(AA207=1,1,0),0)</f>
        <v>1</v>
      </c>
      <c r="AB224" s="58">
        <f>IF(AB194=3,IF(AA207=1,1,0),0)</f>
        <v>0</v>
      </c>
      <c r="AC224" s="54">
        <f>IF(AC194=3,IF(AD207=1,1,0),0)</f>
        <v>0</v>
      </c>
      <c r="AE224" s="58">
        <f>IF(AE194=3,IF(AD207=1,1,0),0)</f>
        <v>0</v>
      </c>
      <c r="AF224" s="54">
        <f>SUM(B224:AE224)</f>
        <v>2</v>
      </c>
      <c r="AW224" s="146"/>
    </row>
    <row r="225" spans="1:49" s="54" customFormat="1" ht="12.75" hidden="1" customHeight="1" x14ac:dyDescent="0.2">
      <c r="A225" s="54" t="s">
        <v>79</v>
      </c>
      <c r="B225" s="54">
        <f>IF(B194=4,IF(C207=1,1,0),0)</f>
        <v>0</v>
      </c>
      <c r="D225" s="58">
        <f>IF(D194=4,IF(C207=1,1,0),0)</f>
        <v>0</v>
      </c>
      <c r="E225" s="54">
        <f>IF(E194=4,IF(F207=1,1,0),0)</f>
        <v>0</v>
      </c>
      <c r="G225" s="58">
        <f>IF(G194=4,IF(F207=1,1,0),0)</f>
        <v>1</v>
      </c>
      <c r="H225" s="54">
        <f>IF(H194=4,IF(I207=1,1,0),0)</f>
        <v>0</v>
      </c>
      <c r="J225" s="58">
        <f>IF(J194=4,IF(I207=1,1,0),0)</f>
        <v>0</v>
      </c>
      <c r="K225" s="54">
        <f>IF(K194=4,IF(L207=1,1,0),0)</f>
        <v>0</v>
      </c>
      <c r="M225" s="58">
        <f>IF(M194=4,IF(L207=1,1,0),0)</f>
        <v>1</v>
      </c>
      <c r="N225" s="54">
        <f>IF(N194=4,IF(O207=1,1,0),0)</f>
        <v>0</v>
      </c>
      <c r="P225" s="58">
        <f>IF(P194=4,IF(O207=1,1,0),0)</f>
        <v>0</v>
      </c>
      <c r="Q225" s="54">
        <f>IF(Q194=4,IF(R207=1,1,0),0)</f>
        <v>1</v>
      </c>
      <c r="S225" s="58">
        <f>IF(S194=4,IF(R207=1,1,0),0)</f>
        <v>0</v>
      </c>
      <c r="T225" s="54">
        <f>IF(T194=4,IF(U207=1,1,0),0)</f>
        <v>0</v>
      </c>
      <c r="V225" s="58">
        <f>IF(V194=4,IF(U207=1,1,0),0)</f>
        <v>0</v>
      </c>
      <c r="W225" s="54">
        <f>IF(W194=4,IF(X207=1,1,0),0)</f>
        <v>0</v>
      </c>
      <c r="Y225" s="58">
        <f>IF(Y194=4,IF(X207=1,1,0),0)</f>
        <v>0</v>
      </c>
      <c r="Z225" s="54">
        <f>IF(Z194=4,IF(AA207=1,1,0),0)</f>
        <v>0</v>
      </c>
      <c r="AB225" s="58">
        <f>IF(AB194=4,IF(AA207=1,1,0),0)</f>
        <v>1</v>
      </c>
      <c r="AC225" s="54">
        <f>IF(AC194=4,IF(AD207=1,1,0),0)</f>
        <v>0</v>
      </c>
      <c r="AE225" s="58">
        <f>IF(AE194=4,IF(AD207=1,1,0),0)</f>
        <v>0</v>
      </c>
      <c r="AF225" s="54">
        <f>SUM(B225:AE225)</f>
        <v>4</v>
      </c>
      <c r="AW225" s="146"/>
    </row>
    <row r="226" spans="1:49" s="54" customFormat="1" ht="12.75" hidden="1" customHeight="1" x14ac:dyDescent="0.2">
      <c r="A226" s="54" t="s">
        <v>80</v>
      </c>
      <c r="B226" s="54">
        <f>IF(B194=5,IF(C207=1,1,0),0)</f>
        <v>0</v>
      </c>
      <c r="D226" s="58">
        <f>IF(D194=5,IF(C207=1,1,0),0)</f>
        <v>1</v>
      </c>
      <c r="E226" s="54">
        <f>IF(E194=5,IF(F207=1,1,0),0)</f>
        <v>0</v>
      </c>
      <c r="G226" s="58">
        <f>IF(G194=5,IF(F207=1,1,0),0)</f>
        <v>0</v>
      </c>
      <c r="H226" s="54">
        <f>IF(H194=5,IF(I207=1,1,0),0)</f>
        <v>0</v>
      </c>
      <c r="J226" s="58">
        <f>IF(J194=5,IF(I207=1,1,0),0)</f>
        <v>1</v>
      </c>
      <c r="K226" s="54">
        <f>IF(K194=5,IF(L207=1,1,0),0)</f>
        <v>0</v>
      </c>
      <c r="M226" s="58">
        <f>IF(M194=5,IF(L207=1,1,0),0)</f>
        <v>0</v>
      </c>
      <c r="N226" s="54">
        <f>IF(N194=5,IF(O207=1,1,0),0)</f>
        <v>0</v>
      </c>
      <c r="P226" s="58">
        <f>IF(P194=5,IF(O207=1,1,0),0)</f>
        <v>0</v>
      </c>
      <c r="Q226" s="54">
        <f>IF(Q194=5,IF(R207=1,1,0),0)</f>
        <v>0</v>
      </c>
      <c r="S226" s="58">
        <f>IF(S194=5,IF(R207=1,1,0),0)</f>
        <v>1</v>
      </c>
      <c r="T226" s="54">
        <f>IF(T194=5,IF(U207=1,1,0),0)</f>
        <v>0</v>
      </c>
      <c r="V226" s="58">
        <f>IF(V194=5,IF(U207=1,1,0),0)</f>
        <v>0</v>
      </c>
      <c r="W226" s="54">
        <f>IF(W194=5,IF(X207=1,1,0),0)</f>
        <v>0</v>
      </c>
      <c r="Y226" s="58">
        <f>IF(Y194=5,IF(X207=1,1,0),0)</f>
        <v>1</v>
      </c>
      <c r="Z226" s="54">
        <f>IF(Z194=5,IF(AA207=1,1,0),0)</f>
        <v>0</v>
      </c>
      <c r="AB226" s="58">
        <f>IF(AB194=5,IF(AA207=1,1,0),0)</f>
        <v>0</v>
      </c>
      <c r="AC226" s="54">
        <f>IF(AC194=5,IF(AD207=1,1,0),0)</f>
        <v>0</v>
      </c>
      <c r="AE226" s="58">
        <f>IF(AE194=5,IF(AD207=1,1,0),0)</f>
        <v>0</v>
      </c>
      <c r="AF226" s="54">
        <f>SUM(B226:AE226)</f>
        <v>4</v>
      </c>
      <c r="AW226" s="146"/>
    </row>
    <row r="227" spans="1:49" s="54" customFormat="1" ht="38.25" hidden="1" customHeight="1" x14ac:dyDescent="0.2">
      <c r="A227" s="57"/>
      <c r="D227" s="58"/>
      <c r="G227" s="58"/>
      <c r="J227" s="58"/>
      <c r="M227" s="58"/>
      <c r="P227" s="58"/>
      <c r="S227" s="58"/>
      <c r="V227" s="58"/>
      <c r="Y227" s="58"/>
      <c r="AB227" s="58"/>
      <c r="AE227" s="58"/>
      <c r="AF227" s="57" t="s">
        <v>81</v>
      </c>
      <c r="AG227" s="789"/>
      <c r="AH227" s="789"/>
      <c r="AI227" s="789"/>
      <c r="AJ227" s="789"/>
      <c r="AK227" s="789"/>
      <c r="AW227" s="146"/>
    </row>
    <row r="228" spans="1:49" s="54" customFormat="1" ht="12.75" hidden="1" customHeight="1" x14ac:dyDescent="0.2">
      <c r="A228" s="54" t="s">
        <v>76</v>
      </c>
      <c r="B228" s="54">
        <f>IF(B194=1,B214,0)</f>
        <v>0</v>
      </c>
      <c r="D228" s="58">
        <f>IF(D194=1,B214,0)</f>
        <v>0</v>
      </c>
      <c r="E228" s="54">
        <f>IF(E194=1,E214,0)</f>
        <v>50</v>
      </c>
      <c r="G228" s="58">
        <f>IF(G194=1,E214,0)</f>
        <v>0</v>
      </c>
      <c r="H228" s="54">
        <f>IF(H194=1,H214,0)</f>
        <v>0</v>
      </c>
      <c r="J228" s="58">
        <f>IF(J194=1,H214,0)</f>
        <v>0</v>
      </c>
      <c r="K228" s="54">
        <f>IF(K194=1,K214,0)</f>
        <v>0</v>
      </c>
      <c r="M228" s="58">
        <f>IF(M194=1,K214,0)</f>
        <v>0</v>
      </c>
      <c r="N228" s="54">
        <f>IF(N194=1,N214,0)</f>
        <v>50</v>
      </c>
      <c r="P228" s="58">
        <f>IF(P194=1,N214,0)</f>
        <v>0</v>
      </c>
      <c r="Q228" s="54">
        <f>IF(Q194=1,Q214,0)</f>
        <v>0</v>
      </c>
      <c r="S228" s="58">
        <f>IF(S194=1,Q214,0)</f>
        <v>0</v>
      </c>
      <c r="T228" s="54">
        <f>IF(T194=1,T214,0)</f>
        <v>0</v>
      </c>
      <c r="V228" s="58">
        <f>IF(V194=1,T214,0)</f>
        <v>0</v>
      </c>
      <c r="W228" s="54">
        <f>IF(W194=1,W214,0)</f>
        <v>50</v>
      </c>
      <c r="Y228" s="58">
        <f>IF(Y194=1,W214,0)</f>
        <v>0</v>
      </c>
      <c r="Z228" s="54">
        <f>IF(Z194=1,Z214,0)</f>
        <v>0</v>
      </c>
      <c r="AB228" s="58">
        <f>IF(AB194=1,Z214,0)</f>
        <v>0</v>
      </c>
      <c r="AC228" s="54">
        <f>IF(AC194=1,AC214,0)</f>
        <v>52</v>
      </c>
      <c r="AE228" s="58">
        <f>IF(AE194=1,AC214,0)</f>
        <v>0</v>
      </c>
      <c r="AF228" s="54">
        <f>SUM(B228:AE228)</f>
        <v>202</v>
      </c>
      <c r="AW228" s="146"/>
    </row>
    <row r="229" spans="1:49" s="54" customFormat="1" ht="12.75" hidden="1" customHeight="1" x14ac:dyDescent="0.2">
      <c r="A229" s="54" t="s">
        <v>77</v>
      </c>
      <c r="B229" s="54">
        <f>IF(B194=2,B214,0)</f>
        <v>50</v>
      </c>
      <c r="D229" s="58">
        <f>IF(D194=2,B214,0)</f>
        <v>0</v>
      </c>
      <c r="E229" s="54">
        <f>IF(E194=2,E214,0)</f>
        <v>0</v>
      </c>
      <c r="G229" s="58">
        <f>IF(G194=2,E214,0)</f>
        <v>0</v>
      </c>
      <c r="H229" s="54">
        <f>IF(H194=2,H214,0)</f>
        <v>0</v>
      </c>
      <c r="J229" s="58">
        <f>IF(J194=2,H214,0)</f>
        <v>0</v>
      </c>
      <c r="K229" s="54">
        <f>IF(K194=2,K214,0)</f>
        <v>50</v>
      </c>
      <c r="M229" s="58">
        <f>IF(M194=2,K214,0)</f>
        <v>0</v>
      </c>
      <c r="N229" s="54">
        <f>IF(N194=2,N214,0)</f>
        <v>0</v>
      </c>
      <c r="P229" s="58">
        <f>IF(P194=2,N214,0)</f>
        <v>0</v>
      </c>
      <c r="Q229" s="54">
        <f>IF(Q194=2,Q214,0)</f>
        <v>0</v>
      </c>
      <c r="S229" s="58">
        <f>IF(S194=2,Q214,0)</f>
        <v>0</v>
      </c>
      <c r="T229" s="54">
        <f>IF(T194=2,T214,0)</f>
        <v>52</v>
      </c>
      <c r="V229" s="58">
        <f>IF(V194=2,T214,0)</f>
        <v>0</v>
      </c>
      <c r="W229" s="54">
        <f>IF(W194=2,W214,0)</f>
        <v>0</v>
      </c>
      <c r="Y229" s="58">
        <f>IF(Y194=2,W214,0)</f>
        <v>0</v>
      </c>
      <c r="Z229" s="54">
        <f>IF(Z194=2,Z214,0)</f>
        <v>0</v>
      </c>
      <c r="AB229" s="58">
        <f>IF(AB194=2,Z214,0)</f>
        <v>0</v>
      </c>
      <c r="AC229" s="54">
        <f>IF(AC194=2,AC214,0)</f>
        <v>0</v>
      </c>
      <c r="AE229" s="58">
        <f>IF(AE194=2,AC214,0)</f>
        <v>52</v>
      </c>
      <c r="AF229" s="54">
        <f>SUM(B229:AE229)</f>
        <v>204</v>
      </c>
      <c r="AW229" s="146"/>
    </row>
    <row r="230" spans="1:49" s="54" customFormat="1" ht="12.75" hidden="1" customHeight="1" x14ac:dyDescent="0.2">
      <c r="A230" s="54" t="s">
        <v>78</v>
      </c>
      <c r="B230" s="54">
        <f>IF(B194=3,B214,0)</f>
        <v>0</v>
      </c>
      <c r="D230" s="58">
        <f>IF(D194=3,B214,0)</f>
        <v>0</v>
      </c>
      <c r="E230" s="54">
        <f>IF(E194=3,E214,0)</f>
        <v>0</v>
      </c>
      <c r="G230" s="58">
        <f>IF(G194=3,E214,0)</f>
        <v>0</v>
      </c>
      <c r="H230" s="54">
        <f>IF(H194=3,H214,0)</f>
        <v>50</v>
      </c>
      <c r="J230" s="58">
        <f>IF(J194=3,H214,0)</f>
        <v>0</v>
      </c>
      <c r="K230" s="54">
        <f>IF(K194=3,K214,0)</f>
        <v>0</v>
      </c>
      <c r="M230" s="58">
        <f>IF(M194=3,K214,0)</f>
        <v>0</v>
      </c>
      <c r="N230" s="54">
        <f>IF(N194=3,N214,0)</f>
        <v>0</v>
      </c>
      <c r="P230" s="58">
        <f>IF(P194=3,N214,0)</f>
        <v>50</v>
      </c>
      <c r="Q230" s="54">
        <f>IF(Q194=3,Q214,0)</f>
        <v>0</v>
      </c>
      <c r="S230" s="58">
        <f>IF(S194=3,Q214,0)</f>
        <v>0</v>
      </c>
      <c r="T230" s="54">
        <f>IF(T194=3,T214,0)</f>
        <v>0</v>
      </c>
      <c r="V230" s="58">
        <f>IF(V194=3,T214,0)</f>
        <v>52</v>
      </c>
      <c r="W230" s="54">
        <f>IF(W194=3,W214,0)</f>
        <v>0</v>
      </c>
      <c r="Y230" s="58">
        <f>IF(Y194=3,W214,0)</f>
        <v>0</v>
      </c>
      <c r="Z230" s="54">
        <f>IF(Z194=3,Z214,0)</f>
        <v>50</v>
      </c>
      <c r="AB230" s="58">
        <f>IF(AB194=3,Z214,0)</f>
        <v>0</v>
      </c>
      <c r="AC230" s="54">
        <f>IF(AC194=3,AC214,0)</f>
        <v>0</v>
      </c>
      <c r="AE230" s="58">
        <f>IF(AE194=3,AC214,0)</f>
        <v>0</v>
      </c>
      <c r="AF230" s="54">
        <f>SUM(B230:AE230)</f>
        <v>202</v>
      </c>
      <c r="AW230" s="146"/>
    </row>
    <row r="231" spans="1:49" s="54" customFormat="1" ht="12.75" hidden="1" customHeight="1" x14ac:dyDescent="0.2">
      <c r="A231" s="54" t="s">
        <v>79</v>
      </c>
      <c r="B231" s="54">
        <f>IF(B194=4,B214,0)</f>
        <v>0</v>
      </c>
      <c r="D231" s="58">
        <f>IF(D194=4,B214,0)</f>
        <v>0</v>
      </c>
      <c r="E231" s="54">
        <f>IF(E194=4,E214,0)</f>
        <v>0</v>
      </c>
      <c r="G231" s="58">
        <f>IF(G194=4,E214,0)</f>
        <v>50</v>
      </c>
      <c r="H231" s="54">
        <f>IF(H194=4,H214,0)</f>
        <v>0</v>
      </c>
      <c r="J231" s="58">
        <f>IF(J194=4,H214,0)</f>
        <v>0</v>
      </c>
      <c r="K231" s="54">
        <f>IF(K194=4,K214,0)</f>
        <v>0</v>
      </c>
      <c r="M231" s="58">
        <f>IF(M194=4,K214,0)</f>
        <v>50</v>
      </c>
      <c r="N231" s="54">
        <f>IF(N194=4,N214,0)</f>
        <v>0</v>
      </c>
      <c r="P231" s="58">
        <f>IF(P194=4,N214,0)</f>
        <v>0</v>
      </c>
      <c r="Q231" s="54">
        <f>IF(Q194=4,Q214,0)</f>
        <v>50</v>
      </c>
      <c r="S231" s="58">
        <f>IF(S194=4,Q214,0)</f>
        <v>0</v>
      </c>
      <c r="T231" s="54">
        <f>IF(T194=4,T214,0)</f>
        <v>0</v>
      </c>
      <c r="V231" s="58">
        <f>IF(V194=4,T214,0)</f>
        <v>0</v>
      </c>
      <c r="W231" s="54">
        <f>IF(W194=4,W214,0)</f>
        <v>0</v>
      </c>
      <c r="Y231" s="58">
        <f>IF(Y194=4,W214,0)</f>
        <v>0</v>
      </c>
      <c r="Z231" s="54">
        <f>IF(Z194=4,Z214,0)</f>
        <v>0</v>
      </c>
      <c r="AB231" s="58">
        <f>IF(AB194=4,Z214,0)</f>
        <v>50</v>
      </c>
      <c r="AC231" s="54">
        <f>IF(AC194=4,AC214,0)</f>
        <v>0</v>
      </c>
      <c r="AE231" s="58">
        <f>IF(AE194=4,AC214,0)</f>
        <v>0</v>
      </c>
      <c r="AF231" s="54">
        <f>SUM(B231:AE231)</f>
        <v>200</v>
      </c>
      <c r="AW231" s="146"/>
    </row>
    <row r="232" spans="1:49" s="54" customFormat="1" ht="12.75" hidden="1" customHeight="1" x14ac:dyDescent="0.2">
      <c r="A232" s="54" t="s">
        <v>80</v>
      </c>
      <c r="B232" s="54">
        <f>IF(B194=5,B214,0)</f>
        <v>0</v>
      </c>
      <c r="D232" s="58">
        <f>IF(D194=5,B214,0)</f>
        <v>50</v>
      </c>
      <c r="E232" s="54">
        <f>IF(E194=5,E214,0)</f>
        <v>0</v>
      </c>
      <c r="G232" s="58">
        <f>IF(G194=5,E214,0)</f>
        <v>0</v>
      </c>
      <c r="H232" s="54">
        <f>IF(H194=5,H214,0)</f>
        <v>0</v>
      </c>
      <c r="J232" s="58">
        <f>IF(J194=5,H214,0)</f>
        <v>50</v>
      </c>
      <c r="K232" s="54">
        <f>IF(K194=5,K214,0)</f>
        <v>0</v>
      </c>
      <c r="M232" s="58">
        <f>IF(M194=5,K214,0)</f>
        <v>0</v>
      </c>
      <c r="N232" s="54">
        <f>IF(N194=5,N214,0)</f>
        <v>0</v>
      </c>
      <c r="P232" s="58">
        <f>IF(P194=5,N214,0)</f>
        <v>0</v>
      </c>
      <c r="Q232" s="54">
        <f>IF(Q194=5,Q214,0)</f>
        <v>0</v>
      </c>
      <c r="S232" s="58">
        <f>IF(S194=5,Q214,0)</f>
        <v>50</v>
      </c>
      <c r="T232" s="54">
        <f>IF(T194=5,T214,0)</f>
        <v>0</v>
      </c>
      <c r="V232" s="58">
        <f>IF(V194=5,T214,0)</f>
        <v>0</v>
      </c>
      <c r="W232" s="54">
        <f>IF(W194=5,W214,0)</f>
        <v>0</v>
      </c>
      <c r="Y232" s="58">
        <f>IF(Y194=5,W214,0)</f>
        <v>50</v>
      </c>
      <c r="Z232" s="54">
        <f>IF(Z194=5,Z214,0)</f>
        <v>0</v>
      </c>
      <c r="AB232" s="58">
        <f>IF(AB194=5,Z214,0)</f>
        <v>0</v>
      </c>
      <c r="AC232" s="54">
        <f>IF(AC194=5,AC214,0)</f>
        <v>0</v>
      </c>
      <c r="AE232" s="58">
        <f>IF(AE194=5,AC214,0)</f>
        <v>0</v>
      </c>
      <c r="AF232" s="54">
        <f>SUM(B232:AE232)</f>
        <v>200</v>
      </c>
      <c r="AW232" s="146"/>
    </row>
    <row r="233" spans="1:49" s="54" customFormat="1" ht="38.25" hidden="1" customHeight="1" x14ac:dyDescent="0.2">
      <c r="A233" s="54" t="s">
        <v>82</v>
      </c>
      <c r="D233" s="58"/>
      <c r="G233" s="58"/>
      <c r="J233" s="58"/>
      <c r="M233" s="58"/>
      <c r="P233" s="58"/>
      <c r="S233" s="58"/>
      <c r="V233" s="58"/>
      <c r="Y233" s="58"/>
      <c r="AB233" s="58"/>
      <c r="AE233" s="58"/>
      <c r="AF233" s="57" t="s">
        <v>83</v>
      </c>
      <c r="AG233" s="54" t="s">
        <v>84</v>
      </c>
      <c r="AW233" s="146"/>
    </row>
    <row r="234" spans="1:49" s="54" customFormat="1" ht="12.75" hidden="1" customHeight="1" x14ac:dyDescent="0.2">
      <c r="A234" s="54" t="s">
        <v>70</v>
      </c>
      <c r="B234" s="54">
        <f>IF(B194=1,SUMIF(B201:B205,"&gt;0"),0)</f>
        <v>0</v>
      </c>
      <c r="D234" s="58">
        <f>IF(D194=1,SUMIF(D201:D205,"&gt;0"),0)</f>
        <v>0</v>
      </c>
      <c r="E234" s="54">
        <f>IF(E194=1,SUMIF(E201:E205,"&gt;0"),0)</f>
        <v>2</v>
      </c>
      <c r="G234" s="58">
        <f>IF(G194=1,SUMIF(G201:G205,"&gt;0"),0)</f>
        <v>0</v>
      </c>
      <c r="H234" s="54">
        <f>IF(H194=1,SUMIF(H201:H205,"&gt;0"),0)</f>
        <v>0</v>
      </c>
      <c r="J234" s="58">
        <f>IF(J194=1,SUMIF(J201:J205,"&gt;0"),0)</f>
        <v>0</v>
      </c>
      <c r="K234" s="54">
        <f>IF(K194=1,SUMIF(K201:K205,"&gt;0"),0)</f>
        <v>0</v>
      </c>
      <c r="M234" s="58">
        <f>IF(M194=1,SUMIF(M201:M205,"&gt;0"),0)</f>
        <v>0</v>
      </c>
      <c r="N234" s="54">
        <f>IF(N194=1,SUMIF(N201:N205,"&gt;0"),0)</f>
        <v>1</v>
      </c>
      <c r="P234" s="58">
        <f>IF(P194=1,SUMIF(P201:P205,"&gt;0"),0)</f>
        <v>0</v>
      </c>
      <c r="Q234" s="54">
        <f>IF(Q194=1,SUMIF(Q201:Q205,"&gt;0"),0)</f>
        <v>0</v>
      </c>
      <c r="S234" s="58">
        <f>IF(S194=1,SUMIF(S201:S205,"&gt;0"),0)</f>
        <v>0</v>
      </c>
      <c r="T234" s="54">
        <f>IF(T194=1,SUMIF(T201:T205,"&gt;0"),0)</f>
        <v>0</v>
      </c>
      <c r="V234" s="58">
        <f>IF(V194=1,SUMIF(V201:V205,"&gt;0"),0)</f>
        <v>0</v>
      </c>
      <c r="W234" s="54">
        <f>IF(W194=1,SUMIF(W201:W205,"&gt;0"),0)</f>
        <v>2</v>
      </c>
      <c r="Y234" s="58">
        <f>IF(Y194=1,SUMIF(Y201:Y205,"&gt;0"),0)</f>
        <v>0</v>
      </c>
      <c r="Z234" s="54">
        <f>IF(Z194=1,SUMIF(Z201:Z205,"&gt;0"),0)</f>
        <v>0</v>
      </c>
      <c r="AB234" s="58">
        <f>IF(AB194=1,SUMIF(AB201:AB205,"&gt;0"),0)</f>
        <v>0</v>
      </c>
      <c r="AC234" s="54">
        <f>IF(AC194=1,SUMIF(AC201:AC205,"&gt;0"),0)</f>
        <v>2</v>
      </c>
      <c r="AE234" s="58">
        <f>IF(AE194=1,SUMIF(AE201:AE205,"&gt;0"),0)</f>
        <v>0</v>
      </c>
      <c r="AF234" s="54">
        <f>SUM(B234:AE234)</f>
        <v>7</v>
      </c>
      <c r="AG234" s="54">
        <f>AF242-AF234</f>
        <v>1</v>
      </c>
      <c r="AW234" s="146"/>
    </row>
    <row r="235" spans="1:49" s="54" customFormat="1" ht="12.75" hidden="1" customHeight="1" x14ac:dyDescent="0.2">
      <c r="A235" s="54" t="s">
        <v>71</v>
      </c>
      <c r="B235" s="54">
        <f>IF(B194=2,SUMIF(B201:B205,"&gt;0"),0)</f>
        <v>2</v>
      </c>
      <c r="D235" s="58">
        <f>IF(D194=2,SUMIF(D201:D205,"&gt;0"),0)</f>
        <v>0</v>
      </c>
      <c r="E235" s="54">
        <f>IF(E194=2,SUMIF(E201:E205,"&gt;0"),0)</f>
        <v>0</v>
      </c>
      <c r="G235" s="58">
        <f>IF(G194=2,SUMIF(G201:G205,"&gt;0"),0)</f>
        <v>0</v>
      </c>
      <c r="H235" s="54">
        <f>IF(H194=2,SUMIF(H201:H205,"&gt;0"),0)</f>
        <v>0</v>
      </c>
      <c r="J235" s="58">
        <f>IF(J194=2,SUMIF(J201:J205,"&gt;0"),0)</f>
        <v>0</v>
      </c>
      <c r="K235" s="54">
        <f>IF(K194=2,SUMIF(K201:K205,"&gt;0"),0)</f>
        <v>0</v>
      </c>
      <c r="M235" s="58">
        <f>IF(M194=2,SUMIF(M201:M205,"&gt;0"),0)</f>
        <v>0</v>
      </c>
      <c r="N235" s="54">
        <f>IF(N194=2,SUMIF(N201:N205,"&gt;0"),0)</f>
        <v>0</v>
      </c>
      <c r="P235" s="58">
        <f>IF(P194=2,SUMIF(P201:P205,"&gt;0"),0)</f>
        <v>0</v>
      </c>
      <c r="Q235" s="54">
        <f>IF(Q194=2,SUMIF(Q201:Q205,"&gt;0"),0)</f>
        <v>0</v>
      </c>
      <c r="S235" s="58">
        <f>IF(S194=2,SUMIF(S201:S205,"&gt;0"),0)</f>
        <v>0</v>
      </c>
      <c r="T235" s="54">
        <f>IF(T194=2,SUMIF(T201:T205,"&gt;0"),0)</f>
        <v>1</v>
      </c>
      <c r="V235" s="58">
        <f>IF(V194=2,SUMIF(V201:V205,"&gt;0"),0)</f>
        <v>0</v>
      </c>
      <c r="W235" s="54">
        <f>IF(W194=2,SUMIF(W201:W205,"&gt;0"),0)</f>
        <v>0</v>
      </c>
      <c r="Y235" s="58">
        <f>IF(Y194=2,SUMIF(Y201:Y205,"&gt;0"),0)</f>
        <v>0</v>
      </c>
      <c r="Z235" s="54">
        <f>IF(Z194=2,SUMIF(Z201:Z205,"&gt;0"),0)</f>
        <v>0</v>
      </c>
      <c r="AB235" s="58">
        <f>IF(AB194=2,SUMIF(AB201:AB205,"&gt;0"),0)</f>
        <v>0</v>
      </c>
      <c r="AC235" s="54">
        <f>IF(AC194=2,SUMIF(AC201:AC205,"&gt;0"),0)</f>
        <v>0</v>
      </c>
      <c r="AE235" s="58">
        <f>IF(AE194=2,SUMIF(AE201:AE205,"&gt;0"),0)</f>
        <v>0</v>
      </c>
      <c r="AF235" s="54">
        <f>SUM(B235:AE235)</f>
        <v>3</v>
      </c>
      <c r="AG235" s="54">
        <f>AF243-AF235</f>
        <v>5</v>
      </c>
      <c r="AW235" s="146"/>
    </row>
    <row r="236" spans="1:49" s="54" customFormat="1" ht="12.75" hidden="1" customHeight="1" x14ac:dyDescent="0.2">
      <c r="A236" s="54" t="s">
        <v>72</v>
      </c>
      <c r="B236" s="54">
        <f>IF(B194=3,SUMIF(B201:B205,"&gt;0"),0)</f>
        <v>0</v>
      </c>
      <c r="D236" s="58">
        <f>IF(D194=3,SUMIF(D201:D205,"&gt;0"),0)</f>
        <v>0</v>
      </c>
      <c r="E236" s="54">
        <f>IF(E194=3,SUMIF(E201:E205,"&gt;0"),0)</f>
        <v>0</v>
      </c>
      <c r="G236" s="58">
        <f>IF(G194=3,SUMIF(G201:G205,"&gt;0"),0)</f>
        <v>0</v>
      </c>
      <c r="H236" s="54">
        <f>IF(H194=3,SUMIF(H201:H205,"&gt;0"),0)</f>
        <v>2</v>
      </c>
      <c r="J236" s="58">
        <f>IF(J194=3,SUMIF(J201:J205,"&gt;0"),0)</f>
        <v>0</v>
      </c>
      <c r="K236" s="54">
        <f>IF(K194=3,SUMIF(K201:K205,"&gt;0"),0)</f>
        <v>0</v>
      </c>
      <c r="M236" s="58">
        <f>IF(M194=3,SUMIF(M201:M205,"&gt;0"),0)</f>
        <v>0</v>
      </c>
      <c r="N236" s="54">
        <f>IF(N194=3,SUMIF(N201:N205,"&gt;0"),0)</f>
        <v>0</v>
      </c>
      <c r="P236" s="58">
        <f>IF(P194=3,SUMIF(P201:P205,"&gt;0"),0)</f>
        <v>1</v>
      </c>
      <c r="Q236" s="54">
        <f>IF(Q194=3,SUMIF(Q201:Q205,"&gt;0"),0)</f>
        <v>0</v>
      </c>
      <c r="S236" s="58">
        <f>IF(S194=3,SUMIF(S201:S205,"&gt;0"),0)</f>
        <v>0</v>
      </c>
      <c r="T236" s="54">
        <f>IF(T194=3,SUMIF(T201:T205,"&gt;0"),0)</f>
        <v>0</v>
      </c>
      <c r="V236" s="58">
        <f>IF(V194=3,SUMIF(V201:V205,"&gt;0"),0)</f>
        <v>1</v>
      </c>
      <c r="W236" s="54">
        <f>IF(W194=3,SUMIF(W201:W205,"&gt;0"),0)</f>
        <v>0</v>
      </c>
      <c r="Y236" s="58">
        <f>IF(Y194=3,SUMIF(Y201:Y205,"&gt;0"),0)</f>
        <v>0</v>
      </c>
      <c r="Z236" s="54">
        <f>IF(Z194=3,SUMIF(Z201:Z205,"&gt;0"),0)</f>
        <v>0</v>
      </c>
      <c r="AB236" s="58">
        <f>IF(AB194=3,SUMIF(AB201:AB205,"&gt;0"),0)</f>
        <v>0</v>
      </c>
      <c r="AC236" s="54">
        <f>IF(AC194=3,SUMIF(AC201:AC205,"&gt;0"),0)</f>
        <v>0</v>
      </c>
      <c r="AE236" s="58">
        <f>IF(AE194=3,SUMIF(AE201:AE205,"&gt;0"),0)</f>
        <v>0</v>
      </c>
      <c r="AF236" s="54">
        <f>SUM(B236:AE236)</f>
        <v>4</v>
      </c>
      <c r="AG236" s="54">
        <f>AF244-AF236</f>
        <v>4</v>
      </c>
      <c r="AW236" s="146"/>
    </row>
    <row r="237" spans="1:49" s="54" customFormat="1" ht="12.75" hidden="1" customHeight="1" x14ac:dyDescent="0.2">
      <c r="A237" s="54" t="s">
        <v>73</v>
      </c>
      <c r="B237" s="54">
        <f>IF(B194=4,SUMIF(B201:B205,"&gt;0"),0)</f>
        <v>0</v>
      </c>
      <c r="D237" s="58">
        <f>IF(D194=4,SUMIF(D201:D205,"&gt;0"),0)</f>
        <v>0</v>
      </c>
      <c r="E237" s="54">
        <f>IF(E194=4,SUMIF(E201:E205,"&gt;0"),0)</f>
        <v>0</v>
      </c>
      <c r="G237" s="58">
        <f>IF(G194=4,SUMIF(G201:G205,"&gt;0"),0)</f>
        <v>0</v>
      </c>
      <c r="H237" s="54">
        <f>IF(H194=4,SUMIF(H201:H205,"&gt;0"),0)</f>
        <v>0</v>
      </c>
      <c r="J237" s="58">
        <f>IF(J194=4,SUMIF(J201:J205,"&gt;0"),0)</f>
        <v>0</v>
      </c>
      <c r="K237" s="54">
        <f>IF(K194=4,SUMIF(K201:K205,"&gt;0"),0)</f>
        <v>0</v>
      </c>
      <c r="M237" s="58">
        <f>IF(M194=4,SUMIF(M201:M205,"&gt;0"),0)</f>
        <v>2</v>
      </c>
      <c r="N237" s="54">
        <f>IF(N194=4,SUMIF(N201:N205,"&gt;0"),0)</f>
        <v>0</v>
      </c>
      <c r="P237" s="58">
        <f>IF(P194=4,SUMIF(P201:P205,"&gt;0"),0)</f>
        <v>0</v>
      </c>
      <c r="Q237" s="54">
        <f>IF(Q194=4,SUMIF(Q201:Q205,"&gt;0"),0)</f>
        <v>2</v>
      </c>
      <c r="S237" s="58">
        <f>IF(S194=4,SUMIF(S201:S205,"&gt;0"),0)</f>
        <v>0</v>
      </c>
      <c r="T237" s="54">
        <f>IF(T194=4,SUMIF(T201:T205,"&gt;0"),0)</f>
        <v>0</v>
      </c>
      <c r="V237" s="58">
        <f>IF(V194=4,SUMIF(V201:V205,"&gt;0"),0)</f>
        <v>0</v>
      </c>
      <c r="W237" s="54">
        <f>IF(W194=4,SUMIF(W201:W205,"&gt;0"),0)</f>
        <v>0</v>
      </c>
      <c r="Y237" s="58">
        <f>IF(Y194=4,SUMIF(Y201:Y205,"&gt;0"),0)</f>
        <v>0</v>
      </c>
      <c r="Z237" s="54">
        <f>IF(Z194=4,SUMIF(Z201:Z205,"&gt;0"),0)</f>
        <v>0</v>
      </c>
      <c r="AB237" s="58">
        <f>IF(AB194=4,SUMIF(AB201:AB205,"&gt;0"),0)</f>
        <v>2</v>
      </c>
      <c r="AC237" s="54">
        <f>IF(AC194=4,SUMIF(AC201:AC205,"&gt;0"),0)</f>
        <v>0</v>
      </c>
      <c r="AE237" s="58">
        <f>IF(AE194=4,SUMIF(AE201:AE205,"&gt;0"),0)</f>
        <v>0</v>
      </c>
      <c r="AF237" s="54">
        <f>SUM(B237:AE237)</f>
        <v>6</v>
      </c>
      <c r="AG237" s="54">
        <f>AF245-AF237</f>
        <v>2</v>
      </c>
      <c r="AW237" s="146"/>
    </row>
    <row r="238" spans="1:49" s="54" customFormat="1" ht="12.75" hidden="1" customHeight="1" x14ac:dyDescent="0.2">
      <c r="A238" s="54" t="s">
        <v>74</v>
      </c>
      <c r="B238" s="54">
        <f>IF(B194=5,SUMIF(B201:B205,"&gt;0"),0)</f>
        <v>0</v>
      </c>
      <c r="D238" s="58">
        <f>IF(D194=5,SUMIF(D201:D205,"&gt;0"),0)</f>
        <v>0</v>
      </c>
      <c r="E238" s="54">
        <f>IF(E194=5,SUMIF(E201:E205,"&gt;0"),0)</f>
        <v>0</v>
      </c>
      <c r="G238" s="58">
        <f>IF(G194=5,SUMIF(G201:G205,"&gt;0"),0)</f>
        <v>0</v>
      </c>
      <c r="H238" s="54">
        <f>IF(H194=5,SUMIF(H201:H205,"&gt;0"),0)</f>
        <v>0</v>
      </c>
      <c r="J238" s="58">
        <f>IF(J194=5,SUMIF(J201:J205,"&gt;0"),0)</f>
        <v>0</v>
      </c>
      <c r="K238" s="54">
        <f>IF(K194=5,SUMIF(K201:K205,"&gt;0"),0)</f>
        <v>0</v>
      </c>
      <c r="M238" s="58">
        <f>IF(M194=5,SUMIF(M201:M205,"&gt;0"),0)</f>
        <v>0</v>
      </c>
      <c r="N238" s="54">
        <f>IF(N194=5,SUMIF(N201:N205,"&gt;0"),0)</f>
        <v>0</v>
      </c>
      <c r="P238" s="58">
        <f>IF(P194=5,SUMIF(P201:P205,"&gt;0"),0)</f>
        <v>0</v>
      </c>
      <c r="Q238" s="54">
        <f>IF(Q194=5,SUMIF(Q201:Q205,"&gt;0"),0)</f>
        <v>0</v>
      </c>
      <c r="S238" s="58">
        <f>IF(S194=5,SUMIF(S201:S205,"&gt;0"),0)</f>
        <v>0</v>
      </c>
      <c r="T238" s="54">
        <f>IF(T194=5,SUMIF(T201:T205,"&gt;0"),0)</f>
        <v>0</v>
      </c>
      <c r="V238" s="58">
        <f>IF(V194=5,SUMIF(V201:V205,"&gt;0"),0)</f>
        <v>0</v>
      </c>
      <c r="W238" s="54">
        <f>IF(W194=5,SUMIF(W201:W205,"&gt;0"),0)</f>
        <v>0</v>
      </c>
      <c r="Y238" s="58">
        <f>IF(Y194=5,SUMIF(Y201:Y205,"&gt;0"),0)</f>
        <v>0</v>
      </c>
      <c r="Z238" s="54">
        <f>IF(Z194=5,SUMIF(Z201:Z205,"&gt;0"),0)</f>
        <v>0</v>
      </c>
      <c r="AB238" s="58">
        <f>IF(AB194=5,SUMIF(AB201:AB205,"&gt;0"),0)</f>
        <v>0</v>
      </c>
      <c r="AC238" s="54">
        <f>IF(AC194=5,SUMIF(AC201:AC205,"&gt;0"),0)</f>
        <v>0</v>
      </c>
      <c r="AE238" s="58">
        <f>IF(AE194=5,SUMIF(AE201:AE205,"&gt;0"),0)</f>
        <v>0</v>
      </c>
      <c r="AF238" s="54">
        <f>SUM(B238:AE238)</f>
        <v>0</v>
      </c>
      <c r="AG238" s="54">
        <f>AF246-AF238</f>
        <v>8</v>
      </c>
      <c r="AW238" s="146"/>
    </row>
    <row r="239" spans="1:49" s="54" customFormat="1" ht="12.75" hidden="1" customHeight="1" x14ac:dyDescent="0.2">
      <c r="D239" s="58"/>
      <c r="G239" s="58"/>
      <c r="J239" s="58"/>
      <c r="M239" s="58"/>
      <c r="P239" s="58"/>
      <c r="S239" s="58"/>
      <c r="V239" s="58"/>
      <c r="Y239" s="58"/>
      <c r="AB239" s="58"/>
      <c r="AE239" s="58"/>
      <c r="AW239" s="146"/>
    </row>
    <row r="240" spans="1:49" s="54" customFormat="1" ht="12.75" hidden="1" customHeight="1" x14ac:dyDescent="0.2">
      <c r="D240" s="58"/>
      <c r="G240" s="58"/>
      <c r="J240" s="58"/>
      <c r="M240" s="58"/>
      <c r="P240" s="58"/>
      <c r="S240" s="58"/>
      <c r="V240" s="58"/>
      <c r="Y240" s="58"/>
      <c r="AB240" s="58"/>
      <c r="AE240" s="58"/>
      <c r="AW240" s="146"/>
    </row>
    <row r="241" spans="1:54" s="54" customFormat="1" ht="51" hidden="1" customHeight="1" x14ac:dyDescent="0.2">
      <c r="A241" s="57" t="s">
        <v>85</v>
      </c>
      <c r="C241" s="54">
        <f>SUMIF(B234:D238,"&gt;0")</f>
        <v>2</v>
      </c>
      <c r="D241" s="58"/>
      <c r="F241" s="54">
        <f>SUMIF(E234:G238,"&gt;0")</f>
        <v>2</v>
      </c>
      <c r="G241" s="58"/>
      <c r="I241" s="54">
        <f>SUMIF(H234:J238,"&gt;0")</f>
        <v>2</v>
      </c>
      <c r="J241" s="58"/>
      <c r="L241" s="54">
        <f>SUMIF(K234:M238,"&gt;0")</f>
        <v>2</v>
      </c>
      <c r="M241" s="58"/>
      <c r="O241" s="54">
        <f>SUMIF(N234:P238,"&gt;0")</f>
        <v>2</v>
      </c>
      <c r="P241" s="58"/>
      <c r="R241" s="54">
        <f>SUMIF(Q234:S238,"&gt;0")</f>
        <v>2</v>
      </c>
      <c r="S241" s="58"/>
      <c r="U241" s="54">
        <f>SUMIF(T234:V238,"&gt;0")</f>
        <v>2</v>
      </c>
      <c r="V241" s="58"/>
      <c r="X241" s="54">
        <f>SUMIF(W234:Y238,"&gt;0")</f>
        <v>2</v>
      </c>
      <c r="Y241" s="58"/>
      <c r="AA241" s="54">
        <f>SUMIF(Z234:AB238,"&gt;0")</f>
        <v>2</v>
      </c>
      <c r="AB241" s="58"/>
      <c r="AD241" s="54">
        <f>SUMIF(AC234:AE238,"&gt;0")</f>
        <v>2</v>
      </c>
      <c r="AE241" s="58"/>
      <c r="AF241" s="57" t="s">
        <v>86</v>
      </c>
      <c r="AW241" s="146"/>
    </row>
    <row r="242" spans="1:54" s="54" customFormat="1" ht="12.75" hidden="1" customHeight="1" x14ac:dyDescent="0.2">
      <c r="A242" s="54" t="s">
        <v>76</v>
      </c>
      <c r="B242" s="54">
        <f>IF(B194=1,C241,0)</f>
        <v>0</v>
      </c>
      <c r="D242" s="58">
        <f>IF(D194=1,C241,0)</f>
        <v>0</v>
      </c>
      <c r="E242" s="54">
        <f>IF(E194=1,F241,0)</f>
        <v>2</v>
      </c>
      <c r="G242" s="58">
        <f>IF(G194=1,F241,0)</f>
        <v>0</v>
      </c>
      <c r="H242" s="54">
        <f>IF(H194=1,I241,0)</f>
        <v>0</v>
      </c>
      <c r="J242" s="58">
        <f>IF(J194=1,I241,0)</f>
        <v>0</v>
      </c>
      <c r="K242" s="54">
        <f>IF(K194=1,L241,0)</f>
        <v>0</v>
      </c>
      <c r="M242" s="58">
        <f>IF(M194=1,L241,0)</f>
        <v>0</v>
      </c>
      <c r="N242" s="54">
        <f>IF(N194=1,O241,0)</f>
        <v>2</v>
      </c>
      <c r="P242" s="58">
        <f>IF(P194=1,O241,0)</f>
        <v>0</v>
      </c>
      <c r="Q242" s="54">
        <f>IF(Q194=1,R241,0)</f>
        <v>0</v>
      </c>
      <c r="S242" s="58">
        <f>IF(S194=1,R241,0)</f>
        <v>0</v>
      </c>
      <c r="T242" s="54">
        <f>IF(T194=1,U241,0)</f>
        <v>0</v>
      </c>
      <c r="V242" s="58">
        <f>IF(V194=1,U241,0)</f>
        <v>0</v>
      </c>
      <c r="W242" s="54">
        <f>IF(W194=1,X241,0)</f>
        <v>2</v>
      </c>
      <c r="Y242" s="58">
        <f>IF(Y194=1,X241,0)</f>
        <v>0</v>
      </c>
      <c r="Z242" s="54">
        <f>IF(Z194=1,AA241,0)</f>
        <v>0</v>
      </c>
      <c r="AB242" s="58">
        <f>IF(AB194=1,AA241,0)</f>
        <v>0</v>
      </c>
      <c r="AC242" s="54">
        <f>IF(AC194=1,AD241,0)</f>
        <v>2</v>
      </c>
      <c r="AE242" s="58">
        <f>IF(AE194=1,AD241,0)</f>
        <v>0</v>
      </c>
      <c r="AF242" s="54">
        <f>SUM(B242:AE242)</f>
        <v>8</v>
      </c>
      <c r="AW242" s="146"/>
    </row>
    <row r="243" spans="1:54" s="54" customFormat="1" ht="12.75" hidden="1" customHeight="1" x14ac:dyDescent="0.2">
      <c r="A243" s="54" t="s">
        <v>77</v>
      </c>
      <c r="B243" s="54">
        <f>IF(B194=2,C241,0)</f>
        <v>2</v>
      </c>
      <c r="D243" s="58">
        <f>IF(D194=2,C241,0)</f>
        <v>0</v>
      </c>
      <c r="E243" s="54">
        <f>IF(E194=2,F241,0)</f>
        <v>0</v>
      </c>
      <c r="G243" s="58">
        <f>IF(G194=2,F241,0)</f>
        <v>0</v>
      </c>
      <c r="H243" s="54">
        <f>IF(H194=2,I241,0)</f>
        <v>0</v>
      </c>
      <c r="J243" s="58">
        <f>IF(J194=2,I241,0)</f>
        <v>0</v>
      </c>
      <c r="K243" s="54">
        <f>IF(K194=2,L241,0)</f>
        <v>2</v>
      </c>
      <c r="M243" s="58">
        <f>IF(M194=2,L241,0)</f>
        <v>0</v>
      </c>
      <c r="N243" s="54">
        <f>IF(N194=2,O241,0)</f>
        <v>0</v>
      </c>
      <c r="P243" s="58">
        <f>IF(P194=2,O241,0)</f>
        <v>0</v>
      </c>
      <c r="Q243" s="54">
        <f>IF(Q194=2,R241,0)</f>
        <v>0</v>
      </c>
      <c r="S243" s="58">
        <f>IF(S194=2,R241,0)</f>
        <v>0</v>
      </c>
      <c r="T243" s="54">
        <f>IF(T194=2,U241,0)</f>
        <v>2</v>
      </c>
      <c r="V243" s="58">
        <f>IF(V194=2,U241,0)</f>
        <v>0</v>
      </c>
      <c r="W243" s="54">
        <f>IF(W194=2,X241,0)</f>
        <v>0</v>
      </c>
      <c r="Y243" s="58">
        <f>IF(Y194=2,X241,0)</f>
        <v>0</v>
      </c>
      <c r="Z243" s="54">
        <f>IF(Z194=2,AA241,0)</f>
        <v>0</v>
      </c>
      <c r="AB243" s="58">
        <f>IF(AB194=2,AA241,0)</f>
        <v>0</v>
      </c>
      <c r="AC243" s="54">
        <f>IF(AC194=2,AD241,0)</f>
        <v>0</v>
      </c>
      <c r="AE243" s="58">
        <f>IF(AE194=2,AD241,0)</f>
        <v>2</v>
      </c>
      <c r="AF243" s="54">
        <f>SUM(B243:AE243)</f>
        <v>8</v>
      </c>
      <c r="AW243" s="146"/>
    </row>
    <row r="244" spans="1:54" s="54" customFormat="1" ht="12.75" hidden="1" customHeight="1" x14ac:dyDescent="0.2">
      <c r="A244" s="54" t="s">
        <v>78</v>
      </c>
      <c r="B244" s="54">
        <f>IF(B194=3,C241,0)</f>
        <v>0</v>
      </c>
      <c r="D244" s="58">
        <f>IF(D194=3,C241,0)</f>
        <v>0</v>
      </c>
      <c r="E244" s="54">
        <f>IF(E194=3,F241,0)</f>
        <v>0</v>
      </c>
      <c r="G244" s="58">
        <f>IF(G194=3,F241,0)</f>
        <v>0</v>
      </c>
      <c r="H244" s="54">
        <f>IF(H194=3,I241,0)</f>
        <v>2</v>
      </c>
      <c r="J244" s="58">
        <f>IF(J194=3,I241,0)</f>
        <v>0</v>
      </c>
      <c r="K244" s="54">
        <f>IF(K194=3,L241,0)</f>
        <v>0</v>
      </c>
      <c r="M244" s="58">
        <f>IF(M194=3,L241,0)</f>
        <v>0</v>
      </c>
      <c r="N244" s="54">
        <f>IF(N194=3,O241,0)</f>
        <v>0</v>
      </c>
      <c r="P244" s="58">
        <f>IF(P194=3,O241,0)</f>
        <v>2</v>
      </c>
      <c r="Q244" s="54">
        <f>IF(Q194=3,R241,0)</f>
        <v>0</v>
      </c>
      <c r="S244" s="58">
        <f>IF(S194=3,R241,0)</f>
        <v>0</v>
      </c>
      <c r="T244" s="54">
        <f>IF(T194=3,U241,0)</f>
        <v>0</v>
      </c>
      <c r="V244" s="58">
        <f>IF(V194=3,U241,0)</f>
        <v>2</v>
      </c>
      <c r="W244" s="54">
        <f>IF(W194=3,X241,0)</f>
        <v>0</v>
      </c>
      <c r="Y244" s="58">
        <f>IF(Y194=3,X241,0)</f>
        <v>0</v>
      </c>
      <c r="Z244" s="54">
        <f>IF(Z194=3,AA241,0)</f>
        <v>2</v>
      </c>
      <c r="AB244" s="58">
        <f>IF(AB194=3,AA241,0)</f>
        <v>0</v>
      </c>
      <c r="AC244" s="54">
        <f>IF(AC194=3,AD241,0)</f>
        <v>0</v>
      </c>
      <c r="AE244" s="58">
        <f>IF(AE194=3,AD241,0)</f>
        <v>0</v>
      </c>
      <c r="AF244" s="54">
        <f>SUM(B244:AE244)</f>
        <v>8</v>
      </c>
      <c r="AW244" s="146"/>
    </row>
    <row r="245" spans="1:54" s="54" customFormat="1" ht="12.75" hidden="1" customHeight="1" x14ac:dyDescent="0.2">
      <c r="A245" s="54" t="s">
        <v>79</v>
      </c>
      <c r="B245" s="54">
        <f>IF(B194=4,C241,0)</f>
        <v>0</v>
      </c>
      <c r="D245" s="58">
        <f>IF(D194=4,C241,0)</f>
        <v>0</v>
      </c>
      <c r="E245" s="54">
        <f>IF(E194=4,F241,0)</f>
        <v>0</v>
      </c>
      <c r="G245" s="58">
        <f>IF(G194=4,F241,0)</f>
        <v>2</v>
      </c>
      <c r="H245" s="54">
        <f>IF(H194=4,I241,0)</f>
        <v>0</v>
      </c>
      <c r="J245" s="58">
        <f>IF(J194=4,I241,0)</f>
        <v>0</v>
      </c>
      <c r="K245" s="54">
        <f>IF(K194=4,L241,0)</f>
        <v>0</v>
      </c>
      <c r="M245" s="58">
        <f>IF(M194=4,L241,0)</f>
        <v>2</v>
      </c>
      <c r="N245" s="54">
        <f>IF(N194=4,O241,0)</f>
        <v>0</v>
      </c>
      <c r="P245" s="58">
        <f>IF(P194=4,O241,0)</f>
        <v>0</v>
      </c>
      <c r="Q245" s="54">
        <f>IF(Q194=4,R241,0)</f>
        <v>2</v>
      </c>
      <c r="S245" s="58">
        <f>IF(S194=4,R241,0)</f>
        <v>0</v>
      </c>
      <c r="T245" s="54">
        <f>IF(T194=4,U241,0)</f>
        <v>0</v>
      </c>
      <c r="V245" s="58">
        <f>IF(V194=4,U241,0)</f>
        <v>0</v>
      </c>
      <c r="W245" s="54">
        <f>IF(W194=4,X241,0)</f>
        <v>0</v>
      </c>
      <c r="Y245" s="58">
        <f>IF(Y194=4,X241,0)</f>
        <v>0</v>
      </c>
      <c r="Z245" s="54">
        <f>IF(Z194=4,AA241,0)</f>
        <v>0</v>
      </c>
      <c r="AB245" s="58">
        <f>IF(AB194=4,AA241,0)</f>
        <v>2</v>
      </c>
      <c r="AC245" s="54">
        <f>IF(AC194=4,AD241,0)</f>
        <v>0</v>
      </c>
      <c r="AE245" s="58">
        <f>IF(AE194=4,AD241,0)</f>
        <v>0</v>
      </c>
      <c r="AF245" s="54">
        <f>SUM(B245:AE245)</f>
        <v>8</v>
      </c>
      <c r="AW245" s="146"/>
    </row>
    <row r="246" spans="1:54" s="54" customFormat="1" ht="12.75" hidden="1" customHeight="1" x14ac:dyDescent="0.2">
      <c r="A246" s="54" t="s">
        <v>80</v>
      </c>
      <c r="B246" s="54">
        <f>IF(B194=5,C241,0)</f>
        <v>0</v>
      </c>
      <c r="D246" s="58">
        <f>IF(D194=5,C241,0)</f>
        <v>2</v>
      </c>
      <c r="E246" s="54">
        <f>IF(E194=5,F241,0)</f>
        <v>0</v>
      </c>
      <c r="G246" s="58">
        <f>IF(G194=5,F241,0)</f>
        <v>0</v>
      </c>
      <c r="H246" s="54">
        <f>IF(H194=5,I241,0)</f>
        <v>0</v>
      </c>
      <c r="J246" s="58">
        <f>IF(J194=5,I241,0)</f>
        <v>2</v>
      </c>
      <c r="K246" s="54">
        <f>IF(K194=5,L241,0)</f>
        <v>0</v>
      </c>
      <c r="M246" s="58">
        <f>IF(M194=5,L241,0)</f>
        <v>0</v>
      </c>
      <c r="N246" s="54">
        <f>IF(N194=5,O241,0)</f>
        <v>0</v>
      </c>
      <c r="P246" s="58">
        <f>IF(P194=5,O241,0)</f>
        <v>0</v>
      </c>
      <c r="Q246" s="54">
        <f>IF(Q194=5,R241,0)</f>
        <v>0</v>
      </c>
      <c r="S246" s="58">
        <f>IF(S194=5,R241,0)</f>
        <v>2</v>
      </c>
      <c r="T246" s="54">
        <f>IF(T194=5,U241,0)</f>
        <v>0</v>
      </c>
      <c r="V246" s="58">
        <f>IF(V194=5,U241,0)</f>
        <v>0</v>
      </c>
      <c r="W246" s="54">
        <f>IF(W194=5,X241,0)</f>
        <v>0</v>
      </c>
      <c r="Y246" s="58">
        <f>IF(Y194=5,X241,0)</f>
        <v>2</v>
      </c>
      <c r="Z246" s="54">
        <f>IF(Z194=5,AA241,0)</f>
        <v>0</v>
      </c>
      <c r="AB246" s="58">
        <f>IF(AB194=5,AA241,0)</f>
        <v>0</v>
      </c>
      <c r="AC246" s="54">
        <f>IF(AC194=5,AD241,0)</f>
        <v>0</v>
      </c>
      <c r="AE246" s="58">
        <f>IF(AE194=5,AD241,0)</f>
        <v>0</v>
      </c>
      <c r="AF246" s="54">
        <f>SUM(B246:AE246)</f>
        <v>8</v>
      </c>
      <c r="AW246" s="146"/>
    </row>
    <row r="247" spans="1:54" hidden="1" x14ac:dyDescent="0.2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60"/>
      <c r="AO247" s="60"/>
      <c r="AP247" s="60"/>
      <c r="AQ247" s="60"/>
      <c r="AR247" s="61"/>
      <c r="AS247" s="61"/>
      <c r="AT247" s="61"/>
      <c r="AU247" s="61"/>
      <c r="AV247" s="61"/>
      <c r="BB247" s="62"/>
    </row>
    <row r="248" spans="1:54" s="61" customFormat="1" hidden="1" x14ac:dyDescent="0.2">
      <c r="A248" s="63"/>
      <c r="B248" s="63"/>
      <c r="C248" s="63" t="s">
        <v>87</v>
      </c>
      <c r="D248" s="63">
        <v>1</v>
      </c>
      <c r="E248" s="63"/>
      <c r="F248" s="63"/>
      <c r="G248" s="63">
        <v>2</v>
      </c>
      <c r="H248" s="63"/>
      <c r="I248" s="63"/>
      <c r="J248" s="63">
        <v>3</v>
      </c>
      <c r="K248" s="63"/>
      <c r="L248" s="63"/>
      <c r="M248" s="63">
        <v>4</v>
      </c>
      <c r="N248" s="63"/>
      <c r="O248" s="63"/>
      <c r="P248" s="63">
        <v>5</v>
      </c>
      <c r="Q248" s="63"/>
      <c r="R248" s="63"/>
      <c r="S248" s="63">
        <v>6</v>
      </c>
      <c r="T248" s="63"/>
      <c r="U248" s="63"/>
      <c r="V248" s="63">
        <v>7</v>
      </c>
      <c r="W248" s="63"/>
      <c r="X248" s="63"/>
      <c r="Y248" s="63">
        <v>8</v>
      </c>
      <c r="Z248" s="63"/>
      <c r="AA248" s="63"/>
      <c r="AB248" s="63">
        <v>9</v>
      </c>
      <c r="AC248" s="63"/>
      <c r="AD248" s="63"/>
      <c r="AE248" s="63">
        <v>10</v>
      </c>
      <c r="AF248" s="4"/>
      <c r="AG248" s="63"/>
      <c r="AI248" s="64"/>
      <c r="AJ248" s="4"/>
      <c r="AK248" s="4"/>
      <c r="AL248" s="4"/>
      <c r="AM248" s="4"/>
      <c r="AN248" s="4"/>
      <c r="AO248" s="4"/>
      <c r="AT248" s="64" t="s">
        <v>88</v>
      </c>
      <c r="AW248" s="65"/>
      <c r="BB248" s="65"/>
    </row>
    <row r="249" spans="1:54" s="61" customFormat="1" hidden="1" x14ac:dyDescent="0.2">
      <c r="A249" s="66">
        <v>1</v>
      </c>
      <c r="B249" s="66" t="str">
        <f>E178</f>
        <v>Lake Murray 15 Black</v>
      </c>
      <c r="C249" s="66">
        <f>VLOOKUP(B249,AU$3:BB$33,3,FALSE)</f>
        <v>2075.6557959024376</v>
      </c>
      <c r="D249" s="66">
        <f>IF(B242,B257,IF(D242,D257,C249))</f>
        <v>2075.6557959024376</v>
      </c>
      <c r="E249" s="66"/>
      <c r="F249" s="66"/>
      <c r="G249" s="66">
        <f>IF(E242,E257,IF(G242,G257,D249))</f>
        <v>2098.1022734054905</v>
      </c>
      <c r="H249" s="66"/>
      <c r="I249" s="66"/>
      <c r="J249" s="66">
        <f>IF(H242,H257,IF(J242,J257,G249))</f>
        <v>2098.1022734054905</v>
      </c>
      <c r="K249" s="66"/>
      <c r="L249" s="66"/>
      <c r="M249" s="66">
        <f>IF(K242,K257,IF(M242,M257,J249))</f>
        <v>2098.1022734054905</v>
      </c>
      <c r="N249" s="66"/>
      <c r="O249" s="66"/>
      <c r="P249" s="66">
        <f>IF(N242,N257,IF(P242,P257,M249))</f>
        <v>2083.1226921052248</v>
      </c>
      <c r="Q249" s="66"/>
      <c r="R249" s="66"/>
      <c r="S249" s="66">
        <f>IF(Q242,Q257,IF(S242,S257,P249))</f>
        <v>2083.1226921052248</v>
      </c>
      <c r="T249" s="66"/>
      <c r="U249" s="66"/>
      <c r="V249" s="66">
        <f>IF(T242,T257,IF(V242,V257,S249))</f>
        <v>2083.1226921052248</v>
      </c>
      <c r="W249" s="66"/>
      <c r="X249" s="66"/>
      <c r="Y249" s="66">
        <f>IF(W242,W257,IF(Y242,Y257,V249))</f>
        <v>2099.5021848519787</v>
      </c>
      <c r="Z249" s="66"/>
      <c r="AA249" s="66"/>
      <c r="AB249" s="66">
        <f>IF(Z242,Z257,IF(AB242,AB257,Y249))</f>
        <v>2099.5021848519787</v>
      </c>
      <c r="AC249" s="66"/>
      <c r="AD249" s="66"/>
      <c r="AE249" s="66">
        <f>IF(AC242,AC257,IF(AE242,AE257,AB249))</f>
        <v>2118.7401114993418</v>
      </c>
      <c r="AF249" s="4"/>
      <c r="AG249" s="4"/>
      <c r="AJ249" s="4"/>
      <c r="AK249" s="4"/>
      <c r="AL249" s="4"/>
      <c r="AM249" s="4"/>
      <c r="AN249" s="4"/>
      <c r="AO249" s="4"/>
      <c r="AT249" s="61" t="str">
        <f>B249</f>
        <v>Lake Murray 15 Black</v>
      </c>
      <c r="AU249" s="61">
        <f>AE249</f>
        <v>2118.7401114993418</v>
      </c>
      <c r="AW249" s="65"/>
      <c r="BB249" s="65"/>
    </row>
    <row r="250" spans="1:54" s="61" customFormat="1" hidden="1" x14ac:dyDescent="0.2">
      <c r="A250" s="66">
        <v>2</v>
      </c>
      <c r="B250" s="66" t="str">
        <f>E180</f>
        <v>SC Midlands 15 Black</v>
      </c>
      <c r="C250" s="66">
        <f>VLOOKUP(B250,AU$3:BB$33,3,FALSE)</f>
        <v>1954.3026425151425</v>
      </c>
      <c r="D250" s="66">
        <f>IF(B243,B257,IF(D243,D257,C250))</f>
        <v>1990.4874209393563</v>
      </c>
      <c r="E250" s="66"/>
      <c r="F250" s="66"/>
      <c r="G250" s="66">
        <f>IF(E243,E257,IF(G243,G257,D250))</f>
        <v>1990.4874209393563</v>
      </c>
      <c r="H250" s="66"/>
      <c r="I250" s="66"/>
      <c r="J250" s="66">
        <f>IF(H243,H257,IF(J243,J257,G250))</f>
        <v>1990.4874209393563</v>
      </c>
      <c r="K250" s="66"/>
      <c r="L250" s="66"/>
      <c r="M250" s="66">
        <f>IF(K243,K257,IF(M243,M257,J250))</f>
        <v>1954.4326559153585</v>
      </c>
      <c r="N250" s="66"/>
      <c r="O250" s="66"/>
      <c r="P250" s="66">
        <f>IF(N243,N257,IF(P243,P257,M250))</f>
        <v>1954.4326559153585</v>
      </c>
      <c r="Q250" s="66"/>
      <c r="R250" s="66"/>
      <c r="S250" s="66">
        <f>IF(Q243,Q257,IF(S243,S257,P250))</f>
        <v>1954.4326559153585</v>
      </c>
      <c r="T250" s="66"/>
      <c r="U250" s="66"/>
      <c r="V250" s="66">
        <f>IF(T243,T257,IF(V243,V257,S250))</f>
        <v>1952.8014128072034</v>
      </c>
      <c r="W250" s="66"/>
      <c r="X250" s="66"/>
      <c r="Y250" s="66">
        <f>IF(W243,W257,IF(Y243,Y257,V250))</f>
        <v>1952.8014128072034</v>
      </c>
      <c r="Z250" s="66"/>
      <c r="AA250" s="66"/>
      <c r="AB250" s="66">
        <f>IF(Z243,Z257,IF(AB243,AB257,Y250))</f>
        <v>1952.8014128072034</v>
      </c>
      <c r="AC250" s="66"/>
      <c r="AD250" s="66"/>
      <c r="AE250" s="66">
        <f>IF(AC243,AC257,IF(AE243,AE257,AB250))</f>
        <v>1933.5634861598403</v>
      </c>
      <c r="AF250" s="4"/>
      <c r="AG250" s="4"/>
      <c r="AJ250" s="4"/>
      <c r="AL250" s="4"/>
      <c r="AM250" s="4"/>
      <c r="AN250" s="4"/>
      <c r="AO250" s="4"/>
      <c r="AT250" s="61" t="str">
        <f>B250</f>
        <v>SC Midlands 15 Black</v>
      </c>
      <c r="AU250" s="61">
        <f>AE250</f>
        <v>1933.5634861598403</v>
      </c>
      <c r="AW250" s="65"/>
      <c r="BB250" s="65"/>
    </row>
    <row r="251" spans="1:54" s="61" customFormat="1" hidden="1" x14ac:dyDescent="0.2">
      <c r="A251" s="66">
        <v>3</v>
      </c>
      <c r="B251" s="66" t="str">
        <f>E182</f>
        <v>OLC 15s Purple</v>
      </c>
      <c r="C251" s="66">
        <f>VLOOKUP(B251,AU$3:BB$33,3,FALSE)</f>
        <v>1882.3588043028437</v>
      </c>
      <c r="D251" s="66">
        <f>IF(B244,B257,IF(D244,D257,C251))</f>
        <v>1882.3588043028437</v>
      </c>
      <c r="E251" s="66"/>
      <c r="F251" s="66"/>
      <c r="G251" s="66">
        <f>IF(E244,E257,IF(G244,G257,D251))</f>
        <v>1882.3588043028437</v>
      </c>
      <c r="H251" s="66"/>
      <c r="I251" s="66"/>
      <c r="J251" s="66">
        <f>IF(H244,H257,IF(J244,J257,G251))</f>
        <v>1921.726712443907</v>
      </c>
      <c r="K251" s="66"/>
      <c r="L251" s="66"/>
      <c r="M251" s="66">
        <f>IF(K244,K257,IF(M244,M257,J251))</f>
        <v>1921.726712443907</v>
      </c>
      <c r="N251" s="66"/>
      <c r="O251" s="66"/>
      <c r="P251" s="66">
        <f>IF(N244,N257,IF(P244,P257,M251))</f>
        <v>1936.7062937441724</v>
      </c>
      <c r="Q251" s="66"/>
      <c r="R251" s="66"/>
      <c r="S251" s="66">
        <f>IF(Q244,Q257,IF(S244,S257,P251))</f>
        <v>1936.7062937441724</v>
      </c>
      <c r="T251" s="66"/>
      <c r="U251" s="66"/>
      <c r="V251" s="66">
        <f>IF(T244,T257,IF(V244,V257,S251))</f>
        <v>1938.3375368523275</v>
      </c>
      <c r="W251" s="66"/>
      <c r="X251" s="66"/>
      <c r="Y251" s="66">
        <f>IF(W244,W257,IF(Y244,Y257,V251))</f>
        <v>1938.3375368523275</v>
      </c>
      <c r="Z251" s="66"/>
      <c r="AA251" s="66"/>
      <c r="AB251" s="66">
        <f>IF(Z244,Z257,IF(AB244,AB257,Y251))</f>
        <v>1912.7577143886547</v>
      </c>
      <c r="AC251" s="66"/>
      <c r="AD251" s="66"/>
      <c r="AE251" s="66">
        <f>IF(AC244,AC257,IF(AE244,AE257,AB251))</f>
        <v>1912.7577143886547</v>
      </c>
      <c r="AF251" s="4"/>
      <c r="AG251" s="4"/>
      <c r="AJ251" s="4"/>
      <c r="AL251" s="4"/>
      <c r="AM251" s="4"/>
      <c r="AN251" s="4"/>
      <c r="AO251" s="4"/>
      <c r="AT251" s="61" t="str">
        <f>B251</f>
        <v>OLC 15s Purple</v>
      </c>
      <c r="AU251" s="61">
        <f>AE251</f>
        <v>1912.7577143886547</v>
      </c>
      <c r="AW251" s="65"/>
      <c r="BB251" s="65"/>
    </row>
    <row r="252" spans="1:54" s="61" customFormat="1" hidden="1" x14ac:dyDescent="0.2">
      <c r="A252" s="66">
        <v>4</v>
      </c>
      <c r="B252" s="66" t="str">
        <f>E184</f>
        <v>Kershaw 15 Black</v>
      </c>
      <c r="C252" s="66">
        <f>VLOOKUP(B252,AU$3:BB$33,3,FALSE)</f>
        <v>1968.6719369166094</v>
      </c>
      <c r="D252" s="66">
        <f>IF(B245,B257,IF(D245,D257,C252))</f>
        <v>1968.6719369166094</v>
      </c>
      <c r="E252" s="66"/>
      <c r="F252" s="66"/>
      <c r="G252" s="66">
        <f>IF(E245,E257,IF(G245,G257,D252))</f>
        <v>1946.2254594135566</v>
      </c>
      <c r="H252" s="66"/>
      <c r="I252" s="66"/>
      <c r="J252" s="66">
        <f>IF(H245,H257,IF(J245,J257,G252))</f>
        <v>1946.2254594135566</v>
      </c>
      <c r="K252" s="66"/>
      <c r="L252" s="66"/>
      <c r="M252" s="66">
        <f>IF(K245,K257,IF(M245,M257,J252))</f>
        <v>1982.2802244375544</v>
      </c>
      <c r="N252" s="66"/>
      <c r="O252" s="66"/>
      <c r="P252" s="66">
        <f>IF(N245,N257,IF(P245,P257,M252))</f>
        <v>1982.2802244375544</v>
      </c>
      <c r="Q252" s="66"/>
      <c r="R252" s="66"/>
      <c r="S252" s="66">
        <f>IF(Q245,Q257,IF(S245,S257,P252))</f>
        <v>2009.0022734235697</v>
      </c>
      <c r="T252" s="66"/>
      <c r="U252" s="66"/>
      <c r="V252" s="66">
        <f>IF(T245,T257,IF(V245,V257,S252))</f>
        <v>2009.0022734235697</v>
      </c>
      <c r="W252" s="66"/>
      <c r="X252" s="66"/>
      <c r="Y252" s="66">
        <f>IF(W245,W257,IF(Y245,Y257,V252))</f>
        <v>2009.0022734235697</v>
      </c>
      <c r="Z252" s="66"/>
      <c r="AA252" s="66"/>
      <c r="AB252" s="66">
        <f>IF(Z245,Z257,IF(AB245,AB257,Y252))</f>
        <v>2034.5820958872425</v>
      </c>
      <c r="AC252" s="66"/>
      <c r="AD252" s="66"/>
      <c r="AE252" s="66">
        <f>IF(AC245,AC257,IF(AE245,AE257,AB252))</f>
        <v>2034.5820958872425</v>
      </c>
      <c r="AF252" s="4"/>
      <c r="AG252" s="4"/>
      <c r="AJ252" s="4"/>
      <c r="AL252" s="4"/>
      <c r="AM252" s="4"/>
      <c r="AN252" s="4"/>
      <c r="AO252" s="4"/>
      <c r="AT252" s="61" t="str">
        <f>B252</f>
        <v>Kershaw 15 Black</v>
      </c>
      <c r="AU252" s="61">
        <f>AE252</f>
        <v>2034.5820958872425</v>
      </c>
      <c r="AW252" s="65"/>
      <c r="BB252" s="65"/>
    </row>
    <row r="253" spans="1:54" s="61" customFormat="1" hidden="1" x14ac:dyDescent="0.2">
      <c r="A253" s="66">
        <v>5</v>
      </c>
      <c r="B253" s="66" t="str">
        <f>E186</f>
        <v>Against All Odds 15 Green</v>
      </c>
      <c r="C253" s="66">
        <f>VLOOKUP(B253,AU$3:BB$33,3,FALSE)</f>
        <v>2000</v>
      </c>
      <c r="D253" s="66">
        <f>IF(B246,B257,IF(D246,D257,C253))</f>
        <v>1963.8152215757862</v>
      </c>
      <c r="E253" s="66"/>
      <c r="F253" s="66"/>
      <c r="G253" s="66">
        <f>IF(E246,E257,IF(G246,G257,D253))</f>
        <v>1963.8152215757862</v>
      </c>
      <c r="H253" s="66"/>
      <c r="I253" s="66"/>
      <c r="J253" s="66">
        <f>IF(H246,H257,IF(J246,J257,G253))</f>
        <v>1924.4473134347229</v>
      </c>
      <c r="K253" s="66"/>
      <c r="L253" s="66"/>
      <c r="M253" s="66">
        <f>IF(K246,K257,IF(M246,M257,J253))</f>
        <v>1924.4473134347229</v>
      </c>
      <c r="N253" s="66"/>
      <c r="O253" s="66"/>
      <c r="P253" s="66">
        <f>IF(N246,N257,IF(P246,P257,M253))</f>
        <v>1924.4473134347229</v>
      </c>
      <c r="Q253" s="66"/>
      <c r="R253" s="66"/>
      <c r="S253" s="66">
        <f>IF(Q246,Q257,IF(S246,S257,P253))</f>
        <v>1897.7252644487075</v>
      </c>
      <c r="T253" s="66"/>
      <c r="U253" s="66"/>
      <c r="V253" s="66">
        <f>IF(T246,T257,IF(V246,V257,S253))</f>
        <v>1897.7252644487075</v>
      </c>
      <c r="W253" s="66"/>
      <c r="X253" s="66"/>
      <c r="Y253" s="66">
        <f>IF(W246,W257,IF(Y246,Y257,V253))</f>
        <v>1881.3457717019537</v>
      </c>
      <c r="Z253" s="66"/>
      <c r="AA253" s="66"/>
      <c r="AB253" s="66">
        <f>IF(Z246,Z257,IF(AB246,AB257,Y253))</f>
        <v>1881.3457717019537</v>
      </c>
      <c r="AC253" s="66"/>
      <c r="AD253" s="66"/>
      <c r="AE253" s="66">
        <f>IF(AC246,AC257,IF(AE246,AE257,AB253))</f>
        <v>1881.3457717019537</v>
      </c>
      <c r="AF253" s="4"/>
      <c r="AG253" s="4"/>
      <c r="AJ253" s="4"/>
      <c r="AL253" s="4"/>
      <c r="AM253" s="4"/>
      <c r="AN253" s="4"/>
      <c r="AO253" s="4"/>
      <c r="AT253" s="61" t="str">
        <f>B253</f>
        <v>Against All Odds 15 Green</v>
      </c>
      <c r="AU253" s="61">
        <f>AE253</f>
        <v>1881.3457717019537</v>
      </c>
      <c r="AW253" s="65"/>
      <c r="BB253" s="65"/>
    </row>
    <row r="254" spans="1:54" s="61" customFormat="1" hidden="1" x14ac:dyDescent="0.2">
      <c r="A254" s="66"/>
      <c r="B254" s="66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66"/>
      <c r="AE254" s="66"/>
      <c r="AF254" s="4"/>
      <c r="AG254" s="4"/>
      <c r="AJ254" s="4"/>
      <c r="AL254" s="4"/>
      <c r="AM254" s="4"/>
      <c r="AN254" s="4"/>
      <c r="AO254" s="4"/>
      <c r="AW254" s="65"/>
      <c r="BB254" s="65"/>
    </row>
    <row r="255" spans="1:54" s="61" customFormat="1" hidden="1" x14ac:dyDescent="0.2">
      <c r="A255" s="66" t="s">
        <v>89</v>
      </c>
      <c r="B255" s="66">
        <f>VLOOKUP(B194,$A249:$AE253,3,FALSE)</f>
        <v>1954.3026425151425</v>
      </c>
      <c r="C255" s="66">
        <v>1</v>
      </c>
      <c r="D255" s="66">
        <f>VLOOKUP(D194,$A249:$AE253,3,FALSE)</f>
        <v>2000</v>
      </c>
      <c r="E255" s="66">
        <f>VLOOKUP(E194,$A249:$AE253,4,FALSE)</f>
        <v>2075.6557959024376</v>
      </c>
      <c r="F255" s="66">
        <v>2</v>
      </c>
      <c r="G255" s="66">
        <f>VLOOKUP(G194,$A249:$AE253,4,FALSE)</f>
        <v>1968.6719369166094</v>
      </c>
      <c r="H255" s="66">
        <f>VLOOKUP(H194,$A249:$AE253,7,FALSE)</f>
        <v>1882.3588043028437</v>
      </c>
      <c r="I255" s="66">
        <v>3</v>
      </c>
      <c r="J255" s="66">
        <f>VLOOKUP(J194,$A249:$AE253,7,FALSE)</f>
        <v>1963.8152215757862</v>
      </c>
      <c r="K255" s="66">
        <f>VLOOKUP(K194,$A249:$AE253,10,FALSE)</f>
        <v>1990.4874209393563</v>
      </c>
      <c r="L255" s="66">
        <v>4</v>
      </c>
      <c r="M255" s="66">
        <f>VLOOKUP(M194,$A249:$AE253,10,FALSE)</f>
        <v>1946.2254594135566</v>
      </c>
      <c r="N255" s="66">
        <f>VLOOKUP(N194,$A249:$AE253,13,FALSE)</f>
        <v>2098.1022734054905</v>
      </c>
      <c r="O255" s="66">
        <v>5</v>
      </c>
      <c r="P255" s="66">
        <f>VLOOKUP(P194,$A249:$AE253,13,FALSE)</f>
        <v>1921.726712443907</v>
      </c>
      <c r="Q255" s="66">
        <f>VLOOKUP(Q194,$A249:$AE253,16,FALSE)</f>
        <v>1982.2802244375544</v>
      </c>
      <c r="R255" s="66">
        <v>6</v>
      </c>
      <c r="S255" s="66">
        <f>VLOOKUP(S194,$A249:$AE253,16,FALSE)</f>
        <v>1924.4473134347229</v>
      </c>
      <c r="T255" s="66">
        <f>VLOOKUP(T194,$A249:$AE253,19,FALSE)</f>
        <v>1954.4326559153585</v>
      </c>
      <c r="U255" s="66">
        <v>7</v>
      </c>
      <c r="V255" s="66">
        <f>VLOOKUP(V194,$A249:$AE253,19,FALSE)</f>
        <v>1936.7062937441724</v>
      </c>
      <c r="W255" s="66">
        <f>VLOOKUP(W194,$A249:$AE253,22,FALSE)</f>
        <v>2083.1226921052248</v>
      </c>
      <c r="X255" s="66">
        <v>8</v>
      </c>
      <c r="Y255" s="66">
        <f>VLOOKUP(Y194,$A249:$AE253,22,FALSE)</f>
        <v>1897.7252644487075</v>
      </c>
      <c r="Z255" s="66">
        <f>VLOOKUP(Z194,$A249:$AE253,25,FALSE)</f>
        <v>1938.3375368523275</v>
      </c>
      <c r="AA255" s="66">
        <v>9</v>
      </c>
      <c r="AB255" s="66">
        <f>VLOOKUP(AB194,$A249:$AE253,25,FALSE)</f>
        <v>2009.0022734235697</v>
      </c>
      <c r="AC255" s="66">
        <f>VLOOKUP(AC194,$A249:$AE253,28,FALSE)</f>
        <v>2099.5021848519787</v>
      </c>
      <c r="AD255" s="66">
        <v>10</v>
      </c>
      <c r="AE255" s="66">
        <f>VLOOKUP(AE194,$A249:$AE253,28,FALSE)</f>
        <v>1952.8014128072034</v>
      </c>
      <c r="AF255" s="4"/>
      <c r="AG255" s="59"/>
      <c r="AH255" s="59"/>
      <c r="AI255" s="59"/>
      <c r="AJ255" s="59"/>
      <c r="AK255" s="59"/>
      <c r="AL255" s="59"/>
      <c r="AM255" s="59"/>
      <c r="AN255" s="60"/>
      <c r="AO255" s="60"/>
      <c r="AP255" s="60"/>
      <c r="AQ255" s="60"/>
      <c r="AW255" s="65"/>
      <c r="BB255" s="65"/>
    </row>
    <row r="256" spans="1:54" s="71" customFormat="1" hidden="1" x14ac:dyDescent="0.2">
      <c r="A256" s="67" t="s">
        <v>90</v>
      </c>
      <c r="B256" s="67">
        <f>1/(1+(10^-((B255-D255)/400)))*(B206+D206)</f>
        <v>0.86922567424331532</v>
      </c>
      <c r="C256" s="67"/>
      <c r="D256" s="67">
        <f>1/(1+(10^-((D255-B255)/400)))*(B206+D206)</f>
        <v>1.1307743257566845</v>
      </c>
      <c r="E256" s="67">
        <f>1/(1+(10^-((E255-G255)/400)))*(E206+G206)</f>
        <v>1.2985475780296003</v>
      </c>
      <c r="F256" s="67"/>
      <c r="G256" s="67">
        <f>1/(1+(10^-((G255-E255)/400)))*(E206+G206)</f>
        <v>0.70145242197039981</v>
      </c>
      <c r="H256" s="67">
        <f>1/(1+(10^-((H255-J255)/400)))*(H206+J206)</f>
        <v>0.769752870591776</v>
      </c>
      <c r="I256" s="67"/>
      <c r="J256" s="67">
        <f>1/(1+(10^-((J255-H255)/400)))*(H206+J206)</f>
        <v>1.230247129408224</v>
      </c>
      <c r="K256" s="67">
        <f>1/(1+(10^-((K255-M255)/400)))*(K206+M206)</f>
        <v>1.1267114069999296</v>
      </c>
      <c r="L256" s="67"/>
      <c r="M256" s="67">
        <f>1/(1+(10^-((M255-K255)/400)))*(K206+M206)</f>
        <v>0.87328859300007045</v>
      </c>
      <c r="N256" s="67">
        <f>1/(1+(10^-((N255-P255)/400)))*(N206+P206)</f>
        <v>1.4681119156332945</v>
      </c>
      <c r="O256" s="67"/>
      <c r="P256" s="67">
        <f>1/(1+(10^-((P255-N255)/400)))*(N206+P206)</f>
        <v>0.53188808436670554</v>
      </c>
      <c r="Q256" s="67">
        <f>1/(1+(10^-((Q255-S255)/400)))*(Q206+S206)</f>
        <v>1.1649359691870205</v>
      </c>
      <c r="R256" s="67"/>
      <c r="S256" s="67">
        <f>1/(1+(10^-((S255-Q255)/400)))*(Q206+S206)</f>
        <v>0.83506403081297953</v>
      </c>
      <c r="T256" s="67">
        <f>1/(1+(10^-((T255-V255)/400)))*(T206+V206)</f>
        <v>1.0509763471298439</v>
      </c>
      <c r="U256" s="67"/>
      <c r="V256" s="67">
        <f>1/(1+(10^-((V255-T255)/400)))*(T206+V206)</f>
        <v>0.949023652870156</v>
      </c>
      <c r="W256" s="67">
        <f>1/(1+(10^-((W255-Y255)/400)))*(W206+Y206)</f>
        <v>1.4881408516639425</v>
      </c>
      <c r="X256" s="67"/>
      <c r="Y256" s="67">
        <f>1/(1+(10^-((Y255-W255)/400)))*(W206+Y206)</f>
        <v>0.5118591483360575</v>
      </c>
      <c r="Z256" s="67">
        <f>1/(1+(10^-((Z255-AB255)/400)))*(Z206+AB206)</f>
        <v>0.79936945198977594</v>
      </c>
      <c r="AA256" s="67"/>
      <c r="AB256" s="67">
        <f>1/(1+(10^-((AB255-Z255)/400)))*(Z206+AB206)</f>
        <v>1.2006305480102242</v>
      </c>
      <c r="AC256" s="67">
        <f>1/(1+(10^-((AC255-AE255)/400)))*(AC206+AE206)</f>
        <v>1.398814792269903</v>
      </c>
      <c r="AD256" s="67"/>
      <c r="AE256" s="67">
        <f>1/(1+(10^-((AE255-AC255)/400)))*(AC206+AE206)</f>
        <v>0.60118520773009687</v>
      </c>
      <c r="AF256" s="68"/>
      <c r="AG256" s="69"/>
      <c r="AH256" s="69"/>
      <c r="AI256" s="69"/>
      <c r="AJ256" s="69"/>
      <c r="AK256" s="69"/>
      <c r="AL256" s="69"/>
      <c r="AM256" s="69"/>
      <c r="AN256" s="70"/>
      <c r="AO256" s="70"/>
      <c r="AP256" s="70"/>
      <c r="AQ256" s="70"/>
      <c r="AW256" s="72"/>
      <c r="BB256" s="72"/>
    </row>
    <row r="257" spans="1:54" s="77" customFormat="1" hidden="1" x14ac:dyDescent="0.2">
      <c r="A257" s="73" t="s">
        <v>91</v>
      </c>
      <c r="B257" s="73">
        <f>B255+(B206-B256)*$BA$1</f>
        <v>1990.4874209393563</v>
      </c>
      <c r="C257" s="73"/>
      <c r="D257" s="73">
        <f>D255+(D206-D256)*$BA$1</f>
        <v>1963.8152215757862</v>
      </c>
      <c r="E257" s="73">
        <f>E255+(E206-E256)*$BA$1</f>
        <v>2098.1022734054905</v>
      </c>
      <c r="F257" s="73"/>
      <c r="G257" s="73">
        <f>G255+(G206-G256)*$BA$1</f>
        <v>1946.2254594135566</v>
      </c>
      <c r="H257" s="73">
        <f>H255+(H206-H256)*$BA$1</f>
        <v>1921.726712443907</v>
      </c>
      <c r="I257" s="73"/>
      <c r="J257" s="73">
        <f>J255+(J206-J256)*$BA$1</f>
        <v>1924.4473134347229</v>
      </c>
      <c r="K257" s="73">
        <f>K255+(K206-K256)*$BA$1</f>
        <v>1954.4326559153585</v>
      </c>
      <c r="L257" s="73"/>
      <c r="M257" s="73">
        <f>M255+(M206-M256)*$BA$1</f>
        <v>1982.2802244375544</v>
      </c>
      <c r="N257" s="73">
        <f>N255+(N206-N256)*$BA$1</f>
        <v>2083.1226921052248</v>
      </c>
      <c r="O257" s="73"/>
      <c r="P257" s="73">
        <f>P255+(P206-P256)*$BA$1</f>
        <v>1936.7062937441724</v>
      </c>
      <c r="Q257" s="73">
        <f>Q255+(Q206-Q256)*$BA$1</f>
        <v>2009.0022734235697</v>
      </c>
      <c r="R257" s="73"/>
      <c r="S257" s="73">
        <f>S255+(S206-S256)*$BA$1</f>
        <v>1897.7252644487075</v>
      </c>
      <c r="T257" s="73">
        <f>T255+(T206-T256)*$BA$1</f>
        <v>1952.8014128072034</v>
      </c>
      <c r="U257" s="73"/>
      <c r="V257" s="73">
        <f>V255+(V206-V256)*$BA$1</f>
        <v>1938.3375368523275</v>
      </c>
      <c r="W257" s="73">
        <f>W255+(W206-W256)*$BA$1</f>
        <v>2099.5021848519787</v>
      </c>
      <c r="X257" s="73"/>
      <c r="Y257" s="73">
        <f>Y255+(Y206-Y256)*$BA$1</f>
        <v>1881.3457717019537</v>
      </c>
      <c r="Z257" s="73">
        <f>Z255+(Z206-Z256)*$BA$1</f>
        <v>1912.7577143886547</v>
      </c>
      <c r="AA257" s="73"/>
      <c r="AB257" s="73">
        <f>AB255+(AB206-AB256)*$BA$1</f>
        <v>2034.5820958872425</v>
      </c>
      <c r="AC257" s="73">
        <f>AC255+(AC206-AC256)*$BA$1</f>
        <v>2118.7401114993418</v>
      </c>
      <c r="AD257" s="73"/>
      <c r="AE257" s="73">
        <f>AE255+(AE206-AE256)*$BA$1</f>
        <v>1933.5634861598403</v>
      </c>
      <c r="AF257" s="74"/>
      <c r="AG257" s="75"/>
      <c r="AH257" s="75"/>
      <c r="AI257" s="75"/>
      <c r="AJ257" s="75"/>
      <c r="AK257" s="75"/>
      <c r="AL257" s="75"/>
      <c r="AM257" s="75"/>
      <c r="AN257" s="76"/>
      <c r="AO257" s="76"/>
      <c r="AP257" s="76"/>
      <c r="AQ257" s="76"/>
      <c r="AW257" s="78"/>
      <c r="BB257" s="78"/>
    </row>
    <row r="258" spans="1:54" s="77" customFormat="1" hidden="1" x14ac:dyDescent="0.2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  <c r="AD258" s="73"/>
      <c r="AE258" s="73"/>
      <c r="AF258" s="74"/>
      <c r="AG258" s="75"/>
      <c r="AH258" s="75"/>
      <c r="AI258" s="75"/>
      <c r="AJ258" s="75"/>
      <c r="AK258" s="75"/>
      <c r="AL258" s="75"/>
      <c r="AM258" s="75"/>
      <c r="AN258" s="76"/>
      <c r="AO258" s="76"/>
      <c r="AP258" s="76"/>
      <c r="AQ258" s="76"/>
      <c r="AW258" s="78"/>
      <c r="BB258" s="78"/>
    </row>
    <row r="259" spans="1:54" s="61" customFormat="1" x14ac:dyDescent="0.2">
      <c r="A259" s="790" t="str">
        <f>IF($AK180=1,"Pool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259" s="790"/>
      <c r="C259" s="790"/>
      <c r="D259" s="790"/>
      <c r="E259" s="790"/>
      <c r="F259" s="790"/>
      <c r="G259" s="790"/>
      <c r="H259" s="790"/>
      <c r="I259" s="790"/>
      <c r="J259" s="790"/>
      <c r="K259" s="790"/>
      <c r="L259" s="790"/>
      <c r="M259" s="790"/>
      <c r="N259" s="790"/>
      <c r="O259" s="790"/>
      <c r="P259" s="790"/>
      <c r="Q259" s="790"/>
      <c r="R259" s="790"/>
      <c r="S259" s="790"/>
      <c r="T259" s="790"/>
      <c r="U259" s="790"/>
      <c r="V259" s="790"/>
      <c r="W259" s="790"/>
      <c r="X259" s="790"/>
      <c r="Y259" s="790"/>
      <c r="Z259" s="790"/>
      <c r="AA259" s="790"/>
      <c r="AB259" s="790"/>
      <c r="AC259" s="790"/>
      <c r="AD259" s="790"/>
      <c r="AE259" s="790"/>
      <c r="AF259" s="790"/>
      <c r="AG259" s="790"/>
      <c r="AH259" s="790"/>
      <c r="AI259" s="790"/>
      <c r="AJ259" s="790"/>
      <c r="AK259" s="790"/>
      <c r="AL259" s="790"/>
      <c r="AM259" s="790"/>
      <c r="AN259" s="768"/>
      <c r="AO259" s="768"/>
      <c r="AP259" s="768"/>
      <c r="AQ259" s="768"/>
      <c r="AW259" s="65"/>
    </row>
    <row r="260" spans="1:54" s="61" customFormat="1" x14ac:dyDescent="0.2">
      <c r="A260" s="791"/>
      <c r="B260" s="791"/>
      <c r="C260" s="791"/>
      <c r="D260" s="791"/>
      <c r="E260" s="791"/>
      <c r="F260" s="791"/>
      <c r="G260" s="791"/>
      <c r="H260" s="791"/>
      <c r="I260" s="791"/>
      <c r="J260" s="791"/>
      <c r="K260" s="791"/>
      <c r="L260" s="791"/>
      <c r="M260" s="791"/>
      <c r="N260" s="791"/>
      <c r="O260" s="791"/>
      <c r="P260" s="791"/>
      <c r="Q260" s="791"/>
      <c r="R260" s="791"/>
      <c r="S260" s="791"/>
      <c r="T260" s="791"/>
      <c r="U260" s="791"/>
      <c r="V260" s="791"/>
      <c r="W260" s="791"/>
      <c r="X260" s="791"/>
      <c r="Y260" s="791"/>
      <c r="Z260" s="791"/>
      <c r="AA260" s="791"/>
      <c r="AB260" s="791"/>
      <c r="AC260" s="791"/>
      <c r="AD260" s="791"/>
      <c r="AE260" s="791"/>
      <c r="AF260" s="791"/>
      <c r="AG260" s="791"/>
      <c r="AH260" s="791"/>
      <c r="AI260" s="791"/>
      <c r="AJ260" s="791"/>
      <c r="AK260" s="791"/>
      <c r="AL260" s="791"/>
      <c r="AM260" s="791"/>
      <c r="AN260" s="791"/>
      <c r="AO260" s="791"/>
      <c r="AP260" s="791"/>
      <c r="AQ260" s="791"/>
      <c r="AW260" s="65"/>
    </row>
    <row r="261" spans="1:54" ht="21" thickBot="1" x14ac:dyDescent="0.35">
      <c r="A261" s="780" t="s">
        <v>93</v>
      </c>
      <c r="B261" s="780"/>
      <c r="C261" s="780"/>
      <c r="D261" s="780"/>
      <c r="E261" s="780"/>
      <c r="F261" s="780"/>
      <c r="G261" s="780"/>
      <c r="H261" s="780"/>
      <c r="I261" s="780"/>
      <c r="J261" s="780"/>
      <c r="K261" s="780"/>
      <c r="L261" s="780"/>
      <c r="M261" s="780"/>
      <c r="N261" s="780"/>
      <c r="O261" s="780"/>
      <c r="P261" s="780"/>
      <c r="Q261" s="780"/>
      <c r="R261" s="780"/>
      <c r="S261" s="780"/>
      <c r="T261" s="780"/>
      <c r="U261" s="780"/>
      <c r="V261" s="780"/>
      <c r="W261" s="780"/>
      <c r="X261" s="780"/>
      <c r="Y261" s="780"/>
      <c r="Z261" s="780"/>
      <c r="AA261" s="780"/>
      <c r="AB261" s="780"/>
      <c r="AC261" s="780"/>
      <c r="AD261" s="780"/>
      <c r="AE261" s="780"/>
      <c r="AF261" s="780"/>
      <c r="AG261" s="780"/>
      <c r="AH261" s="780"/>
      <c r="AI261" s="780"/>
      <c r="AJ261" s="780"/>
      <c r="AK261" s="780"/>
      <c r="AL261" s="780"/>
      <c r="AM261" s="780"/>
      <c r="AN261" s="780"/>
      <c r="AO261" s="780"/>
      <c r="AP261" s="780"/>
      <c r="AQ261" s="780"/>
    </row>
    <row r="262" spans="1:54" ht="13.5" thickBot="1" x14ac:dyDescent="0.25">
      <c r="A262" s="781" t="s">
        <v>94</v>
      </c>
      <c r="B262" s="1021" t="s">
        <v>95</v>
      </c>
      <c r="C262" s="1022"/>
      <c r="D262" s="1022"/>
      <c r="E262" s="1022"/>
      <c r="F262" s="1022"/>
      <c r="G262" s="1022"/>
      <c r="H262" s="1022"/>
      <c r="I262" s="1022"/>
      <c r="J262" s="1022"/>
      <c r="K262" s="1022"/>
      <c r="L262" s="1023"/>
      <c r="M262" s="1021" t="s">
        <v>96</v>
      </c>
      <c r="N262" s="1022"/>
      <c r="O262" s="1022"/>
      <c r="P262" s="1022"/>
      <c r="Q262" s="1022"/>
      <c r="R262" s="1022"/>
      <c r="S262" s="1022"/>
      <c r="T262" s="1022"/>
      <c r="U262" s="1022"/>
      <c r="V262" s="1022"/>
      <c r="W262" s="1023"/>
      <c r="X262" s="783" t="s">
        <v>97</v>
      </c>
      <c r="Y262" s="784"/>
      <c r="Z262" s="784"/>
      <c r="AA262" s="784"/>
      <c r="AB262" s="784"/>
      <c r="AC262" s="784"/>
      <c r="AD262" s="784"/>
      <c r="AE262" s="784"/>
      <c r="AF262" s="784"/>
      <c r="AG262" s="785"/>
      <c r="AH262" s="783" t="s">
        <v>98</v>
      </c>
      <c r="AI262" s="784"/>
      <c r="AJ262" s="784"/>
      <c r="AK262" s="784"/>
      <c r="AL262" s="784"/>
      <c r="AM262" s="784"/>
      <c r="AN262" s="784"/>
      <c r="AO262" s="784"/>
      <c r="AP262" s="785"/>
    </row>
    <row r="263" spans="1:54" ht="13.5" thickBot="1" x14ac:dyDescent="0.25">
      <c r="A263" s="1020"/>
      <c r="B263" s="1019" t="s">
        <v>7</v>
      </c>
      <c r="C263" s="1013"/>
      <c r="D263" s="1013"/>
      <c r="E263" s="1013"/>
      <c r="F263" s="1013" t="s">
        <v>99</v>
      </c>
      <c r="G263" s="1013"/>
      <c r="H263" s="1013"/>
      <c r="I263" s="1013"/>
      <c r="J263" s="1013" t="s">
        <v>143</v>
      </c>
      <c r="K263" s="1013"/>
      <c r="L263" s="172" t="s">
        <v>6</v>
      </c>
      <c r="M263" s="1019" t="s">
        <v>7</v>
      </c>
      <c r="N263" s="1013"/>
      <c r="O263" s="1013"/>
      <c r="P263" s="1013"/>
      <c r="Q263" s="1013"/>
      <c r="R263" s="1013" t="s">
        <v>99</v>
      </c>
      <c r="S263" s="1013"/>
      <c r="T263" s="1013"/>
      <c r="U263" s="1013" t="s">
        <v>143</v>
      </c>
      <c r="V263" s="1013"/>
      <c r="W263" s="173" t="s">
        <v>6</v>
      </c>
      <c r="X263" s="1019" t="s">
        <v>7</v>
      </c>
      <c r="Y263" s="1013"/>
      <c r="Z263" s="1013"/>
      <c r="AA263" s="1013"/>
      <c r="AB263" s="1013"/>
      <c r="AC263" s="1013" t="s">
        <v>99</v>
      </c>
      <c r="AD263" s="1013"/>
      <c r="AE263" s="1013"/>
      <c r="AF263" s="171" t="s">
        <v>143</v>
      </c>
      <c r="AG263" s="173" t="s">
        <v>6</v>
      </c>
      <c r="AH263" s="1019" t="s">
        <v>7</v>
      </c>
      <c r="AI263" s="1013"/>
      <c r="AJ263" s="1013"/>
      <c r="AK263" s="1013" t="s">
        <v>99</v>
      </c>
      <c r="AL263" s="1013"/>
      <c r="AM263" s="1013"/>
      <c r="AN263" s="1013" t="s">
        <v>143</v>
      </c>
      <c r="AO263" s="1013"/>
      <c r="AP263" s="173" t="s">
        <v>6</v>
      </c>
    </row>
    <row r="264" spans="1:54" x14ac:dyDescent="0.2">
      <c r="A264" s="157" t="s">
        <v>100</v>
      </c>
      <c r="B264" s="1014" t="str">
        <f>IF($AF$8=1,$E$8,IF($AF$10=1,$E$10,IF($AF$12=1,$E$12,IF($AF$14=1,$E$14,IF($AF$16=1,$E$16,"1st Place "&amp;$A264)))))</f>
        <v>Extreme 15 Meredith</v>
      </c>
      <c r="C264" s="1015"/>
      <c r="D264" s="1015"/>
      <c r="E264" s="1015"/>
      <c r="F264" s="1011" t="str">
        <f>IF($AF$8=1,$E$9,IF($AF$10=1,$E$11,IF($AF$12=1,$E$13,IF($AF$14=1,$E$15,IF($AF$16=1,$E$17,"1st Place "&amp;$A264)))))</f>
        <v>fj5triex1so</v>
      </c>
      <c r="G264" s="1011"/>
      <c r="H264" s="1011"/>
      <c r="I264" s="1011"/>
      <c r="J264" s="1012">
        <f>IF($AF$8=1,$Z$8,IF($AF$10=1,$Z$10,IF($AF$12=1,$Z$12,IF($AF$14=1,$Z$14,IF($AF$16=1,$Z$16,0)))))</f>
        <v>0.05</v>
      </c>
      <c r="K264" s="1012"/>
      <c r="L264" s="174">
        <f>IF(AND(J264=0,J265=0,J266=0),0,IF(OR(AND(J264&gt;J265,J264&gt;J266),AND(J264=J265,J264=J266),AND(J264=J265,J264&gt;J266),AND(J264=J266,J264&gt;J265)),1,IF(OR(J264&gt;J265,J264&gt;J266,J264=J265,J264=J266),2,3)))</f>
        <v>3</v>
      </c>
      <c r="M264" s="1014" t="str">
        <f>IF($AF$8=2,$E$8,IF($AF$10=2,$E$10,IF($AF$12=2,$E$12,IF($AF$14=2,$E$14,IF($AF$16=2,$E$16,"2nd Place "&amp;$A264)))))</f>
        <v>MOTO 15's</v>
      </c>
      <c r="N264" s="1015"/>
      <c r="O264" s="1015"/>
      <c r="P264" s="1015"/>
      <c r="Q264" s="1015"/>
      <c r="R264" s="1011" t="str">
        <f>IF($AF$8=2,$E$9,IF($AF$10=2,$E$11,IF($AF$12=2,$E$13,IF($AF$14=2,$E$15,IF($AF$16=2,$E$17,"2nd Place "&amp;$A264)))))</f>
        <v>fj5motoj2pm</v>
      </c>
      <c r="S264" s="1011"/>
      <c r="T264" s="1011"/>
      <c r="U264" s="1012">
        <f>IF($AF$8=2,$Z$8,IF($AF$10=2,$Z$10,IF($AF$12=2,$Z$12,IF($AF$14=2,$Z$14,IF($AF$16=2,$Z$16,0)))))</f>
        <v>4.4999999999999998E-2</v>
      </c>
      <c r="V264" s="1012"/>
      <c r="W264" s="175">
        <f>IF(AND(J264=0,J265=0,J266=0),0,IF(OR(AND(U264&gt;U265,U264&gt;U266),AND(U264=U265,U264=U266),AND(U264=U265,U264&gt;U266),AND(U264=U266,U264&gt;U265)),1,IF(OR(U264&gt;U265,U264&gt;U266,U264=U265,U264=U266),2,3)))</f>
        <v>3</v>
      </c>
      <c r="X264" s="1016" t="str">
        <f>IF($AF$8=3,$E$8,IF($AF$10=3,$E$10,IF($AF$12=3,$E$12,IF($AF$14=3,$E$14,IF($AF$16=3,$E$16,"3rd Place "&amp;$A264)))))</f>
        <v>Foothills 15 CJ</v>
      </c>
      <c r="Y264" s="1017"/>
      <c r="Z264" s="1017"/>
      <c r="AA264" s="1017"/>
      <c r="AB264" s="1017"/>
      <c r="AC264" s="1018" t="str">
        <f>IF($AF$8=3,$E$9,IF($AF$10=3,$E$11,IF($AF$12=3,$E$13,IF($AF$14=3,$E$15,IF($AF$16=3,$E$17,"3rd Place "&amp;$A264)))))</f>
        <v>fj5footh1pm</v>
      </c>
      <c r="AD264" s="1018"/>
      <c r="AE264" s="1018"/>
      <c r="AF264" s="176">
        <f>IF($AF$8=3,$Z$8,IF($AF$10=3,$Z$10,IF($AF$12=3,$Z$12,IF($AF$14=3,$Z$14,IF($AF$16=3,$Z$16,0)))))</f>
        <v>-2.5000000000000001E-2</v>
      </c>
      <c r="AG264" s="175">
        <f>IF(AND(J264=0,J265=0,J266=0),0,IF(OR(AND(AF264&gt;AF265,AF264&gt;AF266),AND(AF264=AF265,AF264=AF266),AND(AF264=AF265,AF264&gt;AF266),AND(AF264=AF266,AF264&gt;AF265)),1,IF(OR(AF264&gt;AF265,AF264&gt;AF266,AF264=AF265,AF264=AF266),2,3)))</f>
        <v>3</v>
      </c>
      <c r="AH264" s="1014" t="str">
        <f>IF($AF$8=4,$E$8,IF($AF$10=4,$E$10,IF($AF$12=4,$E$12,IF($AF$14=4,$E$14,IF($AF$16=4,$E$16,"4th Place "&amp;$A264)))))</f>
        <v>C1VB 15 Regional Grvl</v>
      </c>
      <c r="AI264" s="1015"/>
      <c r="AJ264" s="1015"/>
      <c r="AK264" s="1011" t="str">
        <f>IF($AF$8=4,$E$9,IF($AF$10=4,$E$11,IF($AF$12=4,$E$13,IF($AF$14=4,$E$15,IF($AF$16=4,$E$17,"4th Place "&amp;$A264)))))</f>
        <v>fj5crone4pm</v>
      </c>
      <c r="AL264" s="1011"/>
      <c r="AM264" s="1011"/>
      <c r="AN264" s="1012">
        <f>IF($AF$8=4,$Z$8,IF($AF$10=4,$Z$10,IF($AF$12=4,$Z$12,IF($AF$14=4,$Z$14,IF($AF$16=4,$Z$16,0)))))</f>
        <v>-6.965174129353234E-2</v>
      </c>
      <c r="AO264" s="1012"/>
      <c r="AP264" s="175">
        <f>IF(AND(J264=0,J265=0,J266=0),0,IF(OR(AND(AN264&gt;AN265,AN264&gt;AN266),AND(AN264=AN265,AN264=AN266),AND(AN264=AN265,AN264&gt;AN266),AND(AN264=AN266,AN264&gt;AN265)),1,IF(OR(AN264&gt;AN265,AN264&gt;AN266,AN264=AN265,AN264=AN266),2,3)))</f>
        <v>3</v>
      </c>
    </row>
    <row r="265" spans="1:54" x14ac:dyDescent="0.2">
      <c r="A265" s="157" t="s">
        <v>101</v>
      </c>
      <c r="B265" s="1007" t="str">
        <f>IF($AF$93=1,$E$93,IF($AF$95=1,$E$95,IF($AF$97=1,$E$97,IF($AF$99=1,$E$99,IF($AF$101=1,$E$101,"1st Place "&amp;$A265)))))</f>
        <v>Extreme 15-2</v>
      </c>
      <c r="C265" s="1008"/>
      <c r="D265" s="1008"/>
      <c r="E265" s="1008"/>
      <c r="F265" s="1009" t="str">
        <f>IF($AF$93=1,$E$94,IF($AF$95=1,$E$96,IF($AF$97=1,$E$98,IF($AF$99=1,$E$100,IF($AF$101=1,$E$102,"1st Place "&amp;$A265)))))</f>
        <v>fj5extvb2so</v>
      </c>
      <c r="G265" s="1009"/>
      <c r="H265" s="1009"/>
      <c r="I265" s="1009"/>
      <c r="J265" s="1010">
        <f>IF($AF$93=1,$Z$93,IF($AF$95=1,$Z$95,IF($AF$97=1,$Z$97,IF($AF$99=1,$Z$99,IF($AF$101=1,$Z$101,0)))))</f>
        <v>0.19900497512437812</v>
      </c>
      <c r="K265" s="1010"/>
      <c r="L265" s="178">
        <f>IF(AND(J264=0,J265=0,J266=0),0,IF(OR(AND(J265&gt;J264,J265&gt;J266),AND(J265=J266,J265&gt;J264)),1,IF(OR(J265&gt;J264,J265&gt;J266,AND(J265=J264,J265=J266),J265=J266),2,3)))</f>
        <v>1</v>
      </c>
      <c r="M265" s="1007" t="str">
        <f>IF($AF$93=2,$E$93,IF($AF$95=2,$E$95,IF($AF$97=2,$E$97,IF($AF$99=2,$E$99,IF($AF$101=2,$E$101,"2nd Place "&amp;$A265)))))</f>
        <v>MEVC14Power</v>
      </c>
      <c r="N265" s="1008"/>
      <c r="O265" s="1008"/>
      <c r="P265" s="1008"/>
      <c r="Q265" s="1008"/>
      <c r="R265" s="1009" t="str">
        <f>IF($AF$93=2,$E$94,IF($AF$95=2,$E$96,IF($AF$97=2,$E$98,IF($AF$99=2,$E$100,IF($AF$101=2,$E$102,"2nd Place "&amp;$A265)))))</f>
        <v>fj4mtnel1pm</v>
      </c>
      <c r="S265" s="1009"/>
      <c r="T265" s="1009"/>
      <c r="U265" s="1010">
        <f>IF($AF$93=2,$Z$93,IF($AF$95=2,$Z$95,IF($AF$97=2,$Z$97,IF($AF$99=2,$Z$99,IF($AF$101=2,$Z$101,0)))))</f>
        <v>0.17412935323383086</v>
      </c>
      <c r="V265" s="1010"/>
      <c r="W265" s="179">
        <f>IF(AND(J264=0,J265=0,J266=0),0,IF(OR(AND(U265&gt;U264,U265&gt;U266),AND(U265=U266,U265&gt;U264)),1,IF(OR(U265&gt;U264,U265&gt;U266,AND(U265=U264,U265=U266),U265=U266),2,3)))</f>
        <v>2</v>
      </c>
      <c r="X265" s="1007" t="str">
        <f>IF($AF$93=3,$E$93,IF($AF$95=3,$E$95,IF($AF$97=3,$E$97,IF($AF$99=3,$E$99,IF($AF$101=3,$E$101,"3rd Place "&amp;$A265)))))</f>
        <v>Crossfire 13</v>
      </c>
      <c r="Y265" s="1008"/>
      <c r="Z265" s="1008"/>
      <c r="AA265" s="1008"/>
      <c r="AB265" s="1008"/>
      <c r="AC265" s="1009" t="str">
        <f>IF($AF$93=3,$E$94,IF($AF$95=3,$E$96,IF($AF$97=3,$E$98,IF($AF$99=3,$E$100,IF($AF$101=3,$E$102,"3rd Place "&amp;$A265)))))</f>
        <v>fj3crosf1pm</v>
      </c>
      <c r="AD265" s="1009"/>
      <c r="AE265" s="1009"/>
      <c r="AF265" s="177">
        <f>IF($AF$93=3,$Z$93,IF($AF$95=3,$Z$95,IF($AF$97=3,$Z$97,IF($AF$99=3,$Z$99,IF($AF$101=3,$Z$101,0)))))</f>
        <v>7.4999999999999997E-2</v>
      </c>
      <c r="AG265" s="179">
        <f>IF(AND(J264=0,J265=0,J266=0),0,IF(OR(AND(AF265&gt;AF264,AF265&gt;AF266),AND(AF265=AF266,AF265&gt;AF264)),1,IF(OR(AF265&gt;AF264,AF265&gt;AF266,AND(AF265=AF264,AF265=AF266),AF265=AF266),2,3)))</f>
        <v>1</v>
      </c>
      <c r="AH265" s="1007" t="str">
        <f>IF($AF$93=4,$E$93,IF($AF$95=4,$E$95,IF($AF$97=4,$E$97,IF($AF$99=4,$E$99,IF($AF$101=4,$E$101,"4th Place "&amp;$A265)))))</f>
        <v>Augusta Elite 15U</v>
      </c>
      <c r="AI265" s="1008"/>
      <c r="AJ265" s="1008"/>
      <c r="AK265" s="1009" t="str">
        <f>IF($AF$93=4,$E$94,IF($AF$95=4,$E$96,IF($AF$97=4,$E$98,IF($AF$99=4,$E$100,IF($AF$101=4,$E$102,"4th Place "&amp;$A265)))))</f>
        <v>fj5aelit1pm</v>
      </c>
      <c r="AL265" s="1009"/>
      <c r="AM265" s="1009"/>
      <c r="AN265" s="1010">
        <f>IF($AF$93=4,$Z$93,IF($AF$95=4,$Z$95,IF($AF$97=4,$Z$97,IF($AF$99=4,$Z$99,IF($AF$101=4,$Z$101,0)))))</f>
        <v>-5.5E-2</v>
      </c>
      <c r="AO265" s="1010"/>
      <c r="AP265" s="179">
        <f>IF(AND(J264=0,J265=0,J266=0),0,IF(OR(AND(AN265&gt;AN264,AN265&gt;AN266),AND(AN265=AN266,AN265&gt;AN264)),1,IF(OR(AN265&gt;AN264,AN265&gt;AN266,AND(AN265=AN264,AN265=AN266),AN265=AN266),2,3)))</f>
        <v>2</v>
      </c>
    </row>
    <row r="266" spans="1:54" ht="13.5" thickBot="1" x14ac:dyDescent="0.25">
      <c r="A266" s="79" t="s">
        <v>144</v>
      </c>
      <c r="B266" s="999" t="str">
        <f>IF($AF$178=1,$E$178,IF($AF$180=1,$E$180,IF($AF$182=1,$E$182,IF($AF$184=1,$E$184,IF($AF$186=1,$E$186,"1st Place "&amp;$A266)))))</f>
        <v>Lake Murray 15 Black</v>
      </c>
      <c r="C266" s="1000"/>
      <c r="D266" s="1000"/>
      <c r="E266" s="1000"/>
      <c r="F266" s="998" t="str">
        <f>IF($AF$178=1,$E$179,IF($AF$180=1,$E$181,IF($AF$182=1,$E$183,IF($AF$184=1,$E$185,IF($AF$186=1,$E$187,"1st Place "&amp;$A266)))))</f>
        <v>fj5lakem2pm</v>
      </c>
      <c r="G266" s="998"/>
      <c r="H266" s="998"/>
      <c r="I266" s="998"/>
      <c r="J266" s="1001">
        <f>IF($AF$178=1,$Z$178,IF($AF$180=1,$Z$180,IF($AF$182=1,$Z$182,IF($AF$184=1,$Z$184,IF($AF$186=1,$Z$186,0)))))</f>
        <v>0.16831683168316833</v>
      </c>
      <c r="K266" s="1001"/>
      <c r="L266" s="181">
        <f>IF(AND(J264=0,J265=0,J266=0),0,IF(AND(J266&gt;J264,J266&gt;J265),1,IF(OR(J266&gt;J264,J266&gt;J265),2,3)))</f>
        <v>2</v>
      </c>
      <c r="M266" s="999" t="str">
        <f>IF($AF$178=2,$E$178,IF($AF$180=2,$E$180,IF($AF$182=2,$E$182,IF($AF$184=2,$E$184,IF($AF$186=2,$E$186,"2nd Place "&amp;$A266)))))</f>
        <v>Kershaw 15 Black</v>
      </c>
      <c r="N266" s="1000"/>
      <c r="O266" s="1000"/>
      <c r="P266" s="1000"/>
      <c r="Q266" s="1000"/>
      <c r="R266" s="998" t="str">
        <f>IF($AF$178=2,$E$179,IF($AF$180=2,$E$181,IF($AF$182=2,$E$183,IF($AF$184=2,$E$185,IF($AF$186=2,$E$187,"2nd Place "&amp;$A266)))))</f>
        <v>fj5kersh1pm</v>
      </c>
      <c r="S266" s="998"/>
      <c r="T266" s="998"/>
      <c r="U266" s="1001">
        <f>IF($AF$178=2,$Z$178,IF($AF$180=2,$Z$180,IF($AF$182=2,$Z$182,IF($AF$184=2,$Z$184,IF($AF$186=2,$Z$186,0)))))</f>
        <v>0.25</v>
      </c>
      <c r="V266" s="1001"/>
      <c r="W266" s="182">
        <f>IF(AND(J264=0,J265=0,J266=0),0,IF(AND(U266&gt;U264,U266&gt;U265),1,IF(OR(U266&gt;U264,U266&gt;U265),2,3)))</f>
        <v>1</v>
      </c>
      <c r="X266" s="999" t="str">
        <f>IF($AF$178=3,$E$178,IF($AF$180=3,$E$180,IF($AF$182=3,$E$182,IF($AF$184=3,$E$184,IF($AF$186=3,$E$186,"3rd Place "&amp;$A266)))))</f>
        <v>OLC 15s Purple</v>
      </c>
      <c r="Y266" s="1000"/>
      <c r="Z266" s="1000"/>
      <c r="AA266" s="1000"/>
      <c r="AB266" s="1000"/>
      <c r="AC266" s="998" t="str">
        <f>IF($AF$178=3,$E$179,IF($AF$180=3,$E$181,IF($AF$182=3,$E$183,IF($AF$184=3,$E$185,IF($AF$186=3,$E$187,"3rd Place "&amp;$A266)))))</f>
        <v>fj5ladyc1pm</v>
      </c>
      <c r="AD266" s="998"/>
      <c r="AE266" s="998"/>
      <c r="AF266" s="180">
        <f>IF($AF$178=3,$Z$178,IF($AF$180=3,$Z$180,IF($AF$182=3,$Z$182,IF($AF$184=3,$Z$184,IF($AF$186=3,$Z$186,0)))))</f>
        <v>2.4752475247524754E-2</v>
      </c>
      <c r="AG266" s="182">
        <f>IF(AND(J264=0,J265=0,J266=0),0,IF(AND(AF266&gt;AF264,AF266&gt;AF265),1,IF(OR(AF266&gt;AF264,AF266&gt;AF265),2,3)))</f>
        <v>2</v>
      </c>
      <c r="AH266" s="999" t="str">
        <f>IF($AF$178=4,$E$178,IF($AF$180=4,$E$180,IF($AF$182=4,$E$182,IF($AF$184=4,$E$184,IF($AF$186=4,$E$186,"4th Place "&amp;$A266)))))</f>
        <v>SC Midlands 15 Black</v>
      </c>
      <c r="AI266" s="1000"/>
      <c r="AJ266" s="1000"/>
      <c r="AK266" s="998" t="str">
        <f>IF($AF$178=4,$E$179,IF($AF$180=4,$E$181,IF($AF$182=4,$E$183,IF($AF$184=4,$E$185,IF($AF$186=4,$E$187,"4th Place "&amp;$A266)))))</f>
        <v>fj5scmid3pm</v>
      </c>
      <c r="AL266" s="998"/>
      <c r="AM266" s="998"/>
      <c r="AN266" s="1001">
        <f>IF($AF$178=4,$Z$178,IF($AF$180=4,$Z$180,IF($AF$182=4,$Z$182,IF($AF$184=4,$Z$184,IF($AF$186=4,$Z$186,0)))))</f>
        <v>1.9607843137254902E-2</v>
      </c>
      <c r="AO266" s="1001"/>
      <c r="AP266" s="182">
        <f>IF(AND(J264=0,J265=0,J266=0),0,IF(AND(AN266&gt;AN264,AN266&gt;AN265),1,IF(OR(AN266&gt;AN264,AN266&gt;AN265),2,3)))</f>
        <v>1</v>
      </c>
    </row>
    <row r="267" spans="1:54" ht="13.5" thickBot="1" x14ac:dyDescent="0.25">
      <c r="A267" s="1002" t="s">
        <v>145</v>
      </c>
      <c r="B267" s="1004" t="s">
        <v>146</v>
      </c>
      <c r="C267" s="1005"/>
      <c r="D267" s="1005"/>
      <c r="E267" s="1005"/>
      <c r="F267" s="1005"/>
      <c r="G267" s="1005"/>
      <c r="H267" s="1005"/>
      <c r="I267" s="1005"/>
      <c r="J267" s="1005"/>
      <c r="K267" s="1005"/>
      <c r="L267" s="1006"/>
      <c r="M267" s="783" t="s">
        <v>147</v>
      </c>
      <c r="N267" s="784"/>
      <c r="O267" s="784"/>
      <c r="P267" s="784"/>
      <c r="Q267" s="784"/>
      <c r="R267" s="784"/>
      <c r="S267" s="784"/>
      <c r="T267" s="784"/>
      <c r="U267" s="784"/>
      <c r="V267" s="784"/>
      <c r="W267" s="785"/>
      <c r="X267" s="783" t="s">
        <v>148</v>
      </c>
      <c r="Y267" s="784"/>
      <c r="Z267" s="784"/>
      <c r="AA267" s="784"/>
      <c r="AB267" s="784"/>
      <c r="AC267" s="784"/>
      <c r="AD267" s="784"/>
      <c r="AE267" s="784"/>
      <c r="AF267" s="784"/>
      <c r="AG267" s="785"/>
      <c r="AH267" s="783" t="s">
        <v>149</v>
      </c>
      <c r="AI267" s="784"/>
      <c r="AJ267" s="784"/>
      <c r="AK267" s="784"/>
      <c r="AL267" s="784"/>
      <c r="AM267" s="784"/>
      <c r="AN267" s="784"/>
      <c r="AO267" s="784"/>
      <c r="AP267" s="785"/>
    </row>
    <row r="268" spans="1:54" ht="13.5" thickBot="1" x14ac:dyDescent="0.25">
      <c r="A268" s="1003"/>
      <c r="B268" s="995" t="s">
        <v>7</v>
      </c>
      <c r="C268" s="996"/>
      <c r="D268" s="996"/>
      <c r="E268" s="996"/>
      <c r="F268" s="996"/>
      <c r="G268" s="996"/>
      <c r="H268" s="997"/>
      <c r="I268" s="995" t="s">
        <v>8</v>
      </c>
      <c r="J268" s="996"/>
      <c r="K268" s="996"/>
      <c r="L268" s="997"/>
      <c r="M268" s="777" t="s">
        <v>7</v>
      </c>
      <c r="N268" s="778"/>
      <c r="O268" s="778"/>
      <c r="P268" s="778"/>
      <c r="Q268" s="778"/>
      <c r="R268" s="778"/>
      <c r="S268" s="779"/>
      <c r="T268" s="777" t="s">
        <v>8</v>
      </c>
      <c r="U268" s="778"/>
      <c r="V268" s="778"/>
      <c r="W268" s="779"/>
      <c r="X268" s="777" t="s">
        <v>7</v>
      </c>
      <c r="Y268" s="778"/>
      <c r="Z268" s="778"/>
      <c r="AA268" s="778"/>
      <c r="AB268" s="778"/>
      <c r="AC268" s="778"/>
      <c r="AD268" s="778"/>
      <c r="AE268" s="779"/>
      <c r="AF268" s="777" t="s">
        <v>8</v>
      </c>
      <c r="AG268" s="779"/>
      <c r="AH268" s="778" t="s">
        <v>7</v>
      </c>
      <c r="AI268" s="778"/>
      <c r="AJ268" s="778"/>
      <c r="AK268" s="778"/>
      <c r="AL268" s="778"/>
      <c r="AM268" s="779"/>
      <c r="AN268" s="777" t="s">
        <v>8</v>
      </c>
      <c r="AO268" s="778"/>
      <c r="AP268" s="779"/>
    </row>
    <row r="269" spans="1:54" x14ac:dyDescent="0.2">
      <c r="A269" s="106" t="s">
        <v>150</v>
      </c>
      <c r="B269" s="986" t="str">
        <f>IF(L264=1,B264,IF(L265=1,B265,IF(L266=1,B266,"#1 1st Place")))</f>
        <v>Extreme 15-2</v>
      </c>
      <c r="C269" s="987"/>
      <c r="D269" s="987"/>
      <c r="E269" s="987"/>
      <c r="F269" s="987"/>
      <c r="G269" s="987"/>
      <c r="H269" s="987"/>
      <c r="I269" s="988" t="str">
        <f>IF(L264=1,F264,IF(L265=1,F265,IF(L266=1,F266,"#1 1st Place")))</f>
        <v>fj5extvb2so</v>
      </c>
      <c r="J269" s="988"/>
      <c r="K269" s="988"/>
      <c r="L269" s="989"/>
      <c r="M269" s="990" t="str">
        <f>IF(W264=1,M264,IF(W265=1,M265,IF(W266=1,M266,"#1 2nd Place")))</f>
        <v>Kershaw 15 Black</v>
      </c>
      <c r="N269" s="991"/>
      <c r="O269" s="991"/>
      <c r="P269" s="991"/>
      <c r="Q269" s="991"/>
      <c r="R269" s="991"/>
      <c r="S269" s="991"/>
      <c r="T269" s="992" t="str">
        <f>IF(W264=1,R264,IF(W265=1,R265,IF(W266=1,R266,"#1 2nd Place")))</f>
        <v>fj5kersh1pm</v>
      </c>
      <c r="U269" s="992"/>
      <c r="V269" s="992"/>
      <c r="W269" s="993"/>
      <c r="X269" s="990" t="str">
        <f>IF(AG264=1,X264,IF(AG265=1,X265,IF(AG266=1,X266,"#1 3rd Place")))</f>
        <v>Crossfire 13</v>
      </c>
      <c r="Y269" s="991"/>
      <c r="Z269" s="991"/>
      <c r="AA269" s="991"/>
      <c r="AB269" s="991"/>
      <c r="AC269" s="991"/>
      <c r="AD269" s="991"/>
      <c r="AE269" s="991"/>
      <c r="AF269" s="992" t="str">
        <f>IF(AG264=1,AC264,IF(AG265=1,AC265,IF(AG266=1,AC266,"#1 3rd Place")))</f>
        <v>fj3crosf1pm</v>
      </c>
      <c r="AG269" s="993"/>
      <c r="AH269" s="994" t="str">
        <f>IF(AP264=1,AH264,IF(AP265=1,AH265,IF(AP266=1,AH266,"#1 4th Place")))</f>
        <v>SC Midlands 15 Black</v>
      </c>
      <c r="AI269" s="991"/>
      <c r="AJ269" s="991"/>
      <c r="AK269" s="991"/>
      <c r="AL269" s="991"/>
      <c r="AM269" s="991"/>
      <c r="AN269" s="992" t="str">
        <f>IF(AP264=1,AK264,IF(AP265=1,AK265,IF(AP266=1,AK266,"#1 4th Place")))</f>
        <v>fj5scmid3pm</v>
      </c>
      <c r="AO269" s="992"/>
      <c r="AP269" s="993"/>
    </row>
    <row r="270" spans="1:54" x14ac:dyDescent="0.2">
      <c r="A270" s="106" t="s">
        <v>151</v>
      </c>
      <c r="B270" s="934" t="str">
        <f>IF(L264=2,B264,IF(L265=2,B265,IF(L266=2,B266,"#2 1st Place")))</f>
        <v>Lake Murray 15 Black</v>
      </c>
      <c r="C270" s="935"/>
      <c r="D270" s="935"/>
      <c r="E270" s="935"/>
      <c r="F270" s="935"/>
      <c r="G270" s="935"/>
      <c r="H270" s="935"/>
      <c r="I270" s="936" t="str">
        <f>IF(L264=2,F264,IF(L265=2,F265,IF(L266=2,F266,"#2 1st Place")))</f>
        <v>fj5lakem2pm</v>
      </c>
      <c r="J270" s="936"/>
      <c r="K270" s="936"/>
      <c r="L270" s="937"/>
      <c r="M270" s="985" t="str">
        <f>IF(W264=2,M264,IF(W265=2,M265,IF(W266=2,M266,"#2 2nd Place")))</f>
        <v>MEVC14Power</v>
      </c>
      <c r="N270" s="981"/>
      <c r="O270" s="981"/>
      <c r="P270" s="981"/>
      <c r="Q270" s="981"/>
      <c r="R270" s="981"/>
      <c r="S270" s="981"/>
      <c r="T270" s="982" t="str">
        <f>IF(W264=2,R264,IF(W265=2,R265,IF(W266=2,R266,"#2 2nd Place")))</f>
        <v>fj4mtnel1pm</v>
      </c>
      <c r="U270" s="982"/>
      <c r="V270" s="982"/>
      <c r="W270" s="983"/>
      <c r="X270" s="985" t="str">
        <f>IF(AG264=2,X264,IF(AG265=2,X265,IF(AG266=2,X266,"#2 3rd Place")))</f>
        <v>OLC 15s Purple</v>
      </c>
      <c r="Y270" s="981"/>
      <c r="Z270" s="981"/>
      <c r="AA270" s="981"/>
      <c r="AB270" s="981"/>
      <c r="AC270" s="981"/>
      <c r="AD270" s="981"/>
      <c r="AE270" s="981"/>
      <c r="AF270" s="982" t="str">
        <f>IF(AG264=2,AC264,IF(AG265=2,AC265,IF(AG266=2,AC266,"#2 3rd Place")))</f>
        <v>fj5ladyc1pm</v>
      </c>
      <c r="AG270" s="983"/>
      <c r="AH270" s="980" t="str">
        <f>IF(AP264=2,AH264,IF(AP265=2,AH265,IF(AP266=2,AH266,"#2 4th Place")))</f>
        <v>Augusta Elite 15U</v>
      </c>
      <c r="AI270" s="981"/>
      <c r="AJ270" s="981"/>
      <c r="AK270" s="981"/>
      <c r="AL270" s="981"/>
      <c r="AM270" s="981"/>
      <c r="AN270" s="982" t="str">
        <f>IF(AP264=2,AK264,IF(AP265=2,AK265,IF(AP266=2,AK266,"#2 4th Place")))</f>
        <v>fj5aelit1pm</v>
      </c>
      <c r="AO270" s="982"/>
      <c r="AP270" s="983"/>
    </row>
    <row r="271" spans="1:54" s="3" customFormat="1" ht="13.5" thickBot="1" x14ac:dyDescent="0.25">
      <c r="A271" s="168" t="s">
        <v>152</v>
      </c>
      <c r="B271" s="773" t="str">
        <f>IF(L264=3,B264,IF(L265=3,B265,IF(L266=3,B266,"#3 1st Place")))</f>
        <v>Extreme 15 Meredith</v>
      </c>
      <c r="C271" s="774"/>
      <c r="D271" s="774"/>
      <c r="E271" s="774"/>
      <c r="F271" s="774"/>
      <c r="G271" s="774"/>
      <c r="H271" s="774"/>
      <c r="I271" s="775" t="str">
        <f>IF(L264=3,F264,IF(L265=3,F265,IF(L266=3,F266,"#3 1st Place")))</f>
        <v>fj5triex1so</v>
      </c>
      <c r="J271" s="775"/>
      <c r="K271" s="775"/>
      <c r="L271" s="776"/>
      <c r="M271" s="773" t="str">
        <f>IF(W264=3,M264,IF(W265=3,M265,IF(W266=3,M266,"#3 2nd Place")))</f>
        <v>MOTO 15's</v>
      </c>
      <c r="N271" s="774"/>
      <c r="O271" s="774"/>
      <c r="P271" s="774"/>
      <c r="Q271" s="774"/>
      <c r="R271" s="774"/>
      <c r="S271" s="774"/>
      <c r="T271" s="775" t="str">
        <f>IF(W264=3,R264,IF(W265=3,R265,IF(W266=3,R266,"#3 2nd Place")))</f>
        <v>fj5motoj2pm</v>
      </c>
      <c r="U271" s="775"/>
      <c r="V271" s="775"/>
      <c r="W271" s="776"/>
      <c r="X271" s="773" t="str">
        <f>IF(AG264=3,X264,IF(AG265=3,X265,IF(AG266=3,X266,"#3 3rd Place")))</f>
        <v>Foothills 15 CJ</v>
      </c>
      <c r="Y271" s="774"/>
      <c r="Z271" s="774"/>
      <c r="AA271" s="774"/>
      <c r="AB271" s="774"/>
      <c r="AC271" s="774"/>
      <c r="AD271" s="774"/>
      <c r="AE271" s="774"/>
      <c r="AF271" s="775" t="str">
        <f>IF(AG264=3,AC264,IF(AG265=3,AC265,IF(AG266=3,AC266,"#3 3rd Place")))</f>
        <v>fj5footh1pm</v>
      </c>
      <c r="AG271" s="776"/>
      <c r="AH271" s="984" t="str">
        <f>IF(AP264=3,AH264,IF(AP265=3,AH265,IF(AP266=3,AH266,"#3 4th Place")))</f>
        <v>C1VB 15 Regional Grvl</v>
      </c>
      <c r="AI271" s="774"/>
      <c r="AJ271" s="774"/>
      <c r="AK271" s="774"/>
      <c r="AL271" s="774"/>
      <c r="AM271" s="774"/>
      <c r="AN271" s="775" t="str">
        <f>IF(AP264=3,AK264,IF(AP265=3,AK265,IF(AP266=3,AK266,"#3 4th Place")))</f>
        <v>fj5crone4pm</v>
      </c>
      <c r="AO271" s="775"/>
      <c r="AP271" s="776"/>
      <c r="AW271" s="62"/>
      <c r="AX271" s="4"/>
      <c r="AY271" s="4"/>
      <c r="AZ271" s="4"/>
      <c r="BA271" s="4"/>
    </row>
    <row r="272" spans="1:54" s="3" customFormat="1" x14ac:dyDescent="0.2">
      <c r="A272" s="35"/>
      <c r="B272" s="81"/>
      <c r="C272" s="81"/>
      <c r="D272" s="81"/>
      <c r="E272" s="81"/>
      <c r="F272" s="81"/>
      <c r="G272" s="81"/>
      <c r="H272" s="81"/>
      <c r="I272" s="81"/>
      <c r="J272" s="81"/>
      <c r="K272" s="81"/>
      <c r="L272" s="81"/>
      <c r="M272" s="183"/>
      <c r="N272" s="183"/>
      <c r="O272" s="183"/>
      <c r="P272" s="183"/>
      <c r="Q272" s="183"/>
      <c r="R272" s="183"/>
      <c r="S272" s="183"/>
      <c r="T272" s="183"/>
      <c r="U272" s="183"/>
      <c r="V272" s="183"/>
      <c r="W272" s="183"/>
      <c r="AW272" s="62"/>
      <c r="AX272" s="4"/>
      <c r="AY272" s="4"/>
      <c r="AZ272" s="4"/>
      <c r="BA272" s="4"/>
    </row>
    <row r="273" spans="1:56" ht="15.75" x14ac:dyDescent="0.25">
      <c r="A273" s="763" t="s">
        <v>102</v>
      </c>
      <c r="B273" s="763"/>
      <c r="C273" s="763"/>
      <c r="D273" s="763"/>
      <c r="E273" s="763"/>
      <c r="F273" s="763"/>
      <c r="G273" s="763"/>
      <c r="H273" s="763"/>
      <c r="I273" s="763"/>
      <c r="J273" s="763"/>
      <c r="K273" s="763"/>
      <c r="L273" s="763"/>
      <c r="M273" s="763"/>
      <c r="N273" s="763"/>
      <c r="O273" s="763"/>
      <c r="P273" s="763"/>
      <c r="Q273" s="763"/>
      <c r="R273" s="763"/>
      <c r="S273" s="763"/>
      <c r="T273" s="763"/>
      <c r="U273" s="763"/>
      <c r="V273" s="763"/>
      <c r="W273" s="763"/>
      <c r="X273" s="763"/>
      <c r="Y273" s="763"/>
      <c r="Z273" s="763"/>
      <c r="AA273" s="763"/>
      <c r="AB273" s="763"/>
      <c r="AC273" s="763"/>
      <c r="AD273" s="763"/>
      <c r="AE273" s="763"/>
      <c r="AF273" s="763"/>
      <c r="AG273" s="763"/>
      <c r="AH273" s="763"/>
      <c r="AI273" s="763"/>
      <c r="AJ273" s="763"/>
      <c r="AK273" s="763"/>
      <c r="AL273" s="763"/>
      <c r="AM273" s="763"/>
      <c r="AN273" s="763"/>
      <c r="AO273" s="763"/>
      <c r="AP273" s="763"/>
      <c r="AQ273" s="763"/>
      <c r="AT273" s="83"/>
      <c r="AU273" s="83"/>
      <c r="AV273" s="83"/>
    </row>
    <row r="274" spans="1:56" ht="36" customHeight="1" x14ac:dyDescent="0.25">
      <c r="A274" s="764" t="s">
        <v>350</v>
      </c>
      <c r="B274" s="765"/>
      <c r="C274" s="765"/>
      <c r="D274" s="765"/>
      <c r="E274" s="765"/>
      <c r="F274" s="765"/>
      <c r="G274" s="765"/>
      <c r="H274" s="765"/>
      <c r="I274" s="765"/>
      <c r="J274" s="765"/>
      <c r="K274" s="765"/>
      <c r="L274" s="765"/>
      <c r="M274" s="765"/>
      <c r="N274" s="765"/>
      <c r="O274" s="765"/>
      <c r="P274" s="765"/>
      <c r="Q274" s="765"/>
      <c r="R274" s="765"/>
      <c r="S274" s="765"/>
      <c r="T274" s="765"/>
      <c r="U274" s="765"/>
      <c r="V274" s="765"/>
      <c r="W274" s="765"/>
      <c r="X274" s="765"/>
      <c r="Y274" s="765"/>
      <c r="Z274" s="765"/>
      <c r="AA274" s="765"/>
      <c r="AB274" s="765"/>
      <c r="AC274" s="765"/>
      <c r="AD274" s="765"/>
      <c r="AE274" s="765"/>
      <c r="AF274" s="765"/>
      <c r="AG274" s="765"/>
      <c r="AH274" s="765"/>
      <c r="AI274" s="765"/>
      <c r="AJ274" s="765"/>
      <c r="AK274" s="765"/>
      <c r="AL274" s="765"/>
      <c r="AM274" s="765"/>
      <c r="AN274" s="765"/>
      <c r="AO274" s="765"/>
      <c r="AP274" s="765"/>
      <c r="AQ274" s="765"/>
    </row>
    <row r="275" spans="1:56" x14ac:dyDescent="0.2">
      <c r="A275" s="766" t="s">
        <v>170</v>
      </c>
      <c r="B275" s="766"/>
      <c r="C275" s="766"/>
      <c r="D275" s="766"/>
      <c r="E275" s="766"/>
      <c r="F275" s="766"/>
      <c r="G275" s="766"/>
      <c r="H275" s="766"/>
      <c r="I275" s="766"/>
      <c r="J275" s="766"/>
      <c r="K275" s="766"/>
      <c r="L275" s="766"/>
      <c r="M275" s="766"/>
      <c r="N275" s="766"/>
      <c r="O275" s="766"/>
      <c r="P275" s="766"/>
      <c r="Q275" s="766"/>
      <c r="R275" s="766"/>
      <c r="S275" s="766"/>
      <c r="T275" s="766"/>
      <c r="U275" s="766"/>
      <c r="V275" s="766"/>
      <c r="W275" s="766"/>
      <c r="X275" s="766"/>
      <c r="Y275" s="766"/>
      <c r="Z275" s="766"/>
      <c r="AA275" s="766"/>
      <c r="AB275" s="766"/>
      <c r="AC275" s="766"/>
      <c r="AD275" s="766"/>
      <c r="AE275" s="766"/>
      <c r="AF275" s="766"/>
      <c r="AG275" s="766"/>
      <c r="AH275" s="766"/>
      <c r="AI275" s="766"/>
      <c r="AJ275" s="766"/>
      <c r="AK275" s="766"/>
      <c r="AL275" s="766"/>
      <c r="AM275" s="766"/>
      <c r="AN275" s="766"/>
      <c r="AO275" s="766"/>
      <c r="AP275" s="766"/>
      <c r="AQ275" s="766"/>
    </row>
    <row r="276" spans="1:56" x14ac:dyDescent="0.2">
      <c r="A276" s="766" t="s">
        <v>153</v>
      </c>
      <c r="B276" s="766"/>
      <c r="C276" s="766"/>
      <c r="D276" s="766"/>
      <c r="E276" s="766"/>
      <c r="F276" s="766"/>
      <c r="G276" s="766"/>
      <c r="H276" s="766"/>
      <c r="I276" s="766"/>
      <c r="J276" s="766"/>
      <c r="K276" s="766"/>
      <c r="L276" s="766"/>
      <c r="M276" s="766"/>
      <c r="N276" s="766"/>
      <c r="O276" s="766"/>
      <c r="P276" s="766"/>
      <c r="Q276" s="766"/>
      <c r="R276" s="766"/>
      <c r="S276" s="766"/>
      <c r="T276" s="766"/>
      <c r="U276" s="766"/>
      <c r="V276" s="766"/>
      <c r="W276" s="766"/>
      <c r="X276" s="766"/>
      <c r="Y276" s="766"/>
      <c r="Z276" s="766"/>
      <c r="AA276" s="766"/>
      <c r="AB276" s="766"/>
      <c r="AC276" s="766"/>
      <c r="AD276" s="766"/>
      <c r="AE276" s="766"/>
      <c r="AF276" s="766"/>
      <c r="AG276" s="766"/>
      <c r="AH276" s="766"/>
      <c r="AI276" s="766"/>
      <c r="AJ276" s="766"/>
      <c r="AK276" s="766"/>
      <c r="AL276" s="766"/>
      <c r="AM276" s="766"/>
      <c r="AN276" s="766"/>
      <c r="AO276" s="766"/>
      <c r="AP276" s="766"/>
      <c r="AQ276" s="766"/>
    </row>
    <row r="277" spans="1:56" x14ac:dyDescent="0.2">
      <c r="A277" s="767" t="s">
        <v>104</v>
      </c>
      <c r="B277" s="767"/>
      <c r="C277" s="767"/>
      <c r="D277" s="767"/>
      <c r="E277" s="767"/>
      <c r="F277" s="767"/>
      <c r="G277" s="767"/>
      <c r="H277" s="767"/>
      <c r="I277" s="767"/>
      <c r="J277" s="767"/>
      <c r="K277" s="767"/>
      <c r="L277" s="84"/>
    </row>
    <row r="278" spans="1:56" x14ac:dyDescent="0.2">
      <c r="C278" s="3"/>
      <c r="D278" s="3"/>
      <c r="E278" s="3"/>
      <c r="L278" s="84"/>
    </row>
    <row r="279" spans="1:56" x14ac:dyDescent="0.2">
      <c r="A279" s="768" t="s">
        <v>105</v>
      </c>
      <c r="B279" s="768"/>
      <c r="C279" s="768"/>
      <c r="D279" s="768"/>
      <c r="E279" s="768"/>
      <c r="F279" s="768"/>
      <c r="G279" s="768"/>
      <c r="H279" s="768"/>
      <c r="I279" s="768"/>
      <c r="J279" s="768"/>
      <c r="K279" s="768"/>
      <c r="L279" s="768"/>
      <c r="M279" s="768"/>
      <c r="N279" s="768"/>
      <c r="O279" s="768"/>
      <c r="P279" s="768"/>
      <c r="Q279" s="62"/>
      <c r="S279" s="768" t="s">
        <v>106</v>
      </c>
      <c r="T279" s="768"/>
      <c r="U279" s="768"/>
      <c r="V279" s="768"/>
      <c r="W279" s="768"/>
      <c r="X279" s="768"/>
      <c r="Y279" s="768"/>
      <c r="Z279" s="768"/>
      <c r="AA279" s="768"/>
      <c r="AB279" s="768"/>
      <c r="AC279" s="768"/>
      <c r="AD279" s="768"/>
      <c r="AE279" s="768"/>
      <c r="AF279" s="768"/>
      <c r="AG279" s="768"/>
    </row>
    <row r="281" spans="1:56" ht="13.5" thickBot="1" x14ac:dyDescent="0.25">
      <c r="A281" s="736" t="str">
        <f>IF(B309=1,B301,IF(B309=2,B302,IF(B309=3,B303,IF(B309=4,B304,IF(OR(B309="B",B309="b"),"BYE","invalid")))))</f>
        <v>Extreme 15 Meredith</v>
      </c>
      <c r="B281" s="736"/>
      <c r="C281" s="736"/>
      <c r="D281" s="736"/>
      <c r="E281" s="736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T281" s="89"/>
      <c r="U281" s="89"/>
      <c r="V281" s="736" t="str">
        <f>IF(W309=1,X301,IF(W309=2,X302,IF(W309=3,X303,IF(W309=4,X304,IF(OR(W309="B",W309="b"),"BYE","invalid")))))</f>
        <v>MEVC14Power</v>
      </c>
      <c r="W281" s="736"/>
      <c r="X281" s="736"/>
      <c r="Y281" s="736"/>
      <c r="Z281" s="736"/>
      <c r="AA281" s="736"/>
      <c r="AB281" s="736"/>
      <c r="AC281" s="88"/>
      <c r="AD281" s="88"/>
      <c r="AE281" s="88"/>
      <c r="AF281" s="88"/>
    </row>
    <row r="282" spans="1:56" x14ac:dyDescent="0.2">
      <c r="A282" s="738" t="s">
        <v>107</v>
      </c>
      <c r="B282" s="738"/>
      <c r="C282" s="738"/>
      <c r="D282" s="738"/>
      <c r="E282" s="738"/>
      <c r="F282" s="91"/>
      <c r="G282" s="88"/>
      <c r="H282" s="88"/>
      <c r="I282" s="88"/>
      <c r="J282" s="88"/>
      <c r="K282" s="88"/>
      <c r="L282" s="88"/>
      <c r="M282" s="88"/>
      <c r="N282" s="88"/>
      <c r="O282" s="88"/>
      <c r="T282" s="92"/>
      <c r="U282" s="92"/>
      <c r="V282" s="739" t="s">
        <v>154</v>
      </c>
      <c r="W282" s="739"/>
      <c r="X282" s="739"/>
      <c r="Y282" s="739"/>
      <c r="Z282" s="739"/>
      <c r="AA282" s="739"/>
      <c r="AB282" s="752"/>
      <c r="AC282" s="88"/>
      <c r="AD282" s="88"/>
      <c r="AE282" s="88"/>
      <c r="AF282" s="88"/>
    </row>
    <row r="283" spans="1:56" x14ac:dyDescent="0.2">
      <c r="A283" s="88"/>
      <c r="B283" s="88"/>
      <c r="C283" s="88"/>
      <c r="D283" s="88"/>
      <c r="E283" s="88"/>
      <c r="F283" s="91"/>
      <c r="G283" s="88"/>
      <c r="H283" s="88"/>
      <c r="I283" s="88"/>
      <c r="J283" s="88"/>
      <c r="K283" s="88"/>
      <c r="L283" s="88"/>
      <c r="M283" s="88"/>
      <c r="N283" s="88"/>
      <c r="O283" s="88"/>
      <c r="S283" s="88"/>
      <c r="T283" s="88"/>
      <c r="U283" s="88"/>
      <c r="V283" s="88"/>
      <c r="W283" s="88"/>
      <c r="X283" s="88"/>
      <c r="Y283" s="88"/>
      <c r="Z283" s="88"/>
      <c r="AA283" s="88"/>
      <c r="AB283" s="165"/>
      <c r="AC283" s="88"/>
      <c r="AD283" s="88"/>
      <c r="AE283" s="88"/>
      <c r="AF283" s="88"/>
    </row>
    <row r="284" spans="1:56" ht="13.5" thickBot="1" x14ac:dyDescent="0.25">
      <c r="A284" s="739" t="str">
        <f>B303&amp;" ref"</f>
        <v>Lake Murray 15 Black ref</v>
      </c>
      <c r="B284" s="739"/>
      <c r="C284" s="739"/>
      <c r="D284" s="739"/>
      <c r="E284" s="752"/>
      <c r="F284" s="748" t="str">
        <f>IF(H309=1,B301,IF(H309=2,B302,IF(H309=3,B303,IF(H309=4,B304,"Winner Match 1"))))</f>
        <v>Kershaw 15 Black</v>
      </c>
      <c r="G284" s="749"/>
      <c r="H284" s="749"/>
      <c r="I284" s="749"/>
      <c r="J284" s="749"/>
      <c r="K284" s="749"/>
      <c r="L284" s="749"/>
      <c r="M284" s="749"/>
      <c r="N284" s="749"/>
      <c r="O284" s="88"/>
      <c r="Q284" s="96"/>
      <c r="R284" s="96"/>
      <c r="S284" s="96"/>
      <c r="T284" s="96"/>
      <c r="U284" s="739" t="str">
        <f>X303&amp;" ref"</f>
        <v>Crossfire 13 ref</v>
      </c>
      <c r="V284" s="739"/>
      <c r="W284" s="739"/>
      <c r="X284" s="739"/>
      <c r="Y284" s="739"/>
      <c r="Z284" s="739"/>
      <c r="AA284" s="739"/>
      <c r="AB284" s="752"/>
      <c r="AC284" s="748" t="str">
        <f>IF(AC309=1,X301,IF(AC309=2,X302,IF(AC309=3,X303,IF(AC309=4,X304,"Winner Match 1"))))</f>
        <v>MEVC14Power</v>
      </c>
      <c r="AD284" s="749"/>
      <c r="AE284" s="749"/>
      <c r="AF284" s="749"/>
      <c r="AG284" s="749"/>
      <c r="AH284" s="749"/>
      <c r="AI284" s="749"/>
    </row>
    <row r="285" spans="1:56" x14ac:dyDescent="0.2">
      <c r="A285" s="746" t="s">
        <v>109</v>
      </c>
      <c r="B285" s="746"/>
      <c r="C285" s="746"/>
      <c r="D285" s="746"/>
      <c r="E285" s="746"/>
      <c r="F285" s="759"/>
      <c r="G285" s="760"/>
      <c r="H285" s="760"/>
      <c r="I285" s="761"/>
      <c r="J285" s="744"/>
      <c r="K285" s="745"/>
      <c r="L285" s="745"/>
      <c r="M285" s="745"/>
      <c r="N285" s="745"/>
      <c r="O285" s="88"/>
      <c r="P285" s="88"/>
      <c r="Q285" s="95"/>
      <c r="R285" s="10"/>
      <c r="S285" s="102"/>
      <c r="T285" s="102"/>
      <c r="U285" s="762" t="s">
        <v>110</v>
      </c>
      <c r="V285" s="762"/>
      <c r="W285" s="762"/>
      <c r="X285" s="762"/>
      <c r="Y285" s="762"/>
      <c r="Z285" s="762"/>
      <c r="AA285" s="762"/>
      <c r="AB285" s="165"/>
      <c r="AC285" s="759"/>
      <c r="AD285" s="760"/>
      <c r="AE285" s="760"/>
      <c r="AF285" s="761"/>
      <c r="AG285" s="744"/>
      <c r="AH285" s="745"/>
      <c r="AI285" s="745"/>
    </row>
    <row r="286" spans="1:56" ht="13.5" thickBot="1" x14ac:dyDescent="0.25">
      <c r="A286" s="736" t="str">
        <f>IF(D309=1,B301,IF(D309=2,B302,IF(D309=3,B303,IF(D309=4,B304,IF(OR(D309="B",D309="b"),"BYE","invalid")))))</f>
        <v>Kershaw 15 Black</v>
      </c>
      <c r="B286" s="736"/>
      <c r="C286" s="736"/>
      <c r="D286" s="736"/>
      <c r="E286" s="737"/>
      <c r="F286" s="91"/>
      <c r="G286" s="88"/>
      <c r="H286" s="88"/>
      <c r="I286" s="88"/>
      <c r="J286" s="91"/>
      <c r="K286" s="88"/>
      <c r="L286" s="88"/>
      <c r="M286" s="88"/>
      <c r="N286" s="88"/>
      <c r="O286" s="88"/>
      <c r="P286" s="88"/>
      <c r="Q286" s="88"/>
      <c r="U286" s="88"/>
      <c r="V286" s="736" t="str">
        <f>IF(Y309=1,X301,IF(Y309=2,X302,IF(Y309=3,X303,IF(Y309=4,X304,IF(OR(Y309="B",Y309="b"),"BYE","invalid")))))</f>
        <v>OLC 15s Purple</v>
      </c>
      <c r="W286" s="736"/>
      <c r="X286" s="736"/>
      <c r="Y286" s="736"/>
      <c r="Z286" s="736"/>
      <c r="AA286" s="736"/>
      <c r="AB286" s="737"/>
      <c r="AC286" s="88"/>
      <c r="AD286" s="88"/>
      <c r="AE286" s="88"/>
      <c r="AF286" s="165"/>
      <c r="AG286" s="88"/>
      <c r="AH286" s="88"/>
      <c r="AW286" s="146"/>
      <c r="AX286" s="54"/>
      <c r="AY286" s="54"/>
      <c r="AZ286" s="54"/>
      <c r="BA286" s="54"/>
    </row>
    <row r="287" spans="1:56" x14ac:dyDescent="0.2">
      <c r="A287" s="738" t="s">
        <v>155</v>
      </c>
      <c r="B287" s="738"/>
      <c r="C287" s="738"/>
      <c r="D287" s="738"/>
      <c r="E287" s="738"/>
      <c r="F287" s="88"/>
      <c r="G287" s="88"/>
      <c r="H287" s="88"/>
      <c r="I287" s="88"/>
      <c r="J287" s="91"/>
      <c r="K287" s="88"/>
      <c r="L287" s="88"/>
      <c r="M287" s="88"/>
      <c r="N287" s="88"/>
      <c r="O287" s="88"/>
      <c r="P287" s="88"/>
      <c r="Q287" s="88"/>
      <c r="V287" s="757" t="s">
        <v>156</v>
      </c>
      <c r="W287" s="757"/>
      <c r="X287" s="757"/>
      <c r="Y287" s="757"/>
      <c r="Z287" s="757"/>
      <c r="AA287" s="757"/>
      <c r="AB287" s="757"/>
      <c r="AC287" s="88"/>
      <c r="AD287" s="88"/>
      <c r="AE287" s="88"/>
      <c r="AF287" s="165"/>
      <c r="AG287" s="88"/>
      <c r="AH287" s="88"/>
      <c r="AR287" s="104"/>
      <c r="AS287" s="104"/>
      <c r="AW287" s="146"/>
      <c r="AX287" s="54"/>
      <c r="AY287" s="54"/>
      <c r="AZ287" s="54"/>
      <c r="BA287" s="54"/>
      <c r="BB287" s="104"/>
      <c r="BC287" s="104"/>
      <c r="BD287" s="104"/>
    </row>
    <row r="288" spans="1:56" x14ac:dyDescent="0.2">
      <c r="A288" s="88"/>
      <c r="B288" s="88"/>
      <c r="C288" s="88"/>
      <c r="D288" s="88"/>
      <c r="E288" s="88"/>
      <c r="F288" s="751" t="s">
        <v>113</v>
      </c>
      <c r="G288" s="751"/>
      <c r="H288" s="751"/>
      <c r="I288" s="758"/>
      <c r="J288" s="91"/>
      <c r="K288" s="88"/>
      <c r="L288" s="88"/>
      <c r="M288" s="88"/>
      <c r="N288" s="88"/>
      <c r="O288" s="88"/>
      <c r="P288" s="88"/>
      <c r="Q288" s="88"/>
      <c r="S288" s="88"/>
      <c r="T288" s="88"/>
      <c r="U288" s="88"/>
      <c r="V288" s="88"/>
      <c r="W288" s="88"/>
      <c r="X288" s="96"/>
      <c r="Y288" s="96"/>
      <c r="Z288" s="96"/>
      <c r="AB288" s="96"/>
      <c r="AC288" s="751" t="s">
        <v>113</v>
      </c>
      <c r="AD288" s="751"/>
      <c r="AE288" s="751"/>
      <c r="AF288" s="758"/>
      <c r="AG288" s="88"/>
      <c r="AH288" s="88"/>
      <c r="AW288" s="146"/>
      <c r="AX288" s="54"/>
      <c r="AY288" s="54"/>
      <c r="AZ288" s="54"/>
      <c r="BA288" s="54"/>
    </row>
    <row r="289" spans="1:53" ht="13.5" thickBot="1" x14ac:dyDescent="0.25">
      <c r="A289" s="88"/>
      <c r="B289" s="88"/>
      <c r="C289" s="88"/>
      <c r="D289" s="88"/>
      <c r="E289" s="88"/>
      <c r="F289" s="88"/>
      <c r="G289" s="88"/>
      <c r="H289" s="88"/>
      <c r="I289" s="88"/>
      <c r="J289" s="978" t="str">
        <f>IF(K314=1,B301,IF(K314=2,B302,IF(K314=3,B303,IF(K314=4,B304,"Division Winner"))))</f>
        <v>Kershaw 15 Black</v>
      </c>
      <c r="K289" s="979"/>
      <c r="L289" s="979"/>
      <c r="M289" s="979"/>
      <c r="N289" s="979"/>
      <c r="O289" s="979"/>
      <c r="P289" s="979"/>
      <c r="Q289" s="979"/>
      <c r="R289" s="89"/>
      <c r="S289" s="88"/>
      <c r="T289" s="88"/>
      <c r="U289" s="88"/>
      <c r="V289" s="88"/>
      <c r="W289" s="88"/>
      <c r="X289" s="88"/>
      <c r="Y289" s="88"/>
      <c r="Z289" s="88"/>
      <c r="AA289" s="88"/>
      <c r="AB289" s="107"/>
      <c r="AC289" s="107"/>
      <c r="AD289" s="107"/>
      <c r="AE289" s="107"/>
      <c r="AF289" s="166"/>
      <c r="AG289" s="978" t="str">
        <f>IF(AF314=1,X301,IF(AF314=2,X302,IF(AF314=3,X303,IF(AF314=4,X304,"Division Winner"))))</f>
        <v>MEVC14Power</v>
      </c>
      <c r="AH289" s="979"/>
      <c r="AI289" s="979"/>
      <c r="AJ289" s="979"/>
      <c r="AK289" s="979"/>
      <c r="AL289" s="979"/>
      <c r="AW289" s="146"/>
      <c r="AX289" s="54"/>
      <c r="AY289" s="54"/>
      <c r="AZ289" s="54"/>
      <c r="BA289" s="54"/>
    </row>
    <row r="290" spans="1:53" ht="13.5" thickBot="1" x14ac:dyDescent="0.25">
      <c r="A290" s="736" t="str">
        <f>IF(E309=1,B301,IF(E309=2,B302,IF(E309=3,B303,IF(E309=4,B304,IF(OR(E309="B",E309="b"),"BYE","invalid")))))</f>
        <v>Extreme 15-2</v>
      </c>
      <c r="B290" s="736"/>
      <c r="C290" s="736"/>
      <c r="D290" s="736"/>
      <c r="E290" s="736"/>
      <c r="F290" s="746" t="s">
        <v>114</v>
      </c>
      <c r="G290" s="746"/>
      <c r="H290" s="746"/>
      <c r="I290" s="746"/>
      <c r="J290" s="750" t="s">
        <v>115</v>
      </c>
      <c r="K290" s="751"/>
      <c r="L290" s="751"/>
      <c r="M290" s="751"/>
      <c r="N290" s="751"/>
      <c r="O290" s="751"/>
      <c r="P290" s="751"/>
      <c r="Q290" s="751"/>
      <c r="S290" s="107"/>
      <c r="T290" s="107"/>
      <c r="U290" s="107"/>
      <c r="V290" s="736" t="str">
        <f>IF(Z309=1,X301,IF(Z309=2,X302,IF(Z309=3,X303,IF(Z309=4,X304,IF(OR(Z309="B",Z309="b"),"BYE","invalid")))))</f>
        <v>MOTO 15's</v>
      </c>
      <c r="W290" s="736"/>
      <c r="X290" s="736"/>
      <c r="Y290" s="736"/>
      <c r="Z290" s="736"/>
      <c r="AA290" s="736"/>
      <c r="AB290" s="736"/>
      <c r="AC290" s="746" t="s">
        <v>116</v>
      </c>
      <c r="AD290" s="746"/>
      <c r="AE290" s="746"/>
      <c r="AF290" s="747"/>
      <c r="AG290" s="750" t="s">
        <v>117</v>
      </c>
      <c r="AH290" s="751"/>
      <c r="AI290" s="751"/>
      <c r="AJ290" s="751"/>
      <c r="AK290" s="751"/>
      <c r="AL290" s="751"/>
      <c r="AW290" s="146"/>
      <c r="AX290" s="54"/>
      <c r="AY290" s="54"/>
      <c r="AZ290" s="54"/>
      <c r="BA290" s="54"/>
    </row>
    <row r="291" spans="1:53" x14ac:dyDescent="0.2">
      <c r="A291" s="738" t="s">
        <v>118</v>
      </c>
      <c r="B291" s="738"/>
      <c r="C291" s="738"/>
      <c r="D291" s="738"/>
      <c r="E291" s="738"/>
      <c r="F291" s="91"/>
      <c r="G291" s="88"/>
      <c r="H291" s="88"/>
      <c r="I291" s="88"/>
      <c r="J291" s="750"/>
      <c r="K291" s="751"/>
      <c r="L291" s="751"/>
      <c r="M291" s="751"/>
      <c r="N291" s="751"/>
      <c r="O291" s="751"/>
      <c r="P291" s="751"/>
      <c r="Q291" s="751"/>
      <c r="R291" s="88"/>
      <c r="S291" s="104"/>
      <c r="T291" s="104"/>
      <c r="U291" s="104"/>
      <c r="V291" s="739" t="s">
        <v>157</v>
      </c>
      <c r="W291" s="739"/>
      <c r="X291" s="739"/>
      <c r="Y291" s="739"/>
      <c r="Z291" s="739"/>
      <c r="AA291" s="739"/>
      <c r="AB291" s="752"/>
      <c r="AC291" s="88"/>
      <c r="AD291" s="88"/>
      <c r="AE291" s="88"/>
      <c r="AF291" s="165"/>
      <c r="AG291" s="88"/>
      <c r="AH291" s="88"/>
      <c r="AW291" s="146"/>
      <c r="AX291" s="54"/>
      <c r="AY291" s="54"/>
      <c r="AZ291" s="54"/>
      <c r="BA291" s="54"/>
    </row>
    <row r="292" spans="1:53" x14ac:dyDescent="0.2">
      <c r="A292" s="88"/>
      <c r="B292" s="88"/>
      <c r="C292" s="88"/>
      <c r="D292" s="88"/>
      <c r="E292" s="88"/>
      <c r="F292" s="91"/>
      <c r="G292" s="88"/>
      <c r="H292" s="88"/>
      <c r="I292" s="88"/>
      <c r="J292" s="91"/>
      <c r="K292" s="88"/>
      <c r="L292" s="88"/>
      <c r="M292" s="88"/>
      <c r="N292" s="88"/>
      <c r="O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  <c r="AA292" s="88"/>
      <c r="AB292" s="165"/>
      <c r="AC292" s="91"/>
      <c r="AD292" s="88"/>
      <c r="AE292" s="88"/>
      <c r="AF292" s="165"/>
      <c r="AG292" s="88"/>
      <c r="AH292" s="88"/>
      <c r="AW292" s="146"/>
      <c r="AX292" s="54"/>
      <c r="AY292" s="54"/>
      <c r="AZ292" s="54"/>
      <c r="BA292" s="54"/>
    </row>
    <row r="293" spans="1:53" ht="13.5" thickBot="1" x14ac:dyDescent="0.25">
      <c r="A293" s="751" t="s">
        <v>120</v>
      </c>
      <c r="B293" s="751"/>
      <c r="C293" s="751"/>
      <c r="D293" s="751"/>
      <c r="E293" s="95"/>
      <c r="F293" s="973"/>
      <c r="G293" s="974"/>
      <c r="H293" s="974"/>
      <c r="I293" s="975"/>
      <c r="J293" s="976"/>
      <c r="K293" s="977"/>
      <c r="L293" s="977"/>
      <c r="M293" s="977"/>
      <c r="N293" s="977"/>
      <c r="O293" s="88"/>
      <c r="R293" s="96"/>
      <c r="S293" s="96"/>
      <c r="T293" s="96"/>
      <c r="U293" s="751" t="s">
        <v>120</v>
      </c>
      <c r="V293" s="751"/>
      <c r="W293" s="751"/>
      <c r="X293" s="751"/>
      <c r="Y293" s="751"/>
      <c r="Z293" s="751"/>
      <c r="AA293" s="751"/>
      <c r="AB293" s="88"/>
      <c r="AC293" s="741"/>
      <c r="AD293" s="742"/>
      <c r="AE293" s="742"/>
      <c r="AF293" s="743"/>
      <c r="AG293" s="744"/>
      <c r="AH293" s="745"/>
      <c r="AI293" s="745"/>
      <c r="AW293" s="146"/>
      <c r="AX293" s="54"/>
      <c r="AY293" s="54"/>
      <c r="AZ293" s="54"/>
      <c r="BA293" s="54"/>
    </row>
    <row r="294" spans="1:53" x14ac:dyDescent="0.2">
      <c r="A294" s="746" t="s">
        <v>109</v>
      </c>
      <c r="B294" s="746"/>
      <c r="C294" s="746"/>
      <c r="D294" s="746"/>
      <c r="E294" s="747"/>
      <c r="F294" s="748" t="str">
        <f>IF(J309=1,B301,IF(J309=2,B302,IF(J309=3,B303,IF(J309=4,B304,"Winner Match 2"))))</f>
        <v>Extreme 15-2</v>
      </c>
      <c r="G294" s="749"/>
      <c r="H294" s="749"/>
      <c r="I294" s="749"/>
      <c r="J294" s="749"/>
      <c r="K294" s="749"/>
      <c r="L294" s="749"/>
      <c r="M294" s="749"/>
      <c r="N294" s="749"/>
      <c r="O294" s="88"/>
      <c r="Q294" s="95"/>
      <c r="R294" s="95"/>
      <c r="T294" s="102"/>
      <c r="U294" s="746" t="s">
        <v>110</v>
      </c>
      <c r="V294" s="746"/>
      <c r="W294" s="746"/>
      <c r="X294" s="746"/>
      <c r="Y294" s="746"/>
      <c r="Z294" s="746"/>
      <c r="AA294" s="746"/>
      <c r="AB294" s="165"/>
      <c r="AC294" s="748" t="str">
        <f>IF(AE309=1,X301,IF(AE309=2,X302,IF(AE309=3,X303,IF(AE309=4,X304,"Winner Match 2"))))</f>
        <v>MOTO 15's</v>
      </c>
      <c r="AD294" s="749"/>
      <c r="AE294" s="749"/>
      <c r="AF294" s="749"/>
      <c r="AG294" s="749"/>
      <c r="AH294" s="749"/>
      <c r="AI294" s="749"/>
      <c r="AW294" s="146"/>
      <c r="AX294" s="54"/>
      <c r="AY294" s="54"/>
      <c r="AZ294" s="54"/>
      <c r="BA294" s="54"/>
    </row>
    <row r="295" spans="1:53" ht="13.5" thickBot="1" x14ac:dyDescent="0.25">
      <c r="A295" s="736" t="str">
        <f>IF(G309=1,B301,IF(G309=2,B302,IF(G309=3,B303,IF(G309=4,B304,IF(OR(G309="B",G309="b"),"BYE","invalid")))))</f>
        <v>Lake Murray 15 Black</v>
      </c>
      <c r="B295" s="736"/>
      <c r="C295" s="736"/>
      <c r="D295" s="736"/>
      <c r="E295" s="737"/>
      <c r="F295" s="91"/>
      <c r="G295" s="88"/>
      <c r="H295" s="88"/>
      <c r="I295" s="88"/>
      <c r="J295" s="184"/>
      <c r="K295" s="88"/>
      <c r="L295" s="88"/>
      <c r="M295" s="88"/>
      <c r="N295" s="88"/>
      <c r="O295" s="88"/>
      <c r="Q295" s="88"/>
      <c r="R295" s="88"/>
      <c r="S295" s="88"/>
      <c r="T295" s="107"/>
      <c r="U295" s="107"/>
      <c r="V295" s="736" t="str">
        <f>IF(AB309=1,X301,IF(AB309=2,X302,IF(AB309=3,X303,IF(AB309=4,X304,IF(OR(AB309="B",AB309="b"),"BYE","invalid")))))</f>
        <v>Crossfire 13</v>
      </c>
      <c r="W295" s="736"/>
      <c r="X295" s="736"/>
      <c r="Y295" s="736"/>
      <c r="Z295" s="736"/>
      <c r="AA295" s="736"/>
      <c r="AB295" s="737"/>
      <c r="AC295" s="88"/>
      <c r="AD295" s="88"/>
      <c r="AE295" s="88"/>
      <c r="AF295" s="88"/>
      <c r="AW295" s="146"/>
      <c r="AX295" s="54"/>
      <c r="AY295" s="54"/>
      <c r="AZ295" s="54"/>
      <c r="BA295" s="54"/>
    </row>
    <row r="296" spans="1:53" x14ac:dyDescent="0.2">
      <c r="A296" s="738" t="s">
        <v>158</v>
      </c>
      <c r="B296" s="738"/>
      <c r="C296" s="738"/>
      <c r="D296" s="738"/>
      <c r="E296" s="738"/>
      <c r="T296" s="104"/>
      <c r="U296" s="104"/>
      <c r="V296" s="739" t="s">
        <v>159</v>
      </c>
      <c r="W296" s="739"/>
      <c r="X296" s="739"/>
      <c r="Y296" s="739"/>
      <c r="Z296" s="739"/>
      <c r="AA296" s="739"/>
      <c r="AB296" s="739"/>
      <c r="AW296" s="146"/>
      <c r="AX296" s="54"/>
      <c r="AY296" s="54"/>
      <c r="AZ296" s="54"/>
      <c r="BA296" s="54"/>
    </row>
    <row r="297" spans="1:53" x14ac:dyDescent="0.2">
      <c r="AT297" s="54"/>
      <c r="AU297" s="54"/>
      <c r="AV297" s="54"/>
      <c r="AW297" s="146"/>
      <c r="AX297" s="54"/>
      <c r="AY297" s="54"/>
      <c r="AZ297" s="54"/>
      <c r="BA297" s="54"/>
    </row>
    <row r="298" spans="1:53" x14ac:dyDescent="0.2">
      <c r="AT298" s="54"/>
      <c r="AU298" s="54"/>
      <c r="AV298" s="54"/>
      <c r="AW298" s="146"/>
      <c r="AX298" s="54"/>
      <c r="AY298" s="54"/>
      <c r="AZ298" s="54"/>
      <c r="BA298" s="54"/>
    </row>
    <row r="299" spans="1:53" ht="16.5" thickBot="1" x14ac:dyDescent="0.3">
      <c r="A299" s="740" t="s">
        <v>123</v>
      </c>
      <c r="B299" s="740"/>
      <c r="C299" s="740"/>
      <c r="D299" s="740"/>
      <c r="E299" s="740"/>
      <c r="F299" s="740"/>
      <c r="G299" s="740"/>
      <c r="H299" s="740"/>
      <c r="I299" s="740"/>
      <c r="J299" s="740"/>
      <c r="K299" s="169"/>
      <c r="R299" s="82"/>
      <c r="S299" s="82"/>
      <c r="T299" s="82"/>
      <c r="U299" s="740" t="s">
        <v>124</v>
      </c>
      <c r="V299" s="740"/>
      <c r="W299" s="740"/>
      <c r="X299" s="740"/>
      <c r="Y299" s="740"/>
      <c r="Z299" s="740"/>
      <c r="AA299" s="740"/>
      <c r="AB299" s="740"/>
      <c r="AC299" s="740"/>
      <c r="AD299" s="740"/>
      <c r="AE299" s="740"/>
      <c r="AF299" s="740"/>
      <c r="AT299" s="54"/>
      <c r="AU299" s="54"/>
      <c r="AV299" s="54"/>
      <c r="AW299" s="146"/>
      <c r="AX299" s="54"/>
      <c r="AY299" s="54"/>
      <c r="AZ299" s="54"/>
      <c r="BA299" s="54"/>
    </row>
    <row r="300" spans="1:53" ht="13.5" thickBot="1" x14ac:dyDescent="0.25">
      <c r="A300" s="113" t="s">
        <v>125</v>
      </c>
      <c r="B300" s="730" t="s">
        <v>126</v>
      </c>
      <c r="C300" s="731"/>
      <c r="D300" s="731"/>
      <c r="E300" s="731"/>
      <c r="F300" s="731"/>
      <c r="G300" s="731"/>
      <c r="H300" s="731"/>
      <c r="I300" s="731"/>
      <c r="J300" s="732"/>
      <c r="K300" s="733" t="s">
        <v>127</v>
      </c>
      <c r="L300" s="734"/>
      <c r="M300" s="734"/>
      <c r="N300" s="734"/>
      <c r="O300" s="734"/>
      <c r="P300" s="734"/>
      <c r="Q300" s="735"/>
      <c r="R300" s="88"/>
      <c r="U300" s="718" t="s">
        <v>125</v>
      </c>
      <c r="V300" s="719"/>
      <c r="W300" s="720"/>
      <c r="X300" s="730" t="s">
        <v>126</v>
      </c>
      <c r="Y300" s="731"/>
      <c r="Z300" s="731"/>
      <c r="AA300" s="731"/>
      <c r="AB300" s="731"/>
      <c r="AC300" s="731"/>
      <c r="AD300" s="731"/>
      <c r="AE300" s="731"/>
      <c r="AF300" s="732"/>
      <c r="AG300" s="733" t="s">
        <v>127</v>
      </c>
      <c r="AH300" s="734"/>
      <c r="AI300" s="734"/>
      <c r="AJ300" s="734"/>
      <c r="AK300" s="734"/>
      <c r="AL300" s="734"/>
      <c r="AM300" s="735"/>
      <c r="AT300" s="54"/>
      <c r="AU300" s="54"/>
      <c r="AV300" s="54"/>
      <c r="AW300" s="146"/>
      <c r="AX300" s="54"/>
      <c r="AY300" s="54"/>
      <c r="AZ300" s="54"/>
      <c r="BA300" s="54"/>
    </row>
    <row r="301" spans="1:53" ht="13.5" thickBot="1" x14ac:dyDescent="0.25">
      <c r="A301" s="113">
        <v>1</v>
      </c>
      <c r="B301" s="712" t="str">
        <f>B264</f>
        <v>Extreme 15 Meredith</v>
      </c>
      <c r="C301" s="713"/>
      <c r="D301" s="713"/>
      <c r="E301" s="713"/>
      <c r="F301" s="713"/>
      <c r="G301" s="713"/>
      <c r="H301" s="713"/>
      <c r="I301" s="713"/>
      <c r="J301" s="714"/>
      <c r="K301" s="715" t="str">
        <f>F264</f>
        <v>fj5triex1so</v>
      </c>
      <c r="L301" s="716"/>
      <c r="M301" s="716"/>
      <c r="N301" s="716"/>
      <c r="O301" s="716"/>
      <c r="P301" s="716"/>
      <c r="Q301" s="717"/>
      <c r="R301" s="88"/>
      <c r="U301" s="718">
        <v>1</v>
      </c>
      <c r="V301" s="719"/>
      <c r="W301" s="720"/>
      <c r="X301" s="712" t="str">
        <f>M270</f>
        <v>MEVC14Power</v>
      </c>
      <c r="Y301" s="713"/>
      <c r="Z301" s="713"/>
      <c r="AA301" s="713"/>
      <c r="AB301" s="713"/>
      <c r="AC301" s="713"/>
      <c r="AD301" s="713"/>
      <c r="AE301" s="713"/>
      <c r="AF301" s="714"/>
      <c r="AG301" s="715" t="str">
        <f>T270</f>
        <v>fj4mtnel1pm</v>
      </c>
      <c r="AH301" s="716"/>
      <c r="AI301" s="716"/>
      <c r="AJ301" s="716"/>
      <c r="AK301" s="716"/>
      <c r="AL301" s="716"/>
      <c r="AM301" s="717"/>
      <c r="AT301" s="54"/>
      <c r="AU301" s="54"/>
      <c r="AV301" s="54"/>
      <c r="AW301" s="146"/>
      <c r="AX301" s="54"/>
      <c r="AY301" s="54"/>
      <c r="AZ301" s="54"/>
      <c r="BA301" s="54"/>
    </row>
    <row r="302" spans="1:53" ht="13.5" thickBot="1" x14ac:dyDescent="0.25">
      <c r="A302" s="113">
        <v>2</v>
      </c>
      <c r="B302" s="712" t="str">
        <f>B265</f>
        <v>Extreme 15-2</v>
      </c>
      <c r="C302" s="713"/>
      <c r="D302" s="713"/>
      <c r="E302" s="713"/>
      <c r="F302" s="713"/>
      <c r="G302" s="713"/>
      <c r="H302" s="713"/>
      <c r="I302" s="713"/>
      <c r="J302" s="714"/>
      <c r="K302" s="715" t="str">
        <f>F265</f>
        <v>fj5extvb2so</v>
      </c>
      <c r="L302" s="716"/>
      <c r="M302" s="716"/>
      <c r="N302" s="716"/>
      <c r="O302" s="716"/>
      <c r="P302" s="716"/>
      <c r="Q302" s="717"/>
      <c r="R302" s="88"/>
      <c r="U302" s="718">
        <v>2</v>
      </c>
      <c r="V302" s="719"/>
      <c r="W302" s="720"/>
      <c r="X302" s="712" t="str">
        <f>M271</f>
        <v>MOTO 15's</v>
      </c>
      <c r="Y302" s="713"/>
      <c r="Z302" s="713"/>
      <c r="AA302" s="713"/>
      <c r="AB302" s="713"/>
      <c r="AC302" s="713"/>
      <c r="AD302" s="713"/>
      <c r="AE302" s="713"/>
      <c r="AF302" s="714"/>
      <c r="AG302" s="715" t="str">
        <f>T271</f>
        <v>fj5motoj2pm</v>
      </c>
      <c r="AH302" s="716"/>
      <c r="AI302" s="716"/>
      <c r="AJ302" s="716"/>
      <c r="AK302" s="716"/>
      <c r="AL302" s="716"/>
      <c r="AM302" s="717"/>
      <c r="AT302" s="54"/>
      <c r="AU302" s="54"/>
      <c r="AV302" s="54"/>
      <c r="AW302" s="146"/>
      <c r="AX302" s="54"/>
      <c r="AY302" s="54"/>
      <c r="AZ302" s="54"/>
      <c r="BA302" s="54"/>
    </row>
    <row r="303" spans="1:53" ht="13.5" thickBot="1" x14ac:dyDescent="0.25">
      <c r="A303" s="113">
        <v>3</v>
      </c>
      <c r="B303" s="712" t="str">
        <f>B266</f>
        <v>Lake Murray 15 Black</v>
      </c>
      <c r="C303" s="713"/>
      <c r="D303" s="713"/>
      <c r="E303" s="713"/>
      <c r="F303" s="713"/>
      <c r="G303" s="713"/>
      <c r="H303" s="713"/>
      <c r="I303" s="713"/>
      <c r="J303" s="714"/>
      <c r="K303" s="715" t="str">
        <f>F266</f>
        <v>fj5lakem2pm</v>
      </c>
      <c r="L303" s="716"/>
      <c r="M303" s="716"/>
      <c r="N303" s="716"/>
      <c r="O303" s="716"/>
      <c r="P303" s="716"/>
      <c r="Q303" s="717"/>
      <c r="R303" s="88"/>
      <c r="U303" s="718">
        <v>3</v>
      </c>
      <c r="V303" s="719"/>
      <c r="W303" s="720"/>
      <c r="X303" s="712" t="str">
        <f>X269</f>
        <v>Crossfire 13</v>
      </c>
      <c r="Y303" s="713"/>
      <c r="Z303" s="713"/>
      <c r="AA303" s="713"/>
      <c r="AB303" s="713"/>
      <c r="AC303" s="713"/>
      <c r="AD303" s="713"/>
      <c r="AE303" s="713"/>
      <c r="AF303" s="714"/>
      <c r="AG303" s="715" t="str">
        <f>AF269</f>
        <v>fj3crosf1pm</v>
      </c>
      <c r="AH303" s="716"/>
      <c r="AI303" s="716"/>
      <c r="AJ303" s="716"/>
      <c r="AK303" s="716"/>
      <c r="AL303" s="716"/>
      <c r="AM303" s="717"/>
      <c r="AT303" s="54"/>
      <c r="AU303" s="54"/>
      <c r="AV303" s="54"/>
      <c r="AW303" s="146"/>
      <c r="AX303" s="54"/>
      <c r="AY303" s="54"/>
      <c r="AZ303" s="54"/>
      <c r="BA303" s="54"/>
    </row>
    <row r="304" spans="1:53" ht="13.5" thickBot="1" x14ac:dyDescent="0.25">
      <c r="A304" s="113">
        <v>4</v>
      </c>
      <c r="B304" s="970" t="str">
        <f>M269</f>
        <v>Kershaw 15 Black</v>
      </c>
      <c r="C304" s="971"/>
      <c r="D304" s="971"/>
      <c r="E304" s="971"/>
      <c r="F304" s="971"/>
      <c r="G304" s="971"/>
      <c r="H304" s="971"/>
      <c r="I304" s="971"/>
      <c r="J304" s="972"/>
      <c r="K304" s="715" t="str">
        <f>T269</f>
        <v>fj5kersh1pm</v>
      </c>
      <c r="L304" s="716"/>
      <c r="M304" s="716"/>
      <c r="N304" s="716"/>
      <c r="O304" s="716"/>
      <c r="P304" s="716"/>
      <c r="Q304" s="717"/>
      <c r="R304" s="88"/>
      <c r="U304" s="718">
        <v>4</v>
      </c>
      <c r="V304" s="719"/>
      <c r="W304" s="720"/>
      <c r="X304" s="712" t="str">
        <f>X270</f>
        <v>OLC 15s Purple</v>
      </c>
      <c r="Y304" s="713"/>
      <c r="Z304" s="713"/>
      <c r="AA304" s="713"/>
      <c r="AB304" s="713"/>
      <c r="AC304" s="713"/>
      <c r="AD304" s="713"/>
      <c r="AE304" s="713"/>
      <c r="AF304" s="714"/>
      <c r="AG304" s="715" t="str">
        <f>AF270</f>
        <v>fj5ladyc1pm</v>
      </c>
      <c r="AH304" s="716"/>
      <c r="AI304" s="716"/>
      <c r="AJ304" s="716"/>
      <c r="AK304" s="716"/>
      <c r="AL304" s="716"/>
      <c r="AM304" s="717"/>
      <c r="AT304" s="54"/>
      <c r="AU304" s="54"/>
      <c r="AV304" s="54"/>
      <c r="AW304" s="146"/>
      <c r="AX304" s="54"/>
      <c r="AY304" s="54"/>
      <c r="AZ304" s="54"/>
      <c r="BA304" s="54"/>
    </row>
    <row r="305" spans="1:68" ht="13.5" thickBot="1" x14ac:dyDescent="0.25">
      <c r="AT305" s="54"/>
      <c r="AU305" s="54"/>
      <c r="AV305" s="54"/>
      <c r="AW305" s="146"/>
      <c r="AX305" s="54"/>
      <c r="AY305" s="54"/>
      <c r="AZ305" s="54"/>
      <c r="BA305" s="54"/>
    </row>
    <row r="306" spans="1:68" x14ac:dyDescent="0.2">
      <c r="B306" s="721" t="s">
        <v>128</v>
      </c>
      <c r="C306" s="693"/>
      <c r="D306" s="694"/>
      <c r="E306" s="692" t="s">
        <v>128</v>
      </c>
      <c r="F306" s="693"/>
      <c r="G306" s="694"/>
      <c r="H306" s="692" t="s">
        <v>11</v>
      </c>
      <c r="I306" s="693"/>
      <c r="J306" s="695"/>
      <c r="K306" s="696" t="s">
        <v>129</v>
      </c>
      <c r="L306" s="722"/>
      <c r="M306" s="722"/>
      <c r="N306" s="722"/>
      <c r="O306" s="722"/>
      <c r="P306" s="722"/>
      <c r="Q306" s="723"/>
      <c r="R306" s="85"/>
      <c r="S306" s="85"/>
      <c r="T306" s="85"/>
      <c r="U306" s="85"/>
      <c r="W306" s="721" t="s">
        <v>128</v>
      </c>
      <c r="X306" s="693"/>
      <c r="Y306" s="694"/>
      <c r="Z306" s="692" t="s">
        <v>128</v>
      </c>
      <c r="AA306" s="693"/>
      <c r="AB306" s="694"/>
      <c r="AC306" s="692" t="s">
        <v>11</v>
      </c>
      <c r="AD306" s="693"/>
      <c r="AE306" s="695"/>
      <c r="AF306" s="696" t="s">
        <v>129</v>
      </c>
      <c r="AG306" s="697"/>
      <c r="AH306" s="697"/>
      <c r="AI306" s="697"/>
      <c r="AJ306" s="698"/>
      <c r="AW306" s="146"/>
      <c r="AX306" s="54"/>
      <c r="AY306" s="54"/>
      <c r="AZ306" s="54"/>
      <c r="BA306" s="54"/>
    </row>
    <row r="307" spans="1:68" x14ac:dyDescent="0.2">
      <c r="A307" s="41" t="s">
        <v>130</v>
      </c>
      <c r="B307" s="705">
        <v>3</v>
      </c>
      <c r="C307" s="706"/>
      <c r="D307" s="707"/>
      <c r="E307" s="708" t="s">
        <v>131</v>
      </c>
      <c r="F307" s="706"/>
      <c r="G307" s="707"/>
      <c r="H307" s="708" t="s">
        <v>132</v>
      </c>
      <c r="I307" s="706"/>
      <c r="J307" s="709"/>
      <c r="K307" s="724"/>
      <c r="L307" s="725"/>
      <c r="M307" s="725"/>
      <c r="N307" s="725"/>
      <c r="O307" s="725"/>
      <c r="P307" s="725"/>
      <c r="Q307" s="726"/>
      <c r="R307" s="85"/>
      <c r="S307" s="85"/>
      <c r="T307" s="710" t="s">
        <v>130</v>
      </c>
      <c r="U307" s="710"/>
      <c r="V307" s="711"/>
      <c r="W307" s="705">
        <v>3</v>
      </c>
      <c r="X307" s="706"/>
      <c r="Y307" s="707"/>
      <c r="Z307" s="708" t="s">
        <v>131</v>
      </c>
      <c r="AA307" s="706"/>
      <c r="AB307" s="707"/>
      <c r="AC307" s="708" t="s">
        <v>132</v>
      </c>
      <c r="AD307" s="706"/>
      <c r="AE307" s="709"/>
      <c r="AF307" s="699"/>
      <c r="AG307" s="700"/>
      <c r="AH307" s="700"/>
      <c r="AI307" s="700"/>
      <c r="AJ307" s="701"/>
      <c r="AW307" s="146"/>
      <c r="AX307" s="54"/>
      <c r="AY307" s="54"/>
      <c r="AZ307" s="54"/>
      <c r="BA307" s="54"/>
    </row>
    <row r="308" spans="1:68" ht="13.5" thickBot="1" x14ac:dyDescent="0.25">
      <c r="A308" s="11"/>
      <c r="B308" s="690" t="s">
        <v>43</v>
      </c>
      <c r="C308" s="685"/>
      <c r="D308" s="691"/>
      <c r="E308" s="684" t="s">
        <v>133</v>
      </c>
      <c r="F308" s="685"/>
      <c r="G308" s="691"/>
      <c r="H308" s="684" t="s">
        <v>134</v>
      </c>
      <c r="I308" s="685"/>
      <c r="J308" s="686"/>
      <c r="K308" s="727"/>
      <c r="L308" s="728"/>
      <c r="M308" s="728"/>
      <c r="N308" s="728"/>
      <c r="O308" s="728"/>
      <c r="P308" s="728"/>
      <c r="Q308" s="729"/>
      <c r="R308" s="85"/>
      <c r="S308" s="85"/>
      <c r="T308" s="671"/>
      <c r="U308" s="671"/>
      <c r="V308" s="672"/>
      <c r="W308" s="690" t="s">
        <v>43</v>
      </c>
      <c r="X308" s="685"/>
      <c r="Y308" s="691"/>
      <c r="Z308" s="684" t="s">
        <v>133</v>
      </c>
      <c r="AA308" s="685"/>
      <c r="AB308" s="691"/>
      <c r="AC308" s="684" t="s">
        <v>134</v>
      </c>
      <c r="AD308" s="685"/>
      <c r="AE308" s="686"/>
      <c r="AF308" s="702"/>
      <c r="AG308" s="703"/>
      <c r="AH308" s="703"/>
      <c r="AI308" s="703"/>
      <c r="AJ308" s="704"/>
      <c r="AW308" s="146"/>
      <c r="AX308" s="54"/>
      <c r="AY308" s="54"/>
      <c r="AZ308" s="54"/>
      <c r="BA308" s="54"/>
    </row>
    <row r="309" spans="1:68" ht="13.5" thickBot="1" x14ac:dyDescent="0.25">
      <c r="A309" s="11"/>
      <c r="B309" s="117">
        <v>1</v>
      </c>
      <c r="C309" s="118" t="s">
        <v>51</v>
      </c>
      <c r="D309" s="119">
        <v>4</v>
      </c>
      <c r="E309" s="120">
        <v>2</v>
      </c>
      <c r="F309" s="118" t="s">
        <v>51</v>
      </c>
      <c r="G309" s="119">
        <v>3</v>
      </c>
      <c r="H309" s="121">
        <f>IF(OR(AND(OR(B313&gt;0,D313&gt;0),B313&gt;D313),OR(D309="b",D309="B")),B309,IF(OR(AND(OR(B313&gt;0,D313&gt;0),D313&gt;B313),OR(B309="b",B309="B")),D309,"W1"))</f>
        <v>4</v>
      </c>
      <c r="I309" s="122" t="s">
        <v>51</v>
      </c>
      <c r="J309" s="123">
        <f>IF(OR(AND(OR(E313&gt;0,G313&gt;0),E313&gt;G313),OR(G309="b",G309="B")),E309,IF(OR(AND(OR(E313&gt;0,G313&gt;0),G313&gt;E313),OR(E309="b",E309="B")),G309,"W2"))</f>
        <v>2</v>
      </c>
      <c r="K309" s="687" t="s">
        <v>135</v>
      </c>
      <c r="L309" s="688"/>
      <c r="M309" s="688"/>
      <c r="N309" s="689"/>
      <c r="R309" s="85"/>
      <c r="S309" s="85"/>
      <c r="T309" s="671"/>
      <c r="U309" s="671"/>
      <c r="V309" s="672"/>
      <c r="W309" s="117">
        <v>1</v>
      </c>
      <c r="X309" s="118" t="s">
        <v>51</v>
      </c>
      <c r="Y309" s="119">
        <v>4</v>
      </c>
      <c r="Z309" s="120">
        <v>2</v>
      </c>
      <c r="AA309" s="118" t="s">
        <v>51</v>
      </c>
      <c r="AB309" s="119">
        <v>3</v>
      </c>
      <c r="AC309" s="121">
        <f>IF(OR(AND(OR(W313&gt;0,Y313&gt;0),W313&gt;Y313),OR(Y309="b",Y309="B")),W309,IF(OR(AND(OR(W313&gt;0,Y313&gt;0),Y313&gt;W313),OR(W309="b",W309="B")),Y309,"W1"))</f>
        <v>1</v>
      </c>
      <c r="AD309" s="122" t="s">
        <v>51</v>
      </c>
      <c r="AE309" s="123">
        <f>IF(OR(AND(OR(Z313&gt;0,AB313&gt;0),Z313&gt;AB313),OR(AB313="b",AB313="B")),Z309,IF(OR(AND(OR(Z313&gt;0,AB313&gt;0),AB313&gt;Z313),OR(Z313="b",Z313="B")),AB309,"W2"))</f>
        <v>2</v>
      </c>
      <c r="AF309" s="687" t="s">
        <v>135</v>
      </c>
      <c r="AG309" s="689"/>
      <c r="AH309" s="85"/>
      <c r="AI309" s="85"/>
      <c r="AJ309" s="85"/>
      <c r="AW309" s="146"/>
      <c r="AX309" s="54"/>
      <c r="AY309" s="54"/>
      <c r="AZ309" s="54"/>
      <c r="BA309" s="54"/>
    </row>
    <row r="310" spans="1:68" ht="13.5" hidden="1" customHeight="1" x14ac:dyDescent="0.2">
      <c r="A310" s="11"/>
      <c r="B310" s="129">
        <f>IF(B314&gt;D314,1,0)</f>
        <v>0</v>
      </c>
      <c r="C310" s="130"/>
      <c r="D310" s="131">
        <f>IF(D314&gt;B314,1,0)</f>
        <v>1</v>
      </c>
      <c r="E310" s="129">
        <f>IF(E314&gt;G314,1,0)</f>
        <v>1</v>
      </c>
      <c r="F310" s="130"/>
      <c r="G310" s="131">
        <f>IF(G314&gt;E314,1,0)</f>
        <v>0</v>
      </c>
      <c r="H310" s="129">
        <f>IF(H314&gt;J314,1,0)</f>
        <v>1</v>
      </c>
      <c r="I310" s="130"/>
      <c r="J310" s="131">
        <f>IF(J314&gt;H314,1,0)</f>
        <v>0</v>
      </c>
      <c r="K310" s="132"/>
      <c r="L310" s="133"/>
      <c r="M310" s="133"/>
      <c r="N310" s="134"/>
      <c r="R310" s="85"/>
      <c r="S310" s="85"/>
      <c r="T310" s="671"/>
      <c r="U310" s="671"/>
      <c r="V310" s="672"/>
      <c r="W310" s="129">
        <f>IF(W314&gt;Y314,1,0)</f>
        <v>1</v>
      </c>
      <c r="X310" s="130"/>
      <c r="Y310" s="131">
        <f>IF(Y314&gt;W314,1,0)</f>
        <v>0</v>
      </c>
      <c r="Z310" s="129">
        <f>IF(Z314&gt;AB314,1,0)</f>
        <v>1</v>
      </c>
      <c r="AA310" s="130"/>
      <c r="AB310" s="131">
        <f>IF(AB314&gt;Z314,1,0)</f>
        <v>0</v>
      </c>
      <c r="AC310" s="129">
        <f>IF(AC314&gt;AE314,1,0)</f>
        <v>1</v>
      </c>
      <c r="AD310" s="130"/>
      <c r="AE310" s="131">
        <f>IF(AE314&gt;AC314,1,0)</f>
        <v>0</v>
      </c>
      <c r="AF310" s="124"/>
      <c r="AG310" s="125"/>
      <c r="AH310" s="85"/>
      <c r="AI310" s="85"/>
      <c r="AJ310" s="85"/>
      <c r="AW310" s="146"/>
      <c r="AX310" s="54"/>
      <c r="AY310" s="54"/>
      <c r="AZ310" s="54"/>
      <c r="BA310" s="54"/>
    </row>
    <row r="311" spans="1:68" ht="13.5" hidden="1" customHeight="1" x14ac:dyDescent="0.2">
      <c r="A311" s="11"/>
      <c r="B311" s="129">
        <f>IF(B315&gt;D315,1,0)</f>
        <v>0</v>
      </c>
      <c r="C311" s="130"/>
      <c r="D311" s="131">
        <f>IF(D315&gt;B315,1,0)</f>
        <v>0</v>
      </c>
      <c r="E311" s="129">
        <f>IF(E315&gt;G315,1,0)</f>
        <v>0</v>
      </c>
      <c r="F311" s="130"/>
      <c r="G311" s="131">
        <f>IF(G315&gt;E315,1,0)</f>
        <v>0</v>
      </c>
      <c r="H311" s="129">
        <f>IF(H315&gt;J315,1,0)</f>
        <v>1</v>
      </c>
      <c r="I311" s="130"/>
      <c r="J311" s="131">
        <f>IF(J315&gt;H315,1,0)</f>
        <v>0</v>
      </c>
      <c r="K311" s="132"/>
      <c r="L311" s="133"/>
      <c r="M311" s="133"/>
      <c r="N311" s="134"/>
      <c r="R311" s="85"/>
      <c r="S311" s="85"/>
      <c r="T311" s="671"/>
      <c r="U311" s="671"/>
      <c r="V311" s="672"/>
      <c r="W311" s="129">
        <f>IF(W315&gt;Y315,1,0)</f>
        <v>0</v>
      </c>
      <c r="X311" s="130"/>
      <c r="Y311" s="131">
        <f>IF(Y315&gt;W315,1,0)</f>
        <v>0</v>
      </c>
      <c r="Z311" s="129">
        <f>IF(Z315&gt;AB315,1,0)</f>
        <v>0</v>
      </c>
      <c r="AA311" s="130"/>
      <c r="AB311" s="131">
        <f>IF(AB315&gt;Z315,1,0)</f>
        <v>0</v>
      </c>
      <c r="AC311" s="129">
        <f>IF(AC315&gt;AE315,1,0)</f>
        <v>1</v>
      </c>
      <c r="AD311" s="130"/>
      <c r="AE311" s="131">
        <f>IF(AE315&gt;AC315,1,0)</f>
        <v>0</v>
      </c>
      <c r="AF311" s="124"/>
      <c r="AG311" s="125"/>
      <c r="AH311" s="85"/>
      <c r="AI311" s="85"/>
      <c r="AJ311" s="85"/>
      <c r="AW311" s="146"/>
      <c r="AX311" s="54"/>
      <c r="AY311" s="54"/>
      <c r="AZ311" s="54"/>
      <c r="BA311" s="54"/>
    </row>
    <row r="312" spans="1:68" ht="13.5" hidden="1" customHeight="1" thickBot="1" x14ac:dyDescent="0.25">
      <c r="A312" s="11"/>
      <c r="B312" s="129">
        <f>IF(B316&gt;D316,1,0)</f>
        <v>0</v>
      </c>
      <c r="C312" s="130"/>
      <c r="D312" s="131">
        <f>IF(D316&gt;B316,1,0)</f>
        <v>0</v>
      </c>
      <c r="E312" s="129">
        <f>IF(E316&gt;G316,1,0)</f>
        <v>0</v>
      </c>
      <c r="F312" s="130"/>
      <c r="G312" s="131">
        <f>IF(G316&gt;E316,1,0)</f>
        <v>0</v>
      </c>
      <c r="H312" s="129">
        <f>IF(H316&gt;J316,1,0)</f>
        <v>0</v>
      </c>
      <c r="I312" s="130"/>
      <c r="J312" s="131">
        <f>IF(J316&gt;H316,1,0)</f>
        <v>0</v>
      </c>
      <c r="K312" s="132"/>
      <c r="L312" s="133"/>
      <c r="M312" s="133"/>
      <c r="N312" s="134"/>
      <c r="R312" s="85"/>
      <c r="S312" s="85"/>
      <c r="T312" s="671"/>
      <c r="U312" s="671"/>
      <c r="V312" s="672"/>
      <c r="W312" s="129">
        <f>IF(W316&gt;Y316,1,0)</f>
        <v>0</v>
      </c>
      <c r="X312" s="130"/>
      <c r="Y312" s="131">
        <f>IF(Y316&gt;W316,1,0)</f>
        <v>0</v>
      </c>
      <c r="Z312" s="129">
        <f>IF(Z316&gt;AB316,1,0)</f>
        <v>0</v>
      </c>
      <c r="AA312" s="130"/>
      <c r="AB312" s="131">
        <f>IF(AB316&gt;Z316,1,0)</f>
        <v>0</v>
      </c>
      <c r="AC312" s="129">
        <f>IF(AC316&gt;AE316,1,0)</f>
        <v>0</v>
      </c>
      <c r="AD312" s="130"/>
      <c r="AE312" s="131">
        <f>IF(AE316&gt;AC316,1,0)</f>
        <v>0</v>
      </c>
      <c r="AF312" s="124"/>
      <c r="AG312" s="125"/>
      <c r="AH312" s="85"/>
      <c r="AI312" s="85"/>
      <c r="AJ312" s="85"/>
      <c r="AW312" s="146"/>
      <c r="AX312" s="54"/>
      <c r="AY312" s="54"/>
      <c r="AZ312" s="54"/>
      <c r="BA312" s="54"/>
    </row>
    <row r="313" spans="1:68" ht="13.5" hidden="1" customHeight="1" x14ac:dyDescent="0.2">
      <c r="A313" s="11"/>
      <c r="B313" s="129">
        <f>SUM(B310:B312)</f>
        <v>0</v>
      </c>
      <c r="C313" s="130"/>
      <c r="D313" s="129">
        <f>SUM(D310:D312)</f>
        <v>1</v>
      </c>
      <c r="E313" s="129">
        <f>SUM(E310:E312)</f>
        <v>1</v>
      </c>
      <c r="F313" s="130"/>
      <c r="G313" s="129">
        <f>SUM(G310:G312)</f>
        <v>0</v>
      </c>
      <c r="H313" s="129">
        <f>SUM(H310:H312)</f>
        <v>2</v>
      </c>
      <c r="I313" s="130"/>
      <c r="J313" s="129">
        <f>SUM(J310:J312)</f>
        <v>0</v>
      </c>
      <c r="K313" s="132"/>
      <c r="L313" s="133"/>
      <c r="M313" s="133"/>
      <c r="N313" s="134"/>
      <c r="R313" s="85"/>
      <c r="S313" s="85"/>
      <c r="T313" s="671"/>
      <c r="U313" s="671"/>
      <c r="V313" s="672"/>
      <c r="W313" s="129">
        <f>SUM(W310:W312)</f>
        <v>1</v>
      </c>
      <c r="X313" s="130"/>
      <c r="Y313" s="129">
        <f>SUM(Y310:Y312)</f>
        <v>0</v>
      </c>
      <c r="Z313" s="129">
        <f>SUM(Z310:Z312)</f>
        <v>1</v>
      </c>
      <c r="AA313" s="130"/>
      <c r="AB313" s="129">
        <f>SUM(AB310:AB312)</f>
        <v>0</v>
      </c>
      <c r="AC313" s="129">
        <f>SUM(AC310:AC312)</f>
        <v>2</v>
      </c>
      <c r="AD313" s="130"/>
      <c r="AE313" s="129">
        <f>SUM(AE310:AE312)</f>
        <v>0</v>
      </c>
      <c r="AF313" s="124"/>
      <c r="AG313" s="125"/>
      <c r="AH313" s="85"/>
      <c r="AI313" s="85"/>
      <c r="AJ313" s="85"/>
      <c r="AW313" s="146"/>
      <c r="AX313" s="54"/>
      <c r="AY313" s="54"/>
      <c r="AZ313" s="54"/>
      <c r="BA313" s="54"/>
    </row>
    <row r="314" spans="1:68" ht="12.75" customHeight="1" x14ac:dyDescent="0.2">
      <c r="A314" s="9" t="s">
        <v>52</v>
      </c>
      <c r="B314" s="135">
        <v>22</v>
      </c>
      <c r="C314" s="50" t="s">
        <v>53</v>
      </c>
      <c r="D314" s="136">
        <v>25</v>
      </c>
      <c r="E314" s="137">
        <v>25</v>
      </c>
      <c r="F314" s="50" t="s">
        <v>53</v>
      </c>
      <c r="G314" s="136">
        <v>15</v>
      </c>
      <c r="H314" s="137">
        <v>25</v>
      </c>
      <c r="I314" s="50" t="s">
        <v>53</v>
      </c>
      <c r="J314" s="138">
        <v>17</v>
      </c>
      <c r="K314" s="673">
        <f>IF(AND(OR(H313&gt;0,J313&gt;0),AND(1&lt;=H309,H309&lt;=4),AND(1&lt;=J309,J309&lt;=4)),IF(H313&gt;J313,H309,IF(J313&gt;H313,J309,"")),"")</f>
        <v>4</v>
      </c>
      <c r="L314" s="674"/>
      <c r="M314" s="674"/>
      <c r="N314" s="675"/>
      <c r="R314" s="85"/>
      <c r="S314" s="85"/>
      <c r="T314" s="86"/>
      <c r="U314" s="86"/>
      <c r="V314" s="9" t="s">
        <v>52</v>
      </c>
      <c r="W314" s="135">
        <v>25</v>
      </c>
      <c r="X314" s="50" t="s">
        <v>53</v>
      </c>
      <c r="Y314" s="136">
        <v>22</v>
      </c>
      <c r="Z314" s="137">
        <v>25</v>
      </c>
      <c r="AA314" s="50" t="s">
        <v>53</v>
      </c>
      <c r="AB314" s="136">
        <v>20</v>
      </c>
      <c r="AC314" s="137">
        <v>25</v>
      </c>
      <c r="AD314" s="50" t="s">
        <v>53</v>
      </c>
      <c r="AE314" s="138">
        <v>21</v>
      </c>
      <c r="AF314" s="673">
        <f>IF(AND(OR(AC313&gt;0,AE313&gt;0),AND(1&lt;=AC309,AC309&lt;=4),AND(1&lt;=AE309,AE309&lt;=4)),IF(AC313&gt;AE313,AC309,IF(AE313&gt;AC313,AE309,"")),"")</f>
        <v>1</v>
      </c>
      <c r="AG314" s="675"/>
      <c r="AH314" s="85"/>
      <c r="AI314" s="85"/>
      <c r="AJ314" s="85"/>
      <c r="AW314" s="146"/>
      <c r="AX314" s="54"/>
      <c r="AY314" s="54"/>
      <c r="AZ314" s="54"/>
      <c r="BA314" s="54"/>
    </row>
    <row r="315" spans="1:68" ht="12.75" customHeight="1" x14ac:dyDescent="0.2">
      <c r="A315" s="9" t="s">
        <v>136</v>
      </c>
      <c r="B315" s="135"/>
      <c r="C315" s="50" t="s">
        <v>53</v>
      </c>
      <c r="D315" s="136"/>
      <c r="E315" s="137"/>
      <c r="F315" s="50" t="s">
        <v>53</v>
      </c>
      <c r="G315" s="136"/>
      <c r="H315" s="137">
        <v>25</v>
      </c>
      <c r="I315" s="50" t="s">
        <v>53</v>
      </c>
      <c r="J315" s="138">
        <v>19</v>
      </c>
      <c r="K315" s="676"/>
      <c r="L315" s="677"/>
      <c r="M315" s="677"/>
      <c r="N315" s="678"/>
      <c r="R315" s="85"/>
      <c r="S315" s="85"/>
      <c r="T315" s="86"/>
      <c r="U315" s="86"/>
      <c r="V315" s="9" t="s">
        <v>136</v>
      </c>
      <c r="W315" s="135"/>
      <c r="X315" s="50" t="s">
        <v>53</v>
      </c>
      <c r="Y315" s="136"/>
      <c r="Z315" s="137"/>
      <c r="AA315" s="50" t="s">
        <v>53</v>
      </c>
      <c r="AB315" s="136"/>
      <c r="AC315" s="137">
        <v>25</v>
      </c>
      <c r="AD315" s="50" t="s">
        <v>53</v>
      </c>
      <c r="AE315" s="138">
        <v>23</v>
      </c>
      <c r="AF315" s="676"/>
      <c r="AG315" s="678"/>
      <c r="AH315" s="85"/>
      <c r="AI315" s="85"/>
      <c r="AJ315" s="85"/>
      <c r="AW315" s="146"/>
      <c r="AX315" s="54"/>
      <c r="AY315" s="54"/>
      <c r="AZ315" s="54"/>
      <c r="BA315" s="54"/>
    </row>
    <row r="316" spans="1:68" ht="13.5" customHeight="1" thickBot="1" x14ac:dyDescent="0.25">
      <c r="A316" s="9" t="s">
        <v>137</v>
      </c>
      <c r="B316" s="141"/>
      <c r="C316" s="142" t="s">
        <v>53</v>
      </c>
      <c r="D316" s="143"/>
      <c r="E316" s="144"/>
      <c r="F316" s="142" t="s">
        <v>53</v>
      </c>
      <c r="G316" s="143"/>
      <c r="H316" s="144"/>
      <c r="I316" s="142" t="s">
        <v>53</v>
      </c>
      <c r="J316" s="145"/>
      <c r="K316" s="679"/>
      <c r="L316" s="680"/>
      <c r="M316" s="680"/>
      <c r="N316" s="681"/>
      <c r="R316" s="85"/>
      <c r="S316" s="85"/>
      <c r="T316" s="86"/>
      <c r="U316" s="86"/>
      <c r="V316" s="9" t="s">
        <v>137</v>
      </c>
      <c r="W316" s="141"/>
      <c r="X316" s="142" t="s">
        <v>53</v>
      </c>
      <c r="Y316" s="143"/>
      <c r="Z316" s="144"/>
      <c r="AA316" s="142" t="s">
        <v>53</v>
      </c>
      <c r="AB316" s="143"/>
      <c r="AC316" s="144"/>
      <c r="AD316" s="142" t="s">
        <v>53</v>
      </c>
      <c r="AE316" s="145"/>
      <c r="AF316" s="679"/>
      <c r="AG316" s="681"/>
      <c r="AH316" s="85"/>
      <c r="AI316" s="85"/>
      <c r="AJ316" s="85"/>
      <c r="AW316" s="146"/>
      <c r="AX316" s="54"/>
      <c r="AY316" s="54"/>
      <c r="AZ316" s="54"/>
      <c r="BA316" s="54"/>
    </row>
    <row r="317" spans="1:68" hidden="1" x14ac:dyDescent="0.2">
      <c r="B317" s="3"/>
      <c r="C317" s="90" t="s">
        <v>87</v>
      </c>
      <c r="D317" s="3" t="s">
        <v>138</v>
      </c>
      <c r="E317" s="3"/>
      <c r="F317" s="90"/>
      <c r="G317" s="4" t="s">
        <v>139</v>
      </c>
      <c r="J317" s="4" t="s">
        <v>140</v>
      </c>
      <c r="W317" s="3"/>
      <c r="X317" s="90" t="s">
        <v>87</v>
      </c>
      <c r="Y317" s="3" t="s">
        <v>138</v>
      </c>
      <c r="Z317" s="3"/>
      <c r="AA317" s="90"/>
      <c r="AB317" s="4" t="s">
        <v>139</v>
      </c>
      <c r="AE317" s="4" t="s">
        <v>140</v>
      </c>
      <c r="AT317" s="4" t="str">
        <f>B318</f>
        <v>Extreme 15 Meredith</v>
      </c>
      <c r="AU317" s="4">
        <f>J318</f>
        <v>2087.2291739947027</v>
      </c>
      <c r="AW317" s="146"/>
      <c r="AX317" s="54"/>
      <c r="AY317" s="54"/>
      <c r="AZ317" s="54"/>
      <c r="BA317" s="54"/>
      <c r="BB317" s="146"/>
      <c r="BC317" s="54"/>
      <c r="BD317" s="54"/>
      <c r="BE317" s="146"/>
      <c r="BF317" s="54"/>
      <c r="BG317" s="54"/>
      <c r="BH317" s="146"/>
      <c r="BI317" s="54"/>
      <c r="BJ317" s="54"/>
      <c r="BK317" s="146"/>
      <c r="BL317" s="54"/>
      <c r="BM317" s="54"/>
      <c r="BN317" s="146"/>
      <c r="BO317" s="54"/>
      <c r="BP317" s="54"/>
    </row>
    <row r="318" spans="1:68" hidden="1" x14ac:dyDescent="0.2">
      <c r="A318" s="4">
        <v>1</v>
      </c>
      <c r="B318" s="4" t="str">
        <f>B301</f>
        <v>Extreme 15 Meredith</v>
      </c>
      <c r="C318" s="4">
        <f>VLOOKUP(B318,AU$2:AY$22,4,FALSE)</f>
        <v>2096.6431760724954</v>
      </c>
      <c r="D318" s="4">
        <f>IF(A318=B309,B324,IF(A318=D309,D324,C318))</f>
        <v>2087.2291739947027</v>
      </c>
      <c r="G318" s="4">
        <f>IF(A318=E309,E324,IF(A318=G309,G324,D318))</f>
        <v>2087.2291739947027</v>
      </c>
      <c r="J318" s="4">
        <f>IF(A318=H309,H324,IF(A318=J309,J324,G318))</f>
        <v>2087.2291739947027</v>
      </c>
      <c r="U318" s="164"/>
      <c r="V318" s="164">
        <v>1</v>
      </c>
      <c r="W318" s="4" t="str">
        <f>X301</f>
        <v>MEVC14Power</v>
      </c>
      <c r="X318" s="4">
        <f>VLOOKUP(W318,AU$2:AY$22,4,FALSE)</f>
        <v>2102.4268038766127</v>
      </c>
      <c r="Y318" s="4">
        <f>IF(V318=W309,W324,IF(V318=Y309,Y324,X318))</f>
        <v>2106.4472061578372</v>
      </c>
      <c r="AB318" s="4">
        <f>IF(V318=Z309,Z324,IF(V318=AB309,AB324,Y318))</f>
        <v>2106.4472061578372</v>
      </c>
      <c r="AE318" s="4">
        <f>IF(V318=AC309,AC324,IF(V318=AE309,AE324,AB318))</f>
        <v>2121.4624860219083</v>
      </c>
      <c r="AT318" s="4" t="str">
        <f>B319</f>
        <v>Extreme 15-2</v>
      </c>
      <c r="AU318" s="4">
        <f>J319</f>
        <v>2122.1118164907834</v>
      </c>
      <c r="AW318" s="146"/>
      <c r="AX318" s="54"/>
      <c r="AY318" s="54"/>
      <c r="AZ318" s="54"/>
      <c r="BA318" s="54"/>
      <c r="BB318" s="146"/>
      <c r="BC318" s="54"/>
      <c r="BD318" s="54"/>
      <c r="BE318" s="146"/>
      <c r="BF318" s="54"/>
      <c r="BG318" s="54"/>
      <c r="BH318" s="146"/>
      <c r="BI318" s="54"/>
      <c r="BJ318" s="54"/>
      <c r="BK318" s="146"/>
      <c r="BL318" s="54"/>
      <c r="BM318" s="54"/>
      <c r="BN318" s="146"/>
      <c r="BO318" s="54"/>
      <c r="BP318" s="54"/>
    </row>
    <row r="319" spans="1:68" hidden="1" x14ac:dyDescent="0.2">
      <c r="A319" s="4">
        <v>2</v>
      </c>
      <c r="B319" s="4" t="str">
        <f>B302</f>
        <v>Extreme 15-2</v>
      </c>
      <c r="C319" s="4">
        <f>VLOOKUP(B319,AU$2:AY$22,4,FALSE)</f>
        <v>2134.903585900568</v>
      </c>
      <c r="D319" s="4">
        <f>IF(A319=B309,B324,IF(A319=D309,D324,C319))</f>
        <v>2134.903585900568</v>
      </c>
      <c r="G319" s="4">
        <f>IF(A319=E309,E324,IF(A319=G309,G324,D319))</f>
        <v>2142.5316764197764</v>
      </c>
      <c r="J319" s="4">
        <f>IF(A319=H309,H324,IF(A319=J309,J324,G319))</f>
        <v>2122.1118164907834</v>
      </c>
      <c r="U319" s="164"/>
      <c r="V319" s="164">
        <v>2</v>
      </c>
      <c r="W319" s="4" t="str">
        <f>X302</f>
        <v>MOTO 15's</v>
      </c>
      <c r="X319" s="4">
        <f>VLOOKUP(W319,AU$2:AY$22,4,FALSE)</f>
        <v>2079.7362165610371</v>
      </c>
      <c r="Y319" s="4">
        <f>IF(V319=W309,W324,IF(V319=Y309,Y324,X319))</f>
        <v>2079.7362165610371</v>
      </c>
      <c r="AB319" s="4">
        <f>IF(V319=Z309,Z324,IF(V319=AB309,AB324,Y319))</f>
        <v>2085.0372205736539</v>
      </c>
      <c r="AE319" s="4">
        <f>IF(V319=AC309,AC324,IF(V319=AE309,AE324,AB319))</f>
        <v>2070.0219407095829</v>
      </c>
      <c r="AT319" s="4" t="str">
        <f>B320</f>
        <v>Lake Murray 15 Black</v>
      </c>
      <c r="AU319" s="4">
        <f>J320</f>
        <v>2111.1120209801334</v>
      </c>
      <c r="AW319" s="146"/>
      <c r="AX319" s="54"/>
      <c r="AY319" s="54"/>
      <c r="AZ319" s="54"/>
      <c r="BA319" s="54"/>
      <c r="BB319" s="146"/>
      <c r="BC319" s="54"/>
      <c r="BD319" s="54"/>
      <c r="BE319" s="146"/>
      <c r="BF319" s="54"/>
      <c r="BG319" s="54"/>
      <c r="BH319" s="146"/>
      <c r="BI319" s="54"/>
      <c r="BJ319" s="54"/>
      <c r="BK319" s="146"/>
      <c r="BL319" s="54"/>
      <c r="BM319" s="54"/>
      <c r="BN319" s="146"/>
      <c r="BO319" s="54"/>
      <c r="BP319" s="54"/>
    </row>
    <row r="320" spans="1:68" hidden="1" x14ac:dyDescent="0.2">
      <c r="A320" s="4">
        <v>3</v>
      </c>
      <c r="B320" s="4" t="str">
        <f>B303</f>
        <v>Lake Murray 15 Black</v>
      </c>
      <c r="C320" s="4">
        <f>VLOOKUP(B320,AU$2:AY$22,4,FALSE)</f>
        <v>2118.7401114993418</v>
      </c>
      <c r="D320" s="4">
        <f>IF(A320=B309,B324,IF(A320=D309,D324,C320))</f>
        <v>2118.7401114993418</v>
      </c>
      <c r="G320" s="4">
        <f>IF(A320=E309,E324,IF(A320=G309,G324,D320))</f>
        <v>2111.1120209801334</v>
      </c>
      <c r="J320" s="4">
        <f>IF(A320=H309,H324,IF(A320=J309,J324,G320))</f>
        <v>2111.1120209801334</v>
      </c>
      <c r="U320" s="164"/>
      <c r="V320" s="164">
        <v>3</v>
      </c>
      <c r="W320" s="4" t="str">
        <f>X303</f>
        <v>Crossfire 13</v>
      </c>
      <c r="X320" s="4">
        <f>VLOOKUP(W320,AU$2:AY$22,4,FALSE)</f>
        <v>1957.7422598925859</v>
      </c>
      <c r="Y320" s="4">
        <f>IF(V320=W309,W324,IF(V320=Y309,Y324,X320))</f>
        <v>1957.7422598925859</v>
      </c>
      <c r="AB320" s="4">
        <f>IF(V320=Z309,Z324,IF(V320=AB309,AB324,Y320))</f>
        <v>1952.441255879969</v>
      </c>
      <c r="AE320" s="4">
        <f>IF(V320=AC309,AC324,IF(V320=AE309,AE324,AB320))</f>
        <v>1952.441255879969</v>
      </c>
      <c r="AT320" s="4" t="str">
        <f>B321</f>
        <v>Kershaw 15 Black</v>
      </c>
      <c r="AU320" s="4">
        <f>J321</f>
        <v>2064.4159578940285</v>
      </c>
      <c r="AW320" s="146"/>
      <c r="AX320" s="54"/>
      <c r="AY320" s="54"/>
      <c r="AZ320" s="54"/>
      <c r="BA320" s="54"/>
      <c r="BB320" s="146"/>
      <c r="BC320" s="54"/>
      <c r="BD320" s="54"/>
      <c r="BE320" s="146"/>
      <c r="BF320" s="54"/>
      <c r="BG320" s="54"/>
      <c r="BH320" s="146"/>
      <c r="BI320" s="54"/>
      <c r="BJ320" s="54"/>
      <c r="BK320" s="146"/>
      <c r="BL320" s="54"/>
      <c r="BM320" s="54"/>
      <c r="BN320" s="146"/>
      <c r="BO320" s="54"/>
      <c r="BP320" s="54"/>
    </row>
    <row r="321" spans="1:68" hidden="1" x14ac:dyDescent="0.2">
      <c r="A321" s="4">
        <v>4</v>
      </c>
      <c r="B321" s="4" t="str">
        <f>B304</f>
        <v>Kershaw 15 Black</v>
      </c>
      <c r="C321" s="4">
        <f>VLOOKUP(B321,AU$2:AY$22,4,FALSE)</f>
        <v>2034.5820958872425</v>
      </c>
      <c r="D321" s="4">
        <f>IF(A321=B309,B324,IF(A321=D309,D324,C321))</f>
        <v>2043.9960979650355</v>
      </c>
      <c r="G321" s="4">
        <f>IF(A321=E309,E324,IF(A321=G309,G324,D321))</f>
        <v>2043.9960979650355</v>
      </c>
      <c r="J321" s="4">
        <f>IF(A321=H309,H324,IF(A321=J309,J324,G321))</f>
        <v>2064.4159578940285</v>
      </c>
      <c r="U321" s="164"/>
      <c r="V321" s="164">
        <v>4</v>
      </c>
      <c r="W321" s="4" t="str">
        <f>X304</f>
        <v>OLC 15s Purple</v>
      </c>
      <c r="X321" s="4">
        <f>VLOOKUP(W321,AU$2:AY$22,4,FALSE)</f>
        <v>1912.7577143886547</v>
      </c>
      <c r="Y321" s="4">
        <f>IF(V321=W309,W324,IF(V321=Y309,Y324,X321))</f>
        <v>1908.7373121074302</v>
      </c>
      <c r="AB321" s="4">
        <f>IF(V321=Z309,Z324,IF(V321=AB309,AB324,Y321))</f>
        <v>1908.7373121074302</v>
      </c>
      <c r="AE321" s="4">
        <f>IF(V321=AC309,AC324,IF(V321=AE309,AE324,AB321))</f>
        <v>1908.7373121074302</v>
      </c>
      <c r="AT321" s="4" t="str">
        <f>W318</f>
        <v>MEVC14Power</v>
      </c>
      <c r="AU321" s="4">
        <f>AE318</f>
        <v>2121.4624860219083</v>
      </c>
      <c r="AW321" s="146"/>
      <c r="AX321" s="54"/>
      <c r="AY321" s="54"/>
      <c r="AZ321" s="54"/>
      <c r="BA321" s="54"/>
      <c r="BB321" s="146"/>
      <c r="BC321" s="54"/>
      <c r="BD321" s="54"/>
      <c r="BE321" s="146"/>
      <c r="BF321" s="54"/>
      <c r="BG321" s="54"/>
      <c r="BH321" s="146"/>
      <c r="BI321" s="54"/>
      <c r="BJ321" s="54"/>
      <c r="BK321" s="146"/>
      <c r="BL321" s="54"/>
      <c r="BM321" s="54"/>
      <c r="BN321" s="146"/>
      <c r="BO321" s="54"/>
      <c r="BP321" s="54"/>
    </row>
    <row r="322" spans="1:68" hidden="1" x14ac:dyDescent="0.2">
      <c r="A322" s="4" t="s">
        <v>89</v>
      </c>
      <c r="B322" s="4">
        <f>VLOOKUP(B309,$A318:$J321,3,FALSE)</f>
        <v>2096.6431760724954</v>
      </c>
      <c r="D322" s="4">
        <f>VLOOKUP(D309,$A318:$J321,3,FALSE)</f>
        <v>2034.5820958872425</v>
      </c>
      <c r="E322" s="4">
        <f>VLOOKUP(E309,$A318:$J321,4,FALSE)</f>
        <v>2134.903585900568</v>
      </c>
      <c r="G322" s="4">
        <f>VLOOKUP(G309,$A318:$J321,4,FALSE)</f>
        <v>2118.7401114993418</v>
      </c>
      <c r="H322" s="4">
        <f>VLOOKUP(H309,$A318:$J321,7,FALSE)</f>
        <v>2043.9960979650355</v>
      </c>
      <c r="J322" s="4">
        <f>VLOOKUP(J309,$A318:$J321,7,FALSE)</f>
        <v>2142.5316764197764</v>
      </c>
      <c r="T322" s="682" t="s">
        <v>89</v>
      </c>
      <c r="U322" s="682"/>
      <c r="V322" s="682"/>
      <c r="W322" s="4">
        <f>VLOOKUP(W309,$V318:$AE321,3,FALSE)</f>
        <v>2102.4268038766127</v>
      </c>
      <c r="Y322" s="4">
        <f>VLOOKUP(Y309,$V318:$AE321,3,FALSE)</f>
        <v>1912.7577143886547</v>
      </c>
      <c r="Z322" s="4">
        <f>VLOOKUP(Z309,$V318:$AE321,4,FALSE)</f>
        <v>2079.7362165610371</v>
      </c>
      <c r="AB322" s="4">
        <f>VLOOKUP(AB309,$V318:$AE321,4,FALSE)</f>
        <v>1957.7422598925859</v>
      </c>
      <c r="AC322" s="4">
        <f>VLOOKUP(AC309,$V318:$AE321,7,FALSE)</f>
        <v>2106.4472061578372</v>
      </c>
      <c r="AE322" s="4">
        <f>VLOOKUP(AE309,$V318:$AE321,7,FALSE)</f>
        <v>2085.0372205736539</v>
      </c>
      <c r="AT322" s="4" t="str">
        <f>W319</f>
        <v>MOTO 15's</v>
      </c>
      <c r="AU322" s="4">
        <f>AE319</f>
        <v>2070.0219407095829</v>
      </c>
      <c r="AW322" s="146"/>
      <c r="AX322" s="54"/>
      <c r="AY322" s="54"/>
      <c r="AZ322" s="54"/>
      <c r="BA322" s="54"/>
      <c r="BB322" s="146"/>
      <c r="BC322" s="54"/>
      <c r="BD322" s="54"/>
      <c r="BE322" s="146"/>
      <c r="BF322" s="54"/>
      <c r="BG322" s="54"/>
      <c r="BH322" s="146"/>
      <c r="BI322" s="54"/>
      <c r="BJ322" s="54"/>
      <c r="BK322" s="146"/>
      <c r="BL322" s="54"/>
      <c r="BM322" s="54"/>
      <c r="BN322" s="146"/>
      <c r="BO322" s="54"/>
      <c r="BP322" s="54"/>
    </row>
    <row r="323" spans="1:68" hidden="1" x14ac:dyDescent="0.2">
      <c r="A323" s="68" t="s">
        <v>90</v>
      </c>
      <c r="B323" s="68">
        <f>1/(1+(10^-((B322-D322)/400)))*(B313+D313)</f>
        <v>0.58837512986205132</v>
      </c>
      <c r="C323" s="68"/>
      <c r="D323" s="68">
        <f>1/(1+(10^-((D322-B322)/400)))*(B313+D313)</f>
        <v>0.41162487013794874</v>
      </c>
      <c r="E323" s="68">
        <f>1/(1+(10^-((E322-G322)/400)))*(E313+G313)</f>
        <v>0.52324434254947971</v>
      </c>
      <c r="G323" s="68">
        <f>1/(1+(10^-((G322-E322)/400)))*(E313+G313)</f>
        <v>0.47675565745052029</v>
      </c>
      <c r="H323" s="68">
        <f>1/(1+(10^-((H322-J322)/400)))*(H313+J313)</f>
        <v>0.72375875443793958</v>
      </c>
      <c r="J323" s="68">
        <f>1/(1+(10^-((J322-H322)/400)))*(H313+J313)</f>
        <v>1.2762412455620606</v>
      </c>
      <c r="T323" s="683" t="s">
        <v>90</v>
      </c>
      <c r="U323" s="683"/>
      <c r="V323" s="683"/>
      <c r="W323" s="68">
        <f>1/(1+(10^-((W322-Y322)/400)))*(W313+Y313)</f>
        <v>0.74872485742346195</v>
      </c>
      <c r="X323" s="68"/>
      <c r="Y323" s="68">
        <f>1/(1+(10^-((Y322-W322)/400)))*(W313+Y313)</f>
        <v>0.25127514257653799</v>
      </c>
      <c r="Z323" s="68">
        <f>1/(1+(10^-((Z322-AB322)/400)))*(Z313+AB313)</f>
        <v>0.66868724921144584</v>
      </c>
      <c r="AB323" s="68">
        <f>1/(1+(10^-((AB322-Z322)/400)))*(Z313+AB313)</f>
        <v>0.33131275078855421</v>
      </c>
      <c r="AC323" s="68">
        <f>1/(1+(10^-((AC322-AE322)/400)))*(AC313+AE313)</f>
        <v>1.061545008495568</v>
      </c>
      <c r="AE323" s="68">
        <f>1/(1+(10^-((AE322-AC322)/400)))*(AC313+AE313)</f>
        <v>0.9384549915044319</v>
      </c>
      <c r="AT323" s="4" t="str">
        <f>W320</f>
        <v>Crossfire 13</v>
      </c>
      <c r="AU323" s="4">
        <f>AE320</f>
        <v>1952.441255879969</v>
      </c>
      <c r="AW323" s="146"/>
      <c r="AX323" s="54"/>
      <c r="AY323" s="54"/>
      <c r="AZ323" s="54"/>
      <c r="BA323" s="54"/>
      <c r="BB323" s="146"/>
      <c r="BC323" s="54"/>
      <c r="BD323" s="54"/>
      <c r="BE323" s="146"/>
      <c r="BF323" s="54"/>
      <c r="BG323" s="54"/>
      <c r="BH323" s="146"/>
      <c r="BI323" s="54"/>
      <c r="BJ323" s="54"/>
      <c r="BK323" s="146"/>
      <c r="BL323" s="54"/>
      <c r="BM323" s="54"/>
      <c r="BN323" s="146"/>
      <c r="BO323" s="54"/>
      <c r="BP323" s="54"/>
    </row>
    <row r="324" spans="1:68" hidden="1" x14ac:dyDescent="0.2">
      <c r="A324" s="74" t="s">
        <v>91</v>
      </c>
      <c r="B324" s="74">
        <f>B322+(B313-B323)*$BA$2</f>
        <v>2087.2291739947027</v>
      </c>
      <c r="C324" s="74"/>
      <c r="D324" s="74">
        <f>D322+(D313-D323)*$BA$2</f>
        <v>2043.9960979650355</v>
      </c>
      <c r="E324" s="74">
        <f>E322+(E313-E323)*$BA$2</f>
        <v>2142.5316764197764</v>
      </c>
      <c r="G324" s="74">
        <f>G322+(G313-G323)*$BA$2</f>
        <v>2111.1120209801334</v>
      </c>
      <c r="H324" s="74">
        <f>H322+(H313-H323)*$BA$2</f>
        <v>2064.4159578940285</v>
      </c>
      <c r="J324" s="74">
        <f>J322+(J313-J323)*$BA$2</f>
        <v>2122.1118164907834</v>
      </c>
      <c r="T324" s="669" t="s">
        <v>91</v>
      </c>
      <c r="U324" s="669"/>
      <c r="V324" s="669"/>
      <c r="W324" s="74">
        <f>W322+(W313-W323)*$BA$2</f>
        <v>2106.4472061578372</v>
      </c>
      <c r="X324" s="74"/>
      <c r="Y324" s="74">
        <f>Y322+(Y313-Y323)*$BA$2</f>
        <v>1908.7373121074302</v>
      </c>
      <c r="Z324" s="74">
        <f>Z322+(Z313-Z323)*$BA$2</f>
        <v>2085.0372205736539</v>
      </c>
      <c r="AB324" s="74">
        <f>AB322+(AB313-AB323)*$BA$2</f>
        <v>1952.441255879969</v>
      </c>
      <c r="AC324" s="74">
        <f>AC322+(AC313-AC323)*$BA$2</f>
        <v>2121.4624860219083</v>
      </c>
      <c r="AE324" s="74">
        <f>AE322+(AE313-AE323)*$BA$2</f>
        <v>2070.0219407095829</v>
      </c>
      <c r="AT324" s="4" t="str">
        <f>W321</f>
        <v>OLC 15s Purple</v>
      </c>
      <c r="AU324" s="4">
        <f>AE321</f>
        <v>1908.7373121074302</v>
      </c>
      <c r="AW324" s="146"/>
      <c r="AX324" s="54"/>
      <c r="AY324" s="54"/>
      <c r="AZ324" s="54"/>
      <c r="BA324" s="54"/>
      <c r="BB324" s="146"/>
      <c r="BC324" s="54"/>
      <c r="BD324" s="54"/>
      <c r="BE324" s="146"/>
      <c r="BF324" s="54"/>
      <c r="BG324" s="54"/>
      <c r="BH324" s="146"/>
      <c r="BI324" s="54"/>
      <c r="BJ324" s="54"/>
      <c r="BK324" s="146"/>
      <c r="BL324" s="54"/>
      <c r="BM324" s="54"/>
      <c r="BN324" s="146"/>
      <c r="BO324" s="54"/>
      <c r="BP324" s="54"/>
    </row>
    <row r="325" spans="1:68" x14ac:dyDescent="0.2">
      <c r="A325" s="670" t="s">
        <v>141</v>
      </c>
      <c r="B325" s="670"/>
      <c r="C325" s="670"/>
      <c r="D325" s="670"/>
      <c r="E325" s="670"/>
      <c r="F325" s="670"/>
      <c r="G325" s="670"/>
      <c r="H325" s="670"/>
      <c r="I325" s="670"/>
      <c r="J325" s="670"/>
      <c r="K325" s="670"/>
      <c r="L325" s="670"/>
      <c r="M325" s="670"/>
      <c r="R325" s="85"/>
      <c r="S325" s="85"/>
      <c r="T325" s="86"/>
      <c r="U325" s="86"/>
      <c r="V325" s="670" t="s">
        <v>141</v>
      </c>
      <c r="W325" s="670"/>
      <c r="X325" s="670"/>
      <c r="Y325" s="670"/>
      <c r="Z325" s="670"/>
      <c r="AA325" s="670"/>
      <c r="AB325" s="670"/>
      <c r="AC325" s="670"/>
      <c r="AD325" s="670"/>
      <c r="AE325" s="670"/>
      <c r="AF325" s="670"/>
      <c r="AG325" s="670"/>
      <c r="AH325" s="85"/>
      <c r="AI325" s="85"/>
      <c r="AJ325" s="85"/>
      <c r="AW325" s="146"/>
      <c r="AX325" s="54"/>
      <c r="AY325" s="54"/>
      <c r="AZ325" s="54"/>
      <c r="BA325" s="54"/>
    </row>
    <row r="326" spans="1:68" x14ac:dyDescent="0.2">
      <c r="AT326" s="54"/>
      <c r="AU326" s="54"/>
      <c r="AV326" s="54"/>
      <c r="AW326" s="146"/>
      <c r="AX326" s="54"/>
      <c r="AY326" s="54"/>
      <c r="AZ326" s="54"/>
      <c r="BA326" s="54"/>
    </row>
    <row r="327" spans="1:68" x14ac:dyDescent="0.2">
      <c r="A327" s="768" t="s">
        <v>160</v>
      </c>
      <c r="B327" s="768"/>
      <c r="C327" s="768"/>
      <c r="D327" s="768"/>
      <c r="E327" s="768"/>
      <c r="F327" s="768"/>
      <c r="G327" s="768"/>
      <c r="H327" s="768"/>
      <c r="I327" s="768"/>
      <c r="J327" s="768"/>
      <c r="K327" s="768"/>
      <c r="L327" s="768"/>
      <c r="M327" s="768"/>
      <c r="N327" s="768"/>
      <c r="O327" s="768"/>
      <c r="P327" s="768"/>
      <c r="Q327" s="62"/>
      <c r="S327" s="87"/>
      <c r="T327" s="87"/>
      <c r="U327" s="87"/>
      <c r="V327" s="87"/>
      <c r="W327" s="87"/>
      <c r="X327" s="87"/>
      <c r="Y327" s="87"/>
      <c r="Z327" s="87"/>
      <c r="AA327" s="87"/>
      <c r="AB327" s="87"/>
      <c r="AC327" s="87"/>
      <c r="AD327" s="87"/>
      <c r="AE327" s="87"/>
      <c r="AF327" s="87"/>
      <c r="AG327" s="87"/>
      <c r="AH327" s="85"/>
      <c r="AI327" s="85"/>
      <c r="AJ327" s="85"/>
      <c r="AK327" s="85"/>
      <c r="AL327" s="85"/>
      <c r="AM327" s="85"/>
      <c r="AT327" s="54"/>
      <c r="AU327" s="54"/>
      <c r="AV327" s="54"/>
      <c r="AW327" s="146"/>
      <c r="AX327" s="54"/>
      <c r="AY327" s="54"/>
      <c r="AZ327" s="54"/>
      <c r="BA327" s="54"/>
    </row>
    <row r="328" spans="1:68" x14ac:dyDescent="0.2">
      <c r="S328" s="85"/>
      <c r="T328" s="85"/>
      <c r="U328" s="85"/>
      <c r="V328" s="85"/>
      <c r="W328" s="85"/>
      <c r="X328" s="85"/>
      <c r="Y328" s="85"/>
      <c r="Z328" s="85"/>
      <c r="AA328" s="85"/>
      <c r="AB328" s="85"/>
      <c r="AC328" s="85"/>
      <c r="AD328" s="85"/>
      <c r="AE328" s="85"/>
      <c r="AF328" s="85"/>
      <c r="AG328" s="85"/>
      <c r="AH328" s="85"/>
      <c r="AI328" s="85"/>
      <c r="AJ328" s="85"/>
      <c r="AK328" s="85"/>
      <c r="AL328" s="85"/>
      <c r="AM328" s="85"/>
      <c r="AT328" s="54"/>
      <c r="AU328" s="54"/>
      <c r="AV328" s="54"/>
      <c r="AW328" s="146"/>
      <c r="AX328" s="54"/>
      <c r="AY328" s="54"/>
      <c r="AZ328" s="54"/>
      <c r="BA328" s="54"/>
    </row>
    <row r="329" spans="1:68" ht="13.5" thickBot="1" x14ac:dyDescent="0.25">
      <c r="A329" s="736" t="str">
        <f>IF(B357=1,B349,IF(B357=2,B350,IF(B357=3,B351,IF(B357=4,B352,IF(OR(B357="B",B357="b"),"BYE","invalid")))))</f>
        <v>Foothills 15 CJ</v>
      </c>
      <c r="B329" s="736"/>
      <c r="C329" s="736"/>
      <c r="D329" s="736"/>
      <c r="E329" s="736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S329" s="85"/>
      <c r="T329" s="90"/>
      <c r="U329" s="90"/>
      <c r="V329" s="86"/>
      <c r="W329" s="86"/>
      <c r="X329" s="86"/>
      <c r="Y329" s="86"/>
      <c r="Z329" s="86"/>
      <c r="AA329" s="86"/>
      <c r="AB329" s="86"/>
      <c r="AC329" s="85"/>
      <c r="AD329" s="85"/>
      <c r="AE329" s="85"/>
      <c r="AF329" s="85"/>
      <c r="AG329" s="85"/>
      <c r="AH329" s="85"/>
      <c r="AI329" s="85"/>
      <c r="AJ329" s="85"/>
      <c r="AK329" s="85"/>
      <c r="AL329" s="85"/>
      <c r="AM329" s="85"/>
      <c r="AT329" s="54"/>
      <c r="AU329" s="54"/>
      <c r="AV329" s="54"/>
      <c r="AW329" s="146"/>
      <c r="AX329" s="54"/>
      <c r="AY329" s="54"/>
      <c r="AZ329" s="54"/>
      <c r="BA329" s="54"/>
    </row>
    <row r="330" spans="1:68" x14ac:dyDescent="0.2">
      <c r="A330" s="738" t="s">
        <v>161</v>
      </c>
      <c r="B330" s="738"/>
      <c r="C330" s="738"/>
      <c r="D330" s="738"/>
      <c r="E330" s="738"/>
      <c r="F330" s="91"/>
      <c r="G330" s="88"/>
      <c r="H330" s="88"/>
      <c r="I330" s="88"/>
      <c r="J330" s="88"/>
      <c r="K330" s="88"/>
      <c r="L330" s="88"/>
      <c r="M330" s="88"/>
      <c r="N330" s="88"/>
      <c r="O330" s="88"/>
      <c r="S330" s="85"/>
      <c r="T330" s="93"/>
      <c r="U330" s="93"/>
      <c r="V330" s="94"/>
      <c r="W330" s="94"/>
      <c r="X330" s="94"/>
      <c r="Y330" s="94"/>
      <c r="Z330" s="94"/>
      <c r="AA330" s="94"/>
      <c r="AB330" s="94"/>
      <c r="AC330" s="85"/>
      <c r="AD330" s="85"/>
      <c r="AE330" s="85"/>
      <c r="AF330" s="85"/>
      <c r="AG330" s="85"/>
      <c r="AH330" s="85"/>
      <c r="AI330" s="85"/>
      <c r="AJ330" s="85"/>
      <c r="AK330" s="85"/>
      <c r="AL330" s="85"/>
      <c r="AM330" s="85"/>
      <c r="AT330" s="54"/>
      <c r="AU330" s="54"/>
      <c r="AV330" s="54"/>
      <c r="AW330" s="146"/>
      <c r="AX330" s="54"/>
      <c r="AY330" s="54"/>
      <c r="AZ330" s="54"/>
      <c r="BA330" s="54"/>
    </row>
    <row r="331" spans="1:68" x14ac:dyDescent="0.2">
      <c r="A331" s="88"/>
      <c r="B331" s="88"/>
      <c r="C331" s="88"/>
      <c r="D331" s="88"/>
      <c r="E331" s="88"/>
      <c r="F331" s="91"/>
      <c r="G331" s="88"/>
      <c r="H331" s="88"/>
      <c r="I331" s="88"/>
      <c r="J331" s="88"/>
      <c r="K331" s="88"/>
      <c r="L331" s="88"/>
      <c r="M331" s="88"/>
      <c r="N331" s="88"/>
      <c r="O331" s="88"/>
      <c r="S331" s="85"/>
      <c r="T331" s="85"/>
      <c r="U331" s="85"/>
      <c r="V331" s="85"/>
      <c r="W331" s="85"/>
      <c r="X331" s="85"/>
      <c r="Y331" s="85"/>
      <c r="Z331" s="85"/>
      <c r="AA331" s="85"/>
      <c r="AB331" s="85"/>
      <c r="AC331" s="85"/>
      <c r="AD331" s="85"/>
      <c r="AE331" s="85"/>
      <c r="AF331" s="85"/>
      <c r="AG331" s="85"/>
      <c r="AH331" s="85"/>
      <c r="AI331" s="85"/>
      <c r="AJ331" s="85"/>
      <c r="AK331" s="85"/>
      <c r="AL331" s="85"/>
      <c r="AM331" s="85"/>
      <c r="AT331" s="54"/>
      <c r="AU331" s="54"/>
      <c r="AV331" s="54"/>
      <c r="AW331" s="146"/>
      <c r="AX331" s="54"/>
      <c r="AY331" s="54"/>
      <c r="AZ331" s="54"/>
      <c r="BA331" s="54"/>
    </row>
    <row r="332" spans="1:68" ht="13.5" thickBot="1" x14ac:dyDescent="0.25">
      <c r="A332" s="739" t="str">
        <f>B351&amp;" ref"</f>
        <v>Augusta Elite 15U ref</v>
      </c>
      <c r="B332" s="739"/>
      <c r="C332" s="739"/>
      <c r="D332" s="739"/>
      <c r="E332" s="752"/>
      <c r="F332" s="748" t="str">
        <f>IF(H357=1,B349,IF(H357=2,B350,IF(H357=3,B351,IF(H357=4,B352,"Winner Match 1"))))</f>
        <v>Foothills 15 CJ</v>
      </c>
      <c r="G332" s="749"/>
      <c r="H332" s="749"/>
      <c r="I332" s="749"/>
      <c r="J332" s="749"/>
      <c r="K332" s="749"/>
      <c r="L332" s="749"/>
      <c r="M332" s="749"/>
      <c r="N332" s="749"/>
      <c r="O332" s="88"/>
      <c r="Q332" s="96"/>
      <c r="R332" s="96"/>
      <c r="S332" s="87"/>
      <c r="T332" s="87"/>
      <c r="U332" s="87"/>
      <c r="V332" s="87"/>
      <c r="W332" s="87"/>
      <c r="X332" s="87"/>
      <c r="Y332" s="87"/>
      <c r="Z332" s="87"/>
      <c r="AA332" s="87"/>
      <c r="AB332" s="85"/>
      <c r="AC332" s="86"/>
      <c r="AD332" s="86"/>
      <c r="AE332" s="86"/>
      <c r="AF332" s="86"/>
      <c r="AG332" s="86"/>
      <c r="AH332" s="86"/>
      <c r="AI332" s="86"/>
      <c r="AJ332" s="85"/>
      <c r="AK332" s="85"/>
      <c r="AL332" s="85"/>
      <c r="AM332" s="85"/>
      <c r="AT332" s="54"/>
      <c r="AU332" s="54"/>
      <c r="AV332" s="54"/>
    </row>
    <row r="333" spans="1:68" x14ac:dyDescent="0.2">
      <c r="A333" s="746" t="s">
        <v>165</v>
      </c>
      <c r="B333" s="746"/>
      <c r="C333" s="746"/>
      <c r="D333" s="746"/>
      <c r="E333" s="746"/>
      <c r="F333" s="759"/>
      <c r="G333" s="760"/>
      <c r="H333" s="760"/>
      <c r="I333" s="761"/>
      <c r="J333" s="744"/>
      <c r="K333" s="745"/>
      <c r="L333" s="745"/>
      <c r="M333" s="745"/>
      <c r="N333" s="745"/>
      <c r="O333" s="88"/>
      <c r="P333" s="88"/>
      <c r="Q333" s="95"/>
      <c r="R333" s="10"/>
      <c r="S333" s="108"/>
      <c r="T333" s="108"/>
      <c r="U333" s="103"/>
      <c r="V333" s="103"/>
      <c r="W333" s="103"/>
      <c r="X333" s="103"/>
      <c r="Y333" s="103"/>
      <c r="Z333" s="103"/>
      <c r="AA333" s="103"/>
      <c r="AB333" s="85"/>
      <c r="AC333" s="87"/>
      <c r="AD333" s="87"/>
      <c r="AE333" s="87"/>
      <c r="AF333" s="87"/>
      <c r="AG333" s="87"/>
      <c r="AH333" s="87"/>
      <c r="AI333" s="87"/>
      <c r="AJ333" s="85"/>
      <c r="AK333" s="85"/>
      <c r="AL333" s="85"/>
      <c r="AM333" s="85"/>
      <c r="AT333" s="54"/>
      <c r="AU333" s="54"/>
      <c r="AV333" s="54"/>
      <c r="AW333" s="65"/>
      <c r="AX333" s="61"/>
      <c r="AY333" s="61"/>
      <c r="AZ333" s="61"/>
      <c r="BA333" s="61"/>
    </row>
    <row r="334" spans="1:68" ht="13.5" thickBot="1" x14ac:dyDescent="0.25">
      <c r="A334" s="736" t="str">
        <f>IF(D357=1,B349,IF(D357=2,B350,IF(D357=3,B351,IF(D357=4,B352,IF(OR(D357="B",D357="b"),"BYE","invalid")))))</f>
        <v>SC Midlands 15 Black</v>
      </c>
      <c r="B334" s="736"/>
      <c r="C334" s="736"/>
      <c r="D334" s="736"/>
      <c r="E334" s="737"/>
      <c r="F334" s="91"/>
      <c r="G334" s="88"/>
      <c r="H334" s="88"/>
      <c r="I334" s="88"/>
      <c r="J334" s="91"/>
      <c r="K334" s="88"/>
      <c r="L334" s="88"/>
      <c r="M334" s="88"/>
      <c r="N334" s="88"/>
      <c r="O334" s="88"/>
      <c r="P334" s="88"/>
      <c r="Q334" s="88"/>
      <c r="S334" s="85"/>
      <c r="T334" s="85"/>
      <c r="U334" s="85"/>
      <c r="V334" s="86"/>
      <c r="W334" s="86"/>
      <c r="X334" s="86"/>
      <c r="Y334" s="86"/>
      <c r="Z334" s="86"/>
      <c r="AA334" s="86"/>
      <c r="AB334" s="86"/>
      <c r="AC334" s="85"/>
      <c r="AD334" s="85"/>
      <c r="AE334" s="85"/>
      <c r="AF334" s="85"/>
      <c r="AG334" s="85"/>
      <c r="AH334" s="85"/>
      <c r="AI334" s="85"/>
      <c r="AJ334" s="85"/>
      <c r="AK334" s="85"/>
      <c r="AL334" s="85"/>
      <c r="AM334" s="85"/>
      <c r="AT334" s="54"/>
      <c r="AU334" s="54"/>
      <c r="AV334" s="54"/>
      <c r="AW334" s="65"/>
      <c r="AX334" s="61"/>
      <c r="AY334" s="61"/>
      <c r="AZ334" s="61"/>
      <c r="BA334" s="61"/>
    </row>
    <row r="335" spans="1:68" x14ac:dyDescent="0.2">
      <c r="A335" s="738" t="s">
        <v>169</v>
      </c>
      <c r="B335" s="738"/>
      <c r="C335" s="738"/>
      <c r="D335" s="738"/>
      <c r="E335" s="738"/>
      <c r="F335" s="88"/>
      <c r="G335" s="88"/>
      <c r="H335" s="88"/>
      <c r="I335" s="88"/>
      <c r="J335" s="91"/>
      <c r="K335" s="88"/>
      <c r="L335" s="88"/>
      <c r="M335" s="88"/>
      <c r="N335" s="88"/>
      <c r="O335" s="88"/>
      <c r="P335" s="88"/>
      <c r="Q335" s="88"/>
      <c r="S335" s="85"/>
      <c r="T335" s="85"/>
      <c r="U335" s="85"/>
      <c r="V335" s="94"/>
      <c r="W335" s="94"/>
      <c r="X335" s="94"/>
      <c r="Y335" s="94"/>
      <c r="Z335" s="94"/>
      <c r="AA335" s="94"/>
      <c r="AB335" s="94"/>
      <c r="AC335" s="85"/>
      <c r="AD335" s="85"/>
      <c r="AE335" s="85"/>
      <c r="AF335" s="85"/>
      <c r="AG335" s="85"/>
      <c r="AH335" s="85"/>
      <c r="AI335" s="85"/>
      <c r="AJ335" s="85"/>
      <c r="AK335" s="85"/>
      <c r="AL335" s="85"/>
      <c r="AM335" s="85"/>
      <c r="AR335" s="104"/>
      <c r="AS335" s="104"/>
      <c r="AT335" s="54"/>
      <c r="AU335" s="54"/>
      <c r="AV335" s="54"/>
      <c r="AW335" s="65"/>
      <c r="AX335" s="61"/>
      <c r="AY335" s="61"/>
      <c r="AZ335" s="61"/>
      <c r="BA335" s="61"/>
      <c r="BB335" s="104"/>
      <c r="BC335" s="104"/>
      <c r="BD335" s="104"/>
    </row>
    <row r="336" spans="1:68" x14ac:dyDescent="0.2">
      <c r="A336" s="88"/>
      <c r="B336" s="88"/>
      <c r="C336" s="88"/>
      <c r="D336" s="88"/>
      <c r="E336" s="88"/>
      <c r="F336" s="751" t="s">
        <v>113</v>
      </c>
      <c r="G336" s="751"/>
      <c r="H336" s="751"/>
      <c r="I336" s="758"/>
      <c r="J336" s="91"/>
      <c r="K336" s="88"/>
      <c r="L336" s="88"/>
      <c r="M336" s="88"/>
      <c r="N336" s="88"/>
      <c r="O336" s="88"/>
      <c r="P336" s="88"/>
      <c r="Q336" s="88"/>
      <c r="S336" s="85"/>
      <c r="T336" s="85"/>
      <c r="U336" s="85"/>
      <c r="V336" s="85"/>
      <c r="W336" s="85"/>
      <c r="X336" s="87"/>
      <c r="Y336" s="87"/>
      <c r="Z336" s="87"/>
      <c r="AA336" s="85"/>
      <c r="AB336" s="87"/>
      <c r="AC336" s="87"/>
      <c r="AD336" s="87"/>
      <c r="AE336" s="87"/>
      <c r="AF336" s="87"/>
      <c r="AG336" s="85"/>
      <c r="AH336" s="85"/>
      <c r="AI336" s="85"/>
      <c r="AJ336" s="85"/>
      <c r="AK336" s="85"/>
      <c r="AL336" s="85"/>
      <c r="AM336" s="85"/>
      <c r="AT336" s="54"/>
      <c r="AU336" s="54"/>
      <c r="AV336" s="54"/>
      <c r="AW336" s="65"/>
      <c r="AX336" s="61"/>
      <c r="AY336" s="61"/>
      <c r="AZ336" s="61"/>
      <c r="BA336" s="61"/>
    </row>
    <row r="337" spans="1:53" ht="13.5" thickBot="1" x14ac:dyDescent="0.25">
      <c r="A337" s="88"/>
      <c r="B337" s="88"/>
      <c r="C337" s="88"/>
      <c r="D337" s="88"/>
      <c r="E337" s="88"/>
      <c r="F337" s="88"/>
      <c r="G337" s="88"/>
      <c r="H337" s="88"/>
      <c r="I337" s="88"/>
      <c r="J337" s="753" t="str">
        <f>IF(K362=1,B349,IF(K362=2,B350,IF(K362=3,B351,IF(K362=4,B352,"Division Winner"))))</f>
        <v>Foothills 15 CJ</v>
      </c>
      <c r="K337" s="754"/>
      <c r="L337" s="754"/>
      <c r="M337" s="754"/>
      <c r="N337" s="754"/>
      <c r="O337" s="754"/>
      <c r="P337" s="754"/>
      <c r="Q337" s="754"/>
      <c r="R337" s="89"/>
      <c r="S337" s="85"/>
      <c r="T337" s="85"/>
      <c r="U337" s="85"/>
      <c r="V337" s="85"/>
      <c r="W337" s="85"/>
      <c r="X337" s="85"/>
      <c r="Y337" s="85"/>
      <c r="Z337" s="85"/>
      <c r="AA337" s="85"/>
      <c r="AB337" s="86"/>
      <c r="AC337" s="86"/>
      <c r="AD337" s="86"/>
      <c r="AE337" s="86"/>
      <c r="AF337" s="86"/>
      <c r="AG337" s="105"/>
      <c r="AH337" s="105"/>
      <c r="AI337" s="105"/>
      <c r="AJ337" s="105"/>
      <c r="AK337" s="105"/>
      <c r="AL337" s="86"/>
      <c r="AM337" s="85"/>
      <c r="AT337" s="54"/>
      <c r="AU337" s="54"/>
      <c r="AV337" s="54"/>
      <c r="AW337" s="65"/>
      <c r="AX337" s="61"/>
      <c r="AY337" s="61"/>
      <c r="AZ337" s="61"/>
      <c r="BA337" s="61"/>
    </row>
    <row r="338" spans="1:53" ht="13.5" thickBot="1" x14ac:dyDescent="0.25">
      <c r="A338" s="736" t="str">
        <f>IF(E357=1,B349,IF(E357=2,B350,IF(E357=3,B351,IF(E357=4,B352,IF(OR(E357="B",E357="b"),"BYE","invalid")))))</f>
        <v>C1VB 15 Regional Grvl</v>
      </c>
      <c r="B338" s="736"/>
      <c r="C338" s="736"/>
      <c r="D338" s="736"/>
      <c r="E338" s="736"/>
      <c r="F338" s="746" t="s">
        <v>162</v>
      </c>
      <c r="G338" s="746"/>
      <c r="H338" s="746"/>
      <c r="I338" s="746"/>
      <c r="J338" s="750" t="s">
        <v>163</v>
      </c>
      <c r="K338" s="751"/>
      <c r="L338" s="751"/>
      <c r="M338" s="751"/>
      <c r="N338" s="751"/>
      <c r="O338" s="751"/>
      <c r="P338" s="751"/>
      <c r="Q338" s="751"/>
      <c r="S338" s="86"/>
      <c r="T338" s="86"/>
      <c r="U338" s="86"/>
      <c r="V338" s="86"/>
      <c r="W338" s="86"/>
      <c r="X338" s="86"/>
      <c r="Y338" s="86"/>
      <c r="Z338" s="86"/>
      <c r="AA338" s="86"/>
      <c r="AB338" s="86"/>
      <c r="AC338" s="108"/>
      <c r="AD338" s="108"/>
      <c r="AE338" s="108"/>
      <c r="AF338" s="108"/>
      <c r="AG338" s="87"/>
      <c r="AH338" s="87"/>
      <c r="AI338" s="87"/>
      <c r="AJ338" s="87"/>
      <c r="AK338" s="87"/>
      <c r="AL338" s="85"/>
      <c r="AM338" s="85"/>
      <c r="AT338" s="54"/>
      <c r="AU338" s="54"/>
      <c r="AV338" s="54"/>
      <c r="AW338" s="65"/>
      <c r="AX338" s="61"/>
      <c r="AY338" s="61"/>
      <c r="AZ338" s="61"/>
      <c r="BA338" s="61"/>
    </row>
    <row r="339" spans="1:53" x14ac:dyDescent="0.2">
      <c r="A339" s="738" t="s">
        <v>164</v>
      </c>
      <c r="B339" s="738"/>
      <c r="C339" s="738"/>
      <c r="D339" s="738"/>
      <c r="E339" s="738"/>
      <c r="F339" s="91"/>
      <c r="G339" s="88"/>
      <c r="H339" s="88"/>
      <c r="I339" s="88"/>
      <c r="J339" s="750"/>
      <c r="K339" s="751"/>
      <c r="L339" s="751"/>
      <c r="M339" s="751"/>
      <c r="N339" s="751"/>
      <c r="O339" s="751"/>
      <c r="P339" s="751"/>
      <c r="Q339" s="751"/>
      <c r="R339" s="88"/>
      <c r="S339" s="94"/>
      <c r="T339" s="94"/>
      <c r="U339" s="94"/>
      <c r="V339" s="94"/>
      <c r="W339" s="94"/>
      <c r="X339" s="94"/>
      <c r="Y339" s="94"/>
      <c r="Z339" s="94"/>
      <c r="AA339" s="94"/>
      <c r="AB339" s="94"/>
      <c r="AC339" s="85"/>
      <c r="AD339" s="85"/>
      <c r="AE339" s="85"/>
      <c r="AF339" s="85"/>
      <c r="AG339" s="85"/>
      <c r="AH339" s="85"/>
      <c r="AI339" s="85"/>
      <c r="AJ339" s="85"/>
      <c r="AK339" s="85"/>
      <c r="AL339" s="85"/>
      <c r="AM339" s="85"/>
      <c r="AT339" s="54"/>
      <c r="AU339" s="54"/>
      <c r="AV339" s="54"/>
      <c r="AW339" s="65"/>
      <c r="AX339" s="61"/>
      <c r="AY339" s="61"/>
      <c r="AZ339" s="61"/>
      <c r="BA339" s="61"/>
    </row>
    <row r="340" spans="1:53" x14ac:dyDescent="0.2">
      <c r="A340" s="88"/>
      <c r="B340" s="88"/>
      <c r="C340" s="88"/>
      <c r="D340" s="88"/>
      <c r="E340" s="88"/>
      <c r="F340" s="91"/>
      <c r="G340" s="88"/>
      <c r="H340" s="88"/>
      <c r="I340" s="88"/>
      <c r="J340" s="91"/>
      <c r="K340" s="88"/>
      <c r="L340" s="88"/>
      <c r="M340" s="88"/>
      <c r="N340" s="88"/>
      <c r="O340" s="88"/>
      <c r="Q340" s="88"/>
      <c r="R340" s="88"/>
      <c r="S340" s="85"/>
      <c r="T340" s="85"/>
      <c r="U340" s="85"/>
      <c r="V340" s="85"/>
      <c r="W340" s="85"/>
      <c r="X340" s="85"/>
      <c r="Y340" s="85"/>
      <c r="Z340" s="85"/>
      <c r="AA340" s="85"/>
      <c r="AB340" s="85"/>
      <c r="AC340" s="85"/>
      <c r="AD340" s="85"/>
      <c r="AE340" s="85"/>
      <c r="AF340" s="85"/>
      <c r="AG340" s="85"/>
      <c r="AH340" s="85"/>
      <c r="AI340" s="85"/>
      <c r="AJ340" s="85"/>
      <c r="AK340" s="85"/>
      <c r="AL340" s="85"/>
      <c r="AM340" s="85"/>
      <c r="AT340" s="54"/>
      <c r="AU340" s="54"/>
      <c r="AV340" s="54"/>
      <c r="AW340" s="65"/>
      <c r="AX340" s="61"/>
      <c r="AY340" s="61"/>
      <c r="AZ340" s="61"/>
      <c r="BA340" s="61"/>
    </row>
    <row r="341" spans="1:53" ht="13.5" thickBot="1" x14ac:dyDescent="0.25">
      <c r="A341" s="751" t="s">
        <v>120</v>
      </c>
      <c r="B341" s="751"/>
      <c r="C341" s="751"/>
      <c r="D341" s="751"/>
      <c r="E341" s="95"/>
      <c r="F341" s="741"/>
      <c r="G341" s="742"/>
      <c r="H341" s="742"/>
      <c r="I341" s="743"/>
      <c r="J341" s="744"/>
      <c r="K341" s="745"/>
      <c r="L341" s="745"/>
      <c r="M341" s="745"/>
      <c r="N341" s="745"/>
      <c r="O341" s="88"/>
      <c r="R341" s="96"/>
      <c r="S341" s="87"/>
      <c r="T341" s="87"/>
      <c r="U341" s="87"/>
      <c r="V341" s="87"/>
      <c r="W341" s="87"/>
      <c r="X341" s="87"/>
      <c r="Y341" s="87"/>
      <c r="Z341" s="87"/>
      <c r="AA341" s="87"/>
      <c r="AB341" s="85"/>
      <c r="AC341" s="87"/>
      <c r="AD341" s="87"/>
      <c r="AE341" s="87"/>
      <c r="AF341" s="87"/>
      <c r="AG341" s="87"/>
      <c r="AH341" s="87"/>
      <c r="AI341" s="87"/>
      <c r="AJ341" s="85"/>
      <c r="AK341" s="85"/>
      <c r="AL341" s="85"/>
      <c r="AM341" s="85"/>
      <c r="AT341" s="54"/>
      <c r="AU341" s="54"/>
      <c r="AV341" s="54"/>
      <c r="AW341" s="72"/>
      <c r="AX341" s="71"/>
      <c r="AY341" s="71"/>
      <c r="AZ341" s="71"/>
      <c r="BA341" s="71"/>
    </row>
    <row r="342" spans="1:53" x14ac:dyDescent="0.2">
      <c r="A342" s="746" t="s">
        <v>165</v>
      </c>
      <c r="B342" s="746"/>
      <c r="C342" s="746"/>
      <c r="D342" s="746"/>
      <c r="E342" s="747"/>
      <c r="F342" s="748" t="str">
        <f>IF(J357=1,B349,IF(J357=2,B350,IF(J357=3,B351,IF(J357=4,B352,"Winner Match 2"))))</f>
        <v>C1VB 15 Regional Grvl</v>
      </c>
      <c r="G342" s="749"/>
      <c r="H342" s="749"/>
      <c r="I342" s="749"/>
      <c r="J342" s="749"/>
      <c r="K342" s="749"/>
      <c r="L342" s="749"/>
      <c r="M342" s="749"/>
      <c r="N342" s="749"/>
      <c r="O342" s="88"/>
      <c r="Q342" s="95"/>
      <c r="R342" s="95"/>
      <c r="S342" s="85"/>
      <c r="T342" s="108"/>
      <c r="U342" s="108"/>
      <c r="V342" s="108"/>
      <c r="W342" s="108"/>
      <c r="X342" s="108"/>
      <c r="Y342" s="108"/>
      <c r="Z342" s="108"/>
      <c r="AA342" s="108"/>
      <c r="AB342" s="85"/>
      <c r="AC342" s="86"/>
      <c r="AD342" s="86"/>
      <c r="AE342" s="86"/>
      <c r="AF342" s="86"/>
      <c r="AG342" s="86"/>
      <c r="AH342" s="86"/>
      <c r="AI342" s="86"/>
      <c r="AJ342" s="85"/>
      <c r="AK342" s="85"/>
      <c r="AL342" s="85"/>
      <c r="AM342" s="85"/>
      <c r="AT342" s="54"/>
      <c r="AU342" s="54"/>
      <c r="AV342" s="54"/>
      <c r="AW342" s="78"/>
      <c r="AX342" s="77"/>
      <c r="AY342" s="77"/>
      <c r="AZ342" s="77"/>
      <c r="BA342" s="77"/>
    </row>
    <row r="343" spans="1:53" ht="13.5" thickBot="1" x14ac:dyDescent="0.25">
      <c r="A343" s="736" t="str">
        <f>IF(G357=1,B349,IF(G357=2,B350,IF(G357=3,B351,IF(G357=4,B352,IF(OR(G357="B",G357="b"),"BYE","invalid")))))</f>
        <v>Augusta Elite 15U</v>
      </c>
      <c r="B343" s="736"/>
      <c r="C343" s="736"/>
      <c r="D343" s="736"/>
      <c r="E343" s="737"/>
      <c r="F343" s="91"/>
      <c r="G343" s="88"/>
      <c r="H343" s="88"/>
      <c r="I343" s="88"/>
      <c r="J343" s="184"/>
      <c r="K343" s="88"/>
      <c r="L343" s="88"/>
      <c r="M343" s="88"/>
      <c r="N343" s="88"/>
      <c r="O343" s="88"/>
      <c r="Q343" s="88"/>
      <c r="R343" s="88"/>
      <c r="S343" s="85"/>
      <c r="T343" s="86"/>
      <c r="U343" s="86"/>
      <c r="V343" s="86"/>
      <c r="W343" s="86"/>
      <c r="X343" s="86"/>
      <c r="Y343" s="86"/>
      <c r="Z343" s="86"/>
      <c r="AA343" s="86"/>
      <c r="AB343" s="86"/>
      <c r="AC343" s="85"/>
      <c r="AD343" s="85"/>
      <c r="AE343" s="85"/>
      <c r="AF343" s="85"/>
      <c r="AG343" s="85"/>
      <c r="AH343" s="85"/>
      <c r="AI343" s="85"/>
      <c r="AJ343" s="85"/>
      <c r="AK343" s="85"/>
      <c r="AL343" s="85"/>
      <c r="AM343" s="85"/>
      <c r="AT343" s="54"/>
      <c r="AU343" s="54"/>
      <c r="AV343" s="54"/>
      <c r="AW343" s="78"/>
      <c r="AX343" s="77"/>
      <c r="AY343" s="77"/>
      <c r="AZ343" s="77"/>
      <c r="BA343" s="77"/>
    </row>
    <row r="344" spans="1:53" x14ac:dyDescent="0.2">
      <c r="A344" s="738" t="s">
        <v>166</v>
      </c>
      <c r="B344" s="738"/>
      <c r="C344" s="738"/>
      <c r="D344" s="738"/>
      <c r="E344" s="738"/>
      <c r="S344" s="85"/>
      <c r="T344" s="94"/>
      <c r="U344" s="94"/>
      <c r="V344" s="94"/>
      <c r="W344" s="94"/>
      <c r="X344" s="94"/>
      <c r="Y344" s="94"/>
      <c r="Z344" s="94"/>
      <c r="AA344" s="94"/>
      <c r="AB344" s="94"/>
      <c r="AC344" s="85"/>
      <c r="AD344" s="85"/>
      <c r="AE344" s="85"/>
      <c r="AF344" s="85"/>
      <c r="AG344" s="85"/>
      <c r="AH344" s="85"/>
      <c r="AI344" s="85"/>
      <c r="AJ344" s="85"/>
      <c r="AK344" s="85"/>
      <c r="AL344" s="85"/>
      <c r="AM344" s="85"/>
      <c r="AT344" s="54"/>
      <c r="AU344" s="54"/>
      <c r="AV344" s="54"/>
      <c r="AW344" s="65"/>
      <c r="AX344" s="61"/>
      <c r="AY344" s="61"/>
      <c r="AZ344" s="61"/>
      <c r="BA344" s="61"/>
    </row>
    <row r="345" spans="1:53" x14ac:dyDescent="0.2">
      <c r="S345" s="85"/>
      <c r="T345" s="85"/>
      <c r="U345" s="85"/>
      <c r="V345" s="85"/>
      <c r="W345" s="85"/>
      <c r="X345" s="85"/>
      <c r="Y345" s="85"/>
      <c r="Z345" s="85"/>
      <c r="AA345" s="85"/>
      <c r="AB345" s="85"/>
      <c r="AC345" s="85"/>
      <c r="AD345" s="85"/>
      <c r="AE345" s="85"/>
      <c r="AF345" s="85"/>
      <c r="AG345" s="85"/>
      <c r="AH345" s="85"/>
      <c r="AI345" s="85"/>
      <c r="AJ345" s="85"/>
      <c r="AK345" s="85"/>
      <c r="AL345" s="85"/>
      <c r="AM345" s="85"/>
      <c r="AT345" s="54"/>
      <c r="AU345" s="54"/>
      <c r="AV345" s="54"/>
      <c r="AW345" s="65"/>
      <c r="AX345" s="61"/>
      <c r="AY345" s="61"/>
      <c r="AZ345" s="61"/>
      <c r="BA345" s="61"/>
    </row>
    <row r="346" spans="1:53" x14ac:dyDescent="0.2">
      <c r="S346" s="85"/>
      <c r="T346" s="85"/>
      <c r="U346" s="85"/>
      <c r="V346" s="85"/>
      <c r="W346" s="85"/>
      <c r="X346" s="85"/>
      <c r="Y346" s="85"/>
      <c r="Z346" s="85"/>
      <c r="AA346" s="85"/>
      <c r="AB346" s="85"/>
      <c r="AC346" s="85"/>
      <c r="AD346" s="85"/>
      <c r="AE346" s="85"/>
      <c r="AF346" s="85"/>
      <c r="AG346" s="85"/>
      <c r="AH346" s="85"/>
      <c r="AI346" s="85"/>
      <c r="AJ346" s="85"/>
      <c r="AK346" s="85"/>
      <c r="AL346" s="85"/>
      <c r="AM346" s="85"/>
      <c r="AT346" s="54"/>
      <c r="AU346" s="54"/>
      <c r="AV346" s="54"/>
    </row>
    <row r="347" spans="1:53" ht="16.5" thickBot="1" x14ac:dyDescent="0.3">
      <c r="A347" s="740" t="s">
        <v>167</v>
      </c>
      <c r="B347" s="740"/>
      <c r="C347" s="740"/>
      <c r="D347" s="740"/>
      <c r="E347" s="740"/>
      <c r="F347" s="740"/>
      <c r="G347" s="740"/>
      <c r="H347" s="740"/>
      <c r="I347" s="740"/>
      <c r="J347" s="740"/>
      <c r="K347" s="169"/>
      <c r="R347" s="82"/>
      <c r="S347" s="147"/>
      <c r="T347" s="147"/>
      <c r="U347" s="112"/>
      <c r="V347" s="112"/>
      <c r="W347" s="112"/>
      <c r="X347" s="112"/>
      <c r="Y347" s="112"/>
      <c r="Z347" s="112"/>
      <c r="AA347" s="112"/>
      <c r="AB347" s="112"/>
      <c r="AC347" s="112"/>
      <c r="AD347" s="112"/>
      <c r="AE347" s="112"/>
      <c r="AF347" s="112"/>
      <c r="AG347" s="85"/>
      <c r="AH347" s="85"/>
      <c r="AI347" s="85"/>
      <c r="AJ347" s="85"/>
      <c r="AK347" s="85"/>
      <c r="AL347" s="85"/>
      <c r="AM347" s="85"/>
      <c r="AT347" s="54"/>
      <c r="AU347" s="54"/>
      <c r="AV347" s="54"/>
    </row>
    <row r="348" spans="1:53" ht="13.5" thickBot="1" x14ac:dyDescent="0.25">
      <c r="A348" s="113" t="s">
        <v>125</v>
      </c>
      <c r="B348" s="730" t="s">
        <v>126</v>
      </c>
      <c r="C348" s="731"/>
      <c r="D348" s="731"/>
      <c r="E348" s="731"/>
      <c r="F348" s="731"/>
      <c r="G348" s="731"/>
      <c r="H348" s="731"/>
      <c r="I348" s="731"/>
      <c r="J348" s="732"/>
      <c r="K348" s="733" t="s">
        <v>127</v>
      </c>
      <c r="L348" s="734"/>
      <c r="M348" s="734"/>
      <c r="N348" s="734"/>
      <c r="O348" s="734"/>
      <c r="P348" s="734"/>
      <c r="Q348" s="735"/>
      <c r="R348" s="88"/>
      <c r="S348" s="85"/>
      <c r="T348" s="85"/>
      <c r="U348" s="86"/>
      <c r="V348" s="86"/>
      <c r="W348" s="86"/>
      <c r="X348" s="86"/>
      <c r="Y348" s="85"/>
      <c r="Z348" s="85"/>
      <c r="AA348" s="85"/>
      <c r="AB348" s="85"/>
      <c r="AC348" s="85"/>
      <c r="AD348" s="85"/>
      <c r="AE348" s="85"/>
      <c r="AF348" s="85"/>
      <c r="AG348" s="85"/>
      <c r="AH348" s="85"/>
      <c r="AI348" s="85"/>
      <c r="AJ348" s="85"/>
      <c r="AK348" s="85"/>
      <c r="AL348" s="85"/>
      <c r="AM348" s="85"/>
      <c r="AT348" s="54"/>
      <c r="AU348" s="54"/>
      <c r="AV348" s="54"/>
    </row>
    <row r="349" spans="1:53" ht="13.5" thickBot="1" x14ac:dyDescent="0.25">
      <c r="A349" s="113">
        <v>1</v>
      </c>
      <c r="B349" s="712" t="str">
        <f>X271</f>
        <v>Foothills 15 CJ</v>
      </c>
      <c r="C349" s="713"/>
      <c r="D349" s="713"/>
      <c r="E349" s="713"/>
      <c r="F349" s="713"/>
      <c r="G349" s="713"/>
      <c r="H349" s="713"/>
      <c r="I349" s="713"/>
      <c r="J349" s="714"/>
      <c r="K349" s="715" t="str">
        <f>AF271</f>
        <v>fj5footh1pm</v>
      </c>
      <c r="L349" s="716"/>
      <c r="M349" s="716"/>
      <c r="N349" s="716"/>
      <c r="O349" s="716"/>
      <c r="P349" s="716"/>
      <c r="Q349" s="717"/>
      <c r="R349" s="88"/>
      <c r="S349" s="85"/>
      <c r="T349" s="85"/>
      <c r="U349" s="86"/>
      <c r="V349" s="86"/>
      <c r="W349" s="86"/>
      <c r="X349" s="87"/>
      <c r="Y349" s="87"/>
      <c r="Z349" s="87"/>
      <c r="AA349" s="87"/>
      <c r="AB349" s="87"/>
      <c r="AC349" s="87"/>
      <c r="AD349" s="87"/>
      <c r="AE349" s="87"/>
      <c r="AF349" s="87"/>
      <c r="AG349" s="85"/>
      <c r="AH349" s="85"/>
      <c r="AI349" s="85"/>
      <c r="AJ349" s="85"/>
      <c r="AK349" s="85"/>
      <c r="AL349" s="85"/>
      <c r="AM349" s="85"/>
      <c r="AT349" s="54"/>
      <c r="AU349" s="54"/>
      <c r="AV349" s="54"/>
    </row>
    <row r="350" spans="1:53" ht="13.5" thickBot="1" x14ac:dyDescent="0.25">
      <c r="A350" s="113">
        <v>2</v>
      </c>
      <c r="B350" s="712" t="str">
        <f>AH264</f>
        <v>C1VB 15 Regional Grvl</v>
      </c>
      <c r="C350" s="713"/>
      <c r="D350" s="713"/>
      <c r="E350" s="713"/>
      <c r="F350" s="713"/>
      <c r="G350" s="713"/>
      <c r="H350" s="713"/>
      <c r="I350" s="713"/>
      <c r="J350" s="714"/>
      <c r="K350" s="715" t="str">
        <f>AK264</f>
        <v>fj5crone4pm</v>
      </c>
      <c r="L350" s="716"/>
      <c r="M350" s="716"/>
      <c r="N350" s="716"/>
      <c r="O350" s="716"/>
      <c r="P350" s="716"/>
      <c r="Q350" s="717"/>
      <c r="R350" s="88"/>
      <c r="S350" s="85"/>
      <c r="T350" s="85"/>
      <c r="U350" s="86"/>
      <c r="V350" s="86"/>
      <c r="W350" s="86"/>
      <c r="X350" s="87"/>
      <c r="Y350" s="87"/>
      <c r="Z350" s="87"/>
      <c r="AA350" s="87"/>
      <c r="AB350" s="87"/>
      <c r="AC350" s="87"/>
      <c r="AD350" s="87"/>
      <c r="AE350" s="87"/>
      <c r="AF350" s="87"/>
      <c r="AG350" s="85"/>
      <c r="AH350" s="85"/>
      <c r="AI350" s="85"/>
      <c r="AJ350" s="85"/>
      <c r="AK350" s="85"/>
      <c r="AL350" s="85"/>
      <c r="AM350" s="85"/>
      <c r="AT350" s="54"/>
      <c r="AU350" s="54"/>
      <c r="AV350" s="54"/>
    </row>
    <row r="351" spans="1:53" ht="13.5" thickBot="1" x14ac:dyDescent="0.25">
      <c r="A351" s="113">
        <v>3</v>
      </c>
      <c r="B351" s="712" t="str">
        <f>AH265</f>
        <v>Augusta Elite 15U</v>
      </c>
      <c r="C351" s="713"/>
      <c r="D351" s="713"/>
      <c r="E351" s="713"/>
      <c r="F351" s="713"/>
      <c r="G351" s="713"/>
      <c r="H351" s="713"/>
      <c r="I351" s="713"/>
      <c r="J351" s="714"/>
      <c r="K351" s="715" t="str">
        <f>AK265</f>
        <v>fj5aelit1pm</v>
      </c>
      <c r="L351" s="716"/>
      <c r="M351" s="716"/>
      <c r="N351" s="716"/>
      <c r="O351" s="716"/>
      <c r="P351" s="716"/>
      <c r="Q351" s="717"/>
      <c r="R351" s="88"/>
      <c r="S351" s="85"/>
      <c r="T351" s="85"/>
      <c r="U351" s="86"/>
      <c r="V351" s="86"/>
      <c r="W351" s="86"/>
      <c r="X351" s="87"/>
      <c r="Y351" s="87"/>
      <c r="Z351" s="87"/>
      <c r="AA351" s="87"/>
      <c r="AB351" s="87"/>
      <c r="AC351" s="87"/>
      <c r="AD351" s="87"/>
      <c r="AE351" s="87"/>
      <c r="AF351" s="87"/>
      <c r="AG351" s="85"/>
      <c r="AH351" s="85"/>
      <c r="AI351" s="85"/>
      <c r="AJ351" s="85"/>
      <c r="AK351" s="85"/>
      <c r="AL351" s="85"/>
      <c r="AM351" s="85"/>
      <c r="AT351" s="54"/>
      <c r="AU351" s="54"/>
      <c r="AV351" s="54"/>
    </row>
    <row r="352" spans="1:53" ht="13.5" thickBot="1" x14ac:dyDescent="0.25">
      <c r="A352" s="113">
        <v>4</v>
      </c>
      <c r="B352" s="712" t="str">
        <f>AH266</f>
        <v>SC Midlands 15 Black</v>
      </c>
      <c r="C352" s="713"/>
      <c r="D352" s="713"/>
      <c r="E352" s="713"/>
      <c r="F352" s="713"/>
      <c r="G352" s="713"/>
      <c r="H352" s="713"/>
      <c r="I352" s="713"/>
      <c r="J352" s="714"/>
      <c r="K352" s="715" t="str">
        <f>AK266</f>
        <v>fj5scmid3pm</v>
      </c>
      <c r="L352" s="716"/>
      <c r="M352" s="716"/>
      <c r="N352" s="716"/>
      <c r="O352" s="716"/>
      <c r="P352" s="716"/>
      <c r="Q352" s="717"/>
      <c r="R352" s="88"/>
      <c r="S352" s="85"/>
      <c r="T352" s="85"/>
      <c r="U352" s="86"/>
      <c r="V352" s="86"/>
      <c r="W352" s="86"/>
      <c r="X352" s="87"/>
      <c r="Y352" s="87"/>
      <c r="Z352" s="87"/>
      <c r="AA352" s="87"/>
      <c r="AB352" s="87"/>
      <c r="AC352" s="87"/>
      <c r="AD352" s="87"/>
      <c r="AE352" s="87"/>
      <c r="AF352" s="87"/>
      <c r="AG352" s="85"/>
      <c r="AH352" s="85"/>
      <c r="AI352" s="85"/>
      <c r="AJ352" s="85"/>
      <c r="AK352" s="85"/>
      <c r="AL352" s="85"/>
      <c r="AM352" s="85"/>
      <c r="AT352" s="54"/>
      <c r="AU352" s="54"/>
      <c r="AV352" s="54"/>
    </row>
    <row r="353" spans="1:68" ht="13.5" thickBot="1" x14ac:dyDescent="0.25">
      <c r="S353" s="85"/>
      <c r="T353" s="85"/>
      <c r="U353" s="85"/>
      <c r="V353" s="85"/>
      <c r="W353" s="85"/>
      <c r="X353" s="85"/>
      <c r="Y353" s="85"/>
      <c r="Z353" s="85"/>
      <c r="AA353" s="85"/>
      <c r="AB353" s="85"/>
      <c r="AC353" s="85"/>
      <c r="AD353" s="85"/>
      <c r="AE353" s="85"/>
      <c r="AF353" s="85"/>
      <c r="AG353" s="85"/>
      <c r="AH353" s="85"/>
      <c r="AI353" s="85"/>
      <c r="AJ353" s="85"/>
      <c r="AK353" s="85"/>
      <c r="AL353" s="85"/>
      <c r="AM353" s="85"/>
      <c r="AT353" s="54"/>
      <c r="AU353" s="54"/>
      <c r="AV353" s="54"/>
    </row>
    <row r="354" spans="1:68" x14ac:dyDescent="0.2">
      <c r="B354" s="721" t="s">
        <v>128</v>
      </c>
      <c r="C354" s="693"/>
      <c r="D354" s="694"/>
      <c r="E354" s="692" t="s">
        <v>128</v>
      </c>
      <c r="F354" s="693"/>
      <c r="G354" s="694"/>
      <c r="H354" s="692" t="s">
        <v>11</v>
      </c>
      <c r="I354" s="693"/>
      <c r="J354" s="695"/>
      <c r="K354" s="696" t="s">
        <v>129</v>
      </c>
      <c r="L354" s="722"/>
      <c r="M354" s="722"/>
      <c r="N354" s="722"/>
      <c r="O354" s="722"/>
      <c r="P354" s="722"/>
      <c r="Q354" s="723"/>
      <c r="S354" s="85"/>
      <c r="T354" s="85"/>
      <c r="U354" s="85"/>
      <c r="V354" s="85"/>
      <c r="W354" s="85"/>
      <c r="X354" s="114"/>
      <c r="Y354" s="114"/>
      <c r="Z354" s="114"/>
      <c r="AA354" s="114"/>
      <c r="AB354" s="114"/>
      <c r="AC354" s="114"/>
      <c r="AD354" s="114"/>
      <c r="AE354" s="114"/>
      <c r="AF354" s="114"/>
      <c r="AG354" s="85"/>
      <c r="AH354" s="85"/>
      <c r="AI354" s="85"/>
      <c r="AJ354" s="85"/>
      <c r="AK354" s="85"/>
      <c r="AL354" s="85"/>
      <c r="AM354" s="85"/>
      <c r="AT354" s="54"/>
      <c r="AU354" s="54"/>
      <c r="AV354" s="54"/>
    </row>
    <row r="355" spans="1:68" x14ac:dyDescent="0.2">
      <c r="A355" s="41" t="s">
        <v>130</v>
      </c>
      <c r="B355" s="705">
        <v>3</v>
      </c>
      <c r="C355" s="706"/>
      <c r="D355" s="707"/>
      <c r="E355" s="708" t="s">
        <v>131</v>
      </c>
      <c r="F355" s="706"/>
      <c r="G355" s="707"/>
      <c r="H355" s="708" t="s">
        <v>132</v>
      </c>
      <c r="I355" s="706"/>
      <c r="J355" s="709"/>
      <c r="K355" s="724"/>
      <c r="L355" s="725"/>
      <c r="M355" s="725"/>
      <c r="N355" s="725"/>
      <c r="O355" s="725"/>
      <c r="P355" s="725"/>
      <c r="Q355" s="726"/>
      <c r="S355" s="85"/>
      <c r="T355" s="85"/>
      <c r="U355" s="85"/>
      <c r="V355" s="85"/>
      <c r="W355" s="185"/>
      <c r="X355" s="115"/>
      <c r="Y355" s="115"/>
      <c r="Z355" s="115"/>
      <c r="AA355" s="115"/>
      <c r="AB355" s="115"/>
      <c r="AC355" s="115"/>
      <c r="AD355" s="115"/>
      <c r="AE355" s="115"/>
      <c r="AF355" s="115"/>
      <c r="AG355" s="85"/>
      <c r="AH355" s="85"/>
      <c r="AI355" s="85"/>
      <c r="AJ355" s="85"/>
      <c r="AK355" s="85"/>
      <c r="AL355" s="85"/>
      <c r="AM355" s="85"/>
      <c r="AT355" s="61"/>
      <c r="AU355" s="61"/>
      <c r="AV355" s="61"/>
    </row>
    <row r="356" spans="1:68" ht="13.5" thickBot="1" x14ac:dyDescent="0.25">
      <c r="A356" s="11"/>
      <c r="B356" s="690" t="s">
        <v>43</v>
      </c>
      <c r="C356" s="685"/>
      <c r="D356" s="691"/>
      <c r="E356" s="684" t="s">
        <v>133</v>
      </c>
      <c r="F356" s="685"/>
      <c r="G356" s="691"/>
      <c r="H356" s="684" t="s">
        <v>134</v>
      </c>
      <c r="I356" s="685"/>
      <c r="J356" s="686"/>
      <c r="K356" s="727"/>
      <c r="L356" s="728"/>
      <c r="M356" s="728"/>
      <c r="N356" s="728"/>
      <c r="O356" s="728"/>
      <c r="P356" s="728"/>
      <c r="Q356" s="729"/>
      <c r="S356" s="85"/>
      <c r="T356" s="85"/>
      <c r="U356" s="86"/>
      <c r="V356" s="86"/>
      <c r="W356" s="86"/>
      <c r="X356" s="116"/>
      <c r="Y356" s="116"/>
      <c r="Z356" s="116"/>
      <c r="AA356" s="116"/>
      <c r="AB356" s="116"/>
      <c r="AC356" s="116"/>
      <c r="AD356" s="116"/>
      <c r="AE356" s="116"/>
      <c r="AF356" s="116"/>
      <c r="AG356" s="85"/>
      <c r="AH356" s="85"/>
      <c r="AI356" s="85"/>
      <c r="AJ356" s="85"/>
      <c r="AK356" s="85"/>
      <c r="AL356" s="85"/>
      <c r="AM356" s="85"/>
      <c r="AT356" s="61"/>
      <c r="AU356" s="61"/>
      <c r="AV356" s="61"/>
    </row>
    <row r="357" spans="1:68" ht="13.5" thickBot="1" x14ac:dyDescent="0.25">
      <c r="A357" s="11"/>
      <c r="B357" s="117">
        <v>1</v>
      </c>
      <c r="C357" s="118" t="s">
        <v>51</v>
      </c>
      <c r="D357" s="119">
        <v>4</v>
      </c>
      <c r="E357" s="120">
        <v>2</v>
      </c>
      <c r="F357" s="118" t="s">
        <v>51</v>
      </c>
      <c r="G357" s="119">
        <v>3</v>
      </c>
      <c r="H357" s="121">
        <f>IF(OR(AND(OR(B361&gt;0,D361&gt;0),B361&gt;D361),OR(D357="b",D357="B")),B357,IF(OR(AND(OR(B361&gt;0,D361&gt;0),D361&gt;B361),OR(B357="b",B357="B")),D357,"W1"))</f>
        <v>1</v>
      </c>
      <c r="I357" s="122" t="s">
        <v>51</v>
      </c>
      <c r="J357" s="123">
        <f>IF(OR(AND(OR(E361&gt;0,G361&gt;0),E361&gt;G361),OR(G357="b",G357="B")),E357,IF(OR(AND(OR(E361&gt;0,G361&gt;0),G361&gt;E361),OR(E357="b",E357="B")),G357,"W2"))</f>
        <v>2</v>
      </c>
      <c r="K357" s="687" t="s">
        <v>135</v>
      </c>
      <c r="L357" s="688"/>
      <c r="M357" s="688"/>
      <c r="N357" s="689"/>
      <c r="S357" s="85"/>
      <c r="T357" s="85"/>
      <c r="U357" s="86"/>
      <c r="V357" s="86"/>
      <c r="W357" s="86"/>
      <c r="X357" s="128"/>
      <c r="Y357" s="126"/>
      <c r="Z357" s="127"/>
      <c r="AA357" s="128"/>
      <c r="AB357" s="126"/>
      <c r="AC357" s="127"/>
      <c r="AD357" s="128"/>
      <c r="AE357" s="126"/>
      <c r="AF357" s="127"/>
      <c r="AG357" s="116"/>
      <c r="AH357" s="116"/>
      <c r="AI357" s="85"/>
      <c r="AJ357" s="85"/>
      <c r="AK357" s="85"/>
      <c r="AL357" s="85"/>
      <c r="AM357" s="85"/>
    </row>
    <row r="358" spans="1:68" ht="12.75" hidden="1" customHeight="1" thickBot="1" x14ac:dyDescent="0.25">
      <c r="A358" s="11"/>
      <c r="B358" s="129">
        <f>IF(B362&gt;D362,1,0)</f>
        <v>1</v>
      </c>
      <c r="C358" s="130"/>
      <c r="D358" s="131">
        <f>IF(D362&gt;B362,1,0)</f>
        <v>0</v>
      </c>
      <c r="E358" s="129">
        <f>IF(E362&gt;G362,1,0)</f>
        <v>1</v>
      </c>
      <c r="F358" s="130"/>
      <c r="G358" s="131">
        <f>IF(G362&gt;E362,1,0)</f>
        <v>0</v>
      </c>
      <c r="H358" s="129">
        <f>IF(H362&gt;J362,1,0)</f>
        <v>1</v>
      </c>
      <c r="I358" s="130"/>
      <c r="J358" s="131">
        <f>IF(J362&gt;H362,1,0)</f>
        <v>0</v>
      </c>
      <c r="K358" s="132"/>
      <c r="L358" s="133"/>
      <c r="M358" s="133"/>
      <c r="N358" s="134"/>
      <c r="S358" s="85"/>
      <c r="T358" s="85"/>
      <c r="U358" s="86"/>
      <c r="V358" s="86"/>
      <c r="W358" s="86"/>
      <c r="X358" s="139"/>
      <c r="Y358" s="90"/>
      <c r="Z358" s="140"/>
      <c r="AA358" s="139"/>
      <c r="AB358" s="90"/>
      <c r="AC358" s="140"/>
      <c r="AD358" s="139"/>
      <c r="AE358" s="90"/>
      <c r="AF358" s="140"/>
      <c r="AG358" s="186"/>
      <c r="AH358" s="186"/>
      <c r="AI358" s="85"/>
      <c r="AJ358" s="85"/>
      <c r="AK358" s="85"/>
      <c r="AL358" s="85"/>
      <c r="AM358" s="85"/>
    </row>
    <row r="359" spans="1:68" ht="12.75" hidden="1" customHeight="1" thickBot="1" x14ac:dyDescent="0.25">
      <c r="A359" s="11"/>
      <c r="B359" s="129">
        <f>IF(B363&gt;D363,1,0)</f>
        <v>0</v>
      </c>
      <c r="C359" s="130"/>
      <c r="D359" s="131">
        <f>IF(D363&gt;B363,1,0)</f>
        <v>0</v>
      </c>
      <c r="E359" s="129">
        <f>IF(E363&gt;G363,1,0)</f>
        <v>0</v>
      </c>
      <c r="F359" s="130"/>
      <c r="G359" s="131">
        <f>IF(G363&gt;E363,1,0)</f>
        <v>0</v>
      </c>
      <c r="H359" s="129">
        <f>IF(H363&gt;J363,1,0)</f>
        <v>1</v>
      </c>
      <c r="I359" s="130"/>
      <c r="J359" s="131">
        <f>IF(J363&gt;H363,1,0)</f>
        <v>0</v>
      </c>
      <c r="K359" s="132"/>
      <c r="L359" s="133"/>
      <c r="M359" s="133"/>
      <c r="N359" s="134"/>
      <c r="S359" s="85"/>
      <c r="T359" s="85"/>
      <c r="U359" s="86"/>
      <c r="V359" s="86"/>
      <c r="W359" s="86"/>
      <c r="X359" s="139"/>
      <c r="Y359" s="90"/>
      <c r="Z359" s="140"/>
      <c r="AA359" s="139"/>
      <c r="AB359" s="90"/>
      <c r="AC359" s="140"/>
      <c r="AD359" s="139"/>
      <c r="AE359" s="90"/>
      <c r="AF359" s="140"/>
      <c r="AG359" s="186"/>
      <c r="AH359" s="186"/>
      <c r="AI359" s="85"/>
      <c r="AJ359" s="85"/>
      <c r="AK359" s="85"/>
      <c r="AL359" s="85"/>
      <c r="AM359" s="85"/>
    </row>
    <row r="360" spans="1:68" ht="13.5" hidden="1" customHeight="1" thickBot="1" x14ac:dyDescent="0.25">
      <c r="A360" s="11"/>
      <c r="B360" s="129">
        <f>IF(B364&gt;D364,1,0)</f>
        <v>0</v>
      </c>
      <c r="C360" s="130"/>
      <c r="D360" s="131">
        <f>IF(D364&gt;B364,1,0)</f>
        <v>0</v>
      </c>
      <c r="E360" s="129">
        <f>IF(E364&gt;G364,1,0)</f>
        <v>0</v>
      </c>
      <c r="F360" s="130"/>
      <c r="G360" s="131">
        <f>IF(G364&gt;E364,1,0)</f>
        <v>0</v>
      </c>
      <c r="H360" s="129">
        <f>IF(H364&gt;J364,1,0)</f>
        <v>0</v>
      </c>
      <c r="I360" s="130"/>
      <c r="J360" s="131">
        <f>IF(J364&gt;H364,1,0)</f>
        <v>0</v>
      </c>
      <c r="K360" s="132"/>
      <c r="L360" s="133"/>
      <c r="M360" s="133"/>
      <c r="N360" s="134"/>
      <c r="S360" s="85"/>
      <c r="T360" s="85"/>
      <c r="U360" s="86"/>
      <c r="V360" s="86"/>
      <c r="W360" s="86"/>
      <c r="X360" s="139"/>
      <c r="Y360" s="90"/>
      <c r="Z360" s="140"/>
      <c r="AA360" s="139"/>
      <c r="AB360" s="90"/>
      <c r="AC360" s="140"/>
      <c r="AD360" s="139"/>
      <c r="AE360" s="90"/>
      <c r="AF360" s="140"/>
      <c r="AG360" s="186"/>
      <c r="AH360" s="186"/>
      <c r="AI360" s="85"/>
      <c r="AJ360" s="85"/>
      <c r="AK360" s="85"/>
      <c r="AL360" s="85"/>
      <c r="AM360" s="85"/>
    </row>
    <row r="361" spans="1:68" ht="13.5" hidden="1" thickBot="1" x14ac:dyDescent="0.25">
      <c r="A361" s="11"/>
      <c r="B361" s="129">
        <f>SUM(B358:B360)</f>
        <v>1</v>
      </c>
      <c r="C361" s="130"/>
      <c r="D361" s="129">
        <f>SUM(D358:D360)</f>
        <v>0</v>
      </c>
      <c r="E361" s="129">
        <f>SUM(E358:E360)</f>
        <v>1</v>
      </c>
      <c r="F361" s="130"/>
      <c r="G361" s="129">
        <f>SUM(G358:G360)</f>
        <v>0</v>
      </c>
      <c r="H361" s="129">
        <f>SUM(H358:H360)</f>
        <v>2</v>
      </c>
      <c r="I361" s="130"/>
      <c r="J361" s="129">
        <f>SUM(J358:J360)</f>
        <v>0</v>
      </c>
      <c r="K361" s="132"/>
      <c r="L361" s="133"/>
      <c r="M361" s="133"/>
      <c r="N361" s="134"/>
      <c r="S361" s="85"/>
      <c r="T361" s="85"/>
      <c r="U361" s="86"/>
      <c r="V361" s="86"/>
      <c r="W361" s="86"/>
      <c r="X361" s="86"/>
      <c r="Y361" s="86"/>
      <c r="Z361" s="86"/>
      <c r="AA361" s="86"/>
      <c r="AB361" s="86"/>
      <c r="AC361" s="86"/>
      <c r="AD361" s="86"/>
      <c r="AE361" s="86"/>
      <c r="AF361" s="86"/>
      <c r="AG361" s="86"/>
      <c r="AH361" s="86"/>
      <c r="AI361" s="85"/>
      <c r="AJ361" s="85"/>
      <c r="AK361" s="85"/>
      <c r="AL361" s="85"/>
      <c r="AM361" s="85"/>
    </row>
    <row r="362" spans="1:68" x14ac:dyDescent="0.2">
      <c r="A362" s="9" t="s">
        <v>52</v>
      </c>
      <c r="B362" s="135">
        <v>25</v>
      </c>
      <c r="C362" s="50" t="s">
        <v>53</v>
      </c>
      <c r="D362" s="136">
        <v>21</v>
      </c>
      <c r="E362" s="137">
        <v>25</v>
      </c>
      <c r="F362" s="50" t="s">
        <v>53</v>
      </c>
      <c r="G362" s="136">
        <v>20</v>
      </c>
      <c r="H362" s="137">
        <v>26</v>
      </c>
      <c r="I362" s="50" t="s">
        <v>53</v>
      </c>
      <c r="J362" s="138">
        <v>24</v>
      </c>
      <c r="K362" s="673">
        <f>IF(AND(OR(H361&gt;0,J361&gt;0),AND(1&lt;=H357,H357&lt;=4),AND(1&lt;=J357,J357&lt;=4)),IF(H361&gt;J361,H357,IF(J361&gt;H361,J357,"")),"")</f>
        <v>1</v>
      </c>
      <c r="L362" s="674"/>
      <c r="M362" s="674"/>
      <c r="N362" s="675"/>
    </row>
    <row r="363" spans="1:68" x14ac:dyDescent="0.2">
      <c r="A363" s="9" t="s">
        <v>136</v>
      </c>
      <c r="B363" s="135"/>
      <c r="C363" s="50" t="s">
        <v>53</v>
      </c>
      <c r="D363" s="136"/>
      <c r="E363" s="137"/>
      <c r="F363" s="50" t="s">
        <v>53</v>
      </c>
      <c r="G363" s="136"/>
      <c r="H363" s="137">
        <v>25</v>
      </c>
      <c r="I363" s="50" t="s">
        <v>53</v>
      </c>
      <c r="J363" s="138">
        <v>14</v>
      </c>
      <c r="K363" s="676"/>
      <c r="L363" s="677"/>
      <c r="M363" s="677"/>
      <c r="N363" s="678"/>
    </row>
    <row r="364" spans="1:68" ht="13.5" thickBot="1" x14ac:dyDescent="0.25">
      <c r="A364" s="9" t="s">
        <v>137</v>
      </c>
      <c r="B364" s="141"/>
      <c r="C364" s="142" t="s">
        <v>53</v>
      </c>
      <c r="D364" s="143"/>
      <c r="E364" s="144"/>
      <c r="F364" s="142" t="s">
        <v>53</v>
      </c>
      <c r="G364" s="143"/>
      <c r="H364" s="144"/>
      <c r="I364" s="142" t="s">
        <v>53</v>
      </c>
      <c r="J364" s="145"/>
      <c r="K364" s="679"/>
      <c r="L364" s="680"/>
      <c r="M364" s="680"/>
      <c r="N364" s="681"/>
    </row>
    <row r="365" spans="1:68" hidden="1" x14ac:dyDescent="0.2">
      <c r="B365" s="3"/>
      <c r="C365" s="90" t="s">
        <v>87</v>
      </c>
      <c r="D365" s="3" t="s">
        <v>138</v>
      </c>
      <c r="E365" s="3"/>
      <c r="F365" s="90"/>
      <c r="G365" s="4" t="s">
        <v>139</v>
      </c>
      <c r="J365" s="4" t="s">
        <v>140</v>
      </c>
      <c r="AT365" s="4" t="str">
        <f>B366</f>
        <v>Foothills 15 CJ</v>
      </c>
      <c r="AU365" s="4">
        <f>J366</f>
        <v>2044.6070675484093</v>
      </c>
      <c r="BB365" s="62"/>
      <c r="BE365" s="146"/>
      <c r="BF365" s="54"/>
      <c r="BG365" s="54"/>
      <c r="BH365" s="146"/>
      <c r="BI365" s="54"/>
      <c r="BJ365" s="54"/>
      <c r="BK365" s="146"/>
      <c r="BL365" s="54"/>
      <c r="BM365" s="54"/>
      <c r="BN365" s="146"/>
      <c r="BO365" s="54"/>
      <c r="BP365" s="54"/>
    </row>
    <row r="366" spans="1:68" hidden="1" x14ac:dyDescent="0.2">
      <c r="A366" s="4">
        <v>1</v>
      </c>
      <c r="B366" s="4" t="str">
        <f>B349</f>
        <v>Foothills 15 CJ</v>
      </c>
      <c r="C366" s="4">
        <f>VLOOKUP(B366,AU$2:AY$22,4,FALSE)</f>
        <v>2025.2473010559765</v>
      </c>
      <c r="D366" s="4">
        <f>IF(A366=B357,B372,IF(A366=D357,D372,C366))</f>
        <v>2031.183878791476</v>
      </c>
      <c r="G366" s="4">
        <f>IF(A366=E357,E372,IF(A366=G357,G372,D366))</f>
        <v>2031.183878791476</v>
      </c>
      <c r="J366" s="4">
        <f>IF(A366=H357,H372,IF(A366=J357,J372,G366))</f>
        <v>2044.6070675484093</v>
      </c>
      <c r="AT366" s="4" t="str">
        <f>B367</f>
        <v>C1VB 15 Regional Grvl</v>
      </c>
      <c r="AU366" s="4">
        <f>J367</f>
        <v>1961.3145016263318</v>
      </c>
      <c r="BB366" s="62"/>
      <c r="BE366" s="146"/>
      <c r="BF366" s="54"/>
      <c r="BG366" s="54"/>
      <c r="BH366" s="146"/>
      <c r="BI366" s="54"/>
      <c r="BJ366" s="54"/>
      <c r="BK366" s="146"/>
      <c r="BL366" s="54"/>
      <c r="BM366" s="54"/>
      <c r="BN366" s="146"/>
      <c r="BO366" s="54"/>
      <c r="BP366" s="54"/>
    </row>
    <row r="367" spans="1:68" hidden="1" x14ac:dyDescent="0.2">
      <c r="A367" s="4">
        <v>2</v>
      </c>
      <c r="B367" s="4" t="str">
        <f>B350</f>
        <v>C1VB 15 Regional Grvl</v>
      </c>
      <c r="C367" s="4">
        <f>VLOOKUP(B367,AU$2:AY$22,4,FALSE)</f>
        <v>1967.648952916609</v>
      </c>
      <c r="D367" s="4">
        <f>IF(A367=B357,B372,IF(A367=D357,D372,C367))</f>
        <v>1967.648952916609</v>
      </c>
      <c r="G367" s="4">
        <f>IF(A367=E357,E372,IF(A367=G357,G372,D367))</f>
        <v>1974.7376903832651</v>
      </c>
      <c r="J367" s="4">
        <f>IF(A367=H357,H372,IF(A367=J357,J372,G367))</f>
        <v>1961.3145016263318</v>
      </c>
      <c r="AT367" s="4" t="str">
        <f>B368</f>
        <v>Augusta Elite 15U</v>
      </c>
      <c r="AU367" s="4">
        <f>J368</f>
        <v>1920.8120770077032</v>
      </c>
      <c r="BB367" s="62"/>
      <c r="BE367" s="146"/>
      <c r="BF367" s="54"/>
      <c r="BG367" s="54"/>
      <c r="BH367" s="146"/>
      <c r="BI367" s="54"/>
      <c r="BJ367" s="54"/>
      <c r="BK367" s="146"/>
      <c r="BL367" s="54"/>
      <c r="BM367" s="54"/>
      <c r="BN367" s="146"/>
      <c r="BO367" s="54"/>
      <c r="BP367" s="54"/>
    </row>
    <row r="368" spans="1:68" hidden="1" x14ac:dyDescent="0.2">
      <c r="A368" s="4">
        <v>3</v>
      </c>
      <c r="B368" s="4" t="str">
        <f>B351</f>
        <v>Augusta Elite 15U</v>
      </c>
      <c r="C368" s="4">
        <f>VLOOKUP(B368,AU$2:AY$22,4,FALSE)</f>
        <v>1927.9008144743593</v>
      </c>
      <c r="D368" s="4">
        <f>IF(A368=B357,B372,IF(A368=D357,D372,C368))</f>
        <v>1927.9008144743593</v>
      </c>
      <c r="G368" s="4">
        <f>IF(A368=E357,E372,IF(A368=G357,G372,D368))</f>
        <v>1920.8120770077032</v>
      </c>
      <c r="J368" s="4">
        <f>IF(A368=H357,H372,IF(A368=J357,J372,G368))</f>
        <v>1920.8120770077032</v>
      </c>
      <c r="AT368" s="4" t="str">
        <f>B369</f>
        <v>SC Midlands 15 Black</v>
      </c>
      <c r="AU368" s="4">
        <f>J369</f>
        <v>1927.6269084243409</v>
      </c>
      <c r="BB368" s="62"/>
      <c r="BE368" s="146"/>
      <c r="BF368" s="54"/>
      <c r="BG368" s="54"/>
      <c r="BH368" s="146"/>
      <c r="BI368" s="54"/>
      <c r="BJ368" s="54"/>
      <c r="BK368" s="146"/>
      <c r="BL368" s="54"/>
      <c r="BM368" s="54"/>
      <c r="BN368" s="146"/>
      <c r="BO368" s="54"/>
      <c r="BP368" s="54"/>
    </row>
    <row r="369" spans="1:68" hidden="1" x14ac:dyDescent="0.2">
      <c r="A369" s="4">
        <v>4</v>
      </c>
      <c r="B369" s="4" t="str">
        <f>B352</f>
        <v>SC Midlands 15 Black</v>
      </c>
      <c r="C369" s="4">
        <f>VLOOKUP(B369,AU$2:AY$22,4,FALSE)</f>
        <v>1933.5634861598403</v>
      </c>
      <c r="D369" s="4">
        <f>IF(A369=B357,B372,IF(A369=D357,D372,C369))</f>
        <v>1927.6269084243409</v>
      </c>
      <c r="G369" s="4">
        <f>IF(A369=E357,E372,IF(A369=G357,G372,D369))</f>
        <v>1927.6269084243409</v>
      </c>
      <c r="J369" s="4">
        <f>IF(A369=H357,H372,IF(A369=J357,J372,G369))</f>
        <v>1927.6269084243409</v>
      </c>
      <c r="AT369" s="4">
        <f>W366</f>
        <v>0</v>
      </c>
      <c r="AU369" s="4">
        <f>AE366</f>
        <v>0</v>
      </c>
      <c r="BB369" s="62"/>
      <c r="BE369" s="146"/>
      <c r="BF369" s="54"/>
      <c r="BG369" s="54"/>
      <c r="BH369" s="146"/>
      <c r="BI369" s="54"/>
      <c r="BJ369" s="54"/>
      <c r="BK369" s="146"/>
      <c r="BL369" s="54"/>
      <c r="BM369" s="54"/>
      <c r="BN369" s="146"/>
      <c r="BO369" s="54"/>
      <c r="BP369" s="54"/>
    </row>
    <row r="370" spans="1:68" hidden="1" x14ac:dyDescent="0.2">
      <c r="A370" s="4" t="s">
        <v>89</v>
      </c>
      <c r="B370" s="4">
        <f>VLOOKUP(B357,$A366:$J369,3,FALSE)</f>
        <v>2025.2473010559765</v>
      </c>
      <c r="D370" s="4">
        <f>VLOOKUP(D357,$A366:$J369,3,FALSE)</f>
        <v>1933.5634861598403</v>
      </c>
      <c r="E370" s="4">
        <f>VLOOKUP(E357,$A366:$J369,4,FALSE)</f>
        <v>1967.648952916609</v>
      </c>
      <c r="G370" s="4">
        <f>VLOOKUP(G357,$A366:$J369,4,FALSE)</f>
        <v>1927.9008144743593</v>
      </c>
      <c r="H370" s="4">
        <f>VLOOKUP(H357,$A366:$J369,7,FALSE)</f>
        <v>2031.183878791476</v>
      </c>
      <c r="J370" s="4">
        <f>VLOOKUP(J357,$A366:$J369,7,FALSE)</f>
        <v>1974.7376903832651</v>
      </c>
      <c r="AT370" s="4">
        <f>W367</f>
        <v>0</v>
      </c>
      <c r="AU370" s="4">
        <f>AE367</f>
        <v>0</v>
      </c>
      <c r="BB370" s="62"/>
      <c r="BE370" s="146"/>
      <c r="BF370" s="54"/>
      <c r="BG370" s="54"/>
      <c r="BH370" s="146"/>
      <c r="BI370" s="54"/>
      <c r="BJ370" s="54"/>
      <c r="BK370" s="146"/>
      <c r="BL370" s="54"/>
      <c r="BM370" s="54"/>
      <c r="BN370" s="146"/>
      <c r="BO370" s="54"/>
      <c r="BP370" s="54"/>
    </row>
    <row r="371" spans="1:68" hidden="1" x14ac:dyDescent="0.2">
      <c r="A371" s="68" t="s">
        <v>90</v>
      </c>
      <c r="B371" s="68">
        <f>1/(1+(10^-((B370-D370)/400)))*(B361+D361)</f>
        <v>0.62896389153127874</v>
      </c>
      <c r="C371" s="68"/>
      <c r="D371" s="68">
        <f>1/(1+(10^-((D370-B370)/400)))*(B361+D361)</f>
        <v>0.3710361084687212</v>
      </c>
      <c r="E371" s="68">
        <f>1/(1+(10^-((E370-G370)/400)))*(E361+G361)</f>
        <v>0.55695390833400116</v>
      </c>
      <c r="G371" s="68">
        <f>1/(1+(10^-((G370-E370)/400)))*(E361+G361)</f>
        <v>0.44304609166599884</v>
      </c>
      <c r="H371" s="68">
        <f>1/(1+(10^-((H370-J370)/400)))*(H361+J361)</f>
        <v>1.1610507026916717</v>
      </c>
      <c r="J371" s="68">
        <f>1/(1+(10^-((J370-H370)/400)))*(H361+J361)</f>
        <v>0.83894929730832835</v>
      </c>
      <c r="AT371" s="4">
        <f>W368</f>
        <v>0</v>
      </c>
      <c r="AU371" s="4">
        <f>AE368</f>
        <v>0</v>
      </c>
      <c r="AW371" s="146"/>
      <c r="AX371" s="54"/>
      <c r="AY371" s="54"/>
      <c r="AZ371" s="54"/>
      <c r="BA371" s="54"/>
      <c r="BB371" s="62"/>
      <c r="BE371" s="146"/>
      <c r="BF371" s="54"/>
      <c r="BG371" s="54"/>
      <c r="BH371" s="146"/>
      <c r="BI371" s="54"/>
      <c r="BJ371" s="54"/>
      <c r="BK371" s="146"/>
      <c r="BL371" s="54"/>
      <c r="BM371" s="54"/>
      <c r="BN371" s="146"/>
      <c r="BO371" s="54"/>
      <c r="BP371" s="54"/>
    </row>
    <row r="372" spans="1:68" hidden="1" x14ac:dyDescent="0.2">
      <c r="A372" s="74" t="s">
        <v>91</v>
      </c>
      <c r="B372" s="74">
        <f>B370+(B361-B371)*$BA$2</f>
        <v>2031.183878791476</v>
      </c>
      <c r="C372" s="74"/>
      <c r="D372" s="74">
        <f>D370+(D361-D371)*$BA$2</f>
        <v>1927.6269084243409</v>
      </c>
      <c r="E372" s="74">
        <f>E370+(E361-E371)*$BA$2</f>
        <v>1974.7376903832651</v>
      </c>
      <c r="G372" s="74">
        <f>G370+(G361-G371)*$BA$2</f>
        <v>1920.8120770077032</v>
      </c>
      <c r="H372" s="74">
        <f>H370+(H361-H371)*$BA$2</f>
        <v>2044.6070675484093</v>
      </c>
      <c r="J372" s="74">
        <f>J370+(J361-J371)*$BA$2</f>
        <v>1961.3145016263318</v>
      </c>
      <c r="AT372" s="4">
        <f>W369</f>
        <v>0</v>
      </c>
      <c r="AU372" s="4">
        <f>AE369</f>
        <v>0</v>
      </c>
      <c r="AW372" s="146"/>
      <c r="AX372" s="54"/>
      <c r="AY372" s="54"/>
      <c r="AZ372" s="54"/>
      <c r="BA372" s="54"/>
      <c r="BB372" s="62"/>
      <c r="BE372" s="146"/>
      <c r="BF372" s="54"/>
      <c r="BG372" s="54"/>
      <c r="BH372" s="146"/>
      <c r="BI372" s="54"/>
      <c r="BJ372" s="54"/>
      <c r="BK372" s="146"/>
      <c r="BL372" s="54"/>
      <c r="BM372" s="54"/>
      <c r="BN372" s="146"/>
      <c r="BO372" s="54"/>
      <c r="BP372" s="54"/>
    </row>
    <row r="373" spans="1:68" x14ac:dyDescent="0.2">
      <c r="A373" s="670" t="s">
        <v>141</v>
      </c>
      <c r="B373" s="670"/>
      <c r="C373" s="670"/>
      <c r="D373" s="670"/>
      <c r="E373" s="670"/>
      <c r="F373" s="670"/>
      <c r="G373" s="670"/>
      <c r="H373" s="670"/>
      <c r="I373" s="670"/>
      <c r="J373" s="670"/>
      <c r="K373" s="670"/>
      <c r="L373" s="670"/>
      <c r="M373" s="670"/>
      <c r="AW373" s="146"/>
      <c r="AX373" s="54"/>
      <c r="AY373" s="54"/>
      <c r="AZ373" s="54"/>
      <c r="BA373" s="54"/>
    </row>
    <row r="374" spans="1:68" x14ac:dyDescent="0.2">
      <c r="AW374" s="146"/>
      <c r="AX374" s="54"/>
      <c r="AY374" s="54"/>
      <c r="AZ374" s="54"/>
      <c r="BA374" s="54"/>
    </row>
    <row r="375" spans="1:68" x14ac:dyDescent="0.2">
      <c r="AW375" s="146"/>
      <c r="AX375" s="54"/>
      <c r="AY375" s="54"/>
      <c r="AZ375" s="54"/>
      <c r="BA375" s="54"/>
    </row>
    <row r="376" spans="1:68" x14ac:dyDescent="0.2">
      <c r="AW376" s="146"/>
      <c r="AX376" s="54"/>
      <c r="AY376" s="54"/>
      <c r="AZ376" s="54"/>
      <c r="BA376" s="54"/>
    </row>
    <row r="377" spans="1:68" x14ac:dyDescent="0.2">
      <c r="AW377" s="146"/>
      <c r="AX377" s="54"/>
      <c r="AY377" s="54"/>
      <c r="AZ377" s="54"/>
      <c r="BA377" s="54"/>
    </row>
    <row r="378" spans="1:68" x14ac:dyDescent="0.2">
      <c r="AW378" s="146"/>
      <c r="AX378" s="54"/>
      <c r="AY378" s="54"/>
      <c r="AZ378" s="54"/>
      <c r="BA378" s="54"/>
    </row>
    <row r="379" spans="1:68" x14ac:dyDescent="0.2">
      <c r="AT379" s="104"/>
      <c r="AU379" s="104"/>
      <c r="AW379" s="146"/>
      <c r="AX379" s="54"/>
      <c r="AY379" s="54"/>
      <c r="AZ379" s="54"/>
      <c r="BA379" s="54"/>
    </row>
    <row r="380" spans="1:68" x14ac:dyDescent="0.2">
      <c r="AW380" s="146"/>
      <c r="AX380" s="54"/>
      <c r="AY380" s="54"/>
      <c r="AZ380" s="54"/>
      <c r="BA380" s="54"/>
    </row>
    <row r="381" spans="1:68" x14ac:dyDescent="0.2">
      <c r="AW381" s="146"/>
      <c r="AX381" s="54"/>
      <c r="AY381" s="54"/>
      <c r="AZ381" s="54"/>
      <c r="BA381" s="54"/>
    </row>
    <row r="382" spans="1:68" x14ac:dyDescent="0.2">
      <c r="AW382" s="146"/>
      <c r="AX382" s="54"/>
      <c r="AY382" s="54"/>
      <c r="AZ382" s="54"/>
      <c r="BA382" s="54"/>
    </row>
    <row r="383" spans="1:68" x14ac:dyDescent="0.2">
      <c r="AW383" s="146"/>
      <c r="AX383" s="54"/>
      <c r="AY383" s="54"/>
      <c r="AZ383" s="54"/>
      <c r="BA383" s="54"/>
    </row>
    <row r="384" spans="1:68" x14ac:dyDescent="0.2">
      <c r="AW384" s="146"/>
      <c r="AX384" s="54"/>
      <c r="AY384" s="54"/>
      <c r="AZ384" s="54"/>
      <c r="BA384" s="54"/>
    </row>
    <row r="385" spans="49:53" x14ac:dyDescent="0.2">
      <c r="AW385" s="146"/>
      <c r="AX385" s="54"/>
      <c r="AY385" s="54"/>
      <c r="AZ385" s="54"/>
      <c r="BA385" s="54"/>
    </row>
    <row r="386" spans="49:53" x14ac:dyDescent="0.2">
      <c r="AW386" s="146"/>
      <c r="AX386" s="54"/>
      <c r="AY386" s="54"/>
      <c r="AZ386" s="54"/>
      <c r="BA386" s="54"/>
    </row>
    <row r="387" spans="49:53" x14ac:dyDescent="0.2">
      <c r="AW387" s="146"/>
      <c r="AX387" s="54"/>
      <c r="AY387" s="54"/>
      <c r="AZ387" s="54"/>
      <c r="BA387" s="54"/>
    </row>
    <row r="388" spans="49:53" x14ac:dyDescent="0.2">
      <c r="AW388" s="146"/>
      <c r="AX388" s="54"/>
      <c r="AY388" s="54"/>
      <c r="AZ388" s="54"/>
      <c r="BA388" s="54"/>
    </row>
    <row r="389" spans="49:53" x14ac:dyDescent="0.2">
      <c r="AW389" s="146"/>
      <c r="AX389" s="54"/>
      <c r="AY389" s="54"/>
      <c r="AZ389" s="54"/>
      <c r="BA389" s="54"/>
    </row>
    <row r="390" spans="49:53" x14ac:dyDescent="0.2">
      <c r="AW390" s="146"/>
      <c r="AX390" s="54"/>
      <c r="AY390" s="54"/>
      <c r="AZ390" s="54"/>
      <c r="BA390" s="54"/>
    </row>
    <row r="391" spans="49:53" x14ac:dyDescent="0.2">
      <c r="AW391" s="146"/>
      <c r="AX391" s="54"/>
      <c r="AY391" s="54"/>
      <c r="AZ391" s="54"/>
      <c r="BA391" s="54"/>
    </row>
    <row r="392" spans="49:53" x14ac:dyDescent="0.2">
      <c r="AW392" s="146"/>
      <c r="AX392" s="54"/>
      <c r="AY392" s="54"/>
      <c r="AZ392" s="54"/>
      <c r="BA392" s="54"/>
    </row>
    <row r="393" spans="49:53" x14ac:dyDescent="0.2">
      <c r="AW393" s="146"/>
      <c r="AX393" s="54"/>
      <c r="AY393" s="54"/>
      <c r="AZ393" s="54"/>
      <c r="BA393" s="54"/>
    </row>
    <row r="394" spans="49:53" x14ac:dyDescent="0.2">
      <c r="AW394" s="146"/>
      <c r="AX394" s="54"/>
      <c r="AY394" s="54"/>
      <c r="AZ394" s="54"/>
      <c r="BA394" s="54"/>
    </row>
    <row r="395" spans="49:53" x14ac:dyDescent="0.2">
      <c r="AW395" s="146"/>
      <c r="AX395" s="54"/>
      <c r="AY395" s="54"/>
      <c r="AZ395" s="54"/>
      <c r="BA395" s="54"/>
    </row>
    <row r="396" spans="49:53" x14ac:dyDescent="0.2">
      <c r="AW396" s="146"/>
      <c r="AX396" s="54"/>
      <c r="AY396" s="54"/>
      <c r="AZ396" s="54"/>
      <c r="BA396" s="54"/>
    </row>
    <row r="397" spans="49:53" x14ac:dyDescent="0.2">
      <c r="AW397" s="146"/>
      <c r="AX397" s="54"/>
      <c r="AY397" s="54"/>
      <c r="AZ397" s="54"/>
      <c r="BA397" s="54"/>
    </row>
    <row r="398" spans="49:53" x14ac:dyDescent="0.2">
      <c r="AW398" s="146"/>
      <c r="AX398" s="54"/>
      <c r="AY398" s="54"/>
      <c r="AZ398" s="54"/>
      <c r="BA398" s="54"/>
    </row>
    <row r="399" spans="49:53" x14ac:dyDescent="0.2">
      <c r="AW399" s="146"/>
      <c r="AX399" s="54"/>
      <c r="AY399" s="54"/>
      <c r="AZ399" s="54"/>
      <c r="BA399" s="54"/>
    </row>
    <row r="400" spans="49:53" x14ac:dyDescent="0.2">
      <c r="AW400" s="146"/>
      <c r="AX400" s="54"/>
      <c r="AY400" s="54"/>
      <c r="AZ400" s="54"/>
      <c r="BA400" s="54"/>
    </row>
    <row r="401" spans="46:53" x14ac:dyDescent="0.2">
      <c r="AW401" s="146"/>
      <c r="AX401" s="54"/>
      <c r="AY401" s="54"/>
      <c r="AZ401" s="54"/>
      <c r="BA401" s="54"/>
    </row>
    <row r="402" spans="46:53" x14ac:dyDescent="0.2">
      <c r="AW402" s="146"/>
      <c r="AX402" s="54"/>
      <c r="AY402" s="54"/>
      <c r="AZ402" s="54"/>
      <c r="BA402" s="54"/>
    </row>
    <row r="403" spans="46:53" x14ac:dyDescent="0.2">
      <c r="AW403" s="146"/>
      <c r="AX403" s="54"/>
      <c r="AY403" s="54"/>
      <c r="AZ403" s="54"/>
      <c r="BA403" s="54"/>
    </row>
    <row r="404" spans="46:53" x14ac:dyDescent="0.2">
      <c r="AW404" s="146"/>
      <c r="AX404" s="54"/>
      <c r="AY404" s="54"/>
      <c r="AZ404" s="54"/>
      <c r="BA404" s="54"/>
    </row>
    <row r="405" spans="46:53" x14ac:dyDescent="0.2">
      <c r="AW405" s="146"/>
      <c r="AX405" s="54"/>
      <c r="AY405" s="54"/>
      <c r="AZ405" s="54"/>
      <c r="BA405" s="54"/>
    </row>
    <row r="406" spans="46:53" x14ac:dyDescent="0.2">
      <c r="AW406" s="146"/>
      <c r="AX406" s="54"/>
      <c r="AY406" s="54"/>
      <c r="AZ406" s="54"/>
      <c r="BA406" s="54"/>
    </row>
    <row r="407" spans="46:53" x14ac:dyDescent="0.2">
      <c r="AW407" s="146"/>
      <c r="AX407" s="54"/>
      <c r="AY407" s="54"/>
      <c r="AZ407" s="54"/>
      <c r="BA407" s="54"/>
    </row>
    <row r="408" spans="46:53" x14ac:dyDescent="0.2">
      <c r="AW408" s="146"/>
      <c r="AX408" s="54"/>
      <c r="AY408" s="54"/>
      <c r="AZ408" s="54"/>
      <c r="BA408" s="54"/>
    </row>
    <row r="409" spans="46:53" x14ac:dyDescent="0.2">
      <c r="AW409" s="146"/>
      <c r="AX409" s="54"/>
      <c r="AY409" s="54"/>
      <c r="AZ409" s="54"/>
      <c r="BA409" s="54"/>
    </row>
    <row r="410" spans="46:53" x14ac:dyDescent="0.2">
      <c r="AW410" s="146"/>
      <c r="AX410" s="54"/>
      <c r="AY410" s="54"/>
      <c r="AZ410" s="54"/>
      <c r="BA410" s="54"/>
    </row>
    <row r="411" spans="46:53" x14ac:dyDescent="0.2">
      <c r="AW411" s="146"/>
      <c r="AX411" s="54"/>
      <c r="AY411" s="54"/>
      <c r="AZ411" s="54"/>
      <c r="BA411" s="54"/>
    </row>
    <row r="412" spans="46:53" x14ac:dyDescent="0.2">
      <c r="AW412" s="146"/>
      <c r="AX412" s="54"/>
      <c r="AY412" s="54"/>
      <c r="AZ412" s="54"/>
      <c r="BA412" s="54"/>
    </row>
    <row r="413" spans="46:53" x14ac:dyDescent="0.2">
      <c r="AW413" s="146"/>
      <c r="AX413" s="54"/>
      <c r="AY413" s="54"/>
      <c r="AZ413" s="54"/>
      <c r="BA413" s="54"/>
    </row>
    <row r="414" spans="46:53" x14ac:dyDescent="0.2">
      <c r="AW414" s="146"/>
      <c r="AX414" s="54"/>
      <c r="AY414" s="54"/>
      <c r="AZ414" s="54"/>
      <c r="BA414" s="54"/>
    </row>
    <row r="415" spans="46:53" x14ac:dyDescent="0.2">
      <c r="AT415" s="104"/>
      <c r="AU415" s="104"/>
      <c r="AW415" s="146"/>
      <c r="AX415" s="54"/>
      <c r="AY415" s="54"/>
      <c r="AZ415" s="54"/>
      <c r="BA415" s="54"/>
    </row>
    <row r="416" spans="46:53" x14ac:dyDescent="0.2">
      <c r="AW416" s="146"/>
      <c r="AX416" s="54"/>
      <c r="AY416" s="54"/>
      <c r="AZ416" s="54"/>
      <c r="BA416" s="54"/>
    </row>
    <row r="418" spans="49:53" x14ac:dyDescent="0.2">
      <c r="AW418" s="65"/>
      <c r="AX418" s="61"/>
      <c r="AY418" s="61"/>
      <c r="AZ418" s="61"/>
      <c r="BA418" s="61"/>
    </row>
    <row r="419" spans="49:53" x14ac:dyDescent="0.2">
      <c r="AW419" s="65"/>
      <c r="AX419" s="61"/>
      <c r="AY419" s="61"/>
      <c r="AZ419" s="61"/>
      <c r="BA419" s="61"/>
    </row>
    <row r="420" spans="49:53" x14ac:dyDescent="0.2">
      <c r="AW420" s="65"/>
      <c r="AX420" s="61"/>
      <c r="AY420" s="61"/>
      <c r="AZ420" s="61"/>
      <c r="BA420" s="61"/>
    </row>
    <row r="421" spans="49:53" x14ac:dyDescent="0.2">
      <c r="AW421" s="65"/>
      <c r="AX421" s="61"/>
      <c r="AY421" s="61"/>
      <c r="AZ421" s="61"/>
      <c r="BA421" s="61"/>
    </row>
    <row r="422" spans="49:53" x14ac:dyDescent="0.2">
      <c r="AW422" s="65"/>
      <c r="AX422" s="61"/>
      <c r="AY422" s="61"/>
      <c r="AZ422" s="61"/>
      <c r="BA422" s="61"/>
    </row>
    <row r="423" spans="49:53" x14ac:dyDescent="0.2">
      <c r="AW423" s="65"/>
      <c r="AX423" s="61"/>
      <c r="AY423" s="61"/>
      <c r="AZ423" s="61"/>
      <c r="BA423" s="61"/>
    </row>
    <row r="424" spans="49:53" x14ac:dyDescent="0.2">
      <c r="AW424" s="65"/>
      <c r="AX424" s="61"/>
      <c r="AY424" s="61"/>
      <c r="AZ424" s="61"/>
      <c r="BA424" s="61"/>
    </row>
    <row r="425" spans="49:53" x14ac:dyDescent="0.2">
      <c r="AW425" s="65"/>
      <c r="AX425" s="61"/>
      <c r="AY425" s="61"/>
      <c r="AZ425" s="61"/>
      <c r="BA425" s="61"/>
    </row>
    <row r="426" spans="49:53" x14ac:dyDescent="0.2">
      <c r="AW426" s="72"/>
      <c r="AX426" s="71"/>
      <c r="AY426" s="71"/>
      <c r="AZ426" s="71"/>
      <c r="BA426" s="71"/>
    </row>
    <row r="427" spans="49:53" x14ac:dyDescent="0.2">
      <c r="AW427" s="78"/>
      <c r="AX427" s="77"/>
      <c r="AY427" s="77"/>
      <c r="AZ427" s="77"/>
      <c r="BA427" s="77"/>
    </row>
    <row r="428" spans="49:53" x14ac:dyDescent="0.2">
      <c r="AW428" s="78"/>
      <c r="AX428" s="77"/>
      <c r="AY428" s="77"/>
      <c r="AZ428" s="77"/>
      <c r="BA428" s="77"/>
    </row>
    <row r="429" spans="49:53" x14ac:dyDescent="0.2">
      <c r="AW429" s="65"/>
      <c r="AX429" s="61"/>
      <c r="AY429" s="61"/>
      <c r="AZ429" s="61"/>
      <c r="BA429" s="61"/>
    </row>
    <row r="430" spans="49:53" x14ac:dyDescent="0.2">
      <c r="AW430" s="65"/>
      <c r="AX430" s="61"/>
      <c r="AY430" s="61"/>
      <c r="AZ430" s="61"/>
      <c r="BA430" s="61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CalcPr fullCalcOnLoad="1"/>
  <sheetProtection formatCells="0" selectLockedCells="1"/>
  <mergeCells count="668">
    <mergeCell ref="A1:AI1"/>
    <mergeCell ref="AT1:AW1"/>
    <mergeCell ref="AX1:AY1"/>
    <mergeCell ref="A2:I2"/>
    <mergeCell ref="J2:X2"/>
    <mergeCell ref="Y2:AC2"/>
    <mergeCell ref="AD2:AI2"/>
    <mergeCell ref="B3:O3"/>
    <mergeCell ref="P3:R3"/>
    <mergeCell ref="S3:X3"/>
    <mergeCell ref="Y3:AD3"/>
    <mergeCell ref="AE3:AF3"/>
    <mergeCell ref="AG3:AI3"/>
    <mergeCell ref="A4:D4"/>
    <mergeCell ref="E4:M4"/>
    <mergeCell ref="N4:Q4"/>
    <mergeCell ref="R4:AA4"/>
    <mergeCell ref="AB4:AE4"/>
    <mergeCell ref="AF4:AI4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AC8:AE9"/>
    <mergeCell ref="AF8:AF9"/>
    <mergeCell ref="AG8:AG9"/>
    <mergeCell ref="AH8:AI9"/>
    <mergeCell ref="B9:D9"/>
    <mergeCell ref="E9:K9"/>
    <mergeCell ref="A10:A11"/>
    <mergeCell ref="B10:D10"/>
    <mergeCell ref="E10:K10"/>
    <mergeCell ref="L10:P11"/>
    <mergeCell ref="R10:V11"/>
    <mergeCell ref="W10:Y11"/>
    <mergeCell ref="Z10:AB11"/>
    <mergeCell ref="AC10:AE11"/>
    <mergeCell ref="AF10:AF11"/>
    <mergeCell ref="AG10:AG11"/>
    <mergeCell ref="AH10:AI11"/>
    <mergeCell ref="B11:D11"/>
    <mergeCell ref="E11:K11"/>
    <mergeCell ref="A12:A13"/>
    <mergeCell ref="B12:D12"/>
    <mergeCell ref="E12:K12"/>
    <mergeCell ref="L12:P13"/>
    <mergeCell ref="R12:V13"/>
    <mergeCell ref="W12:Y13"/>
    <mergeCell ref="Z12:AB13"/>
    <mergeCell ref="AC12:AE13"/>
    <mergeCell ref="AF12:AF13"/>
    <mergeCell ref="AG12:AG13"/>
    <mergeCell ref="AH12:AI13"/>
    <mergeCell ref="B13:D13"/>
    <mergeCell ref="E13:K13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AG14:AG15"/>
    <mergeCell ref="AH14:AI15"/>
    <mergeCell ref="B15:D15"/>
    <mergeCell ref="E15:K15"/>
    <mergeCell ref="A16:A17"/>
    <mergeCell ref="B16:D16"/>
    <mergeCell ref="E16:K16"/>
    <mergeCell ref="L16:P17"/>
    <mergeCell ref="R16:V17"/>
    <mergeCell ref="W16:Y17"/>
    <mergeCell ref="Z16:AB17"/>
    <mergeCell ref="AC16:AE17"/>
    <mergeCell ref="AF16:AF17"/>
    <mergeCell ref="AG16:AG17"/>
    <mergeCell ref="AH16:AI17"/>
    <mergeCell ref="B17:D17"/>
    <mergeCell ref="E17:K17"/>
    <mergeCell ref="B18:AI18"/>
    <mergeCell ref="AT18:AY19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3:AB23"/>
    <mergeCell ref="AC23:AE23"/>
    <mergeCell ref="AG57:AK57"/>
    <mergeCell ref="A89:AM89"/>
    <mergeCell ref="AN89:AQ89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Z95:AB96"/>
    <mergeCell ref="AC95:AE96"/>
    <mergeCell ref="AF95:AF96"/>
    <mergeCell ref="AG95:AG96"/>
    <mergeCell ref="AH95:AI96"/>
    <mergeCell ref="B96:D96"/>
    <mergeCell ref="E96:K96"/>
    <mergeCell ref="A97:A98"/>
    <mergeCell ref="B97:D97"/>
    <mergeCell ref="E97:K97"/>
    <mergeCell ref="L97:P98"/>
    <mergeCell ref="R97:V98"/>
    <mergeCell ref="W97:Y98"/>
    <mergeCell ref="Z97:AB98"/>
    <mergeCell ref="AC97:AE98"/>
    <mergeCell ref="AF97:AF98"/>
    <mergeCell ref="AG97:AG98"/>
    <mergeCell ref="AH97:AI98"/>
    <mergeCell ref="B98:D98"/>
    <mergeCell ref="E98:K98"/>
    <mergeCell ref="A99:A100"/>
    <mergeCell ref="B99:D99"/>
    <mergeCell ref="E99:K99"/>
    <mergeCell ref="L99:P100"/>
    <mergeCell ref="R99:V100"/>
    <mergeCell ref="W99:Y100"/>
    <mergeCell ref="Z99:AB100"/>
    <mergeCell ref="AC99:AE100"/>
    <mergeCell ref="AF99:AF100"/>
    <mergeCell ref="AG99:AG100"/>
    <mergeCell ref="AH99:AI100"/>
    <mergeCell ref="B100:D100"/>
    <mergeCell ref="E100:K100"/>
    <mergeCell ref="A101:A102"/>
    <mergeCell ref="B101:D101"/>
    <mergeCell ref="E101:K101"/>
    <mergeCell ref="L101:P102"/>
    <mergeCell ref="R101:V102"/>
    <mergeCell ref="W101:Y102"/>
    <mergeCell ref="Z101:AB102"/>
    <mergeCell ref="AC101:AE102"/>
    <mergeCell ref="AF101:AF102"/>
    <mergeCell ref="AG101:AG102"/>
    <mergeCell ref="AH101:AI102"/>
    <mergeCell ref="B102:D102"/>
    <mergeCell ref="E102:K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8:AB108"/>
    <mergeCell ref="AC108:AE108"/>
    <mergeCell ref="AG142:AK142"/>
    <mergeCell ref="A174:AM174"/>
    <mergeCell ref="AN174:AQ174"/>
    <mergeCell ref="A175:AQ175"/>
    <mergeCell ref="C176:H176"/>
    <mergeCell ref="I176:J176"/>
    <mergeCell ref="K176:AI176"/>
    <mergeCell ref="B177:K177"/>
    <mergeCell ref="L177:P177"/>
    <mergeCell ref="Q177:Q187"/>
    <mergeCell ref="R177:V177"/>
    <mergeCell ref="W177:Y177"/>
    <mergeCell ref="Z177:AB177"/>
    <mergeCell ref="AC177:AE177"/>
    <mergeCell ref="AH177:AI177"/>
    <mergeCell ref="A178:A179"/>
    <mergeCell ref="B178:D178"/>
    <mergeCell ref="E178:K178"/>
    <mergeCell ref="L178:P179"/>
    <mergeCell ref="R178:V179"/>
    <mergeCell ref="W178:Y179"/>
    <mergeCell ref="Z178:AB179"/>
    <mergeCell ref="AC178:AE179"/>
    <mergeCell ref="AF178:AF179"/>
    <mergeCell ref="AG178:AG179"/>
    <mergeCell ref="AH178:AI179"/>
    <mergeCell ref="B179:D179"/>
    <mergeCell ref="E179:K179"/>
    <mergeCell ref="A180:A181"/>
    <mergeCell ref="B180:D180"/>
    <mergeCell ref="E180:K180"/>
    <mergeCell ref="L180:P181"/>
    <mergeCell ref="R180:V181"/>
    <mergeCell ref="W180:Y181"/>
    <mergeCell ref="Z180:AB181"/>
    <mergeCell ref="AC180:AE181"/>
    <mergeCell ref="AF180:AF181"/>
    <mergeCell ref="AG180:AG181"/>
    <mergeCell ref="AH180:AI181"/>
    <mergeCell ref="B181:D181"/>
    <mergeCell ref="E181:K181"/>
    <mergeCell ref="A182:A183"/>
    <mergeCell ref="B182:D182"/>
    <mergeCell ref="E182:K182"/>
    <mergeCell ref="L182:P183"/>
    <mergeCell ref="R182:V183"/>
    <mergeCell ref="W182:Y183"/>
    <mergeCell ref="Z182:AB183"/>
    <mergeCell ref="AC182:AE183"/>
    <mergeCell ref="AF182:AF183"/>
    <mergeCell ref="AG182:AG183"/>
    <mergeCell ref="AH182:AI183"/>
    <mergeCell ref="B183:D183"/>
    <mergeCell ref="E183:K183"/>
    <mergeCell ref="A184:A185"/>
    <mergeCell ref="B184:D184"/>
    <mergeCell ref="E184:K184"/>
    <mergeCell ref="L184:P185"/>
    <mergeCell ref="R184:V185"/>
    <mergeCell ref="W184:Y185"/>
    <mergeCell ref="Z184:AB185"/>
    <mergeCell ref="AC184:AE185"/>
    <mergeCell ref="AF184:AF185"/>
    <mergeCell ref="AG184:AG185"/>
    <mergeCell ref="AH184:AI185"/>
    <mergeCell ref="B185:D185"/>
    <mergeCell ref="E185:K185"/>
    <mergeCell ref="A186:A187"/>
    <mergeCell ref="B186:D186"/>
    <mergeCell ref="E186:K186"/>
    <mergeCell ref="L186:P187"/>
    <mergeCell ref="R186:V187"/>
    <mergeCell ref="W186:Y187"/>
    <mergeCell ref="Z186:AB187"/>
    <mergeCell ref="AC186:AE187"/>
    <mergeCell ref="AF186:AF187"/>
    <mergeCell ref="AG186:AG187"/>
    <mergeCell ref="AH186:AI187"/>
    <mergeCell ref="B187:D187"/>
    <mergeCell ref="E187:K187"/>
    <mergeCell ref="B188:AI188"/>
    <mergeCell ref="B189:D189"/>
    <mergeCell ref="E189:G189"/>
    <mergeCell ref="H189:J189"/>
    <mergeCell ref="K189:M189"/>
    <mergeCell ref="N189:P189"/>
    <mergeCell ref="Q189:S189"/>
    <mergeCell ref="T189:V189"/>
    <mergeCell ref="W189:Y189"/>
    <mergeCell ref="Z189:AB189"/>
    <mergeCell ref="AC189:AE189"/>
    <mergeCell ref="AF189:AQ192"/>
    <mergeCell ref="B190:D190"/>
    <mergeCell ref="E190:G190"/>
    <mergeCell ref="H190:J190"/>
    <mergeCell ref="K190:M190"/>
    <mergeCell ref="N190:P190"/>
    <mergeCell ref="Q190:S190"/>
    <mergeCell ref="T190:V190"/>
    <mergeCell ref="W190:Y190"/>
    <mergeCell ref="Z190:AB190"/>
    <mergeCell ref="AC190:AE190"/>
    <mergeCell ref="B191:D191"/>
    <mergeCell ref="E191:G191"/>
    <mergeCell ref="H191:J191"/>
    <mergeCell ref="K191:M191"/>
    <mergeCell ref="N191:P191"/>
    <mergeCell ref="Q191:S191"/>
    <mergeCell ref="T191:V191"/>
    <mergeCell ref="W191:Y191"/>
    <mergeCell ref="Z191:AB191"/>
    <mergeCell ref="AC191:AE191"/>
    <mergeCell ref="B192:D192"/>
    <mergeCell ref="E192:G192"/>
    <mergeCell ref="H192:J192"/>
    <mergeCell ref="K192:M192"/>
    <mergeCell ref="N192:P192"/>
    <mergeCell ref="Q192:S192"/>
    <mergeCell ref="T192:V192"/>
    <mergeCell ref="W192:Y192"/>
    <mergeCell ref="Z192:AB192"/>
    <mergeCell ref="AC192:AE192"/>
    <mergeCell ref="B193:D193"/>
    <mergeCell ref="E193:G193"/>
    <mergeCell ref="H193:J193"/>
    <mergeCell ref="K193:M193"/>
    <mergeCell ref="N193:P193"/>
    <mergeCell ref="Q193:S193"/>
    <mergeCell ref="T193:V193"/>
    <mergeCell ref="W193:Y193"/>
    <mergeCell ref="Z193:AB193"/>
    <mergeCell ref="AC193:AE193"/>
    <mergeCell ref="AG227:AK227"/>
    <mergeCell ref="A259:AM259"/>
    <mergeCell ref="AN259:AQ259"/>
    <mergeCell ref="A260:AQ260"/>
    <mergeCell ref="A261:AQ261"/>
    <mergeCell ref="A262:A263"/>
    <mergeCell ref="B262:L262"/>
    <mergeCell ref="M262:W262"/>
    <mergeCell ref="X262:AG262"/>
    <mergeCell ref="AH262:AP262"/>
    <mergeCell ref="B263:E263"/>
    <mergeCell ref="F263:I263"/>
    <mergeCell ref="J263:K263"/>
    <mergeCell ref="M263:Q263"/>
    <mergeCell ref="R263:T263"/>
    <mergeCell ref="U263:V263"/>
    <mergeCell ref="X263:AB263"/>
    <mergeCell ref="AC263:AE263"/>
    <mergeCell ref="AH263:AJ263"/>
    <mergeCell ref="AK263:AM263"/>
    <mergeCell ref="AN263:AO263"/>
    <mergeCell ref="B264:E264"/>
    <mergeCell ref="F264:I264"/>
    <mergeCell ref="J264:K264"/>
    <mergeCell ref="M264:Q264"/>
    <mergeCell ref="R264:T264"/>
    <mergeCell ref="U264:V264"/>
    <mergeCell ref="X264:AB264"/>
    <mergeCell ref="AC264:AE264"/>
    <mergeCell ref="AH264:AJ264"/>
    <mergeCell ref="AK264:AM264"/>
    <mergeCell ref="AN264:AO264"/>
    <mergeCell ref="B265:E265"/>
    <mergeCell ref="F265:I265"/>
    <mergeCell ref="J265:K265"/>
    <mergeCell ref="M265:Q265"/>
    <mergeCell ref="R265:T265"/>
    <mergeCell ref="U265:V265"/>
    <mergeCell ref="X265:AB265"/>
    <mergeCell ref="AC265:AE265"/>
    <mergeCell ref="AH265:AJ265"/>
    <mergeCell ref="AK265:AM265"/>
    <mergeCell ref="AN265:AO265"/>
    <mergeCell ref="B266:E266"/>
    <mergeCell ref="F266:I266"/>
    <mergeCell ref="J266:K266"/>
    <mergeCell ref="M266:Q266"/>
    <mergeCell ref="R266:T266"/>
    <mergeCell ref="U266:V266"/>
    <mergeCell ref="X266:AB266"/>
    <mergeCell ref="AN266:AO266"/>
    <mergeCell ref="A267:A268"/>
    <mergeCell ref="B267:L267"/>
    <mergeCell ref="M267:W267"/>
    <mergeCell ref="X267:AG267"/>
    <mergeCell ref="AH267:AP267"/>
    <mergeCell ref="B268:H268"/>
    <mergeCell ref="M268:S268"/>
    <mergeCell ref="T268:W268"/>
    <mergeCell ref="X268:AE268"/>
    <mergeCell ref="AF268:AG268"/>
    <mergeCell ref="AH268:AM268"/>
    <mergeCell ref="AC266:AE266"/>
    <mergeCell ref="AH266:AJ266"/>
    <mergeCell ref="AK266:AM266"/>
    <mergeCell ref="AN268:AP268"/>
    <mergeCell ref="B269:H269"/>
    <mergeCell ref="I269:L269"/>
    <mergeCell ref="M269:S269"/>
    <mergeCell ref="T269:W269"/>
    <mergeCell ref="X269:AE269"/>
    <mergeCell ref="AF269:AG269"/>
    <mergeCell ref="AH269:AM269"/>
    <mergeCell ref="AN269:AP269"/>
    <mergeCell ref="I268:L268"/>
    <mergeCell ref="B270:H270"/>
    <mergeCell ref="I270:L270"/>
    <mergeCell ref="M270:S270"/>
    <mergeCell ref="T270:W270"/>
    <mergeCell ref="X270:AE270"/>
    <mergeCell ref="AF270:AG270"/>
    <mergeCell ref="AH270:AM270"/>
    <mergeCell ref="AN270:AP270"/>
    <mergeCell ref="B271:H271"/>
    <mergeCell ref="I271:L271"/>
    <mergeCell ref="M271:S271"/>
    <mergeCell ref="T271:W271"/>
    <mergeCell ref="X271:AE271"/>
    <mergeCell ref="AF271:AG271"/>
    <mergeCell ref="AH271:AM271"/>
    <mergeCell ref="AN271:AP271"/>
    <mergeCell ref="A273:AQ273"/>
    <mergeCell ref="A274:AQ274"/>
    <mergeCell ref="A275:AQ275"/>
    <mergeCell ref="A276:AQ276"/>
    <mergeCell ref="A277:K277"/>
    <mergeCell ref="A279:P279"/>
    <mergeCell ref="S279:AG279"/>
    <mergeCell ref="A281:E281"/>
    <mergeCell ref="V281:AB281"/>
    <mergeCell ref="A282:E282"/>
    <mergeCell ref="V282:AB282"/>
    <mergeCell ref="A284:E284"/>
    <mergeCell ref="F284:N284"/>
    <mergeCell ref="U284:AB284"/>
    <mergeCell ref="AC284:AI284"/>
    <mergeCell ref="A285:E285"/>
    <mergeCell ref="F285:I285"/>
    <mergeCell ref="J285:N285"/>
    <mergeCell ref="U285:AA285"/>
    <mergeCell ref="AC285:AF285"/>
    <mergeCell ref="AG285:AI285"/>
    <mergeCell ref="A286:E286"/>
    <mergeCell ref="V286:AB286"/>
    <mergeCell ref="A287:E287"/>
    <mergeCell ref="V287:AB287"/>
    <mergeCell ref="F288:I288"/>
    <mergeCell ref="AC288:AF288"/>
    <mergeCell ref="J289:Q289"/>
    <mergeCell ref="AG289:AL289"/>
    <mergeCell ref="A290:E290"/>
    <mergeCell ref="F290:I290"/>
    <mergeCell ref="J290:Q290"/>
    <mergeCell ref="V290:AB290"/>
    <mergeCell ref="AC290:AF290"/>
    <mergeCell ref="AG290:AL290"/>
    <mergeCell ref="A291:E291"/>
    <mergeCell ref="J291:Q291"/>
    <mergeCell ref="V291:AB291"/>
    <mergeCell ref="A293:D293"/>
    <mergeCell ref="F293:I293"/>
    <mergeCell ref="J293:N293"/>
    <mergeCell ref="U293:AA293"/>
    <mergeCell ref="AC293:AF293"/>
    <mergeCell ref="AG293:AI293"/>
    <mergeCell ref="A294:E294"/>
    <mergeCell ref="F294:N294"/>
    <mergeCell ref="U294:AA294"/>
    <mergeCell ref="AC294:AI294"/>
    <mergeCell ref="A295:E295"/>
    <mergeCell ref="V295:AB295"/>
    <mergeCell ref="A296:E296"/>
    <mergeCell ref="V296:AB296"/>
    <mergeCell ref="A299:J299"/>
    <mergeCell ref="U299:AF299"/>
    <mergeCell ref="B300:J300"/>
    <mergeCell ref="K300:Q300"/>
    <mergeCell ref="U300:W300"/>
    <mergeCell ref="X300:AF300"/>
    <mergeCell ref="AG300:AM300"/>
    <mergeCell ref="B301:J301"/>
    <mergeCell ref="K301:Q301"/>
    <mergeCell ref="U301:W301"/>
    <mergeCell ref="X301:AF301"/>
    <mergeCell ref="AG301:AM301"/>
    <mergeCell ref="B302:J302"/>
    <mergeCell ref="K302:Q302"/>
    <mergeCell ref="U302:W302"/>
    <mergeCell ref="X302:AF302"/>
    <mergeCell ref="AG302:AM302"/>
    <mergeCell ref="B303:J303"/>
    <mergeCell ref="K303:Q303"/>
    <mergeCell ref="U303:W303"/>
    <mergeCell ref="X303:AF303"/>
    <mergeCell ref="AG303:AM303"/>
    <mergeCell ref="B304:J304"/>
    <mergeCell ref="K304:Q304"/>
    <mergeCell ref="U304:W304"/>
    <mergeCell ref="X304:AF304"/>
    <mergeCell ref="AG304:AM304"/>
    <mergeCell ref="B306:D306"/>
    <mergeCell ref="E306:G306"/>
    <mergeCell ref="H306:J306"/>
    <mergeCell ref="K306:Q308"/>
    <mergeCell ref="W306:Y306"/>
    <mergeCell ref="Z306:AB306"/>
    <mergeCell ref="AC306:AE306"/>
    <mergeCell ref="AF306:AJ308"/>
    <mergeCell ref="B307:D307"/>
    <mergeCell ref="E307:G307"/>
    <mergeCell ref="H307:J307"/>
    <mergeCell ref="T307:V307"/>
    <mergeCell ref="W307:Y307"/>
    <mergeCell ref="Z307:AB307"/>
    <mergeCell ref="AC307:AE307"/>
    <mergeCell ref="B308:D308"/>
    <mergeCell ref="E308:G308"/>
    <mergeCell ref="H308:J308"/>
    <mergeCell ref="T308:V308"/>
    <mergeCell ref="W308:Y308"/>
    <mergeCell ref="Z308:AB308"/>
    <mergeCell ref="AC308:AE308"/>
    <mergeCell ref="K309:N309"/>
    <mergeCell ref="T309:V309"/>
    <mergeCell ref="AF309:AG309"/>
    <mergeCell ref="T310:V310"/>
    <mergeCell ref="T311:V311"/>
    <mergeCell ref="T312:V312"/>
    <mergeCell ref="T313:V313"/>
    <mergeCell ref="K314:N316"/>
    <mergeCell ref="AF314:AG316"/>
    <mergeCell ref="T322:V322"/>
    <mergeCell ref="T323:V323"/>
    <mergeCell ref="T324:V324"/>
    <mergeCell ref="A325:M325"/>
    <mergeCell ref="V325:AG325"/>
    <mergeCell ref="A327:P327"/>
    <mergeCell ref="A329:E329"/>
    <mergeCell ref="A330:E330"/>
    <mergeCell ref="A332:E332"/>
    <mergeCell ref="F332:N332"/>
    <mergeCell ref="A333:E333"/>
    <mergeCell ref="F333:I333"/>
    <mergeCell ref="J333:N333"/>
    <mergeCell ref="A334:E334"/>
    <mergeCell ref="A335:E335"/>
    <mergeCell ref="F336:I336"/>
    <mergeCell ref="J337:Q337"/>
    <mergeCell ref="A338:E338"/>
    <mergeCell ref="F338:I338"/>
    <mergeCell ref="J338:Q338"/>
    <mergeCell ref="A339:E339"/>
    <mergeCell ref="J339:Q339"/>
    <mergeCell ref="A341:D341"/>
    <mergeCell ref="F341:I341"/>
    <mergeCell ref="J341:N341"/>
    <mergeCell ref="A342:E342"/>
    <mergeCell ref="F342:N342"/>
    <mergeCell ref="A343:E343"/>
    <mergeCell ref="A344:E344"/>
    <mergeCell ref="A347:J347"/>
    <mergeCell ref="B348:J348"/>
    <mergeCell ref="K348:Q348"/>
    <mergeCell ref="B349:J349"/>
    <mergeCell ref="K349:Q349"/>
    <mergeCell ref="B356:D356"/>
    <mergeCell ref="E356:G356"/>
    <mergeCell ref="H356:J356"/>
    <mergeCell ref="B350:J350"/>
    <mergeCell ref="K350:Q350"/>
    <mergeCell ref="B351:J351"/>
    <mergeCell ref="K351:Q351"/>
    <mergeCell ref="B352:J352"/>
    <mergeCell ref="K352:Q352"/>
    <mergeCell ref="K357:N357"/>
    <mergeCell ref="K362:N364"/>
    <mergeCell ref="A373:M373"/>
    <mergeCell ref="B354:D354"/>
    <mergeCell ref="E354:G354"/>
    <mergeCell ref="H354:J354"/>
    <mergeCell ref="K354:Q356"/>
    <mergeCell ref="B355:D355"/>
    <mergeCell ref="E355:G355"/>
    <mergeCell ref="H355:J355"/>
  </mergeCells>
  <conditionalFormatting sqref="A8 A93 A178">
    <cfRule type="expression" dxfId="1487" priority="4" stopIfTrue="1">
      <formula>IF(AK9&gt;0,0,1)</formula>
    </cfRule>
  </conditionalFormatting>
  <conditionalFormatting sqref="A10:A11 A95:A96 A180:A181">
    <cfRule type="expression" dxfId="1486" priority="5" stopIfTrue="1">
      <formula>IF(#REF!&gt;1,0,1)</formula>
    </cfRule>
  </conditionalFormatting>
  <conditionalFormatting sqref="A12:A13 A97:A98 A182:A183">
    <cfRule type="expression" dxfId="1485" priority="6" stopIfTrue="1">
      <formula>IF(#REF!&gt;2,0,1)</formula>
    </cfRule>
  </conditionalFormatting>
  <conditionalFormatting sqref="A14:A15 A99:A100 A184:A185">
    <cfRule type="expression" dxfId="1484" priority="7" stopIfTrue="1">
      <formula>IF(#REF!&gt;3,0,1)</formula>
    </cfRule>
  </conditionalFormatting>
  <conditionalFormatting sqref="A16:A17 A101:A102 A186:A187">
    <cfRule type="expression" dxfId="1483" priority="8" stopIfTrue="1">
      <formula>IF(#REF!&gt;4,0,1)</formula>
    </cfRule>
  </conditionalFormatting>
  <conditionalFormatting sqref="B8 B93 B178">
    <cfRule type="expression" dxfId="1482" priority="9" stopIfTrue="1">
      <formula>IF(AK9&gt;0,0,1)</formula>
    </cfRule>
  </conditionalFormatting>
  <conditionalFormatting sqref="B9 B94 B179">
    <cfRule type="expression" dxfId="1481" priority="10" stopIfTrue="1">
      <formula>IF(AK9&gt;0,0,1)</formula>
    </cfRule>
  </conditionalFormatting>
  <conditionalFormatting sqref="B10 B95 B180">
    <cfRule type="expression" dxfId="1480" priority="11" stopIfTrue="1">
      <formula>IF(#REF!&gt;1,0,1)</formula>
    </cfRule>
  </conditionalFormatting>
  <conditionalFormatting sqref="B11:D11 B96:D96 B181:D181">
    <cfRule type="expression" dxfId="1479" priority="12" stopIfTrue="1">
      <formula>IF(#REF!&gt;1,0,1)</formula>
    </cfRule>
  </conditionalFormatting>
  <conditionalFormatting sqref="B12:D12 B97:D97 B182:D182">
    <cfRule type="expression" dxfId="1478" priority="13" stopIfTrue="1">
      <formula>IF(#REF!&gt;2,0,1)</formula>
    </cfRule>
  </conditionalFormatting>
  <conditionalFormatting sqref="B13:D13 B98:D98 B183:D183">
    <cfRule type="expression" dxfId="1477" priority="14" stopIfTrue="1">
      <formula>IF(#REF!&gt;2,0,1)</formula>
    </cfRule>
  </conditionalFormatting>
  <conditionalFormatting sqref="B14:D14 B99:D99 B184:D184">
    <cfRule type="expression" dxfId="1476" priority="15" stopIfTrue="1">
      <formula>IF(#REF!&gt;3,0,1)</formula>
    </cfRule>
  </conditionalFormatting>
  <conditionalFormatting sqref="B15:D15 B100:D100 B185:D185">
    <cfRule type="expression" dxfId="1475" priority="16" stopIfTrue="1">
      <formula>IF(#REF!&gt;3,0,1)</formula>
    </cfRule>
  </conditionalFormatting>
  <conditionalFormatting sqref="B16:D16 B101:D101 B186:D186">
    <cfRule type="expression" dxfId="1474" priority="17" stopIfTrue="1">
      <formula>IF(#REF!&gt;4,0,1)</formula>
    </cfRule>
  </conditionalFormatting>
  <conditionalFormatting sqref="B17:D17 B102:D102 B187:D187">
    <cfRule type="expression" dxfId="1473" priority="18" stopIfTrue="1">
      <formula>IF(#REF!&gt;4,0,1)</formula>
    </cfRule>
  </conditionalFormatting>
  <conditionalFormatting sqref="E8 E93 E178">
    <cfRule type="expression" dxfId="1472" priority="19" stopIfTrue="1">
      <formula>IF(AK9&gt;0,0,1)</formula>
    </cfRule>
  </conditionalFormatting>
  <conditionalFormatting sqref="E9 E94 E179">
    <cfRule type="expression" dxfId="1471" priority="20" stopIfTrue="1">
      <formula>IF(AK9&gt;0,0,1)</formula>
    </cfRule>
  </conditionalFormatting>
  <conditionalFormatting sqref="E10 E95 E180">
    <cfRule type="expression" dxfId="1470" priority="21" stopIfTrue="1">
      <formula>IF(#REF!&gt;1,0,1)</formula>
    </cfRule>
  </conditionalFormatting>
  <conditionalFormatting sqref="E11 E96 E181">
    <cfRule type="expression" dxfId="1469" priority="22" stopIfTrue="1">
      <formula>IF(#REF!&gt;1,0,1)</formula>
    </cfRule>
  </conditionalFormatting>
  <conditionalFormatting sqref="E12 E97 E182">
    <cfRule type="expression" dxfId="1468" priority="23" stopIfTrue="1">
      <formula>IF(#REF!&gt;2,0,1)</formula>
    </cfRule>
  </conditionalFormatting>
  <conditionalFormatting sqref="E13 E98 E183">
    <cfRule type="expression" dxfId="1467" priority="24" stopIfTrue="1">
      <formula>IF(#REF!&gt;2,0,1)</formula>
    </cfRule>
  </conditionalFormatting>
  <conditionalFormatting sqref="E14 E99 E184">
    <cfRule type="expression" dxfId="1466" priority="25" stopIfTrue="1">
      <formula>IF(#REF!&gt;3,0,1)</formula>
    </cfRule>
  </conditionalFormatting>
  <conditionalFormatting sqref="E15 E100 E185">
    <cfRule type="expression" dxfId="1465" priority="26" stopIfTrue="1">
      <formula>IF(#REF!&gt;3,0,1)</formula>
    </cfRule>
  </conditionalFormatting>
  <conditionalFormatting sqref="E16 E101 E186">
    <cfRule type="expression" dxfId="1464" priority="27" stopIfTrue="1">
      <formula>IF(#REF!&gt;4,0,1)</formula>
    </cfRule>
  </conditionalFormatting>
  <conditionalFormatting sqref="E17 E102 E187">
    <cfRule type="expression" dxfId="1463" priority="28" stopIfTrue="1">
      <formula>IF(#REF!&gt;4,0,1)</formula>
    </cfRule>
  </conditionalFormatting>
  <conditionalFormatting sqref="AC8 AC93 AC178">
    <cfRule type="expression" dxfId="1462" priority="29" stopIfTrue="1">
      <formula>IF(AK11=1,IF(AK9&gt;0,0,1),1)</formula>
    </cfRule>
  </conditionalFormatting>
  <conditionalFormatting sqref="AC10:AE11 AC95:AE96 AC180:AE181">
    <cfRule type="expression" dxfId="1461" priority="30" stopIfTrue="1">
      <formula>IF(AK11=1,IF(#REF!&gt;1,0,1),1)</formula>
    </cfRule>
  </conditionalFormatting>
  <conditionalFormatting sqref="AC12:AE13 AC97:AE98 AC182:AE183">
    <cfRule type="expression" dxfId="1460" priority="31" stopIfTrue="1">
      <formula>IF(#REF!=1,IF(#REF!&gt;2,0,1),1)</formula>
    </cfRule>
  </conditionalFormatting>
  <conditionalFormatting sqref="AC14:AE15 AC99:AE100 AC184:AE185">
    <cfRule type="expression" dxfId="1459" priority="32" stopIfTrue="1">
      <formula>IF(#REF!=1,IF(#REF!&gt;3,0,1),1)</formula>
    </cfRule>
  </conditionalFormatting>
  <conditionalFormatting sqref="AC16:AE17 AC101:AE102 AC186:AE187">
    <cfRule type="expression" dxfId="1458" priority="33" stopIfTrue="1">
      <formula>IF(#REF!=1,IF(#REF!&gt;4,0,1),1)</formula>
    </cfRule>
  </conditionalFormatting>
  <conditionalFormatting sqref="AH8 AH93 AH178">
    <cfRule type="expression" dxfId="1457" priority="34" stopIfTrue="1">
      <formula>IF(AK9&gt;0,0,1)</formula>
    </cfRule>
  </conditionalFormatting>
  <conditionalFormatting sqref="AH10:AI11 AH95:AI96 AH180:AI181">
    <cfRule type="expression" dxfId="1456" priority="35" stopIfTrue="1">
      <formula>IF(#REF!&gt;1,0,1)</formula>
    </cfRule>
  </conditionalFormatting>
  <conditionalFormatting sqref="AH12:AI13 AH97:AI98 AH182:AI183">
    <cfRule type="expression" dxfId="1455" priority="36" stopIfTrue="1">
      <formula>IF(#REF!&gt;2,0,1)</formula>
    </cfRule>
  </conditionalFormatting>
  <conditionalFormatting sqref="AH14:AI15 AH99:AI100 AH184:AI185">
    <cfRule type="expression" dxfId="1454" priority="37" stopIfTrue="1">
      <formula>IF(#REF!&gt;3,0,1)</formula>
    </cfRule>
  </conditionalFormatting>
  <conditionalFormatting sqref="AH16:AI17 AH101:AI102 AH186:AI187">
    <cfRule type="expression" dxfId="1453" priority="38" stopIfTrue="1">
      <formula>IF(#REF!&gt;4,0,1)</formula>
    </cfRule>
  </conditionalFormatting>
  <conditionalFormatting sqref="B104:D104 B19:D19 B189:D189">
    <cfRule type="expression" dxfId="1452" priority="39" stopIfTrue="1">
      <formula>IF(#REF!&gt;0,0,1)</formula>
    </cfRule>
  </conditionalFormatting>
  <conditionalFormatting sqref="E104:G104 E19:G19 E189:G189">
    <cfRule type="expression" dxfId="1451" priority="40" stopIfTrue="1">
      <formula>IF(#REF!&gt;1,0,1)</formula>
    </cfRule>
  </conditionalFormatting>
  <conditionalFormatting sqref="H104:J104 H19:J19 H189:J189">
    <cfRule type="expression" dxfId="1450" priority="41" stopIfTrue="1">
      <formula>IF(#REF!&gt;2,0,1)</formula>
    </cfRule>
  </conditionalFormatting>
  <conditionalFormatting sqref="K104:M104 K19:M19 K189:M189">
    <cfRule type="expression" dxfId="1449" priority="42" stopIfTrue="1">
      <formula>IF(#REF!&gt;3,0,1)</formula>
    </cfRule>
  </conditionalFormatting>
  <conditionalFormatting sqref="N104:P104 N19:P19 N189:P189">
    <cfRule type="expression" dxfId="1448" priority="43" stopIfTrue="1">
      <formula>IF(#REF!&gt;4,0,1)</formula>
    </cfRule>
  </conditionalFormatting>
  <conditionalFormatting sqref="Q104:S104 Q19:S19 Q189:S189">
    <cfRule type="expression" dxfId="1447" priority="44" stopIfTrue="1">
      <formula>IF(#REF!&gt;5,0,1)</formula>
    </cfRule>
  </conditionalFormatting>
  <conditionalFormatting sqref="T104:V104 T19:V19 T189:V189">
    <cfRule type="expression" dxfId="1446" priority="45" stopIfTrue="1">
      <formula>IF(#REF!&gt;6,0,1)</formula>
    </cfRule>
  </conditionalFormatting>
  <conditionalFormatting sqref="W104:Y104 W19:Y19 W189:Y189">
    <cfRule type="expression" dxfId="1445" priority="46" stopIfTrue="1">
      <formula>IF(#REF!&gt;7,0,1)</formula>
    </cfRule>
  </conditionalFormatting>
  <conditionalFormatting sqref="Z104:AB104 Z19:AB19 Z189:AB189">
    <cfRule type="expression" dxfId="1444" priority="47" stopIfTrue="1">
      <formula>IF(#REF!&gt;8,0,1)</formula>
    </cfRule>
  </conditionalFormatting>
  <conditionalFormatting sqref="AC104:AE104 AC19:AE19 AC189:AE189">
    <cfRule type="expression" dxfId="1443" priority="48" stopIfTrue="1">
      <formula>IF(#REF!&gt;9,0,1)</formula>
    </cfRule>
  </conditionalFormatting>
  <conditionalFormatting sqref="B20:D20 B105:D105 B190:D190">
    <cfRule type="expression" dxfId="1442" priority="49" stopIfTrue="1">
      <formula>IF(#REF!&gt;0,0,1)</formula>
    </cfRule>
  </conditionalFormatting>
  <conditionalFormatting sqref="E20:G20 E105:G105 E190:G190">
    <cfRule type="expression" dxfId="1441" priority="50" stopIfTrue="1">
      <formula>IF(#REF!&gt;1,0,1)</formula>
    </cfRule>
  </conditionalFormatting>
  <conditionalFormatting sqref="H20:J20 H105:J105 H190:J190">
    <cfRule type="expression" dxfId="1440" priority="51" stopIfTrue="1">
      <formula>IF(#REF!&gt;2,0,1)</formula>
    </cfRule>
  </conditionalFormatting>
  <conditionalFormatting sqref="K20:M20 K105:M105 K190:M190">
    <cfRule type="expression" dxfId="1439" priority="52" stopIfTrue="1">
      <formula>IF(#REF!&gt;3,0,1)</formula>
    </cfRule>
  </conditionalFormatting>
  <conditionalFormatting sqref="N20:P20 N105:P105 N190:P190">
    <cfRule type="expression" dxfId="1438" priority="53" stopIfTrue="1">
      <formula>IF(#REF!&gt;4,0,1)</formula>
    </cfRule>
  </conditionalFormatting>
  <conditionalFormatting sqref="Q20:S20 Q105:S105 Q190:S190">
    <cfRule type="expression" dxfId="1437" priority="54" stopIfTrue="1">
      <formula>IF(#REF!&gt;5,0,1)</formula>
    </cfRule>
  </conditionalFormatting>
  <conditionalFormatting sqref="T20:V20 T105:V105 T190:V190">
    <cfRule type="expression" dxfId="1436" priority="55" stopIfTrue="1">
      <formula>IF(#REF!&gt;6,0,1)</formula>
    </cfRule>
  </conditionalFormatting>
  <conditionalFormatting sqref="W20:Y20 W105:Y105 W190:Y190">
    <cfRule type="expression" dxfId="1435" priority="56" stopIfTrue="1">
      <formula>IF(#REF!&gt;7,0,1)</formula>
    </cfRule>
  </conditionalFormatting>
  <conditionalFormatting sqref="Z20:AB20 Z105:AB105 Z190:AB190">
    <cfRule type="expression" dxfId="1434" priority="57" stopIfTrue="1">
      <formula>IF(#REF!&gt;8,0,1)</formula>
    </cfRule>
  </conditionalFormatting>
  <conditionalFormatting sqref="AC20:AE20 AC105:AE105 AC190:AE190">
    <cfRule type="expression" dxfId="1433" priority="58" stopIfTrue="1">
      <formula>IF(#REF!&gt;9,0,1)</formula>
    </cfRule>
  </conditionalFormatting>
  <conditionalFormatting sqref="E22:G22 E107:G107 E192:G192">
    <cfRule type="expression" dxfId="1432" priority="59" stopIfTrue="1">
      <formula>IF(#REF!&gt;1,0,1)</formula>
    </cfRule>
  </conditionalFormatting>
  <conditionalFormatting sqref="H22:J22 H107:J107 H192:J192">
    <cfRule type="expression" dxfId="1431" priority="60" stopIfTrue="1">
      <formula>IF(#REF!&gt;2,0,1)</formula>
    </cfRule>
  </conditionalFormatting>
  <conditionalFormatting sqref="K22:M22 K107:M107 K192:M192">
    <cfRule type="expression" dxfId="1430" priority="61" stopIfTrue="1">
      <formula>IF(#REF!&gt;3,0,1)</formula>
    </cfRule>
  </conditionalFormatting>
  <conditionalFormatting sqref="N22:P22 N107:P107 N192:P192">
    <cfRule type="expression" dxfId="1429" priority="62" stopIfTrue="1">
      <formula>IF(#REF!&gt;4,0,1)</formula>
    </cfRule>
  </conditionalFormatting>
  <conditionalFormatting sqref="Q22:S22 Q107:S107 Q192:S192">
    <cfRule type="expression" dxfId="1428" priority="63" stopIfTrue="1">
      <formula>IF(#REF!&gt;5,0,1)</formula>
    </cfRule>
  </conditionalFormatting>
  <conditionalFormatting sqref="T22:V22 T107:V107 T192:V192">
    <cfRule type="expression" dxfId="1427" priority="64" stopIfTrue="1">
      <formula>IF(#REF!&gt;6,0,1)</formula>
    </cfRule>
  </conditionalFormatting>
  <conditionalFormatting sqref="W22:Y22 W107:Y107 W192:Y192">
    <cfRule type="expression" dxfId="1426" priority="65" stopIfTrue="1">
      <formula>IF(#REF!&gt;7,0,1)</formula>
    </cfRule>
  </conditionalFormatting>
  <conditionalFormatting sqref="Z22:AB22 Z107:AB107 Z192:AB192">
    <cfRule type="expression" dxfId="1425" priority="66" stopIfTrue="1">
      <formula>IF(#REF!&gt;8,0,1)</formula>
    </cfRule>
  </conditionalFormatting>
  <conditionalFormatting sqref="AC22:AE22 AC107:AE107 AC192:AE192">
    <cfRule type="expression" dxfId="1424" priority="67" stopIfTrue="1">
      <formula>IF(#REF!&gt;9,0,1)</formula>
    </cfRule>
  </conditionalFormatting>
  <conditionalFormatting sqref="B24 B109 B194">
    <cfRule type="expression" dxfId="1423" priority="68" stopIfTrue="1">
      <formula>IF(#REF!&gt;0,0,1)</formula>
    </cfRule>
  </conditionalFormatting>
  <conditionalFormatting sqref="C24 C109 C194">
    <cfRule type="expression" dxfId="1422" priority="69" stopIfTrue="1">
      <formula>IF(#REF!&gt;0,0,1)</formula>
    </cfRule>
  </conditionalFormatting>
  <conditionalFormatting sqref="D24 D109 D194">
    <cfRule type="expression" dxfId="1421" priority="70" stopIfTrue="1">
      <formula>IF(#REF!&gt;0,0,1)</formula>
    </cfRule>
  </conditionalFormatting>
  <conditionalFormatting sqref="E23:G23 E108:G108 E193:G193">
    <cfRule type="expression" dxfId="1420" priority="71" stopIfTrue="1">
      <formula>IF(#REF!&gt;1,0,1)</formula>
    </cfRule>
  </conditionalFormatting>
  <conditionalFormatting sqref="F24 F109 F194">
    <cfRule type="expression" dxfId="1419" priority="72" stopIfTrue="1">
      <formula>IF(#REF!&gt;1,0,1)</formula>
    </cfRule>
  </conditionalFormatting>
  <conditionalFormatting sqref="G24 G109 G194">
    <cfRule type="expression" dxfId="1418" priority="73" stopIfTrue="1">
      <formula>IF(#REF!&gt;1,0,1)</formula>
    </cfRule>
  </conditionalFormatting>
  <conditionalFormatting sqref="H23:J23 H108:J108 H193:J193">
    <cfRule type="expression" dxfId="1417" priority="74" stopIfTrue="1">
      <formula>IF(#REF!&gt;2,0,1)</formula>
    </cfRule>
  </conditionalFormatting>
  <conditionalFormatting sqref="I24 I109 I194">
    <cfRule type="expression" dxfId="1416" priority="75" stopIfTrue="1">
      <formula>IF(#REF!&gt;2,0,1)</formula>
    </cfRule>
  </conditionalFormatting>
  <conditionalFormatting sqref="J24 J109 J194">
    <cfRule type="expression" dxfId="1415" priority="76" stopIfTrue="1">
      <formula>IF(#REF!&gt;2,0,1)</formula>
    </cfRule>
  </conditionalFormatting>
  <conditionalFormatting sqref="K23:M23 K108:M108 K193:M193">
    <cfRule type="expression" dxfId="1414" priority="77" stopIfTrue="1">
      <formula>IF(#REF!&gt;3,0,1)</formula>
    </cfRule>
  </conditionalFormatting>
  <conditionalFormatting sqref="L24 L109 L194">
    <cfRule type="expression" dxfId="1413" priority="78" stopIfTrue="1">
      <formula>IF(#REF!&gt;3,0,1)</formula>
    </cfRule>
  </conditionalFormatting>
  <conditionalFormatting sqref="M24 M109 M194">
    <cfRule type="expression" dxfId="1412" priority="79" stopIfTrue="1">
      <formula>IF(#REF!&gt;3,0,1)</formula>
    </cfRule>
  </conditionalFormatting>
  <conditionalFormatting sqref="N23:P23 N108:P108 N193:P193">
    <cfRule type="expression" dxfId="1411" priority="80" stopIfTrue="1">
      <formula>IF(#REF!&gt;4,0,1)</formula>
    </cfRule>
  </conditionalFormatting>
  <conditionalFormatting sqref="O24 O109 O194">
    <cfRule type="expression" dxfId="1410" priority="81" stopIfTrue="1">
      <formula>IF(#REF!&gt;4,0,1)</formula>
    </cfRule>
  </conditionalFormatting>
  <conditionalFormatting sqref="P24 P109 P194">
    <cfRule type="expression" dxfId="1409" priority="82" stopIfTrue="1">
      <formula>IF(#REF!&gt;4,0,1)</formula>
    </cfRule>
  </conditionalFormatting>
  <conditionalFormatting sqref="Q23:S23 Q108:S108 Q193:S193">
    <cfRule type="expression" dxfId="1408" priority="83" stopIfTrue="1">
      <formula>IF(#REF!&gt;5,0,1)</formula>
    </cfRule>
  </conditionalFormatting>
  <conditionalFormatting sqref="R24 R109 R194">
    <cfRule type="expression" dxfId="1407" priority="84" stopIfTrue="1">
      <formula>IF(#REF!&gt;5,0,1)</formula>
    </cfRule>
  </conditionalFormatting>
  <conditionalFormatting sqref="S24 S109 S194">
    <cfRule type="expression" dxfId="1406" priority="85" stopIfTrue="1">
      <formula>IF(#REF!&gt;5,0,1)</formula>
    </cfRule>
  </conditionalFormatting>
  <conditionalFormatting sqref="T23:V23 T108:V108 T193:V193">
    <cfRule type="expression" dxfId="1405" priority="86" stopIfTrue="1">
      <formula>IF(#REF!&gt;6,0,1)</formula>
    </cfRule>
  </conditionalFormatting>
  <conditionalFormatting sqref="U24 U109 U194">
    <cfRule type="expression" dxfId="1404" priority="87" stopIfTrue="1">
      <formula>IF(#REF!&gt;6,0,1)</formula>
    </cfRule>
  </conditionalFormatting>
  <conditionalFormatting sqref="V24 V109 V194">
    <cfRule type="expression" dxfId="1403" priority="88" stopIfTrue="1">
      <formula>IF(#REF!&gt;6,0,1)</formula>
    </cfRule>
  </conditionalFormatting>
  <conditionalFormatting sqref="W23:Y23 W108:Y108 W193:Y193">
    <cfRule type="expression" dxfId="1402" priority="89" stopIfTrue="1">
      <formula>IF(#REF!&gt;7,0,1)</formula>
    </cfRule>
  </conditionalFormatting>
  <conditionalFormatting sqref="X24 X109 X194">
    <cfRule type="expression" dxfId="1401" priority="90" stopIfTrue="1">
      <formula>IF(#REF!&gt;7,0,1)</formula>
    </cfRule>
  </conditionalFormatting>
  <conditionalFormatting sqref="Y24 Y109 Y194">
    <cfRule type="expression" dxfId="1400" priority="91" stopIfTrue="1">
      <formula>IF(#REF!&gt;7,0,1)</formula>
    </cfRule>
  </conditionalFormatting>
  <conditionalFormatting sqref="Z23:AB23 Z108:AB108 Z193:AB193">
    <cfRule type="expression" dxfId="1399" priority="92" stopIfTrue="1">
      <formula>IF(#REF!&gt;8,0,1)</formula>
    </cfRule>
  </conditionalFormatting>
  <conditionalFormatting sqref="AA24 AA109 AA194">
    <cfRule type="expression" dxfId="1398" priority="93" stopIfTrue="1">
      <formula>IF(#REF!&gt;8,0,1)</formula>
    </cfRule>
  </conditionalFormatting>
  <conditionalFormatting sqref="AB24 AB109 AB194">
    <cfRule type="expression" dxfId="1397" priority="94" stopIfTrue="1">
      <formula>IF(#REF!&gt;8,0,1)</formula>
    </cfRule>
  </conditionalFormatting>
  <conditionalFormatting sqref="AC23:AE23 AC108:AE108 AC193:AE193">
    <cfRule type="expression" dxfId="1396" priority="95" stopIfTrue="1">
      <formula>IF(#REF!&gt;9,0,1)</formula>
    </cfRule>
  </conditionalFormatting>
  <conditionalFormatting sqref="AD24 AD109 AD194">
    <cfRule type="expression" dxfId="1395" priority="96" stopIfTrue="1">
      <formula>IF(#REF!&gt;9,0,1)</formula>
    </cfRule>
  </conditionalFormatting>
  <conditionalFormatting sqref="AE24 AE109 AE194">
    <cfRule type="expression" dxfId="1394" priority="97" stopIfTrue="1">
      <formula>IF(#REF!&gt;9,0,1)</formula>
    </cfRule>
  </conditionalFormatting>
  <conditionalFormatting sqref="A26 A111 A196">
    <cfRule type="expression" dxfId="1393" priority="98" stopIfTrue="1">
      <formula>IF(#REF!&gt;1,0,1)</formula>
    </cfRule>
  </conditionalFormatting>
  <conditionalFormatting sqref="A27 A112 A197">
    <cfRule type="expression" dxfId="1392" priority="99" stopIfTrue="1">
      <formula>IF(#REF!&gt;2,0,1)</formula>
    </cfRule>
  </conditionalFormatting>
  <conditionalFormatting sqref="A28 A113 A198">
    <cfRule type="expression" dxfId="1391" priority="100" stopIfTrue="1">
      <formula>IF(#REF!&gt;3,0,1)</formula>
    </cfRule>
  </conditionalFormatting>
  <conditionalFormatting sqref="A29 A114 A199">
    <cfRule type="expression" dxfId="1390" priority="101" stopIfTrue="1">
      <formula>IF(#REF!&gt;4,0,1)</formula>
    </cfRule>
  </conditionalFormatting>
  <conditionalFormatting sqref="B25:D25 B110:D110 B195:D195">
    <cfRule type="expression" dxfId="1389" priority="102" stopIfTrue="1">
      <formula>IF(#REF!&gt;0,0,1)</formula>
    </cfRule>
  </conditionalFormatting>
  <conditionalFormatting sqref="B26:D26 B111:D111 B196:D196">
    <cfRule type="expression" dxfId="1388" priority="103" stopIfTrue="1">
      <formula>IF(#REF!&lt;1,1,IF(#REF!&lt;2,1,0))</formula>
    </cfRule>
  </conditionalFormatting>
  <conditionalFormatting sqref="B27:D27 B112:D112 B197:D197">
    <cfRule type="expression" dxfId="1387" priority="104" stopIfTrue="1">
      <formula>IF(#REF!&lt;1,1,IF(#REF!&lt;3,1,0))</formula>
    </cfRule>
  </conditionalFormatting>
  <conditionalFormatting sqref="B28:D28 B113:D113 B198:D198">
    <cfRule type="expression" dxfId="1386" priority="105" stopIfTrue="1">
      <formula>IF(#REF!&lt;1,1,IF(#REF!&lt;4,1,0))</formula>
    </cfRule>
  </conditionalFormatting>
  <conditionalFormatting sqref="B29:D29 B114:D114 B199:D199">
    <cfRule type="expression" dxfId="1385" priority="106" stopIfTrue="1">
      <formula>IF(#REF!&lt;1,1,IF(#REF!&lt;5,1,0))</formula>
    </cfRule>
  </conditionalFormatting>
  <conditionalFormatting sqref="AG23 AG108 AG193">
    <cfRule type="expression" dxfId="1384" priority="107" stopIfTrue="1">
      <formula>IF(#REF!&lt;1,1,0)</formula>
    </cfRule>
  </conditionalFormatting>
  <conditionalFormatting sqref="AH23 AH108 AH193">
    <cfRule type="expression" dxfId="1383" priority="108" stopIfTrue="1">
      <formula>IF(#REF!&lt;2,1,0)</formula>
    </cfRule>
  </conditionalFormatting>
  <conditionalFormatting sqref="AI23 AI108 AI193">
    <cfRule type="expression" dxfId="1382" priority="109" stopIfTrue="1">
      <formula>IF(#REF!&lt;3,1,0)</formula>
    </cfRule>
  </conditionalFormatting>
  <conditionalFormatting sqref="AJ23 AJ108 AJ193">
    <cfRule type="expression" dxfId="1381" priority="110" stopIfTrue="1">
      <formula>IF(#REF!&lt;4,1,0)</formula>
    </cfRule>
  </conditionalFormatting>
  <conditionalFormatting sqref="AK23 AK108 AK193">
    <cfRule type="expression" dxfId="1380" priority="111" stopIfTrue="1">
      <formula>IF(#REF!&lt;5,1,0)</formula>
    </cfRule>
  </conditionalFormatting>
  <conditionalFormatting sqref="AL23 AL108 AL193">
    <cfRule type="expression" dxfId="1379" priority="112" stopIfTrue="1">
      <formula>IF(#REF!&lt;6,1,0)</formula>
    </cfRule>
  </conditionalFormatting>
  <conditionalFormatting sqref="AM23 AM108 AM193">
    <cfRule type="expression" dxfId="1378" priority="113" stopIfTrue="1">
      <formula>IF(#REF!&lt;7,1,0)</formula>
    </cfRule>
  </conditionalFormatting>
  <conditionalFormatting sqref="AN23 AN108 AN193">
    <cfRule type="expression" dxfId="1377" priority="114" stopIfTrue="1">
      <formula>IF(#REF!&lt;8,1,0)</formula>
    </cfRule>
  </conditionalFormatting>
  <conditionalFormatting sqref="AO23 AO108 AO193">
    <cfRule type="expression" dxfId="1376" priority="115" stopIfTrue="1">
      <formula>IF(#REF!&lt;9,1,0)</formula>
    </cfRule>
  </conditionalFormatting>
  <conditionalFormatting sqref="AP23 AP108 AP193">
    <cfRule type="expression" dxfId="1375" priority="116" stopIfTrue="1">
      <formula>IF(#REF!&lt;10,1,0)</formula>
    </cfRule>
  </conditionalFormatting>
  <conditionalFormatting sqref="AQ24 AQ109 AQ194">
    <cfRule type="expression" dxfId="1374" priority="117" stopIfTrue="1">
      <formula>IF(#REF!&gt;0,0,1)</formula>
    </cfRule>
  </conditionalFormatting>
  <conditionalFormatting sqref="AQ25 AQ110 AQ195">
    <cfRule type="expression" dxfId="1373" priority="118" stopIfTrue="1">
      <formula>IF(#REF!&gt;1,0,1)</formula>
    </cfRule>
  </conditionalFormatting>
  <conditionalFormatting sqref="AQ26 H25:J25 AQ111 H110:J110 AQ196 H195:J195">
    <cfRule type="expression" dxfId="1372" priority="119" stopIfTrue="1">
      <formula>IF(#REF!&gt;2,0,1)</formula>
    </cfRule>
  </conditionalFormatting>
  <conditionalFormatting sqref="K110:M110 K25:M25 K195:M195">
    <cfRule type="expression" dxfId="1371" priority="120" stopIfTrue="1">
      <formula>IF(#REF!&gt;3,0,1)</formula>
    </cfRule>
  </conditionalFormatting>
  <conditionalFormatting sqref="AQ28 AQ113 AQ198">
    <cfRule type="expression" dxfId="1370" priority="121" stopIfTrue="1">
      <formula>IF(#REF!&gt;4,0,1)</formula>
    </cfRule>
  </conditionalFormatting>
  <conditionalFormatting sqref="E26:G26 E111:G111 E196:G196">
    <cfRule type="expression" dxfId="1369" priority="122" stopIfTrue="1">
      <formula>IF(#REF!&lt;2,1,IF(#REF!&lt;2,1,0))</formula>
    </cfRule>
  </conditionalFormatting>
  <conditionalFormatting sqref="E27:G27 E112:G112 E197:G197">
    <cfRule type="expression" dxfId="1368" priority="123" stopIfTrue="1">
      <formula>IF(#REF!&lt;2,1,IF(#REF!&lt;3,1,0))</formula>
    </cfRule>
  </conditionalFormatting>
  <conditionalFormatting sqref="E28:G28 E113:G113 E198:G198">
    <cfRule type="expression" dxfId="1367" priority="124" stopIfTrue="1">
      <formula>IF(#REF!&lt;2,1,IF(#REF!&lt;4,1,0))</formula>
    </cfRule>
  </conditionalFormatting>
  <conditionalFormatting sqref="E29:G29 E114:G114 E199:G199">
    <cfRule type="expression" dxfId="1366" priority="125" stopIfTrue="1">
      <formula>IF(#REF!&lt;2,1,IF(#REF!&lt;5,1,0))</formula>
    </cfRule>
  </conditionalFormatting>
  <conditionalFormatting sqref="N25:P25 N110:P110 N195:P195">
    <cfRule type="expression" dxfId="1365" priority="126" stopIfTrue="1">
      <formula>IF(#REF!&gt;4,0,1)</formula>
    </cfRule>
  </conditionalFormatting>
  <conditionalFormatting sqref="Q25:S25 Q110:S110 Q195:S195">
    <cfRule type="expression" dxfId="1364" priority="127" stopIfTrue="1">
      <formula>IF(#REF!&gt;5,0,1)</formula>
    </cfRule>
  </conditionalFormatting>
  <conditionalFormatting sqref="T25:V25 T110:V110 T195:V195">
    <cfRule type="expression" dxfId="1363" priority="128" stopIfTrue="1">
      <formula>IF(#REF!&gt;6,0,1)</formula>
    </cfRule>
  </conditionalFormatting>
  <conditionalFormatting sqref="W25:Y25 W110:Y110 W195:Y195">
    <cfRule type="expression" dxfId="1362" priority="129" stopIfTrue="1">
      <formula>IF(#REF!&gt;7,0,1)</formula>
    </cfRule>
  </conditionalFormatting>
  <conditionalFormatting sqref="Z25:AB25 Z110:AB110 Z195:AB195">
    <cfRule type="expression" dxfId="1361" priority="130" stopIfTrue="1">
      <formula>IF(#REF!&gt;8,0,1)</formula>
    </cfRule>
  </conditionalFormatting>
  <conditionalFormatting sqref="AC25:AE25 AC110:AE110 AC195:AE195">
    <cfRule type="expression" dxfId="1360" priority="131" stopIfTrue="1">
      <formula>IF(#REF!&gt;9,0,1)</formula>
    </cfRule>
  </conditionalFormatting>
  <conditionalFormatting sqref="H26:J26 H111:J111 H196:J196">
    <cfRule type="expression" dxfId="1359" priority="132" stopIfTrue="1">
      <formula>IF(#REF!&lt;3,1,IF(#REF!&lt;2,1,0))</formula>
    </cfRule>
  </conditionalFormatting>
  <conditionalFormatting sqref="K26:M26 K111:M111 K196:M196">
    <cfRule type="expression" dxfId="1358" priority="133" stopIfTrue="1">
      <formula>IF(#REF!&lt;4,1,IF(#REF!&lt;2,1,0))</formula>
    </cfRule>
  </conditionalFormatting>
  <conditionalFormatting sqref="N26:P26 N111:P111 N196:P196">
    <cfRule type="expression" dxfId="1357" priority="134" stopIfTrue="1">
      <formula>IF(#REF!&lt;5,1,IF(#REF!&lt;2,1,0))</formula>
    </cfRule>
  </conditionalFormatting>
  <conditionalFormatting sqref="Q26:S26 Q111:S111 Q196:S196">
    <cfRule type="expression" dxfId="1356" priority="135" stopIfTrue="1">
      <formula>IF(#REF!&lt;6,1,IF(#REF!&lt;2,1,0))</formula>
    </cfRule>
  </conditionalFormatting>
  <conditionalFormatting sqref="T26:V26 T111:V111 T196:V196">
    <cfRule type="expression" dxfId="1355" priority="136" stopIfTrue="1">
      <formula>IF(#REF!&lt;7,1,IF(#REF!&lt;2,1,0))</formula>
    </cfRule>
  </conditionalFormatting>
  <conditionalFormatting sqref="W26:Y26 W111:Y111 W196:Y196">
    <cfRule type="expression" dxfId="1354" priority="137" stopIfTrue="1">
      <formula>IF(#REF!&lt;8,1,IF(#REF!&lt;2,1,0))</formula>
    </cfRule>
  </conditionalFormatting>
  <conditionalFormatting sqref="Z26:AB26 Z111:AB111 Z196:AB196">
    <cfRule type="expression" dxfId="1353" priority="138" stopIfTrue="1">
      <formula>IF(#REF!&lt;9,1,IF(#REF!&lt;2,1,0))</formula>
    </cfRule>
  </conditionalFormatting>
  <conditionalFormatting sqref="AC26:AE26 AC111:AE111 AC196:AE196">
    <cfRule type="expression" dxfId="1352" priority="139" stopIfTrue="1">
      <formula>IF(#REF!&lt;10,1,IF(#REF!&lt;2,1,0))</formula>
    </cfRule>
  </conditionalFormatting>
  <conditionalFormatting sqref="H27:J27 H112:J112 H197:J197">
    <cfRule type="expression" dxfId="1351" priority="140" stopIfTrue="1">
      <formula>IF(#REF!&lt;3,1,IF(#REF!&lt;3,1,0))</formula>
    </cfRule>
  </conditionalFormatting>
  <conditionalFormatting sqref="K27:M27 K112:M112 K197:M197">
    <cfRule type="expression" dxfId="1350" priority="141" stopIfTrue="1">
      <formula>IF(#REF!&lt;4,1,IF(#REF!&lt;3,1,0))</formula>
    </cfRule>
  </conditionalFormatting>
  <conditionalFormatting sqref="N27:P27 N112:P112 N197:P197">
    <cfRule type="expression" dxfId="1349" priority="142" stopIfTrue="1">
      <formula>IF(#REF!&lt;5,1,IF(#REF!&lt;3,1,0))</formula>
    </cfRule>
  </conditionalFormatting>
  <conditionalFormatting sqref="Q27:S27 Q112:S112 Q197:S197">
    <cfRule type="expression" dxfId="1348" priority="143" stopIfTrue="1">
      <formula>IF(#REF!&lt;6,1,IF(#REF!&lt;3,1,0))</formula>
    </cfRule>
  </conditionalFormatting>
  <conditionalFormatting sqref="T27:V27 T112:V112 T197:V197">
    <cfRule type="expression" dxfId="1347" priority="144" stopIfTrue="1">
      <formula>IF(#REF!&lt;7,1,IF(#REF!&lt;3,1,0))</formula>
    </cfRule>
  </conditionalFormatting>
  <conditionalFormatting sqref="W27:Y27 W112:Y112 W197:Y197">
    <cfRule type="expression" dxfId="1346" priority="145" stopIfTrue="1">
      <formula>IF(#REF!&lt;8,1,IF(#REF!&lt;3,1,0))</formula>
    </cfRule>
  </conditionalFormatting>
  <conditionalFormatting sqref="Z27:AB27 Z112:AB112 Z197:AB197">
    <cfRule type="expression" dxfId="1345" priority="146" stopIfTrue="1">
      <formula>IF(#REF!&lt;9,1,IF(#REF!&lt;3,1,0))</formula>
    </cfRule>
  </conditionalFormatting>
  <conditionalFormatting sqref="AC27:AE27 AC112:AE112 AC197:AE197">
    <cfRule type="expression" dxfId="1344" priority="147" stopIfTrue="1">
      <formula>IF(#REF!&lt;10,1,IF(#REF!&lt;3,1,0))</formula>
    </cfRule>
  </conditionalFormatting>
  <conditionalFormatting sqref="H28:J28 H113:J113 H198:J198">
    <cfRule type="expression" dxfId="1343" priority="148" stopIfTrue="1">
      <formula>IF(#REF!&lt;3,1,IF(#REF!&lt;4,1,0))</formula>
    </cfRule>
  </conditionalFormatting>
  <conditionalFormatting sqref="K28:M28 K113:M113 K198:M198">
    <cfRule type="expression" dxfId="1342" priority="149" stopIfTrue="1">
      <formula>IF(#REF!&lt;4,1,IF(#REF!&lt;4,1,0))</formula>
    </cfRule>
  </conditionalFormatting>
  <conditionalFormatting sqref="N28:P28 N113:P113 N198:P198">
    <cfRule type="expression" dxfId="1341" priority="150" stopIfTrue="1">
      <formula>IF(#REF!&lt;5,1,IF(#REF!&lt;4,1,0))</formula>
    </cfRule>
  </conditionalFormatting>
  <conditionalFormatting sqref="Q28:S28 Q113:S113 Q198:S198">
    <cfRule type="expression" dxfId="1340" priority="151" stopIfTrue="1">
      <formula>IF(#REF!&lt;6,1,IF(#REF!&lt;4,1,0))</formula>
    </cfRule>
  </conditionalFormatting>
  <conditionalFormatting sqref="T28:V28 T113:V113 T198:V198">
    <cfRule type="expression" dxfId="1339" priority="152" stopIfTrue="1">
      <formula>IF(#REF!&lt;7,1,IF(#REF!&lt;4,1,0))</formula>
    </cfRule>
  </conditionalFormatting>
  <conditionalFormatting sqref="W28:Y28 W113:Y113 W198:Y198">
    <cfRule type="expression" dxfId="1338" priority="153" stopIfTrue="1">
      <formula>IF(#REF!&lt;8,1,IF(#REF!&lt;4,1,0))</formula>
    </cfRule>
  </conditionalFormatting>
  <conditionalFormatting sqref="Z28:AB28 Z113:AB113 Z198:AB198">
    <cfRule type="expression" dxfId="1337" priority="154" stopIfTrue="1">
      <formula>IF(#REF!&lt;9,1,IF(#REF!&lt;4,1,0))</formula>
    </cfRule>
  </conditionalFormatting>
  <conditionalFormatting sqref="AC28:AE28 AC113:AE113 AC198:AE198">
    <cfRule type="expression" dxfId="1336" priority="155" stopIfTrue="1">
      <formula>IF(#REF!&lt;10,1,IF(#REF!&lt;4,1,0))</formula>
    </cfRule>
  </conditionalFormatting>
  <conditionalFormatting sqref="H29:J29 H114:J114 H199:J199">
    <cfRule type="expression" dxfId="1335" priority="156" stopIfTrue="1">
      <formula>IF(#REF!&lt;3,1,IF(#REF!&lt;5,1,0))</formula>
    </cfRule>
  </conditionalFormatting>
  <conditionalFormatting sqref="K29:M29 K114:M114 K199:M199">
    <cfRule type="expression" dxfId="1334" priority="157" stopIfTrue="1">
      <formula>IF(#REF!&lt;4,1,IF(#REF!&lt;5,1,0))</formula>
    </cfRule>
  </conditionalFormatting>
  <conditionalFormatting sqref="N29:P29 N114:P114 N199:P199">
    <cfRule type="expression" dxfId="1333" priority="158" stopIfTrue="1">
      <formula>IF(#REF!&lt;5,1,IF(#REF!&lt;5,1,0))</formula>
    </cfRule>
  </conditionalFormatting>
  <conditionalFormatting sqref="Q29:S29 Q114:S114 Q199:S199">
    <cfRule type="expression" dxfId="1332" priority="159" stopIfTrue="1">
      <formula>IF(#REF!&lt;6,1,IF(#REF!&lt;5,1,0))</formula>
    </cfRule>
  </conditionalFormatting>
  <conditionalFormatting sqref="T29:V29 T114:V114 T199:V199">
    <cfRule type="expression" dxfId="1331" priority="160" stopIfTrue="1">
      <formula>IF(#REF!&lt;7,1,IF(#REF!&lt;5,1,0))</formula>
    </cfRule>
  </conditionalFormatting>
  <conditionalFormatting sqref="W29:Y29 W114:Y114 W199:Y199">
    <cfRule type="expression" dxfId="1330" priority="161" stopIfTrue="1">
      <formula>IF(#REF!&lt;8,1,IF(#REF!&lt;5,1,0))</formula>
    </cfRule>
  </conditionalFormatting>
  <conditionalFormatting sqref="Z29:AB29 Z114:AB114 Z199:AB199">
    <cfRule type="expression" dxfId="1329" priority="162" stopIfTrue="1">
      <formula>IF(#REF!&lt;9,1,IF(#REF!&lt;5,1,0))</formula>
    </cfRule>
  </conditionalFormatting>
  <conditionalFormatting sqref="AC29:AE29 AC114:AE114 AC199:AE199">
    <cfRule type="expression" dxfId="1328" priority="163" stopIfTrue="1">
      <formula>IF(#REF!&lt;10,1,IF(#REF!&lt;5,1,0))</formula>
    </cfRule>
  </conditionalFormatting>
  <conditionalFormatting sqref="R99:AB100 AF99:AF100 L99:P100 R14:AB15 AF14:AF15 L14:P15 R184:AB185 AF184:AF185 L184:P185 AG14 AG99 AG184">
    <cfRule type="expression" dxfId="1327" priority="164" stopIfTrue="1">
      <formula>IF(#REF!&gt;3,0,1)</formula>
    </cfRule>
  </conditionalFormatting>
  <conditionalFormatting sqref="R101:AB102 AF101:AF102 L101:P102 R16:AB17 AF16:AF17 L16:P17 R186:AB187 AF186:AF187 L186:P187 AG16 AG101 AG186">
    <cfRule type="expression" dxfId="1326" priority="165" stopIfTrue="1">
      <formula>IF(#REF!&gt;4,0,1)</formula>
    </cfRule>
  </conditionalFormatting>
  <conditionalFormatting sqref="R93:AB94 AF93:AF94 L93:P94 R8:AB9 AF8:AF9 L8:P9 R178:AB179 AF178:AF179 L178:P179 AG8 AG93 AG178">
    <cfRule type="expression" dxfId="1325" priority="166" stopIfTrue="1">
      <formula>IF($AK9&gt;0,0,1)</formula>
    </cfRule>
  </conditionalFormatting>
  <conditionalFormatting sqref="R95:AB96 AF95:AF96 L95:P96 R10:AB11 AF10:AF11 L10:P11 R180:AB181 AF180:AF181 L180:P181 AG10 AG95 AG180">
    <cfRule type="expression" dxfId="1324" priority="167" stopIfTrue="1">
      <formula>IF(#REF!&gt;1,0,1)</formula>
    </cfRule>
  </conditionalFormatting>
  <conditionalFormatting sqref="R97:AB98 AF97:AF98 L97:P98 R12:AB13 AF12:AF13 L12:P13 R182:AB183 AF182:AF183 L182:P183 AG12 AG97 AG182">
    <cfRule type="expression" dxfId="1323" priority="168" stopIfTrue="1">
      <formula>IF(#REF!&gt;2,0,1)</formula>
    </cfRule>
  </conditionalFormatting>
  <conditionalFormatting sqref="E109 E24 E194">
    <cfRule type="expression" dxfId="1322" priority="169" stopIfTrue="1">
      <formula>IF(#REF!&gt;1,0,1)</formula>
    </cfRule>
  </conditionalFormatting>
  <conditionalFormatting sqref="H109 H24 H194">
    <cfRule type="expression" dxfId="1321" priority="170" stopIfTrue="1">
      <formula>IF(#REF!&gt;2,0,1)</formula>
    </cfRule>
  </conditionalFormatting>
  <conditionalFormatting sqref="K109 K24 K194">
    <cfRule type="expression" dxfId="1320" priority="171" stopIfTrue="1">
      <formula>IF(#REF!&gt;3,0,1)</formula>
    </cfRule>
  </conditionalFormatting>
  <conditionalFormatting sqref="N109 N24 N194">
    <cfRule type="expression" dxfId="1319" priority="172" stopIfTrue="1">
      <formula>IF(#REF!&gt;4,0,1)</formula>
    </cfRule>
  </conditionalFormatting>
  <conditionalFormatting sqref="Q109 Q24 Q194">
    <cfRule type="expression" dxfId="1318" priority="173" stopIfTrue="1">
      <formula>IF(#REF!&gt;5,0,1)</formula>
    </cfRule>
  </conditionalFormatting>
  <conditionalFormatting sqref="T109 T24 T194">
    <cfRule type="expression" dxfId="1317" priority="174" stopIfTrue="1">
      <formula>IF(#REF!&gt;6,0,1)</formula>
    </cfRule>
  </conditionalFormatting>
  <conditionalFormatting sqref="W109 W24 W194">
    <cfRule type="expression" dxfId="1316" priority="175" stopIfTrue="1">
      <formula>IF(#REF!&gt;7,0,1)</formula>
    </cfRule>
  </conditionalFormatting>
  <conditionalFormatting sqref="Z109 Z24 Z194">
    <cfRule type="expression" dxfId="1315" priority="176" stopIfTrue="1">
      <formula>IF(#REF!&gt;8,0,1)</formula>
    </cfRule>
  </conditionalFormatting>
  <conditionalFormatting sqref="AC109 AC24 AC194">
    <cfRule type="expression" dxfId="1314" priority="177" stopIfTrue="1">
      <formula>IF(#REF!&gt;9,0,1)</formula>
    </cfRule>
  </conditionalFormatting>
  <conditionalFormatting sqref="AQ112 AQ27 AQ197">
    <cfRule type="expression" dxfId="1313" priority="178" stopIfTrue="1">
      <formula>IF(#REF!&gt;3,0,1)</formula>
    </cfRule>
  </conditionalFormatting>
  <conditionalFormatting sqref="E110:G110 E25:G25 E195:G195">
    <cfRule type="expression" dxfId="1312" priority="179" stopIfTrue="1">
      <formula>IF(#REF!&gt;1,0,1)</formula>
    </cfRule>
  </conditionalFormatting>
  <conditionalFormatting sqref="B106:D106 B21:D21 B191:D191">
    <cfRule type="expression" dxfId="1311" priority="180" stopIfTrue="1">
      <formula>IF(#REF!&gt;0,0,1)</formula>
    </cfRule>
  </conditionalFormatting>
  <conditionalFormatting sqref="E106:G106 E21:G21 E191:G191">
    <cfRule type="expression" dxfId="1310" priority="181" stopIfTrue="1">
      <formula>IF(#REF!&gt;1,0,1)</formula>
    </cfRule>
  </conditionalFormatting>
  <conditionalFormatting sqref="H106:J106 H21:J21 H191:J191">
    <cfRule type="expression" dxfId="1309" priority="182" stopIfTrue="1">
      <formula>IF(#REF!&gt;2,0,1)</formula>
    </cfRule>
  </conditionalFormatting>
  <conditionalFormatting sqref="K106:M106 K21:M21 K191:M191">
    <cfRule type="expression" dxfId="1308" priority="183" stopIfTrue="1">
      <formula>IF(#REF!&gt;3,0,1)</formula>
    </cfRule>
  </conditionalFormatting>
  <conditionalFormatting sqref="N106:P106 N21:P21 N191:P191">
    <cfRule type="expression" dxfId="1307" priority="184" stopIfTrue="1">
      <formula>IF(#REF!&gt;4,0,1)</formula>
    </cfRule>
  </conditionalFormatting>
  <conditionalFormatting sqref="Q106:S106 Q21:S21 Q191:S191">
    <cfRule type="expression" dxfId="1306" priority="185" stopIfTrue="1">
      <formula>IF(#REF!&gt;5,0,1)</formula>
    </cfRule>
  </conditionalFormatting>
  <conditionalFormatting sqref="T106:V106 T21:V21 T191:V191">
    <cfRule type="expression" dxfId="1305" priority="186" stopIfTrue="1">
      <formula>IF(#REF!&gt;6,0,1)</formula>
    </cfRule>
  </conditionalFormatting>
  <conditionalFormatting sqref="W106:Y106 W21:Y21 W191:Y191">
    <cfRule type="expression" dxfId="1304" priority="187" stopIfTrue="1">
      <formula>IF(#REF!&gt;7,0,1)</formula>
    </cfRule>
  </conditionalFormatting>
  <conditionalFormatting sqref="Z106:AB106 Z21:AB21 Z191:AB191">
    <cfRule type="expression" dxfId="1303" priority="188" stopIfTrue="1">
      <formula>IF(#REF!&gt;8,0,1)</formula>
    </cfRule>
  </conditionalFormatting>
  <conditionalFormatting sqref="AC106:AE106 AC21:AE21 AC191:AE191">
    <cfRule type="expression" dxfId="1302" priority="189" stopIfTrue="1">
      <formula>IF(#REF!&gt;9,0,1)</formula>
    </cfRule>
  </conditionalFormatting>
  <conditionalFormatting sqref="X315:X316 W306:W307 X306:Y306 X357:Z358 Y359:Y360 AB358:AB360 X354:X355 AE358:AE360 W309:Y314 Z310:AE313 AA314:AA316 I314:I316 C315:C316 B306:B307 C306:D306 B309:D314 E310:J313 F314:F316 I362:I364 C363:C364 B354:B355 C354:D354 B357:D362 E358:J361 AD314:AD316 F362:F364">
    <cfRule type="expression" dxfId="1301" priority="190" stopIfTrue="1">
      <formula>IF(#REF!&gt;0,0,1)</formula>
    </cfRule>
  </conditionalFormatting>
  <conditionalFormatting sqref="AA306:AB306 AA354:AA358 AC357:AC358 AB357 AB314 AA309:AB309 Z314 Z306:Z309 F306:G306 G314 F309:G309 E314 E306:E309 F354:G354 G362 F357:G357 E362 E354:E357">
    <cfRule type="expression" dxfId="1300" priority="191" stopIfTrue="1">
      <formula>IF(#REF!&gt;1,0,1)</formula>
    </cfRule>
  </conditionalFormatting>
  <conditionalFormatting sqref="AD354:AD358 AF357:AF358 AE357 AC306:AC309 AG358 AD306:AE306 AE314 AD309:AE309 AC314 H314 H306:H309 I306:J306 J314 I309:J309 H354:H357 I354:J354 J362 I357:J357 H362">
    <cfRule type="expression" dxfId="1299" priority="192" stopIfTrue="1">
      <formula>IF(#REF!&gt;2,0,1)</formula>
    </cfRule>
  </conditionalFormatting>
  <conditionalFormatting sqref="X359 Z359 W315 Y315 B315 D315 B363 D363">
    <cfRule type="expression" dxfId="1298" priority="193" stopIfTrue="1">
      <formula>IF(#REF!&lt;1,1,IF(#REF!&lt;2,1,0))</formula>
    </cfRule>
  </conditionalFormatting>
  <conditionalFormatting sqref="AA359 AC359 Z315 AB315 E315 G315 E363 G363">
    <cfRule type="expression" dxfId="1297" priority="194" stopIfTrue="1">
      <formula>IF(#REF!&lt;2,1,IF(#REF!&lt;2,1,0))</formula>
    </cfRule>
  </conditionalFormatting>
  <conditionalFormatting sqref="AD359 AF359 AC315 AE315 H315 J315 H363 J363">
    <cfRule type="expression" dxfId="1296" priority="195" stopIfTrue="1">
      <formula>IF(#REF!&lt;3,1,IF(#REF!&lt;2,1,0))</formula>
    </cfRule>
  </conditionalFormatting>
  <conditionalFormatting sqref="X360 Z360 Y316 B316 D316 B364 W316 D364">
    <cfRule type="expression" dxfId="1295" priority="196" stopIfTrue="1">
      <formula>IF(#REF!&lt;1,1,IF(#REF!&lt;3,1,0))</formula>
    </cfRule>
  </conditionalFormatting>
  <conditionalFormatting sqref="AA360 AC360 AB316 E316 G316 E364 Z316 G364">
    <cfRule type="expression" dxfId="1294" priority="197" stopIfTrue="1">
      <formula>IF(#REF!&lt;2,1,IF(#REF!&lt;3,1,0))</formula>
    </cfRule>
  </conditionalFormatting>
  <conditionalFormatting sqref="AD360 AF360 AE316 H316 J316 H364 AC316 J364">
    <cfRule type="expression" dxfId="1293" priority="198" stopIfTrue="1">
      <formula>IF(#REF!&lt;3,1,IF(#REF!&lt;3,1,0))</formula>
    </cfRule>
  </conditionalFormatting>
  <conditionalFormatting sqref="AG109:AP113 AG24:AP28 AG194:AP198">
    <cfRule type="cellIs" dxfId="1292" priority="199" stopIfTrue="1" operator="notBetween">
      <formula>-9999</formula>
      <formula>9999</formula>
    </cfRule>
  </conditionalFormatting>
  <conditionalFormatting sqref="AC7 AC92 AC177">
    <cfRule type="expression" dxfId="1291" priority="200" stopIfTrue="1">
      <formula>IF($AK$11=0,1,0)</formula>
    </cfRule>
  </conditionalFormatting>
  <conditionalFormatting sqref="B103 B18 B188">
    <cfRule type="expression" dxfId="1290" priority="201" stopIfTrue="1">
      <formula>IF($AK$9&gt;0,0,1)</formula>
    </cfRule>
  </conditionalFormatting>
  <conditionalFormatting sqref="B22:D23 B107:D108 B192:D193">
    <cfRule type="cellIs" dxfId="1289" priority="202" stopIfTrue="1" operator="equal">
      <formula>99</formula>
    </cfRule>
  </conditionalFormatting>
  <conditionalFormatting sqref="C317 F317 X317 AA317 C365 F365">
    <cfRule type="expression" dxfId="1288" priority="203" stopIfTrue="1">
      <formula>IF(#REF!&gt;0,0,1)</formula>
    </cfRule>
  </conditionalFormatting>
  <conditionalFormatting sqref="K306">
    <cfRule type="expression" dxfId="1287" priority="3" stopIfTrue="1">
      <formula>IF(ISNUMBER(K314),0,1)</formula>
    </cfRule>
  </conditionalFormatting>
  <conditionalFormatting sqref="K354">
    <cfRule type="expression" dxfId="1286" priority="2" stopIfTrue="1">
      <formula>IF(ISNUMBER(K362),0,1)</formula>
    </cfRule>
  </conditionalFormatting>
  <conditionalFormatting sqref="AF306">
    <cfRule type="expression" dxfId="1285" priority="1" stopIfTrue="1">
      <formula>IF(ISNUMBER(AF314),0,1)</formula>
    </cfRule>
  </conditionalFormatting>
  <pageMargins left="0.25" right="0.25" top="0.25" bottom="0.25" header="0" footer="0"/>
  <pageSetup scale="56" orientation="portrait" horizontalDpi="4294967293" verticalDpi="4294967293"/>
  <headerFooter alignWithMargins="0"/>
  <rowBreaks count="4" manualBreakCount="4">
    <brk id="90" max="42" man="1"/>
    <brk id="175" max="42" man="1"/>
    <brk id="260" max="42" man="1"/>
    <brk id="325" max="42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 enableFormatConditionsCalculation="0">
    <tabColor rgb="FFFFFF00"/>
    <pageSetUpPr fitToPage="1"/>
  </sheetPr>
  <dimension ref="A1:BP658"/>
  <sheetViews>
    <sheetView topLeftCell="I1" zoomScale="70" zoomScaleNormal="70" workbookViewId="0">
      <selection activeCell="AW11" sqref="AW11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62" customWidth="1"/>
    <col min="50" max="50" width="10.42578125" style="4" customWidth="1"/>
    <col min="51" max="51" width="11.28515625" style="4" customWidth="1"/>
    <col min="52" max="52" width="25" style="4" customWidth="1"/>
    <col min="53" max="53" width="6" style="4" customWidth="1"/>
    <col min="54" max="16384" width="8.7109375" style="4"/>
  </cols>
  <sheetData>
    <row r="1" spans="1:53" ht="13.5" thickBot="1" x14ac:dyDescent="0.25">
      <c r="A1" s="914" t="s">
        <v>0</v>
      </c>
      <c r="B1" s="914"/>
      <c r="C1" s="914"/>
      <c r="D1" s="914"/>
      <c r="E1" s="914"/>
      <c r="F1" s="914"/>
      <c r="G1" s="914"/>
      <c r="H1" s="914"/>
      <c r="I1" s="914"/>
      <c r="J1" s="914"/>
      <c r="K1" s="914"/>
      <c r="L1" s="914"/>
      <c r="M1" s="914"/>
      <c r="N1" s="914"/>
      <c r="O1" s="914"/>
      <c r="P1" s="914"/>
      <c r="Q1" s="914"/>
      <c r="R1" s="914"/>
      <c r="S1" s="914"/>
      <c r="T1" s="914"/>
      <c r="U1" s="914"/>
      <c r="V1" s="914"/>
      <c r="W1" s="914"/>
      <c r="X1" s="914"/>
      <c r="Y1" s="914"/>
      <c r="Z1" s="914"/>
      <c r="AA1" s="914"/>
      <c r="AB1" s="914"/>
      <c r="AC1" s="914"/>
      <c r="AD1" s="914"/>
      <c r="AE1" s="914"/>
      <c r="AF1" s="914"/>
      <c r="AG1" s="914"/>
      <c r="AH1" s="914"/>
      <c r="AI1" s="914"/>
      <c r="AJ1" s="1"/>
      <c r="AK1" s="1"/>
      <c r="AL1" s="1"/>
      <c r="AM1" s="1"/>
      <c r="AN1" s="1"/>
      <c r="AO1" s="1"/>
      <c r="AP1" s="1"/>
      <c r="AQ1" s="2" t="s">
        <v>349</v>
      </c>
      <c r="AR1" s="3"/>
      <c r="AT1" s="915" t="s">
        <v>1</v>
      </c>
      <c r="AU1" s="916"/>
      <c r="AV1" s="916"/>
      <c r="AW1" s="917"/>
      <c r="AX1" s="918" t="s">
        <v>2</v>
      </c>
      <c r="AY1" s="919"/>
      <c r="AZ1" s="9" t="s">
        <v>3</v>
      </c>
      <c r="BA1" s="10">
        <v>32</v>
      </c>
    </row>
    <row r="2" spans="1:53" ht="18.75" customHeight="1" thickBot="1" x14ac:dyDescent="0.3">
      <c r="A2" s="920" t="s">
        <v>4</v>
      </c>
      <c r="B2" s="921"/>
      <c r="C2" s="921"/>
      <c r="D2" s="921"/>
      <c r="E2" s="921"/>
      <c r="F2" s="921"/>
      <c r="G2" s="921"/>
      <c r="H2" s="921"/>
      <c r="I2" s="922"/>
      <c r="J2" s="923" t="s">
        <v>351</v>
      </c>
      <c r="K2" s="924"/>
      <c r="L2" s="924"/>
      <c r="M2" s="924"/>
      <c r="N2" s="924"/>
      <c r="O2" s="924"/>
      <c r="P2" s="924"/>
      <c r="Q2" s="924"/>
      <c r="R2" s="924"/>
      <c r="S2" s="924"/>
      <c r="T2" s="924"/>
      <c r="U2" s="924"/>
      <c r="V2" s="924"/>
      <c r="W2" s="924"/>
      <c r="X2" s="925"/>
      <c r="Y2" s="926" t="s">
        <v>5</v>
      </c>
      <c r="Z2" s="927"/>
      <c r="AA2" s="927"/>
      <c r="AB2" s="927"/>
      <c r="AC2" s="928"/>
      <c r="AD2" s="929">
        <v>42434</v>
      </c>
      <c r="AE2" s="897"/>
      <c r="AF2" s="897"/>
      <c r="AG2" s="897"/>
      <c r="AH2" s="897"/>
      <c r="AI2" s="898"/>
      <c r="AJ2" s="11"/>
      <c r="AK2" s="11"/>
      <c r="AL2" s="11"/>
      <c r="AM2" s="11"/>
      <c r="AN2" s="11"/>
      <c r="AO2" s="11"/>
      <c r="AP2" s="11"/>
      <c r="AQ2" s="11"/>
      <c r="AR2" s="3"/>
      <c r="AT2" s="12" t="s">
        <v>6</v>
      </c>
      <c r="AU2" s="5" t="s">
        <v>7</v>
      </c>
      <c r="AV2" s="6" t="s">
        <v>8</v>
      </c>
      <c r="AW2" s="8" t="s">
        <v>9</v>
      </c>
      <c r="AX2" s="13" t="s">
        <v>10</v>
      </c>
      <c r="AY2" s="8" t="s">
        <v>11</v>
      </c>
      <c r="AZ2" s="9" t="s">
        <v>12</v>
      </c>
      <c r="BA2" s="10">
        <v>16</v>
      </c>
    </row>
    <row r="3" spans="1:53" ht="18.75" customHeight="1" thickBot="1" x14ac:dyDescent="0.3">
      <c r="A3" s="14" t="s">
        <v>13</v>
      </c>
      <c r="B3" s="899" t="s">
        <v>348</v>
      </c>
      <c r="C3" s="900"/>
      <c r="D3" s="900"/>
      <c r="E3" s="900"/>
      <c r="F3" s="900"/>
      <c r="G3" s="900"/>
      <c r="H3" s="900"/>
      <c r="I3" s="900"/>
      <c r="J3" s="900"/>
      <c r="K3" s="900"/>
      <c r="L3" s="900"/>
      <c r="M3" s="900"/>
      <c r="N3" s="900"/>
      <c r="O3" s="901"/>
      <c r="P3" s="902" t="s">
        <v>14</v>
      </c>
      <c r="Q3" s="903"/>
      <c r="R3" s="903"/>
      <c r="S3" s="904">
        <v>15</v>
      </c>
      <c r="T3" s="905"/>
      <c r="U3" s="905"/>
      <c r="V3" s="905"/>
      <c r="W3" s="905"/>
      <c r="X3" s="906"/>
      <c r="Y3" s="907" t="s">
        <v>15</v>
      </c>
      <c r="Z3" s="908"/>
      <c r="AA3" s="908"/>
      <c r="AB3" s="908"/>
      <c r="AC3" s="908"/>
      <c r="AD3" s="909"/>
      <c r="AE3" s="910" t="s">
        <v>16</v>
      </c>
      <c r="AF3" s="911"/>
      <c r="AG3" s="912" t="s">
        <v>17</v>
      </c>
      <c r="AH3" s="912"/>
      <c r="AI3" s="913"/>
      <c r="AJ3" s="11"/>
      <c r="AK3" s="11"/>
      <c r="AL3" s="11"/>
      <c r="AM3" s="11"/>
      <c r="AN3" s="11"/>
      <c r="AO3" s="11"/>
      <c r="AP3" s="11"/>
      <c r="AQ3" s="11"/>
      <c r="AR3" s="3"/>
      <c r="AT3" s="15">
        <v>1</v>
      </c>
      <c r="AU3" s="167" t="s">
        <v>384</v>
      </c>
      <c r="AV3" s="167" t="s">
        <v>228</v>
      </c>
      <c r="AW3" s="16">
        <f>VLOOKUP(AV3,Initial!G:K,5,FALSE)</f>
        <v>2402.3375292126752</v>
      </c>
      <c r="AX3" s="17">
        <f t="shared" ref="AX3:AX17" si="0">VLOOKUP(AU3,AT$79:AU$259,2,FALSE)</f>
        <v>2425.9374584524344</v>
      </c>
      <c r="AY3" s="18">
        <f t="shared" ref="AY3:AY17" si="1">IF(ISNA(VLOOKUP(AU3,AT$273:AU$373,2,FALSE)),AX3,VLOOKUP(AU3,AT$273:AU$373,2,FALSE))</f>
        <v>2439.2272007225151</v>
      </c>
    </row>
    <row r="4" spans="1:53" ht="24" customHeight="1" thickBot="1" x14ac:dyDescent="0.25">
      <c r="A4" s="890" t="s">
        <v>18</v>
      </c>
      <c r="B4" s="891"/>
      <c r="C4" s="891"/>
      <c r="D4" s="892"/>
      <c r="E4" s="893" t="s">
        <v>352</v>
      </c>
      <c r="F4" s="894"/>
      <c r="G4" s="894"/>
      <c r="H4" s="894"/>
      <c r="I4" s="894"/>
      <c r="J4" s="894"/>
      <c r="K4" s="894"/>
      <c r="L4" s="894"/>
      <c r="M4" s="895"/>
      <c r="N4" s="890" t="s">
        <v>19</v>
      </c>
      <c r="O4" s="891"/>
      <c r="P4" s="891"/>
      <c r="Q4" s="892"/>
      <c r="R4" s="896"/>
      <c r="S4" s="897"/>
      <c r="T4" s="897"/>
      <c r="U4" s="897"/>
      <c r="V4" s="897"/>
      <c r="W4" s="897"/>
      <c r="X4" s="897"/>
      <c r="Y4" s="897"/>
      <c r="Z4" s="897"/>
      <c r="AA4" s="898"/>
      <c r="AB4" s="890" t="s">
        <v>20</v>
      </c>
      <c r="AC4" s="891"/>
      <c r="AD4" s="891"/>
      <c r="AE4" s="892"/>
      <c r="AF4" s="896"/>
      <c r="AG4" s="897"/>
      <c r="AH4" s="897"/>
      <c r="AI4" s="898"/>
      <c r="AJ4" s="11"/>
      <c r="AK4" s="11"/>
      <c r="AL4" s="11"/>
      <c r="AM4" s="11"/>
      <c r="AN4" s="11"/>
      <c r="AO4" s="11"/>
      <c r="AP4" s="11"/>
      <c r="AQ4" s="11"/>
      <c r="AR4" s="3"/>
      <c r="AT4" s="19">
        <v>2</v>
      </c>
      <c r="AU4" s="167" t="s">
        <v>534</v>
      </c>
      <c r="AV4" s="167" t="s">
        <v>535</v>
      </c>
      <c r="AW4" s="16">
        <f>VLOOKUP(AV4,Initial!G:K,5,FALSE)</f>
        <v>2278.9436446962341</v>
      </c>
      <c r="AX4" s="20">
        <f t="shared" si="0"/>
        <v>2269.8759894215596</v>
      </c>
      <c r="AY4" s="21">
        <f t="shared" si="1"/>
        <v>2256.3277050759757</v>
      </c>
    </row>
    <row r="5" spans="1:53" ht="15.75" thickBot="1" x14ac:dyDescent="0.25">
      <c r="A5" s="1" t="s">
        <v>21</v>
      </c>
      <c r="B5" s="887" t="s">
        <v>21</v>
      </c>
      <c r="C5" s="888"/>
      <c r="D5" s="888"/>
      <c r="E5" s="888"/>
      <c r="F5" s="888"/>
      <c r="G5" s="888"/>
      <c r="H5" s="888"/>
      <c r="I5" s="888"/>
      <c r="J5" s="888"/>
      <c r="K5" s="889" t="s">
        <v>21</v>
      </c>
      <c r="L5" s="889"/>
      <c r="M5" s="889"/>
      <c r="N5" s="889"/>
      <c r="O5" s="889"/>
      <c r="P5" s="889"/>
      <c r="Q5" s="889"/>
      <c r="R5" s="889"/>
      <c r="S5" s="889"/>
      <c r="T5" s="889"/>
      <c r="U5" s="889"/>
      <c r="V5" s="889"/>
      <c r="W5" s="889"/>
      <c r="X5" s="889"/>
      <c r="Y5" s="889"/>
      <c r="Z5" s="889"/>
      <c r="AA5" s="889"/>
      <c r="AB5" s="889"/>
      <c r="AC5" s="889"/>
      <c r="AD5" s="889"/>
      <c r="AE5" s="889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9">
        <v>3</v>
      </c>
      <c r="AU5" s="167" t="s">
        <v>1181</v>
      </c>
      <c r="AV5" s="357" t="s">
        <v>1006</v>
      </c>
      <c r="AW5" s="16">
        <f>VLOOKUP(AV5,Initial!G:K,5,FALSE)</f>
        <v>2278.1955182796933</v>
      </c>
      <c r="AX5" s="20">
        <f t="shared" si="0"/>
        <v>2316.1447875978979</v>
      </c>
      <c r="AY5" s="21">
        <f t="shared" si="1"/>
        <v>2312.0153805811506</v>
      </c>
    </row>
    <row r="6" spans="1:53" ht="24" customHeight="1" thickBot="1" x14ac:dyDescent="0.25">
      <c r="A6" s="22" t="s">
        <v>22</v>
      </c>
      <c r="B6" s="23" t="s">
        <v>23</v>
      </c>
      <c r="C6" s="862" t="s">
        <v>24</v>
      </c>
      <c r="D6" s="863"/>
      <c r="E6" s="863"/>
      <c r="F6" s="863"/>
      <c r="G6" s="863"/>
      <c r="H6" s="864"/>
      <c r="I6" s="865">
        <v>1</v>
      </c>
      <c r="J6" s="866"/>
      <c r="K6" s="867" t="str">
        <f>"Pool "&amp;B6&amp;" - Round 1 - Court "&amp;I6</f>
        <v>Pool A - Round 1 - Court 1</v>
      </c>
      <c r="L6" s="868"/>
      <c r="M6" s="868"/>
      <c r="N6" s="868"/>
      <c r="O6" s="868"/>
      <c r="P6" s="868"/>
      <c r="Q6" s="868"/>
      <c r="R6" s="868"/>
      <c r="S6" s="868"/>
      <c r="T6" s="868"/>
      <c r="U6" s="868"/>
      <c r="V6" s="868"/>
      <c r="W6" s="868"/>
      <c r="X6" s="868"/>
      <c r="Y6" s="868"/>
      <c r="Z6" s="868"/>
      <c r="AA6" s="868"/>
      <c r="AB6" s="868"/>
      <c r="AC6" s="868"/>
      <c r="AD6" s="868"/>
      <c r="AE6" s="868"/>
      <c r="AF6" s="868"/>
      <c r="AG6" s="868"/>
      <c r="AH6" s="868"/>
      <c r="AI6" s="869"/>
      <c r="AJ6" s="11"/>
      <c r="AK6" s="11"/>
      <c r="AL6" s="11"/>
      <c r="AM6" s="11"/>
      <c r="AN6" s="11"/>
      <c r="AO6" s="11"/>
      <c r="AP6" s="11"/>
      <c r="AQ6" s="11"/>
      <c r="AT6" s="19">
        <v>4</v>
      </c>
      <c r="AU6" s="352" t="s">
        <v>467</v>
      </c>
      <c r="AV6" s="167" t="s">
        <v>335</v>
      </c>
      <c r="AW6" s="16">
        <f>VLOOKUP(AV6,Initial!G:K,5,FALSE)</f>
        <v>2329.7910227662092</v>
      </c>
      <c r="AX6" s="20">
        <f t="shared" si="0"/>
        <v>2348.8404375877089</v>
      </c>
      <c r="AY6" s="21">
        <f t="shared" si="1"/>
        <v>2346.1947066340813</v>
      </c>
    </row>
    <row r="7" spans="1:53" ht="27" customHeight="1" thickBot="1" x14ac:dyDescent="0.25">
      <c r="A7" s="24" t="s">
        <v>25</v>
      </c>
      <c r="B7" s="870" t="s">
        <v>7</v>
      </c>
      <c r="C7" s="871"/>
      <c r="D7" s="871"/>
      <c r="E7" s="871"/>
      <c r="F7" s="871"/>
      <c r="G7" s="871"/>
      <c r="H7" s="871"/>
      <c r="I7" s="871"/>
      <c r="J7" s="871"/>
      <c r="K7" s="871"/>
      <c r="L7" s="870" t="str">
        <f>IF($AK10=0,"Games Won","Matches Won")</f>
        <v>Games Won</v>
      </c>
      <c r="M7" s="871"/>
      <c r="N7" s="871"/>
      <c r="O7" s="871"/>
      <c r="P7" s="871"/>
      <c r="Q7" s="872"/>
      <c r="R7" s="870" t="str">
        <f>IF($AK10=0,"Games Lost","Matches Lost")</f>
        <v>Games Lost</v>
      </c>
      <c r="S7" s="873"/>
      <c r="T7" s="873"/>
      <c r="U7" s="873"/>
      <c r="V7" s="874"/>
      <c r="W7" s="875" t="s">
        <v>26</v>
      </c>
      <c r="X7" s="876"/>
      <c r="Y7" s="877"/>
      <c r="Z7" s="875" t="s">
        <v>27</v>
      </c>
      <c r="AA7" s="876"/>
      <c r="AB7" s="877"/>
      <c r="AC7" s="878" t="s">
        <v>28</v>
      </c>
      <c r="AD7" s="879"/>
      <c r="AE7" s="880"/>
      <c r="AF7" s="25" t="s">
        <v>29</v>
      </c>
      <c r="AG7" s="26" t="s">
        <v>6</v>
      </c>
      <c r="AH7" s="860" t="s">
        <v>30</v>
      </c>
      <c r="AI7" s="861"/>
      <c r="AJ7" s="27"/>
      <c r="AK7" s="28">
        <v>2</v>
      </c>
      <c r="AL7" s="29" t="s">
        <v>31</v>
      </c>
      <c r="AM7" s="29"/>
      <c r="AN7" s="29"/>
      <c r="AO7" s="29"/>
      <c r="AP7" s="29"/>
      <c r="AQ7" s="29"/>
      <c r="AR7" s="30"/>
      <c r="AT7" s="19">
        <v>5</v>
      </c>
      <c r="AU7" s="352" t="s">
        <v>387</v>
      </c>
      <c r="AV7" s="167" t="s">
        <v>247</v>
      </c>
      <c r="AW7" s="16">
        <f>VLOOKUP(AV7,Initial!G:K,5,FALSE)</f>
        <v>2405.2146345930723</v>
      </c>
      <c r="AX7" s="20">
        <f t="shared" si="0"/>
        <v>2377.8239910778102</v>
      </c>
      <c r="AY7" s="21">
        <f t="shared" si="1"/>
        <v>2370.9248166756943</v>
      </c>
    </row>
    <row r="8" spans="1:53" ht="18.75" customHeight="1" thickBot="1" x14ac:dyDescent="0.25">
      <c r="A8" s="829" t="str">
        <f>IF($AK9&gt;0,"1","")</f>
        <v>1</v>
      </c>
      <c r="B8" s="857" t="s">
        <v>7</v>
      </c>
      <c r="C8" s="858"/>
      <c r="D8" s="859"/>
      <c r="E8" s="833" t="str">
        <f>AU3</f>
        <v>Sumter VBC 16 Heath</v>
      </c>
      <c r="F8" s="834"/>
      <c r="G8" s="834"/>
      <c r="H8" s="834"/>
      <c r="I8" s="834"/>
      <c r="J8" s="834"/>
      <c r="K8" s="835"/>
      <c r="L8" s="836">
        <f>IF($AK10=0,AF64,AF46)</f>
        <v>6</v>
      </c>
      <c r="M8" s="837"/>
      <c r="N8" s="837"/>
      <c r="O8" s="837"/>
      <c r="P8" s="837"/>
      <c r="Q8" s="872"/>
      <c r="R8" s="836">
        <f>IF($AK10=0,AG64,AG46)</f>
        <v>2</v>
      </c>
      <c r="S8" s="837"/>
      <c r="T8" s="837"/>
      <c r="U8" s="837"/>
      <c r="V8" s="837"/>
      <c r="W8" s="836">
        <f>AQ24</f>
        <v>23</v>
      </c>
      <c r="X8" s="837"/>
      <c r="Y8" s="837"/>
      <c r="Z8" s="809">
        <f>IF(AF58&gt;0,(AQ24/AF58),0)</f>
        <v>0.115</v>
      </c>
      <c r="AA8" s="810"/>
      <c r="AB8" s="810"/>
      <c r="AC8" s="813">
        <f>IF(AF72=0,0,(AF64/AF72))</f>
        <v>0.75</v>
      </c>
      <c r="AD8" s="814"/>
      <c r="AE8" s="815"/>
      <c r="AF8" s="819">
        <v>2</v>
      </c>
      <c r="AG8" s="819"/>
      <c r="AH8" s="821">
        <v>5</v>
      </c>
      <c r="AI8" s="822"/>
      <c r="AJ8" s="27"/>
      <c r="AK8" s="28">
        <v>10</v>
      </c>
      <c r="AL8" s="29" t="s">
        <v>32</v>
      </c>
      <c r="AM8" s="29"/>
      <c r="AN8" s="29"/>
      <c r="AO8" s="29"/>
      <c r="AP8" s="29"/>
      <c r="AQ8" s="29"/>
      <c r="AR8" s="30"/>
      <c r="AT8" s="19">
        <v>6</v>
      </c>
      <c r="AU8" s="167" t="s">
        <v>195</v>
      </c>
      <c r="AV8" s="353" t="s">
        <v>242</v>
      </c>
      <c r="AW8" s="16">
        <f>VLOOKUP(AV8,Initial!G:K,5,FALSE)</f>
        <v>2218.4199647772912</v>
      </c>
      <c r="AX8" s="20">
        <f t="shared" si="0"/>
        <v>2211.8662291865039</v>
      </c>
      <c r="AY8" s="21">
        <f t="shared" si="1"/>
        <v>2237.1722859639631</v>
      </c>
    </row>
    <row r="9" spans="1:53" ht="18.75" customHeight="1" thickBot="1" x14ac:dyDescent="0.25">
      <c r="A9" s="830"/>
      <c r="B9" s="854" t="s">
        <v>8</v>
      </c>
      <c r="C9" s="855"/>
      <c r="D9" s="856"/>
      <c r="E9" s="850" t="str">
        <f>AV3</f>
        <v>fj6sumtr1pm</v>
      </c>
      <c r="F9" s="851"/>
      <c r="G9" s="851"/>
      <c r="H9" s="851"/>
      <c r="I9" s="851"/>
      <c r="J9" s="851"/>
      <c r="K9" s="851"/>
      <c r="L9" s="852"/>
      <c r="M9" s="853"/>
      <c r="N9" s="853"/>
      <c r="O9" s="853"/>
      <c r="P9" s="853"/>
      <c r="Q9" s="872"/>
      <c r="R9" s="852"/>
      <c r="S9" s="853"/>
      <c r="T9" s="853"/>
      <c r="U9" s="853"/>
      <c r="V9" s="853"/>
      <c r="W9" s="852"/>
      <c r="X9" s="853"/>
      <c r="Y9" s="853"/>
      <c r="Z9" s="840"/>
      <c r="AA9" s="841"/>
      <c r="AB9" s="841"/>
      <c r="AC9" s="842"/>
      <c r="AD9" s="843"/>
      <c r="AE9" s="844"/>
      <c r="AF9" s="845"/>
      <c r="AG9" s="845"/>
      <c r="AH9" s="846"/>
      <c r="AI9" s="847"/>
      <c r="AJ9" s="27"/>
      <c r="AK9" s="28">
        <v>5</v>
      </c>
      <c r="AL9" s="29" t="s">
        <v>33</v>
      </c>
      <c r="AM9" s="27"/>
      <c r="AN9" s="27"/>
      <c r="AO9" s="27"/>
      <c r="AP9" s="27"/>
      <c r="AQ9" s="27"/>
      <c r="AR9" s="3"/>
      <c r="AT9" s="19">
        <v>7</v>
      </c>
      <c r="AU9" s="167" t="s">
        <v>449</v>
      </c>
      <c r="AV9" s="167" t="s">
        <v>331</v>
      </c>
      <c r="AW9" s="1035">
        <v>2600</v>
      </c>
      <c r="AX9" s="20">
        <f t="shared" si="0"/>
        <v>2630.0702149015451</v>
      </c>
      <c r="AY9" s="21">
        <f t="shared" si="1"/>
        <v>2643.0336908916624</v>
      </c>
      <c r="AZ9" s="68">
        <f>AY9-AW9</f>
        <v>43.033690891662445</v>
      </c>
    </row>
    <row r="10" spans="1:53" ht="18.75" customHeight="1" x14ac:dyDescent="0.2">
      <c r="A10" s="829" t="str">
        <f>IF($AK9&gt;1,"2","")</f>
        <v>2</v>
      </c>
      <c r="B10" s="857" t="s">
        <v>7</v>
      </c>
      <c r="C10" s="858"/>
      <c r="D10" s="859"/>
      <c r="E10" s="833" t="str">
        <f>AU8</f>
        <v>SC Midlands 16 Black</v>
      </c>
      <c r="F10" s="834"/>
      <c r="G10" s="834"/>
      <c r="H10" s="834"/>
      <c r="I10" s="834"/>
      <c r="J10" s="834"/>
      <c r="K10" s="835"/>
      <c r="L10" s="836">
        <f>IF($AK10=0,AF65,AF47)</f>
        <v>3</v>
      </c>
      <c r="M10" s="837"/>
      <c r="N10" s="837"/>
      <c r="O10" s="837"/>
      <c r="P10" s="837"/>
      <c r="Q10" s="872"/>
      <c r="R10" s="836">
        <f>IF($AK10=0,AG65,AG47)</f>
        <v>5</v>
      </c>
      <c r="S10" s="837"/>
      <c r="T10" s="837"/>
      <c r="U10" s="837"/>
      <c r="V10" s="837"/>
      <c r="W10" s="836">
        <f>AQ25</f>
        <v>-11</v>
      </c>
      <c r="X10" s="837"/>
      <c r="Y10" s="837"/>
      <c r="Z10" s="809">
        <f>IF(AF59&gt;0,(AQ25/AF59),0)</f>
        <v>-5.5E-2</v>
      </c>
      <c r="AA10" s="810"/>
      <c r="AB10" s="810"/>
      <c r="AC10" s="813">
        <f>IF(AF73=0,0,(AF65/AF73))</f>
        <v>0.375</v>
      </c>
      <c r="AD10" s="814"/>
      <c r="AE10" s="815"/>
      <c r="AF10" s="819">
        <v>3</v>
      </c>
      <c r="AG10" s="819"/>
      <c r="AH10" s="821">
        <v>9</v>
      </c>
      <c r="AI10" s="822"/>
      <c r="AJ10" s="27"/>
      <c r="AK10" s="28">
        <v>0</v>
      </c>
      <c r="AL10" s="29" t="s">
        <v>34</v>
      </c>
      <c r="AM10" s="29"/>
      <c r="AN10" s="29"/>
      <c r="AO10" s="29"/>
      <c r="AP10" s="29"/>
      <c r="AQ10" s="29"/>
      <c r="AR10" s="30"/>
      <c r="AT10" s="19">
        <v>8</v>
      </c>
      <c r="AU10" s="353" t="s">
        <v>450</v>
      </c>
      <c r="AV10" s="353" t="s">
        <v>345</v>
      </c>
      <c r="AW10" s="1035">
        <v>2488.7144801532836</v>
      </c>
      <c r="AX10" s="20">
        <f t="shared" si="0"/>
        <v>2499.5786767285817</v>
      </c>
      <c r="AY10" s="21">
        <f t="shared" si="1"/>
        <v>2493.3903387088394</v>
      </c>
      <c r="AZ10" s="68">
        <f>AY10-AW10</f>
        <v>4.6758585555558057</v>
      </c>
    </row>
    <row r="11" spans="1:53" ht="18.75" customHeight="1" thickBot="1" x14ac:dyDescent="0.25">
      <c r="A11" s="830"/>
      <c r="B11" s="848" t="s">
        <v>8</v>
      </c>
      <c r="C11" s="849"/>
      <c r="D11" s="849"/>
      <c r="E11" s="850" t="str">
        <f>AV8</f>
        <v>fj6scmid3pm</v>
      </c>
      <c r="F11" s="851"/>
      <c r="G11" s="851"/>
      <c r="H11" s="851"/>
      <c r="I11" s="851"/>
      <c r="J11" s="851"/>
      <c r="K11" s="851"/>
      <c r="L11" s="852"/>
      <c r="M11" s="853"/>
      <c r="N11" s="853"/>
      <c r="O11" s="853"/>
      <c r="P11" s="853"/>
      <c r="Q11" s="872"/>
      <c r="R11" s="852"/>
      <c r="S11" s="853"/>
      <c r="T11" s="853"/>
      <c r="U11" s="853"/>
      <c r="V11" s="853"/>
      <c r="W11" s="852"/>
      <c r="X11" s="853"/>
      <c r="Y11" s="853"/>
      <c r="Z11" s="840"/>
      <c r="AA11" s="841"/>
      <c r="AB11" s="841"/>
      <c r="AC11" s="842"/>
      <c r="AD11" s="843"/>
      <c r="AE11" s="844"/>
      <c r="AF11" s="845"/>
      <c r="AG11" s="845"/>
      <c r="AH11" s="846"/>
      <c r="AI11" s="847"/>
      <c r="AJ11" s="27"/>
      <c r="AK11" s="28">
        <v>1</v>
      </c>
      <c r="AL11" s="29" t="s">
        <v>35</v>
      </c>
      <c r="AM11" s="27"/>
      <c r="AN11" s="27"/>
      <c r="AO11" s="27"/>
      <c r="AP11" s="27"/>
      <c r="AQ11" s="27"/>
      <c r="AR11" s="3"/>
      <c r="AT11" s="19">
        <v>9</v>
      </c>
      <c r="AU11" s="353" t="s">
        <v>1176</v>
      </c>
      <c r="AV11" s="353" t="s">
        <v>533</v>
      </c>
      <c r="AW11" s="16">
        <f>VLOOKUP(AV11,Initial!G:K,5,FALSE)</f>
        <v>2200</v>
      </c>
      <c r="AX11" s="20">
        <f t="shared" si="0"/>
        <v>2156.507838112243</v>
      </c>
      <c r="AY11" s="21">
        <f t="shared" si="1"/>
        <v>2149.7718337099891</v>
      </c>
    </row>
    <row r="12" spans="1:53" ht="18.75" customHeight="1" thickBot="1" x14ac:dyDescent="0.25">
      <c r="A12" s="829" t="str">
        <f>IF($AK9&gt;2,"3","")</f>
        <v>3</v>
      </c>
      <c r="B12" s="831" t="s">
        <v>7</v>
      </c>
      <c r="C12" s="832"/>
      <c r="D12" s="832"/>
      <c r="E12" s="833" t="str">
        <f>AU9</f>
        <v>KVC16-1</v>
      </c>
      <c r="F12" s="834"/>
      <c r="G12" s="834"/>
      <c r="H12" s="834"/>
      <c r="I12" s="834"/>
      <c r="J12" s="834"/>
      <c r="K12" s="835"/>
      <c r="L12" s="836">
        <f>IF($AK10=0,AF66,AF48)</f>
        <v>8</v>
      </c>
      <c r="M12" s="837"/>
      <c r="N12" s="837"/>
      <c r="O12" s="837"/>
      <c r="P12" s="837"/>
      <c r="Q12" s="872"/>
      <c r="R12" s="836">
        <f>IF($AK10=0,AG66,AG48)</f>
        <v>0</v>
      </c>
      <c r="S12" s="837"/>
      <c r="T12" s="837"/>
      <c r="U12" s="837"/>
      <c r="V12" s="837"/>
      <c r="W12" s="836">
        <f>AQ26</f>
        <v>83</v>
      </c>
      <c r="X12" s="837"/>
      <c r="Y12" s="837"/>
      <c r="Z12" s="809">
        <f>IF(AF60&gt;0,(AQ26/AF60),0)</f>
        <v>0.41499999999999998</v>
      </c>
      <c r="AA12" s="810"/>
      <c r="AB12" s="810"/>
      <c r="AC12" s="813">
        <f>IF(AF74=0,0,(AF66/AF74))</f>
        <v>1</v>
      </c>
      <c r="AD12" s="814"/>
      <c r="AE12" s="815"/>
      <c r="AF12" s="819">
        <v>1</v>
      </c>
      <c r="AG12" s="819"/>
      <c r="AH12" s="821">
        <v>1</v>
      </c>
      <c r="AI12" s="822"/>
      <c r="AJ12" s="36"/>
      <c r="AK12" s="28">
        <v>8</v>
      </c>
      <c r="AL12" s="37" t="s">
        <v>36</v>
      </c>
      <c r="AM12" s="29"/>
      <c r="AN12" s="29"/>
      <c r="AO12" s="29"/>
      <c r="AP12" s="29"/>
      <c r="AQ12" s="29"/>
      <c r="AR12" s="30"/>
      <c r="AT12" s="19">
        <v>10</v>
      </c>
      <c r="AU12" s="167" t="s">
        <v>440</v>
      </c>
      <c r="AV12" s="167" t="s">
        <v>441</v>
      </c>
      <c r="AW12" s="1035">
        <v>2206.1445769067795</v>
      </c>
      <c r="AX12" s="20">
        <f t="shared" si="0"/>
        <v>2210.2700326316517</v>
      </c>
      <c r="AY12" s="21">
        <f t="shared" si="1"/>
        <v>2206.3465706580109</v>
      </c>
      <c r="AZ12" s="68">
        <f>AY12-AW12</f>
        <v>0.20199375123138452</v>
      </c>
    </row>
    <row r="13" spans="1:53" ht="18.75" customHeight="1" thickBot="1" x14ac:dyDescent="0.25">
      <c r="A13" s="830"/>
      <c r="B13" s="848" t="s">
        <v>8</v>
      </c>
      <c r="C13" s="849"/>
      <c r="D13" s="849"/>
      <c r="E13" s="850" t="str">
        <f>AV9</f>
        <v>fj6kvctn1so</v>
      </c>
      <c r="F13" s="851"/>
      <c r="G13" s="851"/>
      <c r="H13" s="851"/>
      <c r="I13" s="851"/>
      <c r="J13" s="851"/>
      <c r="K13" s="851"/>
      <c r="L13" s="852"/>
      <c r="M13" s="853"/>
      <c r="N13" s="853"/>
      <c r="O13" s="853"/>
      <c r="P13" s="853"/>
      <c r="Q13" s="872"/>
      <c r="R13" s="852"/>
      <c r="S13" s="853"/>
      <c r="T13" s="853"/>
      <c r="U13" s="853"/>
      <c r="V13" s="853"/>
      <c r="W13" s="852"/>
      <c r="X13" s="853"/>
      <c r="Y13" s="853"/>
      <c r="Z13" s="840"/>
      <c r="AA13" s="841"/>
      <c r="AB13" s="841"/>
      <c r="AC13" s="842"/>
      <c r="AD13" s="843"/>
      <c r="AE13" s="844"/>
      <c r="AF13" s="845"/>
      <c r="AG13" s="845"/>
      <c r="AH13" s="846"/>
      <c r="AI13" s="847"/>
      <c r="AJ13" s="36"/>
      <c r="AK13" s="38"/>
      <c r="AL13" s="39"/>
      <c r="AM13" s="39"/>
      <c r="AN13" s="39"/>
      <c r="AO13" s="39"/>
      <c r="AP13" s="39"/>
      <c r="AQ13" s="27"/>
      <c r="AR13" s="3"/>
      <c r="AT13" s="19">
        <v>11</v>
      </c>
      <c r="AU13" s="167" t="s">
        <v>457</v>
      </c>
      <c r="AV13" s="167" t="s">
        <v>458</v>
      </c>
      <c r="AW13" s="1035">
        <v>2401.5817935954892</v>
      </c>
      <c r="AX13" s="20">
        <f t="shared" si="0"/>
        <v>2405.5792348047203</v>
      </c>
      <c r="AY13" s="21">
        <f t="shared" si="1"/>
        <v>2403.1121289103962</v>
      </c>
      <c r="AZ13" s="68">
        <f>AY13-AW13</f>
        <v>1.5303353149070062</v>
      </c>
    </row>
    <row r="14" spans="1:53" ht="18.75" customHeight="1" thickBot="1" x14ac:dyDescent="0.25">
      <c r="A14" s="829" t="str">
        <f>IF($AK9&gt;3,"4","")</f>
        <v>4</v>
      </c>
      <c r="B14" s="831" t="s">
        <v>7</v>
      </c>
      <c r="C14" s="832"/>
      <c r="D14" s="832"/>
      <c r="E14" s="833" t="str">
        <f>AU14</f>
        <v>Vision 16 Regional</v>
      </c>
      <c r="F14" s="834"/>
      <c r="G14" s="834"/>
      <c r="H14" s="834"/>
      <c r="I14" s="834"/>
      <c r="J14" s="834"/>
      <c r="K14" s="835"/>
      <c r="L14" s="836">
        <f>IF($AK10=0,AF67,AF49)</f>
        <v>2</v>
      </c>
      <c r="M14" s="837"/>
      <c r="N14" s="837"/>
      <c r="O14" s="837"/>
      <c r="P14" s="837"/>
      <c r="Q14" s="872"/>
      <c r="R14" s="836">
        <f>IF($AK10=0,AG67,AG49)</f>
        <v>6</v>
      </c>
      <c r="S14" s="837"/>
      <c r="T14" s="837"/>
      <c r="U14" s="837"/>
      <c r="V14" s="837"/>
      <c r="W14" s="836">
        <f>AQ27</f>
        <v>-42</v>
      </c>
      <c r="X14" s="837"/>
      <c r="Y14" s="837"/>
      <c r="Z14" s="809">
        <f>IF(AF61&gt;0,(AQ27/AF61),0)</f>
        <v>-0.21</v>
      </c>
      <c r="AA14" s="810"/>
      <c r="AB14" s="810"/>
      <c r="AC14" s="813">
        <f>IF(AF75=0,0,(AF67/AF75))</f>
        <v>0.25</v>
      </c>
      <c r="AD14" s="814"/>
      <c r="AE14" s="815"/>
      <c r="AF14" s="819">
        <v>4</v>
      </c>
      <c r="AG14" s="819"/>
      <c r="AH14" s="821">
        <v>11</v>
      </c>
      <c r="AI14" s="822"/>
      <c r="AJ14" s="11"/>
      <c r="AK14" s="39"/>
      <c r="AL14" s="39"/>
      <c r="AM14" s="39"/>
      <c r="AN14" s="39"/>
      <c r="AO14" s="39"/>
      <c r="AP14" s="39"/>
      <c r="AQ14" s="29"/>
      <c r="AR14" s="30"/>
      <c r="AT14" s="19">
        <v>12</v>
      </c>
      <c r="AU14" s="167" t="s">
        <v>499</v>
      </c>
      <c r="AV14" s="167" t="s">
        <v>500</v>
      </c>
      <c r="AW14" s="16">
        <f>VLOOKUP(AV14,Initial!G:K,5,FALSE)</f>
        <v>2139.4047424288392</v>
      </c>
      <c r="AX14" s="20">
        <f t="shared" si="0"/>
        <v>2134.0056871375905</v>
      </c>
      <c r="AY14" s="21">
        <f t="shared" si="1"/>
        <v>2128.9839191079691</v>
      </c>
    </row>
    <row r="15" spans="1:53" ht="18.75" customHeight="1" thickBot="1" x14ac:dyDescent="0.25">
      <c r="A15" s="830"/>
      <c r="B15" s="848" t="s">
        <v>8</v>
      </c>
      <c r="C15" s="849"/>
      <c r="D15" s="849"/>
      <c r="E15" s="850" t="str">
        <f>AV14</f>
        <v>fj6vison2pm</v>
      </c>
      <c r="F15" s="851"/>
      <c r="G15" s="851"/>
      <c r="H15" s="851"/>
      <c r="I15" s="851"/>
      <c r="J15" s="851"/>
      <c r="K15" s="851"/>
      <c r="L15" s="852"/>
      <c r="M15" s="853"/>
      <c r="N15" s="853"/>
      <c r="O15" s="853"/>
      <c r="P15" s="853"/>
      <c r="Q15" s="872"/>
      <c r="R15" s="852"/>
      <c r="S15" s="853"/>
      <c r="T15" s="853"/>
      <c r="U15" s="853"/>
      <c r="V15" s="853"/>
      <c r="W15" s="852"/>
      <c r="X15" s="853"/>
      <c r="Y15" s="853"/>
      <c r="Z15" s="840"/>
      <c r="AA15" s="841"/>
      <c r="AB15" s="841"/>
      <c r="AC15" s="842"/>
      <c r="AD15" s="843"/>
      <c r="AE15" s="844"/>
      <c r="AF15" s="845"/>
      <c r="AG15" s="845"/>
      <c r="AH15" s="846"/>
      <c r="AI15" s="847"/>
      <c r="AJ15" s="11"/>
      <c r="AK15" s="39"/>
      <c r="AL15" s="39"/>
      <c r="AM15" s="39"/>
      <c r="AN15" s="39"/>
      <c r="AO15" s="39"/>
      <c r="AP15" s="39"/>
      <c r="AQ15" s="11"/>
      <c r="AR15" s="3"/>
      <c r="AT15" s="19">
        <v>13</v>
      </c>
      <c r="AU15" s="167" t="s">
        <v>196</v>
      </c>
      <c r="AV15" s="167" t="s">
        <v>231</v>
      </c>
      <c r="AW15" s="16">
        <f>VLOOKUP(AV15,Initial!G:K,5,FALSE)</f>
        <v>2162.1770239839025</v>
      </c>
      <c r="AX15" s="20">
        <f t="shared" si="0"/>
        <v>2120.4596707246342</v>
      </c>
      <c r="AY15" s="21">
        <f t="shared" si="1"/>
        <v>2120.4596707246342</v>
      </c>
    </row>
    <row r="16" spans="1:53" ht="18.75" customHeight="1" thickBot="1" x14ac:dyDescent="0.25">
      <c r="A16" s="829" t="str">
        <f>IF($AK9&gt;4,"5","")</f>
        <v>5</v>
      </c>
      <c r="B16" s="831" t="s">
        <v>7</v>
      </c>
      <c r="C16" s="832"/>
      <c r="D16" s="832"/>
      <c r="E16" s="833" t="str">
        <f>AU15</f>
        <v>CSRA Heat 16 Red</v>
      </c>
      <c r="F16" s="834"/>
      <c r="G16" s="834"/>
      <c r="H16" s="834"/>
      <c r="I16" s="834"/>
      <c r="J16" s="834"/>
      <c r="K16" s="835"/>
      <c r="L16" s="836">
        <f>IF($AK10=0,AF68,AF50)</f>
        <v>1</v>
      </c>
      <c r="M16" s="837"/>
      <c r="N16" s="837"/>
      <c r="O16" s="837"/>
      <c r="P16" s="837"/>
      <c r="Q16" s="872"/>
      <c r="R16" s="836">
        <f>IF($AK10=0,AG68,AG50)</f>
        <v>7</v>
      </c>
      <c r="S16" s="837"/>
      <c r="T16" s="837"/>
      <c r="U16" s="837"/>
      <c r="V16" s="837"/>
      <c r="W16" s="836">
        <f>AQ28</f>
        <v>-53</v>
      </c>
      <c r="X16" s="837"/>
      <c r="Y16" s="837"/>
      <c r="Z16" s="809">
        <f>IF(AF62&gt;0,(AQ28/AF62),0)</f>
        <v>-0.26500000000000001</v>
      </c>
      <c r="AA16" s="810"/>
      <c r="AB16" s="810"/>
      <c r="AC16" s="813">
        <f>IF(AF76=0,0,(AF68/AF76))</f>
        <v>0.125</v>
      </c>
      <c r="AD16" s="814"/>
      <c r="AE16" s="815"/>
      <c r="AF16" s="819">
        <v>5</v>
      </c>
      <c r="AG16" s="819"/>
      <c r="AH16" s="821">
        <v>13</v>
      </c>
      <c r="AI16" s="822"/>
      <c r="AJ16" s="11"/>
      <c r="AK16" s="39"/>
      <c r="AL16" s="39"/>
      <c r="AM16" s="39"/>
      <c r="AN16" s="39"/>
      <c r="AO16" s="39"/>
      <c r="AP16" s="39"/>
      <c r="AQ16" s="11"/>
      <c r="AR16" s="3"/>
      <c r="AT16" s="19">
        <v>14</v>
      </c>
      <c r="AU16" s="167" t="s">
        <v>328</v>
      </c>
      <c r="AV16" s="167" t="s">
        <v>202</v>
      </c>
      <c r="AW16" s="16">
        <f>VLOOKUP(AV16,Initial!G:K,5,FALSE)</f>
        <v>2099.9123103292327</v>
      </c>
      <c r="AX16" s="20">
        <f t="shared" si="0"/>
        <v>2121.5089713346406</v>
      </c>
      <c r="AY16" s="21">
        <f t="shared" si="1"/>
        <v>2121.5089713346406</v>
      </c>
    </row>
    <row r="17" spans="1:52" ht="18.75" customHeight="1" thickBot="1" x14ac:dyDescent="0.25">
      <c r="A17" s="830"/>
      <c r="B17" s="825" t="s">
        <v>8</v>
      </c>
      <c r="C17" s="826"/>
      <c r="D17" s="826"/>
      <c r="E17" s="827" t="str">
        <f>AV15</f>
        <v>fj6csrah3pm</v>
      </c>
      <c r="F17" s="828"/>
      <c r="G17" s="828"/>
      <c r="H17" s="828"/>
      <c r="I17" s="828"/>
      <c r="J17" s="828"/>
      <c r="K17" s="828"/>
      <c r="L17" s="838"/>
      <c r="M17" s="839"/>
      <c r="N17" s="839"/>
      <c r="O17" s="839"/>
      <c r="P17" s="839"/>
      <c r="Q17" s="872"/>
      <c r="R17" s="838"/>
      <c r="S17" s="839"/>
      <c r="T17" s="839"/>
      <c r="U17" s="839"/>
      <c r="V17" s="839"/>
      <c r="W17" s="838"/>
      <c r="X17" s="839"/>
      <c r="Y17" s="839"/>
      <c r="Z17" s="811"/>
      <c r="AA17" s="812"/>
      <c r="AB17" s="812"/>
      <c r="AC17" s="816"/>
      <c r="AD17" s="817"/>
      <c r="AE17" s="818"/>
      <c r="AF17" s="820"/>
      <c r="AG17" s="820"/>
      <c r="AH17" s="823"/>
      <c r="AI17" s="824"/>
      <c r="AJ17" s="11"/>
      <c r="AK17" s="39"/>
      <c r="AL17" s="39"/>
      <c r="AM17" s="39"/>
      <c r="AN17" s="39"/>
      <c r="AO17" s="39"/>
      <c r="AP17" s="39"/>
      <c r="AQ17" s="11"/>
      <c r="AR17" s="3"/>
      <c r="AT17" s="31">
        <v>15</v>
      </c>
      <c r="AU17" s="167" t="s">
        <v>385</v>
      </c>
      <c r="AV17" s="167" t="s">
        <v>386</v>
      </c>
      <c r="AW17" s="16">
        <f>VLOOKUP(AV17,Initial!G:K,5,FALSE)</f>
        <v>2106.3788912330715</v>
      </c>
      <c r="AX17" s="32">
        <f t="shared" si="0"/>
        <v>2088.7469132562519</v>
      </c>
      <c r="AY17" s="33">
        <f t="shared" si="1"/>
        <v>2088.7469132562519</v>
      </c>
    </row>
    <row r="18" spans="1:52" ht="21" customHeight="1" thickTop="1" thickBot="1" x14ac:dyDescent="0.25">
      <c r="A18" s="40"/>
      <c r="B18" s="806" t="s">
        <v>168</v>
      </c>
      <c r="C18" s="807"/>
      <c r="D18" s="807"/>
      <c r="E18" s="807"/>
      <c r="F18" s="807"/>
      <c r="G18" s="807"/>
      <c r="H18" s="807"/>
      <c r="I18" s="807"/>
      <c r="J18" s="807"/>
      <c r="K18" s="807"/>
      <c r="L18" s="807"/>
      <c r="M18" s="807"/>
      <c r="N18" s="807"/>
      <c r="O18" s="807"/>
      <c r="P18" s="807"/>
      <c r="Q18" s="807"/>
      <c r="R18" s="807"/>
      <c r="S18" s="807"/>
      <c r="T18" s="807"/>
      <c r="U18" s="807"/>
      <c r="V18" s="807"/>
      <c r="W18" s="807"/>
      <c r="X18" s="807"/>
      <c r="Y18" s="807"/>
      <c r="Z18" s="807"/>
      <c r="AA18" s="807"/>
      <c r="AB18" s="807"/>
      <c r="AC18" s="807"/>
      <c r="AD18" s="807"/>
      <c r="AE18" s="807"/>
      <c r="AF18" s="807"/>
      <c r="AG18" s="807"/>
      <c r="AH18" s="807"/>
      <c r="AI18" s="808"/>
      <c r="AJ18" s="11"/>
      <c r="AK18" s="39"/>
      <c r="AL18" s="39"/>
      <c r="AM18" s="39"/>
      <c r="AN18" s="39"/>
      <c r="AO18" s="39"/>
      <c r="AP18" s="39"/>
      <c r="AQ18" s="11"/>
      <c r="AR18" s="3"/>
      <c r="AT18" s="881" t="s">
        <v>37</v>
      </c>
      <c r="AU18" s="882"/>
      <c r="AV18" s="882"/>
      <c r="AW18" s="882"/>
      <c r="AX18" s="882"/>
      <c r="AY18" s="883"/>
    </row>
    <row r="19" spans="1:52" ht="14.25" thickTop="1" thickBot="1" x14ac:dyDescent="0.25">
      <c r="A19" s="4" t="s">
        <v>39</v>
      </c>
      <c r="B19" s="795">
        <v>0.35416666666666669</v>
      </c>
      <c r="C19" s="796"/>
      <c r="D19" s="797"/>
      <c r="E19" s="795">
        <v>0.38194444444444442</v>
      </c>
      <c r="F19" s="796"/>
      <c r="G19" s="797"/>
      <c r="H19" s="795">
        <v>0.40972222222222227</v>
      </c>
      <c r="I19" s="796"/>
      <c r="J19" s="797"/>
      <c r="K19" s="795">
        <v>0.4375</v>
      </c>
      <c r="L19" s="796"/>
      <c r="M19" s="797"/>
      <c r="N19" s="795">
        <v>0.46527777777777773</v>
      </c>
      <c r="O19" s="796"/>
      <c r="P19" s="797"/>
      <c r="Q19" s="795">
        <v>0.49305555555555558</v>
      </c>
      <c r="R19" s="796"/>
      <c r="S19" s="797"/>
      <c r="T19" s="795">
        <v>0.52083333333333337</v>
      </c>
      <c r="U19" s="796"/>
      <c r="V19" s="797"/>
      <c r="W19" s="795">
        <v>4.8611111111111112E-2</v>
      </c>
      <c r="X19" s="796"/>
      <c r="Y19" s="797"/>
      <c r="Z19" s="795">
        <v>7.6388888888888895E-2</v>
      </c>
      <c r="AA19" s="796"/>
      <c r="AB19" s="797"/>
      <c r="AC19" s="795">
        <v>0.10416666666666667</v>
      </c>
      <c r="AD19" s="796"/>
      <c r="AE19" s="797"/>
      <c r="AF19" s="798" t="s">
        <v>40</v>
      </c>
      <c r="AG19" s="799"/>
      <c r="AH19" s="799"/>
      <c r="AI19" s="799"/>
      <c r="AJ19" s="800"/>
      <c r="AK19" s="800"/>
      <c r="AL19" s="800"/>
      <c r="AM19" s="800"/>
      <c r="AN19" s="800"/>
      <c r="AO19" s="800"/>
      <c r="AP19" s="800"/>
      <c r="AQ19" s="801"/>
      <c r="AT19" s="884"/>
      <c r="AU19" s="885"/>
      <c r="AV19" s="885"/>
      <c r="AW19" s="885"/>
      <c r="AX19" s="885"/>
      <c r="AY19" s="886"/>
    </row>
    <row r="20" spans="1:52" x14ac:dyDescent="0.2">
      <c r="A20" s="41" t="s">
        <v>41</v>
      </c>
      <c r="B20" s="792">
        <v>0.35833333333333334</v>
      </c>
      <c r="C20" s="793"/>
      <c r="D20" s="794"/>
      <c r="E20" s="792">
        <v>0.3888888888888889</v>
      </c>
      <c r="F20" s="793"/>
      <c r="G20" s="794"/>
      <c r="H20" s="792"/>
      <c r="I20" s="793"/>
      <c r="J20" s="794"/>
      <c r="K20" s="792"/>
      <c r="L20" s="793"/>
      <c r="M20" s="794"/>
      <c r="N20" s="792"/>
      <c r="O20" s="793"/>
      <c r="P20" s="794"/>
      <c r="Q20" s="792"/>
      <c r="R20" s="793"/>
      <c r="S20" s="794"/>
      <c r="T20" s="792"/>
      <c r="U20" s="793"/>
      <c r="V20" s="794"/>
      <c r="W20" s="792"/>
      <c r="X20" s="793"/>
      <c r="Y20" s="794"/>
      <c r="Z20" s="792"/>
      <c r="AA20" s="793"/>
      <c r="AB20" s="794"/>
      <c r="AC20" s="792"/>
      <c r="AD20" s="793"/>
      <c r="AE20" s="794"/>
      <c r="AF20" s="798"/>
      <c r="AG20" s="799"/>
      <c r="AH20" s="799"/>
      <c r="AI20" s="799"/>
      <c r="AJ20" s="799"/>
      <c r="AK20" s="799"/>
      <c r="AL20" s="799"/>
      <c r="AM20" s="799"/>
      <c r="AN20" s="799"/>
      <c r="AO20" s="799"/>
      <c r="AP20" s="799"/>
      <c r="AQ20" s="802"/>
      <c r="AW20" s="4"/>
    </row>
    <row r="21" spans="1:52" x14ac:dyDescent="0.2">
      <c r="A21" s="41" t="s">
        <v>42</v>
      </c>
      <c r="B21" s="792"/>
      <c r="C21" s="793"/>
      <c r="D21" s="794"/>
      <c r="E21" s="792"/>
      <c r="F21" s="793"/>
      <c r="G21" s="794"/>
      <c r="H21" s="792"/>
      <c r="I21" s="793"/>
      <c r="J21" s="794"/>
      <c r="K21" s="792"/>
      <c r="L21" s="793"/>
      <c r="M21" s="794"/>
      <c r="N21" s="792"/>
      <c r="O21" s="793"/>
      <c r="P21" s="794"/>
      <c r="Q21" s="792"/>
      <c r="R21" s="793"/>
      <c r="S21" s="794"/>
      <c r="T21" s="792"/>
      <c r="U21" s="793"/>
      <c r="V21" s="794"/>
      <c r="W21" s="792"/>
      <c r="X21" s="793"/>
      <c r="Y21" s="794"/>
      <c r="Z21" s="792"/>
      <c r="AA21" s="793"/>
      <c r="AB21" s="794"/>
      <c r="AC21" s="792"/>
      <c r="AD21" s="793"/>
      <c r="AE21" s="794"/>
      <c r="AF21" s="798"/>
      <c r="AG21" s="799"/>
      <c r="AH21" s="799"/>
      <c r="AI21" s="799"/>
      <c r="AJ21" s="799"/>
      <c r="AK21" s="799"/>
      <c r="AL21" s="799"/>
      <c r="AM21" s="799"/>
      <c r="AN21" s="799"/>
      <c r="AO21" s="799"/>
      <c r="AP21" s="799"/>
      <c r="AQ21" s="802"/>
      <c r="AT21" s="10"/>
      <c r="AU21" s="10"/>
      <c r="AV21" s="10"/>
      <c r="AW21" s="4"/>
      <c r="AZ21" s="4">
        <f>SUMSQ(AZ9:AZ13)</f>
        <v>1876.144932642304</v>
      </c>
    </row>
    <row r="22" spans="1:52" ht="13.5" thickBot="1" x14ac:dyDescent="0.25">
      <c r="A22" s="11"/>
      <c r="B22" s="684" t="s">
        <v>43</v>
      </c>
      <c r="C22" s="685"/>
      <c r="D22" s="691"/>
      <c r="E22" s="684" t="str">
        <f>IF($AK8&gt;1,"Match 2","")</f>
        <v>Match 2</v>
      </c>
      <c r="F22" s="685"/>
      <c r="G22" s="691"/>
      <c r="H22" s="684" t="str">
        <f>IF($AK8&gt;2,"Match 3","")</f>
        <v>Match 3</v>
      </c>
      <c r="I22" s="685"/>
      <c r="J22" s="691"/>
      <c r="K22" s="684" t="str">
        <f>IF($AK8&gt;3,"Match 4","")</f>
        <v>Match 4</v>
      </c>
      <c r="L22" s="685"/>
      <c r="M22" s="691"/>
      <c r="N22" s="684" t="str">
        <f>IF($AK8&gt;4,"Match 5","")</f>
        <v>Match 5</v>
      </c>
      <c r="O22" s="685"/>
      <c r="P22" s="691"/>
      <c r="Q22" s="684" t="str">
        <f>IF($AK8&gt;5,"Match 6","")</f>
        <v>Match 6</v>
      </c>
      <c r="R22" s="685"/>
      <c r="S22" s="691"/>
      <c r="T22" s="684" t="str">
        <f>IF($AK8&gt;6,"Match 7","")</f>
        <v>Match 7</v>
      </c>
      <c r="U22" s="685"/>
      <c r="V22" s="691"/>
      <c r="W22" s="684" t="str">
        <f>IF($AK8&gt;7,"Match 8","")</f>
        <v>Match 8</v>
      </c>
      <c r="X22" s="685"/>
      <c r="Y22" s="691"/>
      <c r="Z22" s="684" t="str">
        <f>IF($AK8&gt;8,"Match 9","")</f>
        <v>Match 9</v>
      </c>
      <c r="AA22" s="685"/>
      <c r="AB22" s="691"/>
      <c r="AC22" s="684" t="str">
        <f>IF($AK8&gt;9,"Match 10","")</f>
        <v>Match 10</v>
      </c>
      <c r="AD22" s="685"/>
      <c r="AE22" s="691"/>
      <c r="AF22" s="803"/>
      <c r="AG22" s="804"/>
      <c r="AH22" s="804"/>
      <c r="AI22" s="804"/>
      <c r="AJ22" s="804"/>
      <c r="AK22" s="804"/>
      <c r="AL22" s="804"/>
      <c r="AM22" s="804"/>
      <c r="AN22" s="804"/>
      <c r="AO22" s="804"/>
      <c r="AP22" s="804"/>
      <c r="AQ22" s="805"/>
      <c r="AT22" s="34"/>
      <c r="AU22" s="35"/>
      <c r="AV22" s="35"/>
      <c r="AW22" s="4"/>
    </row>
    <row r="23" spans="1:52" ht="16.5" thickBot="1" x14ac:dyDescent="0.3">
      <c r="A23" s="11"/>
      <c r="B23" s="786" t="s">
        <v>44</v>
      </c>
      <c r="C23" s="787"/>
      <c r="D23" s="788"/>
      <c r="E23" s="786" t="s">
        <v>45</v>
      </c>
      <c r="F23" s="787"/>
      <c r="G23" s="788"/>
      <c r="H23" s="786" t="s">
        <v>46</v>
      </c>
      <c r="I23" s="787"/>
      <c r="J23" s="788"/>
      <c r="K23" s="786" t="s">
        <v>47</v>
      </c>
      <c r="L23" s="787"/>
      <c r="M23" s="788"/>
      <c r="N23" s="786" t="s">
        <v>48</v>
      </c>
      <c r="O23" s="787"/>
      <c r="P23" s="788"/>
      <c r="Q23" s="786" t="s">
        <v>46</v>
      </c>
      <c r="R23" s="787"/>
      <c r="S23" s="788"/>
      <c r="T23" s="786" t="s">
        <v>44</v>
      </c>
      <c r="U23" s="787"/>
      <c r="V23" s="788"/>
      <c r="W23" s="786" t="s">
        <v>48</v>
      </c>
      <c r="X23" s="787"/>
      <c r="Y23" s="788"/>
      <c r="Z23" s="786" t="s">
        <v>47</v>
      </c>
      <c r="AA23" s="787"/>
      <c r="AB23" s="788"/>
      <c r="AC23" s="786" t="s">
        <v>45</v>
      </c>
      <c r="AD23" s="787"/>
      <c r="AE23" s="788"/>
      <c r="AF23" s="42" t="s">
        <v>49</v>
      </c>
      <c r="AG23" s="43">
        <v>1</v>
      </c>
      <c r="AH23" s="43">
        <v>2</v>
      </c>
      <c r="AI23" s="43">
        <v>3</v>
      </c>
      <c r="AJ23" s="43">
        <v>4</v>
      </c>
      <c r="AK23" s="43">
        <v>5</v>
      </c>
      <c r="AL23" s="43">
        <v>6</v>
      </c>
      <c r="AM23" s="43">
        <v>7</v>
      </c>
      <c r="AN23" s="43">
        <v>8</v>
      </c>
      <c r="AO23" s="43">
        <v>9</v>
      </c>
      <c r="AP23" s="43">
        <v>10</v>
      </c>
      <c r="AQ23" s="44" t="s">
        <v>50</v>
      </c>
      <c r="AT23" s="34"/>
      <c r="AU23" s="167"/>
      <c r="AV23" s="167"/>
      <c r="AW23" s="35"/>
      <c r="AX23" s="35"/>
      <c r="AY23" s="35"/>
    </row>
    <row r="24" spans="1:52" ht="15.75" x14ac:dyDescent="0.25">
      <c r="A24" s="11"/>
      <c r="B24" s="45">
        <v>2</v>
      </c>
      <c r="C24" s="46" t="s">
        <v>51</v>
      </c>
      <c r="D24" s="47">
        <v>5</v>
      </c>
      <c r="E24" s="45">
        <v>1</v>
      </c>
      <c r="F24" s="46" t="str">
        <f>IF($AK8&gt;1,"v","")</f>
        <v>v</v>
      </c>
      <c r="G24" s="47">
        <v>4</v>
      </c>
      <c r="H24" s="45">
        <v>3</v>
      </c>
      <c r="I24" s="46" t="str">
        <f>IF($AK8&gt;2,"v","")</f>
        <v>v</v>
      </c>
      <c r="J24" s="47">
        <v>5</v>
      </c>
      <c r="K24" s="45">
        <v>2</v>
      </c>
      <c r="L24" s="46" t="str">
        <f>IF($AK8&gt;3,"v","")</f>
        <v>v</v>
      </c>
      <c r="M24" s="47">
        <v>4</v>
      </c>
      <c r="N24" s="45">
        <v>1</v>
      </c>
      <c r="O24" s="46" t="str">
        <f>IF($AK8&gt;4,"v","")</f>
        <v>v</v>
      </c>
      <c r="P24" s="47">
        <v>3</v>
      </c>
      <c r="Q24" s="45">
        <v>4</v>
      </c>
      <c r="R24" s="46" t="str">
        <f>IF($AK8&gt;5,"v","")</f>
        <v>v</v>
      </c>
      <c r="S24" s="47">
        <v>5</v>
      </c>
      <c r="T24" s="45">
        <v>2</v>
      </c>
      <c r="U24" s="46" t="str">
        <f>IF($AK8&gt;6,"v","")</f>
        <v>v</v>
      </c>
      <c r="V24" s="47">
        <v>3</v>
      </c>
      <c r="W24" s="45">
        <v>1</v>
      </c>
      <c r="X24" s="46" t="str">
        <f>IF($AK8&gt;7,"v","")</f>
        <v>v</v>
      </c>
      <c r="Y24" s="47">
        <v>5</v>
      </c>
      <c r="Z24" s="45">
        <v>3</v>
      </c>
      <c r="AA24" s="46" t="str">
        <f>IF($AK8&gt;8,"v","")</f>
        <v>v</v>
      </c>
      <c r="AB24" s="47">
        <v>4</v>
      </c>
      <c r="AC24" s="45">
        <v>1</v>
      </c>
      <c r="AD24" s="46" t="str">
        <f>IF($AK8&gt;9,"v","")</f>
        <v>v</v>
      </c>
      <c r="AE24" s="47">
        <v>2</v>
      </c>
      <c r="AF24" s="42" t="str">
        <f>IF($AK9&gt;0,"Team 1","")</f>
        <v>Team 1</v>
      </c>
      <c r="AG24" s="48" t="str">
        <f>IF($AK9&lt;1,"",IF($AK8&lt;1,"",IF(B24=1,B30-D30,IF(D24=1,D30-B30,""))))</f>
        <v/>
      </c>
      <c r="AH24" s="48">
        <f>IF($AK9&lt;1,"",IF($AK8&lt;2,"",IF(E24=1,E30-G30,IF(G24=1,G30-E30,""))))</f>
        <v>13</v>
      </c>
      <c r="AI24" s="48" t="str">
        <f>IF($AK9&lt;1,"",IF($AK8&lt;3,"",IF(H24=1,H30-J30,IF(J24=1,J30-H30,""))))</f>
        <v/>
      </c>
      <c r="AJ24" s="48" t="str">
        <f>IF($AK9&lt;1,"",IF($AK8&lt;4,"",IF(K24=1,K30-M30,IF(M24=1,M30-K30,""))))</f>
        <v/>
      </c>
      <c r="AK24" s="48">
        <f>IF($AK9&lt;1,"",IF($AK8&lt;5,"",IF(N24=1,N30-P30,IF(P24=1,P30-N30,""))))</f>
        <v>-13</v>
      </c>
      <c r="AL24" s="48" t="str">
        <f>IF($AK9&lt;1,"",IF($AK8&lt;6,"",IF(Q24=1,Q30-S30,IF(S24=1,S30-Q30,""))))</f>
        <v/>
      </c>
      <c r="AM24" s="48" t="str">
        <f>IF($AK9&lt;1,"",IF($AK8&lt;7,"",IF(T24=1,T30-V30,IF(V24=1,V30-T30,""))))</f>
        <v/>
      </c>
      <c r="AN24" s="48">
        <f>IF($AK9&lt;1,"",IF($AK8&lt;8,"",IF(W24=1,W30-Y30,IF(Y24=1,Y30-W30,""))))</f>
        <v>12</v>
      </c>
      <c r="AO24" s="48" t="str">
        <f>IF($AK9&lt;1,"",IF($AK8&lt;9,"",IF(Z24=1,Z30-AB30,IF(AB24=1,AB30-Z30,""))))</f>
        <v/>
      </c>
      <c r="AP24" s="48">
        <f>IF($AK9&lt;1,"",IF($AK8&lt;10,"",IF(AC24=1,AC30-AE30,IF(AE24=1,AE30-AC30,""))))</f>
        <v>11</v>
      </c>
      <c r="AQ24" s="44">
        <f>SUM(AG24:AP24)</f>
        <v>23</v>
      </c>
      <c r="AT24" s="34"/>
      <c r="AU24" s="35"/>
      <c r="AV24" s="35"/>
      <c r="AW24" s="35"/>
      <c r="AX24" s="35"/>
      <c r="AY24" s="35"/>
    </row>
    <row r="25" spans="1:52" ht="15" x14ac:dyDescent="0.2">
      <c r="A25" s="4" t="s">
        <v>52</v>
      </c>
      <c r="B25" s="49">
        <v>25</v>
      </c>
      <c r="C25" s="50" t="s">
        <v>53</v>
      </c>
      <c r="D25" s="51">
        <v>17</v>
      </c>
      <c r="E25" s="49">
        <v>25</v>
      </c>
      <c r="F25" s="50" t="str">
        <f>IF($AK8&gt;1,"/","")</f>
        <v>/</v>
      </c>
      <c r="G25" s="51">
        <v>19</v>
      </c>
      <c r="H25" s="49">
        <v>25</v>
      </c>
      <c r="I25" s="50" t="str">
        <f>IF($AK8&gt;2,"/","")</f>
        <v>/</v>
      </c>
      <c r="J25" s="51">
        <v>13</v>
      </c>
      <c r="K25" s="49">
        <v>22</v>
      </c>
      <c r="L25" s="50" t="str">
        <f>IF($AK8&gt;3,"/","")</f>
        <v>/</v>
      </c>
      <c r="M25" s="51">
        <v>25</v>
      </c>
      <c r="N25" s="49">
        <v>18</v>
      </c>
      <c r="O25" s="50" t="str">
        <f>IF($AK8&gt;4,"/","")</f>
        <v>/</v>
      </c>
      <c r="P25" s="51">
        <v>25</v>
      </c>
      <c r="Q25" s="49">
        <v>21</v>
      </c>
      <c r="R25" s="50" t="str">
        <f>IF($AK8&gt;5,"/","")</f>
        <v>/</v>
      </c>
      <c r="S25" s="51">
        <v>25</v>
      </c>
      <c r="T25" s="49">
        <v>10</v>
      </c>
      <c r="U25" s="50" t="str">
        <f>IF($AK8&gt;6,"/","")</f>
        <v>/</v>
      </c>
      <c r="V25" s="51">
        <v>25</v>
      </c>
      <c r="W25" s="49">
        <v>25</v>
      </c>
      <c r="X25" s="50" t="str">
        <f>IF($AK8&gt;7,"/","")</f>
        <v>/</v>
      </c>
      <c r="Y25" s="51">
        <v>20</v>
      </c>
      <c r="Z25" s="49">
        <v>25</v>
      </c>
      <c r="AA25" s="50" t="str">
        <f>IF($AK8&gt;8,"/","")</f>
        <v>/</v>
      </c>
      <c r="AB25" s="51">
        <v>13</v>
      </c>
      <c r="AC25" s="49">
        <v>25</v>
      </c>
      <c r="AD25" s="50" t="str">
        <f>IF($AK8&gt;9,"/","")</f>
        <v>/</v>
      </c>
      <c r="AE25" s="51">
        <v>21</v>
      </c>
      <c r="AF25" s="42" t="str">
        <f>IF($AK9&gt;1,"Team 2","")</f>
        <v>Team 2</v>
      </c>
      <c r="AG25" s="48">
        <f>IF($AK9&lt;2,"",IF($AK8&lt;1,"",IF(B24=2,B30-D30,IF(D24=2,D30-B30,""))))</f>
        <v>17</v>
      </c>
      <c r="AH25" s="48" t="str">
        <f>IF($AK9&lt;2,"",IF($AK8&lt;2,"",IF(E24=2,E30-G30,IF(G24=2,G30-E30,""))))</f>
        <v/>
      </c>
      <c r="AI25" s="48" t="str">
        <f>IF($AK9&lt;2,"",IF($AK8&lt;3,"",IF(H24=2,H30-J30,IF(J24=2,J30-H30,""))))</f>
        <v/>
      </c>
      <c r="AJ25" s="48">
        <f>IF($AK9&lt;2,"",IF($AK8&lt;4,"",IF(K24=2,K30-M30,IF(M24=2,M30-K30,""))))</f>
        <v>5</v>
      </c>
      <c r="AK25" s="48" t="str">
        <f>IF($AK9&lt;2,"",IF($AK8&lt;5,"",IF(N24=2,N30-P30,IF(P24=2,P30-N30,""))))</f>
        <v/>
      </c>
      <c r="AL25" s="48" t="str">
        <f>IF($AK9&lt;2,"",IF($AK8&lt;6,"",IF(Q24=2,Q30-S30,IF(S24=2,S30-Q30,""))))</f>
        <v/>
      </c>
      <c r="AM25" s="48">
        <f>IF($AK9&lt;2,"",IF($AK8&lt;7,"",IF(T24=2,T30-V30,IF(V24=2,V30-T30,""))))</f>
        <v>-22</v>
      </c>
      <c r="AN25" s="48" t="str">
        <f>IF($AK9&lt;2,"",IF($AK8&lt;8,"",IF(W24=2,W30-Y30,IF(Y24=2,Y30-W30,""))))</f>
        <v/>
      </c>
      <c r="AO25" s="48" t="str">
        <f>IF($AK9&lt;2,"",IF($AK8&lt;9,"",IF(Z24=2,Z30-AB30,IF(AB24=2,AB30-Z30,""))))</f>
        <v/>
      </c>
      <c r="AP25" s="48">
        <f>IF($AK9&lt;2,"",IF($AK8&lt;10,"",IF(AC24=2,AC30-AE30,IF(AE24=2,AE30-AC30,""))))</f>
        <v>-11</v>
      </c>
      <c r="AQ25" s="44">
        <f>SUM(AG25:AP25)</f>
        <v>-11</v>
      </c>
      <c r="AT25" s="10"/>
      <c r="AU25" s="10"/>
      <c r="AV25" s="10"/>
      <c r="AW25" s="4"/>
    </row>
    <row r="26" spans="1:52" ht="15" x14ac:dyDescent="0.2">
      <c r="A26" s="3" t="str">
        <f>IF($AK7&gt;1,"Game 2","")</f>
        <v>Game 2</v>
      </c>
      <c r="B26" s="49">
        <v>25</v>
      </c>
      <c r="C26" s="50" t="s">
        <v>53</v>
      </c>
      <c r="D26" s="51">
        <v>16</v>
      </c>
      <c r="E26" s="49">
        <v>25</v>
      </c>
      <c r="F26" s="50" t="str">
        <f>IF($AK8&gt;1,IF($AK7&gt;1,"/",""),"")</f>
        <v>/</v>
      </c>
      <c r="G26" s="51">
        <v>18</v>
      </c>
      <c r="H26" s="49">
        <v>25</v>
      </c>
      <c r="I26" s="50" t="str">
        <f>IF($AK8&gt;2,IF($AK7&gt;1,"/",""),"")</f>
        <v>/</v>
      </c>
      <c r="J26" s="51">
        <v>11</v>
      </c>
      <c r="K26" s="49">
        <v>25</v>
      </c>
      <c r="L26" s="50" t="str">
        <f>IF($AK8&gt;3,IF($AK7&gt;1,"/",""),"")</f>
        <v>/</v>
      </c>
      <c r="M26" s="51">
        <v>17</v>
      </c>
      <c r="N26" s="49">
        <v>19</v>
      </c>
      <c r="O26" s="50" t="str">
        <f>IF($AK8&gt;4,IF($AK7&gt;1,"/",""),"")</f>
        <v>/</v>
      </c>
      <c r="P26" s="51">
        <v>25</v>
      </c>
      <c r="Q26" s="49">
        <v>25</v>
      </c>
      <c r="R26" s="50" t="str">
        <f>IF($AK8&gt;5,IF($AK7&gt;1,"/",""),"")</f>
        <v>/</v>
      </c>
      <c r="S26" s="51">
        <v>23</v>
      </c>
      <c r="T26" s="49">
        <v>18</v>
      </c>
      <c r="U26" s="50" t="str">
        <f>IF($AK8&gt;6,IF($AK7&gt;1,"/",""),"")</f>
        <v>/</v>
      </c>
      <c r="V26" s="51">
        <v>25</v>
      </c>
      <c r="W26" s="49">
        <v>25</v>
      </c>
      <c r="X26" s="50" t="str">
        <f>IF($AK8&gt;7,IF($AK7&gt;1,"/",""),"")</f>
        <v>/</v>
      </c>
      <c r="Y26" s="51">
        <v>18</v>
      </c>
      <c r="Z26" s="49">
        <v>25</v>
      </c>
      <c r="AA26" s="50" t="str">
        <f>IF($AK8&gt;8,IF($AK7&gt;1,"/",""),"")</f>
        <v>/</v>
      </c>
      <c r="AB26" s="51">
        <v>15</v>
      </c>
      <c r="AC26" s="49">
        <v>25</v>
      </c>
      <c r="AD26" s="50" t="str">
        <f>IF($AK8&gt;9,IF($AK7&gt;1,"/",""),"")</f>
        <v>/</v>
      </c>
      <c r="AE26" s="51">
        <v>18</v>
      </c>
      <c r="AF26" s="42" t="str">
        <f>IF($AK9&gt;2,"Team 3","")</f>
        <v>Team 3</v>
      </c>
      <c r="AG26" s="48" t="str">
        <f>IF($AK9&lt;3,"",IF($AK8&lt;1,"",IF(B24=3,B30-D30,IF(D24=3,D30-B30,""))))</f>
        <v/>
      </c>
      <c r="AH26" s="48" t="str">
        <f>IF($AK9&lt;3,"",IF($AK8&lt;2,"",IF(E24=3,E30-G30,IF(G24=3,G30-E30,""))))</f>
        <v/>
      </c>
      <c r="AI26" s="48">
        <f>IF($AK9&lt;3,"",IF($AK8&lt;3,"",IF(H24=3,H30-J30,IF(J24=3,J30-H30,""))))</f>
        <v>26</v>
      </c>
      <c r="AJ26" s="48" t="str">
        <f>IF($AK9&lt;3,"",IF($AK8&lt;4,"",IF(K24=3,K30-M30,IF(M24=3,M30-K30,""))))</f>
        <v/>
      </c>
      <c r="AK26" s="48">
        <f>IF($AK9&lt;3,"",IF($AK8&lt;5,"",IF(N24=3,N30-P30,IF(P24=3,P30-N30,""))))</f>
        <v>13</v>
      </c>
      <c r="AL26" s="48" t="str">
        <f>IF($AK9&lt;3,"",IF($AK8&lt;6,"",IF(Q24=3,Q30-S30,IF(S24=3,S30-Q30,""))))</f>
        <v/>
      </c>
      <c r="AM26" s="48">
        <f>IF($AK9&lt;3,"",IF($AK8&lt;7,"",IF(T24=3,T30-V30,IF(V24=3,V30-T30,""))))</f>
        <v>22</v>
      </c>
      <c r="AN26" s="48" t="str">
        <f>IF($AK9&lt;3,"",IF($AK8&lt;8,"",IF(W24=3,W30-Y30,IF(Y24=3,Y30-W30,""))))</f>
        <v/>
      </c>
      <c r="AO26" s="48">
        <f>IF($AK9&lt;3,"",IF($AK8&lt;9,"",IF(Z24=3,Z30-AB30,IF(AB24=3,AB30-Z30,""))))</f>
        <v>22</v>
      </c>
      <c r="AP26" s="48" t="str">
        <f>IF($AK9&lt;3,"",IF($AK8&lt;9,"",IF(AC24=3,AC30-AE30,IF(AE24=3,AE30-AC30,""))))</f>
        <v/>
      </c>
      <c r="AQ26" s="44">
        <f>SUM(AG26:AP26)</f>
        <v>83</v>
      </c>
      <c r="AT26" s="10"/>
      <c r="AU26" s="10"/>
      <c r="AV26" s="10"/>
      <c r="AW26" s="4"/>
    </row>
    <row r="27" spans="1:52" ht="15" x14ac:dyDescent="0.2">
      <c r="A27" s="3" t="str">
        <f>IF($AK7&gt;2,"Game 3","")</f>
        <v/>
      </c>
      <c r="B27" s="49"/>
      <c r="C27" s="50" t="s">
        <v>53</v>
      </c>
      <c r="D27" s="51"/>
      <c r="E27" s="49"/>
      <c r="F27" s="50" t="str">
        <f>IF($AK8&gt;1,IF($AK7&gt;2,"/",""),"")</f>
        <v/>
      </c>
      <c r="G27" s="51"/>
      <c r="H27" s="49"/>
      <c r="I27" s="50" t="str">
        <f>IF($AK8&gt;2,IF($AK7&gt;2,"/",""),"")</f>
        <v/>
      </c>
      <c r="J27" s="51"/>
      <c r="K27" s="49"/>
      <c r="L27" s="50" t="str">
        <f>IF($AK8&gt;3,IF($AK7&gt;2,"/",""),"")</f>
        <v/>
      </c>
      <c r="M27" s="51"/>
      <c r="N27" s="49"/>
      <c r="O27" s="50" t="str">
        <f>IF($AK8&gt;4,IF($AK7&gt;2,"/",""),"")</f>
        <v/>
      </c>
      <c r="P27" s="51"/>
      <c r="Q27" s="49"/>
      <c r="R27" s="50" t="str">
        <f>IF($AK8&gt;5,IF($AK7&gt;2,"/",""),"")</f>
        <v/>
      </c>
      <c r="S27" s="51"/>
      <c r="T27" s="49"/>
      <c r="U27" s="50" t="str">
        <f>IF($AK8&gt;6,IF($AK7&gt;2,"/",""),"")</f>
        <v/>
      </c>
      <c r="V27" s="51"/>
      <c r="W27" s="49"/>
      <c r="X27" s="50" t="str">
        <f>IF($AK8&gt;7,IF($AK7&gt;2,"/",""),"")</f>
        <v/>
      </c>
      <c r="Y27" s="51"/>
      <c r="Z27" s="49"/>
      <c r="AA27" s="50" t="str">
        <f>IF($AK8&gt;8,IF($AK7&gt;2,"/",""),"")</f>
        <v/>
      </c>
      <c r="AB27" s="51"/>
      <c r="AC27" s="49"/>
      <c r="AD27" s="50" t="str">
        <f>IF($AK8&gt;9,IF($AK7&gt;2,"/",""),"")</f>
        <v/>
      </c>
      <c r="AE27" s="51"/>
      <c r="AF27" s="42" t="str">
        <f>IF($AK9&gt;3,"Team 4","")</f>
        <v>Team 4</v>
      </c>
      <c r="AG27" s="48" t="str">
        <f>IF($AK9&lt;4,"",IF($AK8&lt;1,"",IF(B24=4,B30-D30,IF(D24=4,D30-B30,""))))</f>
        <v/>
      </c>
      <c r="AH27" s="48">
        <f>IF($AK9&lt;4,"",IF($AK8&lt;2,"",IF(E24=4,E30-G30,IF(G24=4,G30-E30,""))))</f>
        <v>-13</v>
      </c>
      <c r="AI27" s="48" t="str">
        <f>IF($AK9&lt;4,"",IF($AK8&lt;3,"",IF(H24=4,H30-J30,IF(J24=4,J30-H30,""))))</f>
        <v/>
      </c>
      <c r="AJ27" s="48">
        <f>IF($AK9&lt;4,"",IF($AK8&lt;4,"",IF(K24=4,K30-M30,IF(M24=4,M30-K30,""))))</f>
        <v>-5</v>
      </c>
      <c r="AK27" s="48" t="str">
        <f>IF($AK9&lt;4,"",IF($AK8&lt;5,"",IF(N24=4,N30-P30,IF(P24=4,P30-N30,""))))</f>
        <v/>
      </c>
      <c r="AL27" s="48">
        <f>IF($AK9&lt;4,"",IF($AK8&lt;6,"",IF(Q24=4,Q30-S30,IF(S24=4,S30-Q30,""))))</f>
        <v>-2</v>
      </c>
      <c r="AM27" s="48" t="str">
        <f>IF($AK9&lt;4,"",IF($AK8&lt;7,"",IF(T24=4,T30-V30,IF(V24=4,V30-T30,""))))</f>
        <v/>
      </c>
      <c r="AN27" s="48" t="str">
        <f>IF($AK9&lt;4,"",IF($AK8&lt;8,"",IF(W24=4,W30-Y30,IF(Y24=4,Y30-W30,""))))</f>
        <v/>
      </c>
      <c r="AO27" s="48">
        <f>IF($AK9&lt;4,"",IF($AK8&lt;9,"",IF(Z24=4,Z30-AB30,IF(AB24=4,AB30-Z30,""))))</f>
        <v>-22</v>
      </c>
      <c r="AP27" s="48" t="str">
        <f>IF($AK9&lt;4,"",IF($AK8&lt;10,"",IF(AC24=4,AC30-AE30,IF(AE24=4,AE30-AC30,""))))</f>
        <v/>
      </c>
      <c r="AQ27" s="44">
        <f>SUM(AG27:AP27)</f>
        <v>-42</v>
      </c>
      <c r="AT27" s="10"/>
      <c r="AU27" s="10"/>
      <c r="AV27" s="10"/>
      <c r="AW27" s="4"/>
    </row>
    <row r="28" spans="1:52" ht="15" x14ac:dyDescent="0.2">
      <c r="A28" s="3" t="str">
        <f>IF($AK7&gt;3,"Game 4","")</f>
        <v/>
      </c>
      <c r="B28" s="49"/>
      <c r="C28" s="50" t="s">
        <v>53</v>
      </c>
      <c r="D28" s="51"/>
      <c r="E28" s="49"/>
      <c r="F28" s="50" t="str">
        <f>IF($AK8&gt;1,IF($AK7&gt;3,"/",""),"")</f>
        <v/>
      </c>
      <c r="G28" s="51"/>
      <c r="H28" s="49"/>
      <c r="I28" s="50" t="str">
        <f>IF($AK8&gt;2,IF($AK7&gt;3,"/",""),"")</f>
        <v/>
      </c>
      <c r="J28" s="51"/>
      <c r="K28" s="49"/>
      <c r="L28" s="50" t="str">
        <f>IF($AK8&gt;3,IF($AK7&gt;3,"/",""),"")</f>
        <v/>
      </c>
      <c r="M28" s="51"/>
      <c r="N28" s="49"/>
      <c r="O28" s="50" t="str">
        <f>IF($AK8&gt;4,IF($AK7&gt;3,"/",""),"")</f>
        <v/>
      </c>
      <c r="P28" s="51"/>
      <c r="Q28" s="49"/>
      <c r="R28" s="50" t="str">
        <f>IF($AK8&gt;5,IF($AK7&gt;3,"/",""),"")</f>
        <v/>
      </c>
      <c r="S28" s="51"/>
      <c r="T28" s="49"/>
      <c r="U28" s="50" t="str">
        <f>IF($AK8&gt;6,IF($AK7&gt;3,"/",""),"")</f>
        <v/>
      </c>
      <c r="V28" s="51"/>
      <c r="W28" s="49"/>
      <c r="X28" s="50" t="str">
        <f>IF($AK8&gt;7,IF($AK7&gt;3,"/",""),"")</f>
        <v/>
      </c>
      <c r="Y28" s="51"/>
      <c r="Z28" s="49"/>
      <c r="AA28" s="50" t="str">
        <f>IF($AK8&gt;8,IF($AK7&gt;3,"/",""),"")</f>
        <v/>
      </c>
      <c r="AB28" s="51"/>
      <c r="AC28" s="49"/>
      <c r="AD28" s="50" t="str">
        <f>IF($AK8&gt;9,IF($AK7&gt;3,"/",""),"")</f>
        <v/>
      </c>
      <c r="AE28" s="51"/>
      <c r="AF28" s="42" t="str">
        <f>IF($AK9&gt;4,"Team 5","")</f>
        <v>Team 5</v>
      </c>
      <c r="AG28" s="52">
        <f>IF($AK9&lt;5,"",IF($AK8&lt;1,"",IF(B24=5,B30-D30,IF(D24=5,D30-B30,""))))</f>
        <v>-17</v>
      </c>
      <c r="AH28" s="48" t="str">
        <f>IF($AK9&lt;5,"",IF($AK8&lt;2,"",IF(E24=5,E30-G30,IF(G24=5,G30-E30,""))))</f>
        <v/>
      </c>
      <c r="AI28" s="48">
        <f>IF($AK9&lt;5,"",IF($AK8&lt;3,"",IF(H24=5,H30-J30,IF(J24=5,J30-H30,""))))</f>
        <v>-26</v>
      </c>
      <c r="AJ28" s="48" t="str">
        <f>IF($AK9&lt;5,"",IF($AK8&lt;4,"",IF(K24=5,K30-M30,IF(M24=5,M30-K30,""))))</f>
        <v/>
      </c>
      <c r="AK28" s="48" t="str">
        <f>IF($AK9&lt;5,"",IF($AK8&lt;5,"",IF(N24=5,N30-P30,IF(P24=5,P30-N30,""))))</f>
        <v/>
      </c>
      <c r="AL28" s="48">
        <f>IF($AK9&lt;5,"",IF($AK8&lt;6,"",IF(Q24=5,Q30-S30,IF(S24=5,S30-Q30,""))))</f>
        <v>2</v>
      </c>
      <c r="AM28" s="48" t="str">
        <f>IF($AK9&lt;5,"",IF($AK8&lt;7,"",IF(T24=5,T30-V30,IF(V24=5,V30-T30,""))))</f>
        <v/>
      </c>
      <c r="AN28" s="48">
        <f>IF($AK9&lt;5,"",IF($AK8&lt;8,"",IF(W24=5,W30-Y30,IF(Y24=5,Y30-W30,""))))</f>
        <v>-12</v>
      </c>
      <c r="AO28" s="48" t="str">
        <f>IF($AK9&lt;5,"",IF($AK8&lt;9,"",IF(Z24=5,Z30-AB30,IF(AB24=5,AB30-Z30,""))))</f>
        <v/>
      </c>
      <c r="AP28" s="48" t="str">
        <f>IF($AK9&lt;5,"",IF($AK8&lt;10,"",IF(AC24=5,AC30-AE30,IF(AE24=5,AE30-AC30,""))))</f>
        <v/>
      </c>
      <c r="AQ28" s="44">
        <f>SUM(AG28:AP28)</f>
        <v>-53</v>
      </c>
      <c r="AW28" s="10"/>
      <c r="AX28" s="10"/>
      <c r="AY28" s="10"/>
    </row>
    <row r="29" spans="1:52" ht="15" x14ac:dyDescent="0.2">
      <c r="A29" s="3" t="str">
        <f>IF($AK7&gt;4,"Game 5","")</f>
        <v/>
      </c>
      <c r="B29" s="49"/>
      <c r="C29" s="50" t="s">
        <v>53</v>
      </c>
      <c r="D29" s="51"/>
      <c r="E29" s="49"/>
      <c r="F29" s="50" t="str">
        <f>IF($AK8&gt;1,IF($AK7&gt;4,"/",""),"")</f>
        <v/>
      </c>
      <c r="G29" s="51"/>
      <c r="H29" s="49"/>
      <c r="I29" s="50" t="str">
        <f>IF($AK8&gt;2,IF($AK7&gt;4,"/",""),"")</f>
        <v/>
      </c>
      <c r="J29" s="51"/>
      <c r="K29" s="49"/>
      <c r="L29" s="50" t="str">
        <f>IF($AK8&gt;3,IF($AK7&gt;4,"/",""),"")</f>
        <v/>
      </c>
      <c r="M29" s="51"/>
      <c r="N29" s="49"/>
      <c r="O29" s="50" t="str">
        <f>IF($AK8&gt;4,IF($AK7&gt;4,"/",""),"")</f>
        <v/>
      </c>
      <c r="P29" s="51"/>
      <c r="Q29" s="49"/>
      <c r="R29" s="50" t="str">
        <f>IF($AK8&gt;5,IF($AK7&gt;4,"/",""),"")</f>
        <v/>
      </c>
      <c r="S29" s="51"/>
      <c r="T29" s="49"/>
      <c r="U29" s="50" t="str">
        <f>IF($AK8&gt;6,IF($AK7&gt;4,"/",""),"")</f>
        <v/>
      </c>
      <c r="V29" s="51"/>
      <c r="W29" s="49"/>
      <c r="X29" s="50" t="str">
        <f>IF($AK8&gt;7,IF($AK7&gt;4,"/",""),"")</f>
        <v/>
      </c>
      <c r="Y29" s="51"/>
      <c r="Z29" s="49"/>
      <c r="AA29" s="50" t="str">
        <f>IF($AK8&gt;8,IF($AK7&gt;4,"/",""),"")</f>
        <v/>
      </c>
      <c r="AB29" s="51"/>
      <c r="AC29" s="49"/>
      <c r="AD29" s="50" t="str">
        <f>IF($AK8&gt;9,IF($AK7&gt;4,"/",""),"")</f>
        <v/>
      </c>
      <c r="AE29" s="5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W29" s="10"/>
      <c r="AX29" s="10"/>
      <c r="AY29" s="10"/>
    </row>
    <row r="30" spans="1:52" hidden="1" x14ac:dyDescent="0.2">
      <c r="A30" s="53"/>
      <c r="B30" s="53">
        <f>IF($AK7=5,SUM(B25:B29),IF($AK7=4,SUM(B25:B28),IF($AK7=3,SUM(B25:B27),IF($AK7=2,SUM(B25:B26),B25))))</f>
        <v>50</v>
      </c>
      <c r="C30" s="53"/>
      <c r="D30" s="53">
        <f>IF($AK7=5,SUM(D25:D29),IF($AK7=4,SUM(D25:D28),IF($AK7=3,SUM(D25:D27),IF($AK7=2,SUM(D25:D26),D25))))</f>
        <v>33</v>
      </c>
      <c r="E30" s="53">
        <f>IF($AK7=5,SUM(E25:E29),IF($AK7=4,SUM(E25:E28),IF($AK7=3,SUM(E25:E27),IF($AK7=2,SUM(E25:E26),E25))))</f>
        <v>50</v>
      </c>
      <c r="F30" s="53"/>
      <c r="G30" s="53">
        <f>IF($AK7=5,SUM(G25:G29),IF($AK7=4,SUM(G25:G28),IF($AK7=3,SUM(G25:G27),IF($AK7=2,SUM(G25:G26),G25))))</f>
        <v>37</v>
      </c>
      <c r="H30" s="53">
        <f>IF($AK7=5,SUM(H25:H29),IF($AK7=4,SUM(H25:H28),IF($AK7=3,SUM(H25:H27),IF($AK7=2,SUM(H25:H26),H25))))</f>
        <v>50</v>
      </c>
      <c r="I30" s="53"/>
      <c r="J30" s="53">
        <f>IF($AK7=5,SUM(J25:J29),IF($AK7=4,SUM(J25:J28),IF($AK7=3,SUM(J25:J27),IF($AK7=2,SUM(J25:J26),J25))))</f>
        <v>24</v>
      </c>
      <c r="K30" s="53">
        <f>IF($AK7=5,SUM(K25:K29),IF($AK7=4,SUM(K25:K28),IF($AK7=3,SUM(K25:K27),IF($AK7=2,SUM(K25:K26),K25))))</f>
        <v>47</v>
      </c>
      <c r="L30" s="53"/>
      <c r="M30" s="53">
        <f>IF($AK7=5,SUM(M25:M29),IF($AK7=4,SUM(M25:M28),IF($AK7=3,SUM(M25:M27),IF($AK7=2,SUM(M25:M26),M25))))</f>
        <v>42</v>
      </c>
      <c r="N30" s="53">
        <f>IF($AK7=5,SUM(N25:N29),IF($AK7=4,SUM(N25:N28),IF($AK7=3,SUM(N25:N27),IF($AK7=2,SUM(N25:N26),N25))))</f>
        <v>37</v>
      </c>
      <c r="O30" s="53"/>
      <c r="P30" s="53">
        <f>IF($AK7=5,SUM(P25:P29),IF($AK7=4,SUM(P25:P28),IF($AK7=3,SUM(P25:P27),IF($AK7=2,SUM(P25:P26),P25))))</f>
        <v>50</v>
      </c>
      <c r="Q30" s="53">
        <f>IF($AK7=5,SUM(Q25:Q29),IF($AK7=4,SUM(Q25:Q28),IF($AK7=3,SUM(Q25:Q27),IF($AK7=2,SUM(Q25:Q26),Q25))))</f>
        <v>46</v>
      </c>
      <c r="R30" s="53"/>
      <c r="S30" s="53">
        <f>IF($AK7=5,SUM(S25:S29),IF($AK7=4,SUM(S25:S28),IF($AK7=3,SUM(S25:S27),IF($AK7=2,SUM(S25:S26),S25))))</f>
        <v>48</v>
      </c>
      <c r="T30" s="53">
        <f>IF($AK7=5,SUM(T25:T29),IF($AK7=4,SUM(T25:T28),IF($AK7=3,SUM(T25:T27),IF($AK7=2,SUM(T25:T26),T25))))</f>
        <v>28</v>
      </c>
      <c r="U30" s="53"/>
      <c r="V30" s="53">
        <f>IF($AK7=5,SUM(V25:V29),IF($AK7=4,SUM(V25:V28),IF($AK7=3,SUM(V25:V27),IF($AK7=2,SUM(V25:V26),V25))))</f>
        <v>50</v>
      </c>
      <c r="W30" s="53">
        <f>IF($AK7=5,SUM(W25:W29),IF($AK7=4,SUM(W25:W28),IF($AK7=3,SUM(W25:W27),IF($AK7=2,SUM(W25:W26),W25))))</f>
        <v>50</v>
      </c>
      <c r="X30" s="53"/>
      <c r="Y30" s="53">
        <f>IF($AK7=5,SUM(Y25:Y29),IF($AK7=4,SUM(Y25:Y28),IF($AK7=3,SUM(Y25:Y27),IF($AK7=2,SUM(Y25:Y26),Y25))))</f>
        <v>38</v>
      </c>
      <c r="Z30" s="53">
        <f>IF($AK7=5,SUM(Z25:Z29),IF($AK7=4,SUM(Z25:Z28),IF($AK7=3,SUM(Z25:Z27),IF($AK7=2,SUM(Z25:Z26),Z25))))</f>
        <v>50</v>
      </c>
      <c r="AA30" s="53"/>
      <c r="AB30" s="53">
        <f>IF($AK7=5,SUM(AB25:AB29),IF($AK7=4,SUM(AB25:AB28),IF($AK7=3,SUM(AB25:AB27),IF($AK7=2,SUM(AB25:AB26),AB25))))</f>
        <v>28</v>
      </c>
      <c r="AC30" s="53">
        <f>IF($AK7=5,SUM(AC25:AC29),IF($AK7=4,SUM(AC25:AC28),IF($AK7=3,SUM(AC25:AC27),IF($AK7=2,SUM(AC25:AC26),AC25))))</f>
        <v>50</v>
      </c>
      <c r="AD30" s="53"/>
      <c r="AE30" s="53">
        <f>IF($AK7=5,SUM(AE25:AE29),IF($AK7=4,SUM(AE25:AE28),IF($AK7=3,SUM(AE25:AE27),IF($AK7=2,SUM(AE25:AE26),AE25))))</f>
        <v>39</v>
      </c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</row>
    <row r="31" spans="1:52" s="54" customFormat="1" ht="12.75" hidden="1" customHeight="1" x14ac:dyDescent="0.2">
      <c r="A31" s="54" t="s">
        <v>54</v>
      </c>
      <c r="B31" s="55">
        <f>IF(AND(B25&gt;D25,$AK8&gt;0,ISNUMBER(B25),ISNUMBER(D25)),1,0)</f>
        <v>1</v>
      </c>
      <c r="C31" s="55"/>
      <c r="D31" s="56">
        <f>IF(AND(D25&gt;B25,$AK8&gt;0,ISNUMBER(B25),ISNUMBER(D25)),1,0)</f>
        <v>0</v>
      </c>
      <c r="E31" s="55">
        <f>IF(AND(E25&gt;G25,$AK8&gt;1,ISNUMBER(E25),ISNUMBER(G25)),1,0)</f>
        <v>1</v>
      </c>
      <c r="F31" s="55"/>
      <c r="G31" s="56">
        <f>IF(AND(G25&gt;E25,$AK8&gt;1,ISNUMBER(E25),ISNUMBER(G25)),1,0)</f>
        <v>0</v>
      </c>
      <c r="H31" s="55">
        <f>IF(AND(H25&gt;J25,$AK8&gt;2,ISNUMBER(H25),ISNUMBER(J25)),1,0)</f>
        <v>1</v>
      </c>
      <c r="I31" s="55"/>
      <c r="J31" s="56">
        <f>IF(AND(J25&gt;H25,$AK8&gt;2,ISNUMBER(H25),ISNUMBER(J25)),1,0)</f>
        <v>0</v>
      </c>
      <c r="K31" s="55">
        <f>IF(AND(K25&gt;M25,$AK8&gt;3,ISNUMBER(K25),ISNUMBER(M25)),1,0)</f>
        <v>0</v>
      </c>
      <c r="L31" s="55"/>
      <c r="M31" s="56">
        <f>IF(AND(M25&gt;K25,$AK8&gt;3,ISNUMBER(K25),ISNUMBER(M25)),1,0)</f>
        <v>1</v>
      </c>
      <c r="N31" s="55">
        <f>IF(AND(N25&gt;P25,$AK8&gt;4,ISNUMBER(N25),ISNUMBER(P25)),1,0)</f>
        <v>0</v>
      </c>
      <c r="O31" s="55"/>
      <c r="P31" s="56">
        <f>IF(AND(P25&gt;N25,$AK8&gt;4,ISNUMBER(N25),ISNUMBER(P25)),1,0)</f>
        <v>1</v>
      </c>
      <c r="Q31" s="55">
        <f>IF(AND(Q25&gt;S25,$AK8&gt;5,ISNUMBER(Q25),ISNUMBER(S25)),1,0)</f>
        <v>0</v>
      </c>
      <c r="R31" s="55"/>
      <c r="S31" s="56">
        <f>IF(AND(S25&gt;Q25,$AK8&gt;5,ISNUMBER(Q25),ISNUMBER(S25)),1,0)</f>
        <v>1</v>
      </c>
      <c r="T31" s="55">
        <f>IF(AND(T25&gt;V25,$AK8&gt;6,ISNUMBER(T25),ISNUMBER(V25)),1,0)</f>
        <v>0</v>
      </c>
      <c r="U31" s="55"/>
      <c r="V31" s="56">
        <f>IF(AND(V25&gt;T25,$AK8&gt;6,ISNUMBER(T25),ISNUMBER(V25)),1,0)</f>
        <v>1</v>
      </c>
      <c r="W31" s="55">
        <f>IF(AND(W25&gt;Y25,$AK8&gt;7,ISNUMBER(W25),ISNUMBER(Y25)),1,0)</f>
        <v>1</v>
      </c>
      <c r="X31" s="55"/>
      <c r="Y31" s="56">
        <f>IF(AND(Y25&gt;W25,$AK8&gt;7,ISNUMBER(W25),ISNUMBER(Y25)),1,0)</f>
        <v>0</v>
      </c>
      <c r="Z31" s="55">
        <f>IF(AND(Z25&gt;AB25,$AK8&gt;8,ISNUMBER(Z25),ISNUMBER(AB25)),1,0)</f>
        <v>1</v>
      </c>
      <c r="AA31" s="55"/>
      <c r="AB31" s="56">
        <f>IF(AND(AB25&gt;Z25,$AK8&gt;8,ISNUMBER(Z25),ISNUMBER(AB25)),1,0)</f>
        <v>0</v>
      </c>
      <c r="AC31" s="55">
        <f>IF(AND(AC25&gt;AE25,$AK8&gt;9,ISNUMBER(AC25),ISNUMBER(AE25)),1,0)</f>
        <v>1</v>
      </c>
      <c r="AD31" s="55"/>
      <c r="AE31" s="56">
        <f>IF(AND(AE25&gt;AC25,$AK8&gt;9,ISNUMBER(AC25),ISNUMBER(AE25)),1,0)</f>
        <v>0</v>
      </c>
      <c r="AW31" s="146"/>
    </row>
    <row r="32" spans="1:52" s="54" customFormat="1" ht="12.75" hidden="1" customHeight="1" x14ac:dyDescent="0.2">
      <c r="A32" s="54" t="s">
        <v>55</v>
      </c>
      <c r="B32" s="55">
        <f>IF(AND(B26&gt;D26,$AK8&gt;0,$AK7&gt;1,ISNUMBER(B26),ISNUMBER(D26)),1,0)</f>
        <v>1</v>
      </c>
      <c r="C32" s="55"/>
      <c r="D32" s="56">
        <f>IF(AND(D26&gt;B26,$AK8&gt;0,$AK7&gt;1,ISNUMBER(B26),ISNUMBER(D26)),1,0)</f>
        <v>0</v>
      </c>
      <c r="E32" s="55">
        <f>IF(AND(E26&gt;G26,$AK8&gt;1,$AK7&gt;1,ISNUMBER(E26),ISNUMBER(G26)),1,0)</f>
        <v>1</v>
      </c>
      <c r="F32" s="55"/>
      <c r="G32" s="56">
        <f>IF(AND(G26&gt;E26,$AK8&gt;1,$AK7&gt;1,ISNUMBER(E26),ISNUMBER(G26)),1,0)</f>
        <v>0</v>
      </c>
      <c r="H32" s="55">
        <f>IF(AND(H26&gt;J26,$AK8&gt;2,$AK7&gt;1,ISNUMBER(H26),ISNUMBER(J26)),1,0)</f>
        <v>1</v>
      </c>
      <c r="I32" s="55"/>
      <c r="J32" s="56">
        <f>IF(AND(J26&gt;H26,$AK8&gt;2,$AK7&gt;1,ISNUMBER(H26),ISNUMBER(J26)),1,0)</f>
        <v>0</v>
      </c>
      <c r="K32" s="55">
        <f>IF(AND(K26&gt;M26,$AK8&gt;3,$AK7&gt;1,ISNUMBER(K26),ISNUMBER(M26)),1,0)</f>
        <v>1</v>
      </c>
      <c r="L32" s="55"/>
      <c r="M32" s="56">
        <f>IF(AND(M26&gt;K26,$AK8&gt;3,$AK7&gt;1,ISNUMBER(K26),ISNUMBER(M26)),1,0)</f>
        <v>0</v>
      </c>
      <c r="N32" s="55">
        <f>IF(AND(N26&gt;P26,$AK8&gt;4,$AK7&gt;1,ISNUMBER(N26),ISNUMBER(P26)),1,0)</f>
        <v>0</v>
      </c>
      <c r="O32" s="55"/>
      <c r="P32" s="56">
        <f>IF(AND(P26&gt;N26,$AK8&gt;4,$AK7&gt;1,ISNUMBER(N26),ISNUMBER(P26)),1,0)</f>
        <v>1</v>
      </c>
      <c r="Q32" s="55">
        <f>IF(AND(Q26&gt;S26,$AK8&gt;5,$AK7&gt;1,ISNUMBER(Q26),ISNUMBER(S26)),1,0)</f>
        <v>1</v>
      </c>
      <c r="R32" s="55"/>
      <c r="S32" s="56">
        <f>IF(AND(S26&gt;Q26,$AK8&gt;5,$AK7&gt;1,ISNUMBER(Q26),ISNUMBER(S26)),1,0)</f>
        <v>0</v>
      </c>
      <c r="T32" s="55">
        <f>IF(AND(T26&gt;V26,$AK8&gt;6,$AK7&gt;1,ISNUMBER(T26),ISNUMBER(V26)),1,0)</f>
        <v>0</v>
      </c>
      <c r="U32" s="55"/>
      <c r="V32" s="56">
        <f>IF(AND(V26&gt;T26,$AK8&gt;6,$AK7&gt;1,ISNUMBER(T26),ISNUMBER(V26)),1,0)</f>
        <v>1</v>
      </c>
      <c r="W32" s="55">
        <f>IF(AND(W26&gt;Y26,$AK8&gt;7,$AK7&gt;1,ISNUMBER(W26),ISNUMBER(Y26)),1,0)</f>
        <v>1</v>
      </c>
      <c r="X32" s="55"/>
      <c r="Y32" s="56">
        <f>IF(AND(Y26&gt;W26,$AK8&gt;7,$AK7&gt;1,ISNUMBER(W26),ISNUMBER(Y26)),1,0)</f>
        <v>0</v>
      </c>
      <c r="Z32" s="55">
        <f>IF(AND(Z26&gt;AB26,$AK8&gt;8,$AK7&gt;1,ISNUMBER(Z26),ISNUMBER(AB26)),1,0)</f>
        <v>1</v>
      </c>
      <c r="AA32" s="55"/>
      <c r="AB32" s="56">
        <f>IF(AND(AB26&gt;Z26,$AK8&gt;8,$AK7&gt;1,ISNUMBER(Z26),ISNUMBER(AB26)),1,0)</f>
        <v>0</v>
      </c>
      <c r="AC32" s="55">
        <f>IF(AND(AC26&gt;AE26,$AK8&gt;9,$AK7&gt;1,ISNUMBER(AC26),ISNUMBER(AE26)),1,0)</f>
        <v>1</v>
      </c>
      <c r="AD32" s="55"/>
      <c r="AE32" s="56">
        <f>IF(AND(AE26&gt;AC26,$AK8&gt;9,$AK7&gt;1,ISNUMBER(AC26),ISNUMBER(AE26)),1,0)</f>
        <v>0</v>
      </c>
      <c r="AW32" s="146"/>
    </row>
    <row r="33" spans="1:49" s="54" customFormat="1" ht="12.75" hidden="1" customHeight="1" x14ac:dyDescent="0.2">
      <c r="A33" s="54" t="s">
        <v>56</v>
      </c>
      <c r="B33" s="55">
        <f>IF(AND(B27&gt;D27,$AK8&gt;0,$AK7&gt;2,ISNUMBER(B27),ISNUMBER(D27)),1,0)</f>
        <v>0</v>
      </c>
      <c r="C33" s="55"/>
      <c r="D33" s="56">
        <f>IF(AND(D27&gt;B27,$AK8&gt;0,$AK7&gt;2,ISNUMBER(B27),ISNUMBER(D27)),1,0)</f>
        <v>0</v>
      </c>
      <c r="E33" s="55">
        <f>IF(AND(E27&gt;G27,$AK8&gt;1,$AK7&gt;2,ISNUMBER(E27),ISNUMBER(G27)),1,0)</f>
        <v>0</v>
      </c>
      <c r="F33" s="55"/>
      <c r="G33" s="56">
        <f>IF(AND(G27&gt;E27,$AK8&gt;1,$AK7&gt;2,ISNUMBER(E27),ISNUMBER(G27)),1,0)</f>
        <v>0</v>
      </c>
      <c r="H33" s="55">
        <f>IF(AND(H27&gt;J27,$AK8&gt;2,$AK7&gt;2,ISNUMBER(H27),ISNUMBER(J27)),1,0)</f>
        <v>0</v>
      </c>
      <c r="I33" s="55"/>
      <c r="J33" s="56">
        <f>IF(AND(J27&gt;H27,$AK8&gt;2,$AK7&gt;2,ISNUMBER(H27),ISNUMBER(J27)),1,0)</f>
        <v>0</v>
      </c>
      <c r="K33" s="55">
        <f>IF(AND(K27&gt;M27,$AK8&gt;3,$AK7&gt;2,ISNUMBER(K27),ISNUMBER(M27)),1,0)</f>
        <v>0</v>
      </c>
      <c r="L33" s="55"/>
      <c r="M33" s="56">
        <f>IF(AND(M27&gt;K27,$AK8&gt;3,$AK7&gt;2,ISNUMBER(K27),ISNUMBER(M27)),1,0)</f>
        <v>0</v>
      </c>
      <c r="N33" s="55">
        <f>IF(AND(N27&gt;P27,$AK8&gt;4,$AK7&gt;2,ISNUMBER(N27),ISNUMBER(P27)),1,0)</f>
        <v>0</v>
      </c>
      <c r="O33" s="55"/>
      <c r="P33" s="56">
        <f>IF(AND(P27&gt;N27,$AK8&gt;4,$AK7&gt;2,ISNUMBER(N27),ISNUMBER(P27)),1,0)</f>
        <v>0</v>
      </c>
      <c r="Q33" s="55">
        <f>IF(AND(Q27&gt;S27,$AK8&gt;5,$AK7&gt;2,ISNUMBER(Q27),ISNUMBER(S27)),1,0)</f>
        <v>0</v>
      </c>
      <c r="R33" s="55"/>
      <c r="S33" s="56">
        <f>IF(AND(S27&gt;Q27,$AK8&gt;5,$AK7&gt;2,ISNUMBER(Q27),ISNUMBER(S27)),1,0)</f>
        <v>0</v>
      </c>
      <c r="T33" s="55">
        <f>IF(AND(T27&gt;V27,$AK8&gt;6,$AK7&gt;2,ISNUMBER(T27),ISNUMBER(V27)),1,0)</f>
        <v>0</v>
      </c>
      <c r="U33" s="55"/>
      <c r="V33" s="56">
        <f>IF(AND(V27&gt;T27,$AK8&gt;6,$AK7&gt;2,ISNUMBER(T27),ISNUMBER(V27)),1,0)</f>
        <v>0</v>
      </c>
      <c r="W33" s="55">
        <f>IF(AND(W27&gt;Y27,$AK8&gt;7,$AK7&gt;2,ISNUMBER(W27),ISNUMBER(Y27)),1,0)</f>
        <v>0</v>
      </c>
      <c r="X33" s="55"/>
      <c r="Y33" s="56">
        <f>IF(AND(Y27&gt;W27,$AK8&gt;7,$AK7&gt;2,ISNUMBER(W27),ISNUMBER(Y27)),1,0)</f>
        <v>0</v>
      </c>
      <c r="Z33" s="55">
        <f>IF(AND(Z27&gt;AB27,$AK8&gt;8,$AK7&gt;2,ISNUMBER(Z27),ISNUMBER(AB27)),1,0)</f>
        <v>0</v>
      </c>
      <c r="AA33" s="55"/>
      <c r="AB33" s="56">
        <f>IF(AND(AB27&gt;Z27,$AK8&gt;8,$AK7&gt;2,ISNUMBER(Z27),ISNUMBER(AB27)),1,0)</f>
        <v>0</v>
      </c>
      <c r="AC33" s="55">
        <f>IF(AND(AC27&gt;AE27,$AK8&gt;9,$AK7&gt;2,ISNUMBER(AC27),ISNUMBER(AE27)),1,0)</f>
        <v>0</v>
      </c>
      <c r="AD33" s="55"/>
      <c r="AE33" s="56">
        <f>IF(AND(AE27&gt;AC27,$AK8&gt;9,$AK7&gt;2,ISNUMBER(AC27),ISNUMBER(AE27)),1,0)</f>
        <v>0</v>
      </c>
      <c r="AW33" s="146"/>
    </row>
    <row r="34" spans="1:49" s="54" customFormat="1" ht="12.75" hidden="1" customHeight="1" x14ac:dyDescent="0.2">
      <c r="A34" s="54" t="s">
        <v>57</v>
      </c>
      <c r="B34" s="55">
        <f>IF(AND(B28&gt;D28,$AK8&gt;0,$AK7&gt;3,ISNUMBER(B28),ISNUMBER(D28)),1,0)</f>
        <v>0</v>
      </c>
      <c r="C34" s="55"/>
      <c r="D34" s="56">
        <f>IF(AND(D28&gt;B28,$AK8&gt;0,$AK7&gt;3,ISNUMBER(B28),ISNUMBER(D28)),1,0)</f>
        <v>0</v>
      </c>
      <c r="E34" s="55">
        <f>IF(AND(E28&gt;G28,$AK8&gt;1,$AK7&gt;3,ISNUMBER(E28),ISNUMBER(G28)),1,0)</f>
        <v>0</v>
      </c>
      <c r="F34" s="55"/>
      <c r="G34" s="56">
        <f>IF(AND(G28&gt;E28,$AK8&gt;1,$AK7&gt;3,ISNUMBER(E28),ISNUMBER(G28)),1,0)</f>
        <v>0</v>
      </c>
      <c r="H34" s="55">
        <f>IF(AND(H28&gt;J28,$AK8&gt;2,$AK7&gt;3,ISNUMBER(H28),ISNUMBER(J28)),1,0)</f>
        <v>0</v>
      </c>
      <c r="I34" s="55"/>
      <c r="J34" s="56">
        <f>IF(AND(J28&gt;H28,$AK8&gt;2,$AK7&gt;3,ISNUMBER(H28),ISNUMBER(J28)),1,0)</f>
        <v>0</v>
      </c>
      <c r="K34" s="55">
        <f>IF(AND(K28&gt;M28,$AK8&gt;3,$AK7&gt;3,ISNUMBER(K28),ISNUMBER(M28)),1,0)</f>
        <v>0</v>
      </c>
      <c r="L34" s="55"/>
      <c r="M34" s="56">
        <f>IF(AND(M28&gt;K28,$AK8&gt;3,$AK7&gt;3,ISNUMBER(K28),ISNUMBER(M28)),1,0)</f>
        <v>0</v>
      </c>
      <c r="N34" s="55">
        <f>IF(AND(N28&gt;P28,$AK8&gt;4,$AK7&gt;3,ISNUMBER(N28),ISNUMBER(P28)),1,0)</f>
        <v>0</v>
      </c>
      <c r="O34" s="55"/>
      <c r="P34" s="56">
        <f>IF(AND(P28&gt;N28,$AK8&gt;4,$AK7&gt;3,ISNUMBER(N28),ISNUMBER(P28)),1,0)</f>
        <v>0</v>
      </c>
      <c r="Q34" s="55">
        <f>IF(AND(Q28&gt;S28,$AK8&gt;5,$AK7&gt;3,ISNUMBER(Q28),ISNUMBER(S28)),1,0)</f>
        <v>0</v>
      </c>
      <c r="R34" s="55"/>
      <c r="S34" s="56">
        <f>IF(AND(S28&gt;Q28,$AK8&gt;5,$AK7&gt;3,ISNUMBER(Q28),ISNUMBER(S28)),1,0)</f>
        <v>0</v>
      </c>
      <c r="T34" s="55">
        <f>IF(AND(T28&gt;V28,$AK8&gt;6,$AK7&gt;3,ISNUMBER(T28),ISNUMBER(V28)),1,0)</f>
        <v>0</v>
      </c>
      <c r="U34" s="55"/>
      <c r="V34" s="56">
        <f>IF(AND(V28&gt;T28,$AK8&gt;6,$AK7&gt;3,ISNUMBER(T28),ISNUMBER(V28)),1,0)</f>
        <v>0</v>
      </c>
      <c r="W34" s="55">
        <f>IF(AND(W28&gt;Y28,$AK8&gt;7,$AK7&gt;3,ISNUMBER(W28),ISNUMBER(Y28)),1,0)</f>
        <v>0</v>
      </c>
      <c r="X34" s="55"/>
      <c r="Y34" s="56">
        <f>IF(AND(Y28&gt;W28,$AK8&gt;7,$AK7&gt;3,ISNUMBER(W28),ISNUMBER(Y28)),1,0)</f>
        <v>0</v>
      </c>
      <c r="Z34" s="55">
        <f>IF(AND(Z28&gt;AB28,$AK8&gt;8,$AK7&gt;3,ISNUMBER(Z28),ISNUMBER(AB28)),1,0)</f>
        <v>0</v>
      </c>
      <c r="AA34" s="55"/>
      <c r="AB34" s="56">
        <f>IF(AND(AB28&gt;Z28,$AK8&gt;8,$AK7&gt;3,ISNUMBER(Z28),ISNUMBER(AB28)),1,0)</f>
        <v>0</v>
      </c>
      <c r="AC34" s="55">
        <f>IF(AND(AC28&gt;AE28,$AK8&gt;9,$AK7&gt;3,ISNUMBER(AC28),ISNUMBER(AE28)),1,0)</f>
        <v>0</v>
      </c>
      <c r="AD34" s="55"/>
      <c r="AE34" s="56">
        <f>IF(AND(AE28&gt;AC28,$AK8&gt;9,$AK7&gt;3,ISNUMBER(AC28),ISNUMBER(AE28)),1,0)</f>
        <v>0</v>
      </c>
      <c r="AW34" s="146"/>
    </row>
    <row r="35" spans="1:49" s="54" customFormat="1" ht="12.75" hidden="1" customHeight="1" x14ac:dyDescent="0.2">
      <c r="A35" s="54" t="s">
        <v>58</v>
      </c>
      <c r="B35" s="55">
        <f>IF(AND(B29&gt;D29,$AK8&gt;0,$AK7&gt;4,ISNUMBER(B29),ISNUMBER(D29)),1,0)</f>
        <v>0</v>
      </c>
      <c r="C35" s="55"/>
      <c r="D35" s="56">
        <f>IF(AND(D29&gt;B29,$AK8&gt;0,$AK7&gt;4,ISNUMBER(B29),ISNUMBER(D29)),1,0)</f>
        <v>0</v>
      </c>
      <c r="E35" s="55">
        <f>IF(AND(E29&gt;G29,$AK8&gt;1,$AK7&gt;4,ISNUMBER(E29),ISNUMBER(G29)),1,0)</f>
        <v>0</v>
      </c>
      <c r="F35" s="55"/>
      <c r="G35" s="56">
        <f>IF(AND(G29&gt;E29,$AK8&gt;1,$AK7&gt;4,ISNUMBER(E29),ISNUMBER(G29)),1,0)</f>
        <v>0</v>
      </c>
      <c r="H35" s="55">
        <f>IF(AND(H29&gt;J29,$AK8&gt;2,$AK7&gt;4,ISNUMBER(H29),ISNUMBER(J29)),1,0)</f>
        <v>0</v>
      </c>
      <c r="I35" s="55"/>
      <c r="J35" s="56">
        <f>IF(AND(J29&gt;H29,$AK8&gt;2,$AK7&gt;4,ISNUMBER(H29),ISNUMBER(J29)),1,0)</f>
        <v>0</v>
      </c>
      <c r="K35" s="55">
        <f>IF(AND(K29&gt;M29,$AK8&gt;3,$AK7&gt;4,ISNUMBER(K29),ISNUMBER(M29)),1,0)</f>
        <v>0</v>
      </c>
      <c r="L35" s="55"/>
      <c r="M35" s="56">
        <f>IF(AND(M29&gt;K29,$AK8&gt;3,$AK7&gt;4,ISNUMBER(K29),ISNUMBER(M29)),1,0)</f>
        <v>0</v>
      </c>
      <c r="N35" s="55">
        <f>IF(AND(N29&gt;P29,$AK8&gt;4,$AK7&gt;4,ISNUMBER(N29),ISNUMBER(P29)),1,0)</f>
        <v>0</v>
      </c>
      <c r="O35" s="55"/>
      <c r="P35" s="56">
        <f>IF(AND(P29&gt;N29,$AK8&gt;4,$AK7&gt;4,ISNUMBER(N29),ISNUMBER(P29)),1,0)</f>
        <v>0</v>
      </c>
      <c r="Q35" s="55">
        <f>IF(AND(Q29&gt;S29,$AK8&gt;5,$AK7&gt;4,ISNUMBER(Q29),ISNUMBER(S29)),1,0)</f>
        <v>0</v>
      </c>
      <c r="R35" s="55"/>
      <c r="S35" s="56">
        <f>IF(AND(S29&gt;Q29,$AK8&gt;5,$AK7&gt;4,ISNUMBER(Q29),ISNUMBER(S29)),1,0)</f>
        <v>0</v>
      </c>
      <c r="T35" s="55">
        <f>IF(AND(T29&gt;V29,$AK8&gt;6,$AK7&gt;4,ISNUMBER(T29),ISNUMBER(V29)),1,0)</f>
        <v>0</v>
      </c>
      <c r="U35" s="55"/>
      <c r="V35" s="56">
        <f>IF(AND(V29&gt;T29,$AK8&gt;6,$AK7&gt;4,ISNUMBER(T29),ISNUMBER(V29)),1,0)</f>
        <v>0</v>
      </c>
      <c r="W35" s="55">
        <f>IF(AND(W29&gt;Y29,$AK8&gt;7,$AK7&gt;4,ISNUMBER(W29),ISNUMBER(Y29)),1,0)</f>
        <v>0</v>
      </c>
      <c r="X35" s="55"/>
      <c r="Y35" s="56">
        <f>IF(AND(Y29&gt;W29,$AK8&gt;7,$AK7&gt;4,ISNUMBER(W29),ISNUMBER(Y29)),1,0)</f>
        <v>0</v>
      </c>
      <c r="Z35" s="55">
        <f>IF(AND(Z29&gt;AB29,$AK8&gt;8,$AK7&gt;4,ISNUMBER(Z29),ISNUMBER(AB29)),1,0)</f>
        <v>0</v>
      </c>
      <c r="AA35" s="55"/>
      <c r="AB35" s="56">
        <f>IF(AND(AB29&gt;Z29,$AK8&gt;8,$AK7&gt;4,ISNUMBER(Z29),ISNUMBER(AB29)),1,0)</f>
        <v>0</v>
      </c>
      <c r="AC35" s="55">
        <f>IF(AND(AC29&gt;AE29,$AK8&gt;9,$AK7&gt;4,ISNUMBER(AC29),ISNUMBER(AE29)),1,0)</f>
        <v>0</v>
      </c>
      <c r="AD35" s="55"/>
      <c r="AE35" s="56">
        <f>IF(AND(AE29&gt;AC29,$AK8&gt;9,$AK7&gt;4,ISNUMBER(AC29),ISNUMBER(AE29)),1,0)</f>
        <v>0</v>
      </c>
      <c r="AW35" s="146"/>
    </row>
    <row r="36" spans="1:49" s="54" customFormat="1" ht="38.25" hidden="1" customHeight="1" x14ac:dyDescent="0.2">
      <c r="A36" s="57" t="s">
        <v>59</v>
      </c>
      <c r="B36" s="54">
        <f>SUM(B31:B35)</f>
        <v>2</v>
      </c>
      <c r="D36" s="58">
        <f>SUM(D31:D35)</f>
        <v>0</v>
      </c>
      <c r="E36" s="54">
        <f>SUM(E31:E35)</f>
        <v>2</v>
      </c>
      <c r="G36" s="58">
        <f>SUM(G31:G35)</f>
        <v>0</v>
      </c>
      <c r="H36" s="54">
        <f>SUM(H31:H35)</f>
        <v>2</v>
      </c>
      <c r="J36" s="58">
        <f>SUM(J31:J35)</f>
        <v>0</v>
      </c>
      <c r="K36" s="54">
        <f>SUM(K31:K35)</f>
        <v>1</v>
      </c>
      <c r="M36" s="58">
        <f>SUM(M31:M35)</f>
        <v>1</v>
      </c>
      <c r="N36" s="54">
        <f>SUM(N31:N35)</f>
        <v>0</v>
      </c>
      <c r="P36" s="58">
        <f>SUM(P31:P35)</f>
        <v>2</v>
      </c>
      <c r="Q36" s="54">
        <f>SUM(Q31:Q35)</f>
        <v>1</v>
      </c>
      <c r="S36" s="58">
        <f>SUM(S31:S35)</f>
        <v>1</v>
      </c>
      <c r="T36" s="54">
        <f>SUM(T31:T35)</f>
        <v>0</v>
      </c>
      <c r="V36" s="58">
        <f>SUM(V31:V35)</f>
        <v>2</v>
      </c>
      <c r="W36" s="54">
        <f>SUM(W31:W35)</f>
        <v>2</v>
      </c>
      <c r="Y36" s="58">
        <f>SUM(Y31:Y35)</f>
        <v>0</v>
      </c>
      <c r="Z36" s="54">
        <f>SUM(Z31:Z35)</f>
        <v>2</v>
      </c>
      <c r="AB36" s="58">
        <f>SUM(AB31:AB35)</f>
        <v>0</v>
      </c>
      <c r="AC36" s="54">
        <f>SUM(AC31:AC35)</f>
        <v>2</v>
      </c>
      <c r="AE36" s="58">
        <f>SUM(AE31:AE35)</f>
        <v>0</v>
      </c>
      <c r="AW36" s="146"/>
    </row>
    <row r="37" spans="1:49" s="54" customFormat="1" ht="25.5" hidden="1" customHeight="1" x14ac:dyDescent="0.2">
      <c r="A37" s="57" t="s">
        <v>60</v>
      </c>
      <c r="B37" s="54">
        <f>IF(B36&gt;D36,IF(C71=AK7,1,IF(C71=AK7-1,1,0)),0)</f>
        <v>1</v>
      </c>
      <c r="C37" s="54">
        <f>B37+D37</f>
        <v>1</v>
      </c>
      <c r="D37" s="58">
        <f>IF(D36&gt;B36,IF(C71=AK7,1,IF(C71=AK7-1,1,0)),0)</f>
        <v>0</v>
      </c>
      <c r="E37" s="54">
        <f>IF(E36&gt;G36,IF(F71=AK7,1,IF(F71=AK7-1,1,0)),0)</f>
        <v>1</v>
      </c>
      <c r="F37" s="54">
        <f>E37+G37</f>
        <v>1</v>
      </c>
      <c r="G37" s="58">
        <f>IF(G36&gt;E36,IF(F71=AK7,1,IF(F71=AK7-1,1,0)),0)</f>
        <v>0</v>
      </c>
      <c r="H37" s="54">
        <f>IF(H36&gt;J36,IF(I71=AK7,1,IF(I71=AK7-1,1,0)),0)</f>
        <v>1</v>
      </c>
      <c r="I37" s="54">
        <f>H37+J37</f>
        <v>1</v>
      </c>
      <c r="J37" s="58">
        <f>IF(J36&gt;H36,IF(I71=AK7,1,IF(I71=AK7-1,1,0)),0)</f>
        <v>0</v>
      </c>
      <c r="K37" s="54">
        <f>IF(K36&gt;M36,IF(L71=AK7,1,IF(L71=AK7-1,1,0)),0)</f>
        <v>0</v>
      </c>
      <c r="L37" s="54">
        <f>K37+M37</f>
        <v>0</v>
      </c>
      <c r="M37" s="58">
        <f>IF(M36&gt;K36,IF(L71=AK7,1,IF(L71=AK7-1,1,0)),0)</f>
        <v>0</v>
      </c>
      <c r="N37" s="54">
        <f>IF(N36&gt;P36,IF(O71=AK7,1,IF(O71=AK7-1,1,0)),0)</f>
        <v>0</v>
      </c>
      <c r="O37" s="54">
        <f>N37+P37</f>
        <v>1</v>
      </c>
      <c r="P37" s="58">
        <f>IF(P36&gt;N36,IF(O71=AK7,1,IF(O71=AK7-1,1,0)),0)</f>
        <v>1</v>
      </c>
      <c r="Q37" s="54">
        <f>IF(Q36&gt;S36,IF(R71=AK7,1,IF(R71=AK7-1,1,0)),0)</f>
        <v>0</v>
      </c>
      <c r="R37" s="54">
        <f>Q37+S37</f>
        <v>0</v>
      </c>
      <c r="S37" s="58">
        <f>IF(S36&gt;Q36,IF(R71=AK7,1,IF(R71=AK7-1,1,0)),0)</f>
        <v>0</v>
      </c>
      <c r="T37" s="54">
        <f>IF(T36&gt;V36,IF(U71=AK7,1,IF(U71=AK7-1,1,0)),0)</f>
        <v>0</v>
      </c>
      <c r="U37" s="54">
        <f>T37+V37</f>
        <v>1</v>
      </c>
      <c r="V37" s="58">
        <f>IF(V36&gt;T36,IF(U71=AK7,1,IF(U71=AK7-1,1,0)),0)</f>
        <v>1</v>
      </c>
      <c r="W37" s="54">
        <f>IF(W36&gt;Y36,IF(X71=AK7,1,IF(X71=AK7-1,1,0)),0)</f>
        <v>1</v>
      </c>
      <c r="X37" s="54">
        <f>W37+Y37</f>
        <v>1</v>
      </c>
      <c r="Y37" s="58">
        <f>IF(Y36&gt;W36,IF(X71=AK7,1,IF(X71=AK7-1,1,0)),0)</f>
        <v>0</v>
      </c>
      <c r="Z37" s="54">
        <f>IF(Z36&gt;AB36,IF(AA71=AK7,1,IF(AA71=AK7-1,1,0)),0)</f>
        <v>1</v>
      </c>
      <c r="AA37" s="54">
        <f>Z37+AB37</f>
        <v>1</v>
      </c>
      <c r="AB37" s="58">
        <f>IF(AB36&gt;Z36,IF(AA71=AK7,1,IF(AA71=AK7-1,1,0)),0)</f>
        <v>0</v>
      </c>
      <c r="AC37" s="54">
        <f>IF(AC36&gt;AE36,IF(AD71=AK7,1,IF(AD71=AK7-1,1,0)),0)</f>
        <v>1</v>
      </c>
      <c r="AD37" s="54">
        <f>AC37+AE37</f>
        <v>1</v>
      </c>
      <c r="AE37" s="58">
        <f>IF(AE36&gt;AC36,IF(AD71=AK7,1,IF(AD71=AK7-1,1,0)),0)</f>
        <v>0</v>
      </c>
      <c r="AW37" s="146"/>
    </row>
    <row r="38" spans="1:49" s="54" customFormat="1" ht="25.5" hidden="1" customHeight="1" x14ac:dyDescent="0.2">
      <c r="A38" s="57"/>
      <c r="D38" s="58"/>
      <c r="G38" s="58"/>
      <c r="J38" s="58"/>
      <c r="M38" s="58"/>
      <c r="P38" s="58"/>
      <c r="S38" s="58"/>
      <c r="V38" s="58"/>
      <c r="Y38" s="58"/>
      <c r="AB38" s="58"/>
      <c r="AE38" s="58"/>
      <c r="AW38" s="146"/>
    </row>
    <row r="39" spans="1:49" s="54" customFormat="1" ht="12.75" hidden="1" customHeight="1" x14ac:dyDescent="0.2">
      <c r="A39" s="54" t="s">
        <v>61</v>
      </c>
      <c r="B39" s="54">
        <f>IF(B31=1,B25,0)</f>
        <v>25</v>
      </c>
      <c r="D39" s="58">
        <f t="shared" ref="D39:E43" si="2">IF(D31=1,D25,0)</f>
        <v>0</v>
      </c>
      <c r="E39" s="54">
        <f t="shared" si="2"/>
        <v>25</v>
      </c>
      <c r="G39" s="58">
        <f t="shared" ref="G39:H43" si="3">IF(G31=1,G25,0)</f>
        <v>0</v>
      </c>
      <c r="H39" s="54">
        <f t="shared" si="3"/>
        <v>25</v>
      </c>
      <c r="J39" s="58">
        <f t="shared" ref="J39:K43" si="4">IF(J31=1,J25,0)</f>
        <v>0</v>
      </c>
      <c r="K39" s="54">
        <f t="shared" si="4"/>
        <v>0</v>
      </c>
      <c r="M39" s="58">
        <f t="shared" ref="M39:N43" si="5">IF(M31=1,M25,0)</f>
        <v>25</v>
      </c>
      <c r="N39" s="54">
        <f t="shared" si="5"/>
        <v>0</v>
      </c>
      <c r="P39" s="58">
        <f t="shared" ref="P39:Q43" si="6">IF(P31=1,P25,0)</f>
        <v>25</v>
      </c>
      <c r="Q39" s="54">
        <f t="shared" si="6"/>
        <v>0</v>
      </c>
      <c r="S39" s="58">
        <f t="shared" ref="S39:T43" si="7">IF(S31=1,S25,0)</f>
        <v>25</v>
      </c>
      <c r="T39" s="54">
        <f t="shared" si="7"/>
        <v>0</v>
      </c>
      <c r="V39" s="58">
        <f t="shared" ref="V39:W43" si="8">IF(V31=1,V25,0)</f>
        <v>25</v>
      </c>
      <c r="W39" s="54">
        <f t="shared" si="8"/>
        <v>25</v>
      </c>
      <c r="Y39" s="58">
        <f t="shared" ref="Y39:Z43" si="9">IF(Y31=1,Y25,0)</f>
        <v>0</v>
      </c>
      <c r="Z39" s="54">
        <f t="shared" si="9"/>
        <v>25</v>
      </c>
      <c r="AB39" s="58">
        <f t="shared" ref="AB39:AC43" si="10">IF(AB31=1,AB25,0)</f>
        <v>0</v>
      </c>
      <c r="AC39" s="54">
        <f t="shared" si="10"/>
        <v>25</v>
      </c>
      <c r="AE39" s="58">
        <f>IF(AE31=1,AE25,0)</f>
        <v>0</v>
      </c>
      <c r="AW39" s="146"/>
    </row>
    <row r="40" spans="1:49" s="54" customFormat="1" ht="12.75" hidden="1" customHeight="1" x14ac:dyDescent="0.2">
      <c r="A40" s="54" t="s">
        <v>62</v>
      </c>
      <c r="B40" s="54">
        <f>IF(B32=1,B26,0)</f>
        <v>25</v>
      </c>
      <c r="D40" s="58">
        <f t="shared" si="2"/>
        <v>0</v>
      </c>
      <c r="E40" s="54">
        <f t="shared" si="2"/>
        <v>25</v>
      </c>
      <c r="G40" s="58">
        <f t="shared" si="3"/>
        <v>0</v>
      </c>
      <c r="H40" s="54">
        <f t="shared" si="3"/>
        <v>25</v>
      </c>
      <c r="J40" s="58">
        <f t="shared" si="4"/>
        <v>0</v>
      </c>
      <c r="K40" s="54">
        <f t="shared" si="4"/>
        <v>25</v>
      </c>
      <c r="M40" s="58">
        <f t="shared" si="5"/>
        <v>0</v>
      </c>
      <c r="N40" s="54">
        <f t="shared" si="5"/>
        <v>0</v>
      </c>
      <c r="P40" s="58">
        <f t="shared" si="6"/>
        <v>25</v>
      </c>
      <c r="Q40" s="54">
        <f t="shared" si="6"/>
        <v>25</v>
      </c>
      <c r="S40" s="58">
        <f t="shared" si="7"/>
        <v>0</v>
      </c>
      <c r="T40" s="54">
        <f t="shared" si="7"/>
        <v>0</v>
      </c>
      <c r="V40" s="58">
        <f t="shared" si="8"/>
        <v>25</v>
      </c>
      <c r="W40" s="54">
        <f t="shared" si="8"/>
        <v>25</v>
      </c>
      <c r="Y40" s="58">
        <f t="shared" si="9"/>
        <v>0</v>
      </c>
      <c r="Z40" s="54">
        <f t="shared" si="9"/>
        <v>25</v>
      </c>
      <c r="AB40" s="58">
        <f t="shared" si="10"/>
        <v>0</v>
      </c>
      <c r="AC40" s="54">
        <f t="shared" si="10"/>
        <v>25</v>
      </c>
      <c r="AE40" s="58">
        <f>IF(AE32=1,AE26,0)</f>
        <v>0</v>
      </c>
      <c r="AW40" s="146"/>
    </row>
    <row r="41" spans="1:49" s="54" customFormat="1" ht="12.75" hidden="1" customHeight="1" x14ac:dyDescent="0.2">
      <c r="A41" s="54" t="s">
        <v>63</v>
      </c>
      <c r="B41" s="54">
        <f>IF(B33=1,B27,0)</f>
        <v>0</v>
      </c>
      <c r="D41" s="58">
        <f t="shared" si="2"/>
        <v>0</v>
      </c>
      <c r="E41" s="54">
        <f t="shared" si="2"/>
        <v>0</v>
      </c>
      <c r="G41" s="58">
        <f t="shared" si="3"/>
        <v>0</v>
      </c>
      <c r="H41" s="54">
        <f t="shared" si="3"/>
        <v>0</v>
      </c>
      <c r="J41" s="58">
        <f t="shared" si="4"/>
        <v>0</v>
      </c>
      <c r="K41" s="54">
        <f t="shared" si="4"/>
        <v>0</v>
      </c>
      <c r="M41" s="58">
        <f t="shared" si="5"/>
        <v>0</v>
      </c>
      <c r="N41" s="54">
        <f t="shared" si="5"/>
        <v>0</v>
      </c>
      <c r="P41" s="58">
        <f t="shared" si="6"/>
        <v>0</v>
      </c>
      <c r="Q41" s="54">
        <f t="shared" si="6"/>
        <v>0</v>
      </c>
      <c r="S41" s="58">
        <f t="shared" si="7"/>
        <v>0</v>
      </c>
      <c r="T41" s="54">
        <f t="shared" si="7"/>
        <v>0</v>
      </c>
      <c r="V41" s="58">
        <f t="shared" si="8"/>
        <v>0</v>
      </c>
      <c r="W41" s="54">
        <f t="shared" si="8"/>
        <v>0</v>
      </c>
      <c r="Y41" s="58">
        <f t="shared" si="9"/>
        <v>0</v>
      </c>
      <c r="Z41" s="54">
        <f t="shared" si="9"/>
        <v>0</v>
      </c>
      <c r="AB41" s="58">
        <f t="shared" si="10"/>
        <v>0</v>
      </c>
      <c r="AC41" s="54">
        <f t="shared" si="10"/>
        <v>0</v>
      </c>
      <c r="AE41" s="58">
        <f>IF(AE33=1,AE27,0)</f>
        <v>0</v>
      </c>
      <c r="AW41" s="146"/>
    </row>
    <row r="42" spans="1:49" s="54" customFormat="1" ht="12.75" hidden="1" customHeight="1" x14ac:dyDescent="0.2">
      <c r="A42" s="54" t="s">
        <v>64</v>
      </c>
      <c r="B42" s="54">
        <f>IF(B34=1,B28,0)</f>
        <v>0</v>
      </c>
      <c r="D42" s="58">
        <f t="shared" si="2"/>
        <v>0</v>
      </c>
      <c r="E42" s="54">
        <f t="shared" si="2"/>
        <v>0</v>
      </c>
      <c r="G42" s="58">
        <f t="shared" si="3"/>
        <v>0</v>
      </c>
      <c r="H42" s="54">
        <f t="shared" si="3"/>
        <v>0</v>
      </c>
      <c r="J42" s="58">
        <f t="shared" si="4"/>
        <v>0</v>
      </c>
      <c r="K42" s="54">
        <f t="shared" si="4"/>
        <v>0</v>
      </c>
      <c r="M42" s="58">
        <f t="shared" si="5"/>
        <v>0</v>
      </c>
      <c r="N42" s="54">
        <f t="shared" si="5"/>
        <v>0</v>
      </c>
      <c r="P42" s="58">
        <f t="shared" si="6"/>
        <v>0</v>
      </c>
      <c r="Q42" s="54">
        <f t="shared" si="6"/>
        <v>0</v>
      </c>
      <c r="S42" s="58">
        <f t="shared" si="7"/>
        <v>0</v>
      </c>
      <c r="T42" s="54">
        <f t="shared" si="7"/>
        <v>0</v>
      </c>
      <c r="V42" s="58">
        <f t="shared" si="8"/>
        <v>0</v>
      </c>
      <c r="W42" s="54">
        <f t="shared" si="8"/>
        <v>0</v>
      </c>
      <c r="Y42" s="58">
        <f t="shared" si="9"/>
        <v>0</v>
      </c>
      <c r="Z42" s="54">
        <f t="shared" si="9"/>
        <v>0</v>
      </c>
      <c r="AB42" s="58">
        <f t="shared" si="10"/>
        <v>0</v>
      </c>
      <c r="AC42" s="54">
        <f t="shared" si="10"/>
        <v>0</v>
      </c>
      <c r="AE42" s="58">
        <f>IF(AE34=1,AE28,0)</f>
        <v>0</v>
      </c>
      <c r="AW42" s="146"/>
    </row>
    <row r="43" spans="1:49" s="54" customFormat="1" ht="12.75" hidden="1" customHeight="1" x14ac:dyDescent="0.2">
      <c r="A43" s="54" t="s">
        <v>65</v>
      </c>
      <c r="B43" s="54">
        <f>IF(B35=1,B29,0)</f>
        <v>0</v>
      </c>
      <c r="D43" s="58">
        <f t="shared" si="2"/>
        <v>0</v>
      </c>
      <c r="E43" s="54">
        <f t="shared" si="2"/>
        <v>0</v>
      </c>
      <c r="G43" s="58">
        <f t="shared" si="3"/>
        <v>0</v>
      </c>
      <c r="H43" s="54">
        <f t="shared" si="3"/>
        <v>0</v>
      </c>
      <c r="J43" s="58">
        <f t="shared" si="4"/>
        <v>0</v>
      </c>
      <c r="K43" s="54">
        <f t="shared" si="4"/>
        <v>0</v>
      </c>
      <c r="M43" s="58">
        <f t="shared" si="5"/>
        <v>0</v>
      </c>
      <c r="N43" s="54">
        <f t="shared" si="5"/>
        <v>0</v>
      </c>
      <c r="P43" s="58">
        <f t="shared" si="6"/>
        <v>0</v>
      </c>
      <c r="Q43" s="54">
        <f t="shared" si="6"/>
        <v>0</v>
      </c>
      <c r="S43" s="58">
        <f t="shared" si="7"/>
        <v>0</v>
      </c>
      <c r="T43" s="54">
        <f t="shared" si="7"/>
        <v>0</v>
      </c>
      <c r="V43" s="58">
        <f t="shared" si="8"/>
        <v>0</v>
      </c>
      <c r="W43" s="54">
        <f t="shared" si="8"/>
        <v>0</v>
      </c>
      <c r="Y43" s="58">
        <f t="shared" si="9"/>
        <v>0</v>
      </c>
      <c r="Z43" s="54">
        <f t="shared" si="9"/>
        <v>0</v>
      </c>
      <c r="AB43" s="58">
        <f t="shared" si="10"/>
        <v>0</v>
      </c>
      <c r="AC43" s="54">
        <f t="shared" si="10"/>
        <v>0</v>
      </c>
      <c r="AE43" s="58">
        <f>IF(AE35=1,AE29,0)</f>
        <v>0</v>
      </c>
      <c r="AW43" s="146"/>
    </row>
    <row r="44" spans="1:49" s="54" customFormat="1" ht="38.25" hidden="1" customHeight="1" x14ac:dyDescent="0.2">
      <c r="A44" s="57" t="s">
        <v>66</v>
      </c>
      <c r="B44" s="54">
        <f>SUM(B39:D43)</f>
        <v>50</v>
      </c>
      <c r="D44" s="58"/>
      <c r="E44" s="54">
        <f>SUM(E39:G43)</f>
        <v>50</v>
      </c>
      <c r="G44" s="58"/>
      <c r="H44" s="54">
        <f>SUM(H39:J43)</f>
        <v>50</v>
      </c>
      <c r="J44" s="58"/>
      <c r="K44" s="54">
        <f>SUM(K39:M43)</f>
        <v>50</v>
      </c>
      <c r="M44" s="58"/>
      <c r="N44" s="54">
        <f>SUM(N39:P43)</f>
        <v>50</v>
      </c>
      <c r="P44" s="58"/>
      <c r="Q44" s="54">
        <f>SUM(Q39:S43)</f>
        <v>50</v>
      </c>
      <c r="S44" s="58"/>
      <c r="T44" s="54">
        <f>SUM(T39:V43)</f>
        <v>50</v>
      </c>
      <c r="V44" s="58"/>
      <c r="W44" s="54">
        <f>SUM(W39:Y43)</f>
        <v>50</v>
      </c>
      <c r="Y44" s="58"/>
      <c r="Z44" s="54">
        <f>SUM(Z39:AB43)</f>
        <v>50</v>
      </c>
      <c r="AB44" s="58"/>
      <c r="AC44" s="54">
        <f>SUM(AC39:AE43)</f>
        <v>50</v>
      </c>
      <c r="AE44" s="58"/>
      <c r="AW44" s="146"/>
    </row>
    <row r="45" spans="1:49" s="54" customFormat="1" ht="38.25" hidden="1" customHeight="1" x14ac:dyDescent="0.2">
      <c r="A45" s="54" t="s">
        <v>67</v>
      </c>
      <c r="D45" s="58"/>
      <c r="G45" s="58"/>
      <c r="J45" s="58"/>
      <c r="M45" s="58"/>
      <c r="P45" s="58"/>
      <c r="S45" s="58"/>
      <c r="V45" s="58"/>
      <c r="Y45" s="58"/>
      <c r="AB45" s="58"/>
      <c r="AE45" s="58"/>
      <c r="AF45" s="57" t="s">
        <v>68</v>
      </c>
      <c r="AG45" s="54" t="s">
        <v>69</v>
      </c>
      <c r="AW45" s="146"/>
    </row>
    <row r="46" spans="1:49" s="54" customFormat="1" ht="12.75" hidden="1" customHeight="1" x14ac:dyDescent="0.2">
      <c r="A46" s="54" t="s">
        <v>70</v>
      </c>
      <c r="B46" s="54">
        <f>IF(B24=1,IF(B37=1,1,0),0)</f>
        <v>0</v>
      </c>
      <c r="D46" s="58">
        <f>IF(D24=1,IF(D37=1,1,0),0)</f>
        <v>0</v>
      </c>
      <c r="E46" s="54">
        <f>IF(E24=1,IF(E37=1,1,0),0)</f>
        <v>1</v>
      </c>
      <c r="G46" s="58">
        <f>IF(G24=1,IF(G37=1,1,0),0)</f>
        <v>0</v>
      </c>
      <c r="H46" s="54">
        <f>IF(H24=1,IF(H37=1,1,0),0)</f>
        <v>0</v>
      </c>
      <c r="J46" s="58">
        <f>IF(J24=1,IF(J37=1,1,0),0)</f>
        <v>0</v>
      </c>
      <c r="K46" s="54">
        <f>IF(K24=1,IF(K37=1,1,0),0)</f>
        <v>0</v>
      </c>
      <c r="M46" s="58">
        <f>IF(M24=1,IF(M37=1,1,0),0)</f>
        <v>0</v>
      </c>
      <c r="N46" s="54">
        <f>IF(N24=1,IF(N37=1,1,0),0)</f>
        <v>0</v>
      </c>
      <c r="P46" s="58">
        <f>IF(P24=1,IF(P37=1,1,0),0)</f>
        <v>0</v>
      </c>
      <c r="Q46" s="54">
        <f>IF(Q24=1,IF(Q37=1,1,0),0)</f>
        <v>0</v>
      </c>
      <c r="S46" s="58">
        <f>IF(S24=1,IF(S37=1,1,0),0)</f>
        <v>0</v>
      </c>
      <c r="T46" s="54">
        <f>IF(T24=1,IF(T37=1,1,0),0)</f>
        <v>0</v>
      </c>
      <c r="V46" s="58">
        <f>IF(V24=1,IF(V37=1,1,0),0)</f>
        <v>0</v>
      </c>
      <c r="W46" s="54">
        <f>IF(W24=1,IF(W37=1,1,0),0)</f>
        <v>1</v>
      </c>
      <c r="Y46" s="58">
        <f>IF(Y24=1,IF(Y37=1,1,0),0)</f>
        <v>0</v>
      </c>
      <c r="Z46" s="54">
        <f>IF(Z24=1,IF(Z37=1,1,0),0)</f>
        <v>0</v>
      </c>
      <c r="AB46" s="58">
        <f>IF(AB24=1,IF(AB37=1,1,0),0)</f>
        <v>0</v>
      </c>
      <c r="AC46" s="54">
        <f>IF(AC24=1,IF(AC37=1,1,0),0)</f>
        <v>1</v>
      </c>
      <c r="AE46" s="58">
        <f>IF(AE24=1,IF(AE37=1,1,0),0)</f>
        <v>0</v>
      </c>
      <c r="AF46" s="54">
        <f>SUM(B46:AE46)</f>
        <v>3</v>
      </c>
      <c r="AG46" s="54">
        <f>AF52-AF46</f>
        <v>1</v>
      </c>
      <c r="AW46" s="146"/>
    </row>
    <row r="47" spans="1:49" s="54" customFormat="1" ht="12.75" hidden="1" customHeight="1" x14ac:dyDescent="0.2">
      <c r="A47" s="54" t="s">
        <v>71</v>
      </c>
      <c r="B47" s="54">
        <f>IF(B24=2,IF(B37=1,1,0),0)</f>
        <v>1</v>
      </c>
      <c r="D47" s="58">
        <f>IF(D24=2,IF(D37=1,1,0),0)</f>
        <v>0</v>
      </c>
      <c r="E47" s="54">
        <f>IF(E24=2,IF(E37=1,1,0),0)</f>
        <v>0</v>
      </c>
      <c r="G47" s="58">
        <f>IF(G24=2,IF(G37=1,1,0),0)</f>
        <v>0</v>
      </c>
      <c r="H47" s="54">
        <f>IF(H24=2,IF(H37=1,1,0),0)</f>
        <v>0</v>
      </c>
      <c r="J47" s="58">
        <f>IF(J24=2,IF(J37=1,1,0),0)</f>
        <v>0</v>
      </c>
      <c r="K47" s="54">
        <f>IF(K24=2,IF(K37=1,1,0),0)</f>
        <v>0</v>
      </c>
      <c r="M47" s="58">
        <f>IF(M24=2,IF(M37=1,1,0),0)</f>
        <v>0</v>
      </c>
      <c r="N47" s="54">
        <f>IF(N24=2,IF(N37=1,1,0),0)</f>
        <v>0</v>
      </c>
      <c r="P47" s="58">
        <f>IF(P24=2,IF(P37=1,1,0),0)</f>
        <v>0</v>
      </c>
      <c r="Q47" s="54">
        <f>IF(Q24=2,IF(Q37=1,1,0),0)</f>
        <v>0</v>
      </c>
      <c r="S47" s="58">
        <f>IF(S24=2,IF(S37=1,1,0),0)</f>
        <v>0</v>
      </c>
      <c r="T47" s="54">
        <f>IF(T24=2,IF(T37=1,1,0),0)</f>
        <v>0</v>
      </c>
      <c r="V47" s="58">
        <f>IF(V24=2,IF(V37=1,1,0),0)</f>
        <v>0</v>
      </c>
      <c r="W47" s="54">
        <f>IF(W24=2,IF(W37=1,1,0),0)</f>
        <v>0</v>
      </c>
      <c r="Y47" s="58">
        <f>IF(Y24=2,IF(Y37=1,1,0),0)</f>
        <v>0</v>
      </c>
      <c r="Z47" s="54">
        <f>IF(Z24=2,IF(Z37=1,1,0),0)</f>
        <v>0</v>
      </c>
      <c r="AB47" s="58">
        <f>IF(AB24=2,IF(AB37=1,1,0),0)</f>
        <v>0</v>
      </c>
      <c r="AC47" s="54">
        <f>IF(AC24=2,IF(AC37=1,1,0),0)</f>
        <v>0</v>
      </c>
      <c r="AE47" s="58">
        <f>IF(AE24=2,IF(AE37=1,1,0),0)</f>
        <v>0</v>
      </c>
      <c r="AF47" s="54">
        <f>SUM(B47:AE47)</f>
        <v>1</v>
      </c>
      <c r="AG47" s="54">
        <f>AF53-AF47</f>
        <v>2</v>
      </c>
      <c r="AW47" s="146"/>
    </row>
    <row r="48" spans="1:49" s="54" customFormat="1" ht="12.75" hidden="1" customHeight="1" x14ac:dyDescent="0.2">
      <c r="A48" s="54" t="s">
        <v>72</v>
      </c>
      <c r="B48" s="54">
        <f>IF(B24=3,IF(B37=1,1,0),0)</f>
        <v>0</v>
      </c>
      <c r="D48" s="58">
        <f>IF(D24=3,IF(D37=1,1,0),0)</f>
        <v>0</v>
      </c>
      <c r="E48" s="54">
        <f>IF(E24=3,IF(E37=1,1,0),0)</f>
        <v>0</v>
      </c>
      <c r="G48" s="58">
        <f>IF(G24=3,IF(G37=1,1,0),0)</f>
        <v>0</v>
      </c>
      <c r="H48" s="54">
        <f>IF(H24=3,IF(H37=1,1,0),0)</f>
        <v>1</v>
      </c>
      <c r="J48" s="58">
        <f>IF(J24=3,IF(J37=1,1,0),0)</f>
        <v>0</v>
      </c>
      <c r="K48" s="54">
        <f>IF(K24=3,IF(K37=1,1,0),0)</f>
        <v>0</v>
      </c>
      <c r="M48" s="58">
        <f>IF(M24=3,IF(M37=1,1,0),0)</f>
        <v>0</v>
      </c>
      <c r="N48" s="54">
        <f>IF(N24=3,IF(N37=1,1,0),0)</f>
        <v>0</v>
      </c>
      <c r="P48" s="58">
        <f>IF(P24=3,IF(P37=1,1,0),0)</f>
        <v>1</v>
      </c>
      <c r="Q48" s="54">
        <f>IF(Q24=3,IF(Q37=1,1,0),0)</f>
        <v>0</v>
      </c>
      <c r="S48" s="58">
        <f>IF(S24=3,IF(S37=1,1,0),0)</f>
        <v>0</v>
      </c>
      <c r="T48" s="54">
        <f>IF(T24=3,IF(T37=1,1,0),0)</f>
        <v>0</v>
      </c>
      <c r="V48" s="58">
        <f>IF(V24=3,IF(V37=1,1,0),0)</f>
        <v>1</v>
      </c>
      <c r="W48" s="54">
        <f>IF(W24=3,IF(W37=1,1,0),0)</f>
        <v>0</v>
      </c>
      <c r="Y48" s="58">
        <f>IF(Y24=3,IF(Y37=1,1,0),0)</f>
        <v>0</v>
      </c>
      <c r="Z48" s="54">
        <f>IF(Z24=3,IF(Z37=1,1,0),0)</f>
        <v>1</v>
      </c>
      <c r="AB48" s="58">
        <f>IF(AB24=3,IF(AB37=1,1,0),0)</f>
        <v>0</v>
      </c>
      <c r="AC48" s="54">
        <f>IF(AC24=3,IF(AC37=1,1,0),0)</f>
        <v>0</v>
      </c>
      <c r="AE48" s="58">
        <f>IF(AE24=3,IF(AE37=1,1,0),0)</f>
        <v>0</v>
      </c>
      <c r="AF48" s="54">
        <f>SUM(B48:AE48)</f>
        <v>4</v>
      </c>
      <c r="AG48" s="54">
        <f>AF54-AF48</f>
        <v>0</v>
      </c>
      <c r="AW48" s="146"/>
    </row>
    <row r="49" spans="1:49" s="54" customFormat="1" ht="12.75" hidden="1" customHeight="1" x14ac:dyDescent="0.2">
      <c r="A49" s="54" t="s">
        <v>73</v>
      </c>
      <c r="B49" s="54">
        <f>IF(B24=4,IF(B37=1,1,0),0)</f>
        <v>0</v>
      </c>
      <c r="D49" s="58">
        <f>IF(D24=4,IF(D37=1,1,0),0)</f>
        <v>0</v>
      </c>
      <c r="E49" s="54">
        <f>IF(E24=4,IF(E37=1,1,0),0)</f>
        <v>0</v>
      </c>
      <c r="G49" s="58">
        <f>IF(G24=4,IF(G37=1,1,0),0)</f>
        <v>0</v>
      </c>
      <c r="H49" s="54">
        <f>IF(H24=4,IF(H37=1,1,0),0)</f>
        <v>0</v>
      </c>
      <c r="J49" s="58">
        <f>IF(J24=4,IF(J37=1,1,0),0)</f>
        <v>0</v>
      </c>
      <c r="K49" s="54">
        <f>IF(K24=4,IF(K37=1,1,0),0)</f>
        <v>0</v>
      </c>
      <c r="M49" s="58">
        <f>IF(M24=4,IF(M37=1,1,0),0)</f>
        <v>0</v>
      </c>
      <c r="N49" s="54">
        <f>IF(N24=4,IF(N37=1,1,0),0)</f>
        <v>0</v>
      </c>
      <c r="P49" s="58">
        <f>IF(P24=4,IF(P37=1,1,0),0)</f>
        <v>0</v>
      </c>
      <c r="Q49" s="54">
        <f>IF(Q24=4,IF(Q37=1,1,0),0)</f>
        <v>0</v>
      </c>
      <c r="S49" s="58">
        <f>IF(S24=4,IF(S37=1,1,0),0)</f>
        <v>0</v>
      </c>
      <c r="T49" s="54">
        <f>IF(T24=4,IF(T37=1,1,0),0)</f>
        <v>0</v>
      </c>
      <c r="V49" s="58">
        <f>IF(V24=4,IF(V37=1,1,0),0)</f>
        <v>0</v>
      </c>
      <c r="W49" s="54">
        <f>IF(W24=4,IF(W37=1,1,0),0)</f>
        <v>0</v>
      </c>
      <c r="Y49" s="58">
        <f>IF(Y24=4,IF(Y37=1,1,0),0)</f>
        <v>0</v>
      </c>
      <c r="Z49" s="54">
        <f>IF(Z24=4,IF(Z37=1,1,0),0)</f>
        <v>0</v>
      </c>
      <c r="AB49" s="58">
        <f>IF(AB24=4,IF(AB37=1,1,0),0)</f>
        <v>0</v>
      </c>
      <c r="AC49" s="54">
        <f>IF(AC24=4,IF(AC37=1,1,0),0)</f>
        <v>0</v>
      </c>
      <c r="AE49" s="58">
        <f>IF(AE24=4,IF(AE37=1,1,0),0)</f>
        <v>0</v>
      </c>
      <c r="AF49" s="54">
        <f>SUM(B49:AE49)</f>
        <v>0</v>
      </c>
      <c r="AG49" s="54">
        <f>AF55-AF49</f>
        <v>2</v>
      </c>
      <c r="AW49" s="146"/>
    </row>
    <row r="50" spans="1:49" s="54" customFormat="1" ht="12.75" hidden="1" customHeight="1" x14ac:dyDescent="0.2">
      <c r="A50" s="54" t="s">
        <v>74</v>
      </c>
      <c r="B50" s="54">
        <f>IF(B24=5,IF(B37=1,1,0),0)</f>
        <v>0</v>
      </c>
      <c r="D50" s="58">
        <f>IF(D24=5,IF(D37=1,1,0),0)</f>
        <v>0</v>
      </c>
      <c r="E50" s="54">
        <f>IF(E24=5,IF(E37=1,1,0),0)</f>
        <v>0</v>
      </c>
      <c r="G50" s="58">
        <f>IF(G24=5,IF(G37=1,1,0),0)</f>
        <v>0</v>
      </c>
      <c r="H50" s="54">
        <f>IF(H24=5,IF(H37=1,1,0),0)</f>
        <v>0</v>
      </c>
      <c r="J50" s="58">
        <f>IF(J24=5,IF(J37=1,1,0),0)</f>
        <v>0</v>
      </c>
      <c r="K50" s="54">
        <f>IF(K24=5,IF(K37=1,1,0),0)</f>
        <v>0</v>
      </c>
      <c r="M50" s="58">
        <f>IF(M24=5,IF(M37=1,1,0),0)</f>
        <v>0</v>
      </c>
      <c r="N50" s="54">
        <f>IF(N24=5,IF(N37=1,1,0),0)</f>
        <v>0</v>
      </c>
      <c r="P50" s="58">
        <f>IF(P24=5,IF(P37=1,1,0),0)</f>
        <v>0</v>
      </c>
      <c r="Q50" s="54">
        <f>IF(Q24=5,IF(Q37=1,1,0),0)</f>
        <v>0</v>
      </c>
      <c r="S50" s="58">
        <f>IF(S24=5,IF(S37=1,1,0),0)</f>
        <v>0</v>
      </c>
      <c r="T50" s="54">
        <f>IF(T24=5,IF(T37=1,1,0),0)</f>
        <v>0</v>
      </c>
      <c r="V50" s="58">
        <f>IF(V24=5,IF(V37=1,1,0),0)</f>
        <v>0</v>
      </c>
      <c r="W50" s="54">
        <f>IF(W24=5,IF(W37=1,1,0),0)</f>
        <v>0</v>
      </c>
      <c r="Y50" s="58">
        <f>IF(Y24=5,IF(Y37=1,1,0),0)</f>
        <v>0</v>
      </c>
      <c r="Z50" s="54">
        <f>IF(Z24=5,IF(Z37=1,1,0),0)</f>
        <v>0</v>
      </c>
      <c r="AB50" s="58">
        <f>IF(AB24=5,IF(AB37=1,1,0),0)</f>
        <v>0</v>
      </c>
      <c r="AC50" s="54">
        <f>IF(AC24=5,IF(AC37=1,1,0),0)</f>
        <v>0</v>
      </c>
      <c r="AE50" s="58">
        <f>IF(AE24=5,IF(AE37=1,1,0),0)</f>
        <v>0</v>
      </c>
      <c r="AF50" s="54">
        <f>SUM(B50:AE50)</f>
        <v>0</v>
      </c>
      <c r="AG50" s="54">
        <f>AF56-AF50</f>
        <v>3</v>
      </c>
      <c r="AW50" s="146"/>
    </row>
    <row r="51" spans="1:49" s="54" customFormat="1" ht="38.25" hidden="1" customHeight="1" x14ac:dyDescent="0.2">
      <c r="A51" s="57"/>
      <c r="D51" s="58"/>
      <c r="G51" s="58"/>
      <c r="J51" s="58"/>
      <c r="M51" s="58"/>
      <c r="P51" s="58"/>
      <c r="S51" s="58"/>
      <c r="V51" s="58"/>
      <c r="Y51" s="58"/>
      <c r="AB51" s="58"/>
      <c r="AE51" s="58"/>
      <c r="AF51" s="57" t="s">
        <v>75</v>
      </c>
      <c r="AW51" s="146"/>
    </row>
    <row r="52" spans="1:49" s="54" customFormat="1" ht="12.75" hidden="1" customHeight="1" x14ac:dyDescent="0.2">
      <c r="A52" s="54" t="s">
        <v>76</v>
      </c>
      <c r="B52" s="54">
        <f>IF(B24=1,IF(C37=1,1,0),0)</f>
        <v>0</v>
      </c>
      <c r="D52" s="58">
        <f>IF(D24=1,IF(C37=1,1,0),0)</f>
        <v>0</v>
      </c>
      <c r="E52" s="54">
        <f>IF(E24=1,IF(F37=1,1,0),0)</f>
        <v>1</v>
      </c>
      <c r="G52" s="58">
        <f>IF(G24=1,IF(F37=1,1,0),0)</f>
        <v>0</v>
      </c>
      <c r="H52" s="54">
        <f>IF(H24=1,IF(I37=1,1,0),0)</f>
        <v>0</v>
      </c>
      <c r="J52" s="58">
        <f>IF(J24=1,IF(I37=1,1,0),0)</f>
        <v>0</v>
      </c>
      <c r="K52" s="54">
        <f>IF(K24=1,IF(L37=1,1,0),0)</f>
        <v>0</v>
      </c>
      <c r="M52" s="58">
        <f>IF(M24=1,IF(L37=1,1,0),0)</f>
        <v>0</v>
      </c>
      <c r="N52" s="54">
        <f>IF(N24=1,IF(O37=1,1,0),0)</f>
        <v>1</v>
      </c>
      <c r="P52" s="58">
        <f>IF(P24=1,IF(O37=1,1,0),0)</f>
        <v>0</v>
      </c>
      <c r="Q52" s="54">
        <f>IF(Q24=1,IF(R37=1,1,0),0)</f>
        <v>0</v>
      </c>
      <c r="S52" s="58">
        <f>IF(S24=1,IF(R37=1,1,0),0)</f>
        <v>0</v>
      </c>
      <c r="T52" s="54">
        <f>IF(T24=1,IF(U37=1,1,0),0)</f>
        <v>0</v>
      </c>
      <c r="V52" s="58">
        <f>IF(V24=1,IF(U37=1,1,0),0)</f>
        <v>0</v>
      </c>
      <c r="W52" s="54">
        <f>IF(W24=1,IF(X37=1,1,0),0)</f>
        <v>1</v>
      </c>
      <c r="Y52" s="58">
        <f>IF(Y24=1,IF(X37=1,1,0),0)</f>
        <v>0</v>
      </c>
      <c r="Z52" s="54">
        <f>IF(Z24=1,IF(AA37=1,1,0),0)</f>
        <v>0</v>
      </c>
      <c r="AB52" s="58">
        <f>IF(AB24=1,IF(AA37=1,1,0),0)</f>
        <v>0</v>
      </c>
      <c r="AC52" s="54">
        <f>IF(AC24=1,IF(AD37=1,1,0),0)</f>
        <v>1</v>
      </c>
      <c r="AE52" s="58">
        <f>IF(AE24=1,IF(AD37=1,1,0),0)</f>
        <v>0</v>
      </c>
      <c r="AF52" s="54">
        <f>SUM(B52:AE52)</f>
        <v>4</v>
      </c>
      <c r="AW52" s="146"/>
    </row>
    <row r="53" spans="1:49" s="54" customFormat="1" ht="12.75" hidden="1" customHeight="1" x14ac:dyDescent="0.2">
      <c r="A53" s="54" t="s">
        <v>77</v>
      </c>
      <c r="B53" s="54">
        <f>IF(B24=2,IF(C37=1,1,0),0)</f>
        <v>1</v>
      </c>
      <c r="D53" s="58">
        <f>IF(D24=2,IF(C37=1,1,0),0)</f>
        <v>0</v>
      </c>
      <c r="E53" s="54">
        <f>IF(E24=2,IF(F37=1,1,0),0)</f>
        <v>0</v>
      </c>
      <c r="G53" s="58">
        <f>IF(G24=2,IF(F37=1,1,0),0)</f>
        <v>0</v>
      </c>
      <c r="H53" s="54">
        <f>IF(H24=2,IF(I37=1,1,0),0)</f>
        <v>0</v>
      </c>
      <c r="J53" s="58">
        <f>IF(J24=2,IF(I37=1,1,0),0)</f>
        <v>0</v>
      </c>
      <c r="K53" s="54">
        <f>IF(K24=2,IF(L37=1,1,0),0)</f>
        <v>0</v>
      </c>
      <c r="M53" s="58">
        <f>IF(M24=2,IF(L37=1,1,0),0)</f>
        <v>0</v>
      </c>
      <c r="N53" s="54">
        <f>IF(N24=2,IF(O37=1,1,0),0)</f>
        <v>0</v>
      </c>
      <c r="P53" s="58">
        <f>IF(P24=2,IF(O37=1,1,0),0)</f>
        <v>0</v>
      </c>
      <c r="Q53" s="54">
        <f>IF(Q24=2,IF(R37=1,1,0),0)</f>
        <v>0</v>
      </c>
      <c r="S53" s="58">
        <f>IF(S24=2,IF(R37=1,1,0),0)</f>
        <v>0</v>
      </c>
      <c r="T53" s="54">
        <f>IF(T24=2,IF(U37=1,1,0),0)</f>
        <v>1</v>
      </c>
      <c r="V53" s="58">
        <f>IF(V24=2,IF(U37=1,1,0),0)</f>
        <v>0</v>
      </c>
      <c r="W53" s="54">
        <f>IF(W24=2,IF(X37=1,1,0),0)</f>
        <v>0</v>
      </c>
      <c r="Y53" s="58">
        <f>IF(Y24=2,IF(X37=1,1,0),0)</f>
        <v>0</v>
      </c>
      <c r="Z53" s="54">
        <f>IF(Z24=2,IF(AA37=1,1,0),0)</f>
        <v>0</v>
      </c>
      <c r="AB53" s="58">
        <f>IF(AB24=2,IF(AA37=1,1,0),0)</f>
        <v>0</v>
      </c>
      <c r="AC53" s="54">
        <f>IF(AC24=2,IF(AD37=1,1,0),0)</f>
        <v>0</v>
      </c>
      <c r="AE53" s="58">
        <f>IF(AE24=2,IF(AD37=1,1,0),0)</f>
        <v>1</v>
      </c>
      <c r="AF53" s="54">
        <f>SUM(B53:AE53)</f>
        <v>3</v>
      </c>
      <c r="AW53" s="146"/>
    </row>
    <row r="54" spans="1:49" s="54" customFormat="1" ht="12.75" hidden="1" customHeight="1" x14ac:dyDescent="0.2">
      <c r="A54" s="54" t="s">
        <v>78</v>
      </c>
      <c r="B54" s="54">
        <f>IF(B24=3,IF(C37=1,1,0),0)</f>
        <v>0</v>
      </c>
      <c r="D54" s="58">
        <f>IF(D24=3,IF(C37=1,1,0),0)</f>
        <v>0</v>
      </c>
      <c r="E54" s="54">
        <f>IF(E24=3,IF(F37=1,1,0),0)</f>
        <v>0</v>
      </c>
      <c r="G54" s="58">
        <f>IF(G24=3,IF(F37=1,1,0),0)</f>
        <v>0</v>
      </c>
      <c r="H54" s="54">
        <f>IF(H24=3,IF(I37=1,1,0),0)</f>
        <v>1</v>
      </c>
      <c r="J54" s="58">
        <f>IF(J24=3,IF(I37=1,1,0),0)</f>
        <v>0</v>
      </c>
      <c r="K54" s="54">
        <f>IF(K24=3,IF(L37=1,1,0),0)</f>
        <v>0</v>
      </c>
      <c r="M54" s="58">
        <f>IF(M24=3,IF(L37=1,1,0),0)</f>
        <v>0</v>
      </c>
      <c r="N54" s="54">
        <f>IF(N24=3,IF(O37=1,1,0),0)</f>
        <v>0</v>
      </c>
      <c r="P54" s="58">
        <f>IF(P24=3,IF(O37=1,1,0),0)</f>
        <v>1</v>
      </c>
      <c r="Q54" s="54">
        <f>IF(Q24=3,IF(R37=1,1,0),0)</f>
        <v>0</v>
      </c>
      <c r="S54" s="58">
        <f>IF(S24=3,IF(R37=1,1,0),0)</f>
        <v>0</v>
      </c>
      <c r="T54" s="54">
        <f>IF(T24=3,IF(U37=1,1,0),0)</f>
        <v>0</v>
      </c>
      <c r="V54" s="58">
        <f>IF(V24=3,IF(U37=1,1,0),0)</f>
        <v>1</v>
      </c>
      <c r="W54" s="54">
        <f>IF(W24=3,IF(X37=1,1,0),0)</f>
        <v>0</v>
      </c>
      <c r="Y54" s="58">
        <f>IF(Y24=3,IF(X37=1,1,0),0)</f>
        <v>0</v>
      </c>
      <c r="Z54" s="54">
        <f>IF(Z24=3,IF(AA37=1,1,0),0)</f>
        <v>1</v>
      </c>
      <c r="AB54" s="58">
        <f>IF(AB24=3,IF(AA37=1,1,0),0)</f>
        <v>0</v>
      </c>
      <c r="AC54" s="54">
        <f>IF(AC24=3,IF(AD37=1,1,0),0)</f>
        <v>0</v>
      </c>
      <c r="AE54" s="58">
        <f>IF(AE24=3,IF(AD37=1,1,0),0)</f>
        <v>0</v>
      </c>
      <c r="AF54" s="54">
        <f>SUM(B54:AE54)</f>
        <v>4</v>
      </c>
      <c r="AW54" s="146"/>
    </row>
    <row r="55" spans="1:49" s="54" customFormat="1" ht="12.75" hidden="1" customHeight="1" x14ac:dyDescent="0.2">
      <c r="A55" s="54" t="s">
        <v>79</v>
      </c>
      <c r="B55" s="54">
        <f>IF(B24=4,IF(C37=1,1,0),0)</f>
        <v>0</v>
      </c>
      <c r="D55" s="58">
        <f>IF(D24=4,IF(C37=1,1,0),0)</f>
        <v>0</v>
      </c>
      <c r="E55" s="54">
        <f>IF(E24=4,IF(F37=1,1,0),0)</f>
        <v>0</v>
      </c>
      <c r="G55" s="58">
        <f>IF(G24=4,IF(F37=1,1,0),0)</f>
        <v>1</v>
      </c>
      <c r="H55" s="54">
        <f>IF(H24=4,IF(I37=1,1,0),0)</f>
        <v>0</v>
      </c>
      <c r="J55" s="58">
        <f>IF(J24=4,IF(I37=1,1,0),0)</f>
        <v>0</v>
      </c>
      <c r="K55" s="54">
        <f>IF(K24=4,IF(L37=1,1,0),0)</f>
        <v>0</v>
      </c>
      <c r="M55" s="58">
        <f>IF(M24=4,IF(L37=1,1,0),0)</f>
        <v>0</v>
      </c>
      <c r="N55" s="54">
        <f>IF(N24=4,IF(O37=1,1,0),0)</f>
        <v>0</v>
      </c>
      <c r="P55" s="58">
        <f>IF(P24=4,IF(O37=1,1,0),0)</f>
        <v>0</v>
      </c>
      <c r="Q55" s="54">
        <f>IF(Q24=4,IF(R37=1,1,0),0)</f>
        <v>0</v>
      </c>
      <c r="S55" s="58">
        <f>IF(S24=4,IF(R37=1,1,0),0)</f>
        <v>0</v>
      </c>
      <c r="T55" s="54">
        <f>IF(T24=4,IF(U37=1,1,0),0)</f>
        <v>0</v>
      </c>
      <c r="V55" s="58">
        <f>IF(V24=4,IF(U37=1,1,0),0)</f>
        <v>0</v>
      </c>
      <c r="W55" s="54">
        <f>IF(W24=4,IF(X37=1,1,0),0)</f>
        <v>0</v>
      </c>
      <c r="Y55" s="58">
        <f>IF(Y24=4,IF(X37=1,1,0),0)</f>
        <v>0</v>
      </c>
      <c r="Z55" s="54">
        <f>IF(Z24=4,IF(AA37=1,1,0),0)</f>
        <v>0</v>
      </c>
      <c r="AB55" s="58">
        <f>IF(AB24=4,IF(AA37=1,1,0),0)</f>
        <v>1</v>
      </c>
      <c r="AC55" s="54">
        <f>IF(AC24=4,IF(AD37=1,1,0),0)</f>
        <v>0</v>
      </c>
      <c r="AE55" s="58">
        <f>IF(AE24=4,IF(AD37=1,1,0),0)</f>
        <v>0</v>
      </c>
      <c r="AF55" s="54">
        <f>SUM(B55:AE55)</f>
        <v>2</v>
      </c>
      <c r="AW55" s="146"/>
    </row>
    <row r="56" spans="1:49" s="54" customFormat="1" ht="12.75" hidden="1" customHeight="1" x14ac:dyDescent="0.2">
      <c r="A56" s="54" t="s">
        <v>80</v>
      </c>
      <c r="B56" s="54">
        <f>IF(B24=5,IF(C37=1,1,0),0)</f>
        <v>0</v>
      </c>
      <c r="D56" s="58">
        <f>IF(D24=5,IF(C37=1,1,0),0)</f>
        <v>1</v>
      </c>
      <c r="E56" s="54">
        <f>IF(E24=5,IF(F37=1,1,0),0)</f>
        <v>0</v>
      </c>
      <c r="G56" s="58">
        <f>IF(G24=5,IF(F37=1,1,0),0)</f>
        <v>0</v>
      </c>
      <c r="H56" s="54">
        <f>IF(H24=5,IF(I37=1,1,0),0)</f>
        <v>0</v>
      </c>
      <c r="J56" s="58">
        <f>IF(J24=5,IF(I37=1,1,0),0)</f>
        <v>1</v>
      </c>
      <c r="K56" s="54">
        <f>IF(K24=5,IF(L37=1,1,0),0)</f>
        <v>0</v>
      </c>
      <c r="M56" s="58">
        <f>IF(M24=5,IF(L37=1,1,0),0)</f>
        <v>0</v>
      </c>
      <c r="N56" s="54">
        <f>IF(N24=5,IF(O37=1,1,0),0)</f>
        <v>0</v>
      </c>
      <c r="P56" s="58">
        <f>IF(P24=5,IF(O37=1,1,0),0)</f>
        <v>0</v>
      </c>
      <c r="Q56" s="54">
        <f>IF(Q24=5,IF(R37=1,1,0),0)</f>
        <v>0</v>
      </c>
      <c r="S56" s="58">
        <f>IF(S24=5,IF(R37=1,1,0),0)</f>
        <v>0</v>
      </c>
      <c r="T56" s="54">
        <f>IF(T24=5,IF(U37=1,1,0),0)</f>
        <v>0</v>
      </c>
      <c r="V56" s="58">
        <f>IF(V24=5,IF(U37=1,1,0),0)</f>
        <v>0</v>
      </c>
      <c r="W56" s="54">
        <f>IF(W24=5,IF(X37=1,1,0),0)</f>
        <v>0</v>
      </c>
      <c r="Y56" s="58">
        <f>IF(Y24=5,IF(X37=1,1,0),0)</f>
        <v>1</v>
      </c>
      <c r="Z56" s="54">
        <f>IF(Z24=5,IF(AA37=1,1,0),0)</f>
        <v>0</v>
      </c>
      <c r="AB56" s="58">
        <f>IF(AB24=5,IF(AA37=1,1,0),0)</f>
        <v>0</v>
      </c>
      <c r="AC56" s="54">
        <f>IF(AC24=5,IF(AD37=1,1,0),0)</f>
        <v>0</v>
      </c>
      <c r="AE56" s="58">
        <f>IF(AE24=5,IF(AD37=1,1,0),0)</f>
        <v>0</v>
      </c>
      <c r="AF56" s="54">
        <f>SUM(B56:AE56)</f>
        <v>3</v>
      </c>
      <c r="AW56" s="146"/>
    </row>
    <row r="57" spans="1:49" s="54" customFormat="1" ht="38.25" hidden="1" customHeight="1" x14ac:dyDescent="0.2">
      <c r="A57" s="57"/>
      <c r="D57" s="58"/>
      <c r="G57" s="58"/>
      <c r="J57" s="58"/>
      <c r="M57" s="58"/>
      <c r="P57" s="58"/>
      <c r="S57" s="58"/>
      <c r="V57" s="58"/>
      <c r="Y57" s="58"/>
      <c r="AB57" s="58"/>
      <c r="AE57" s="58"/>
      <c r="AF57" s="57" t="s">
        <v>81</v>
      </c>
      <c r="AG57" s="789"/>
      <c r="AH57" s="789"/>
      <c r="AI57" s="789"/>
      <c r="AJ57" s="789"/>
      <c r="AK57" s="789"/>
      <c r="AW57" s="146"/>
    </row>
    <row r="58" spans="1:49" s="54" customFormat="1" ht="12.75" hidden="1" customHeight="1" x14ac:dyDescent="0.2">
      <c r="A58" s="54" t="s">
        <v>76</v>
      </c>
      <c r="B58" s="54">
        <f>IF(B24=1,B44,0)</f>
        <v>0</v>
      </c>
      <c r="D58" s="58">
        <f>IF(D24=1,B44,0)</f>
        <v>0</v>
      </c>
      <c r="E58" s="54">
        <f>IF(E24=1,E44,0)</f>
        <v>50</v>
      </c>
      <c r="G58" s="58">
        <f>IF(G24=1,E44,0)</f>
        <v>0</v>
      </c>
      <c r="H58" s="54">
        <f>IF(H24=1,H44,0)</f>
        <v>0</v>
      </c>
      <c r="J58" s="58">
        <f>IF(J24=1,H44,0)</f>
        <v>0</v>
      </c>
      <c r="K58" s="54">
        <f>IF(K24=1,K44,0)</f>
        <v>0</v>
      </c>
      <c r="M58" s="58">
        <f>IF(M24=1,K44,0)</f>
        <v>0</v>
      </c>
      <c r="N58" s="54">
        <f>IF(N24=1,N44,0)</f>
        <v>50</v>
      </c>
      <c r="P58" s="58">
        <f>IF(P24=1,N44,0)</f>
        <v>0</v>
      </c>
      <c r="Q58" s="54">
        <f>IF(Q24=1,Q44,0)</f>
        <v>0</v>
      </c>
      <c r="S58" s="58">
        <f>IF(S24=1,Q44,0)</f>
        <v>0</v>
      </c>
      <c r="T58" s="54">
        <f>IF(T24=1,T44,0)</f>
        <v>0</v>
      </c>
      <c r="V58" s="58">
        <f>IF(V24=1,T44,0)</f>
        <v>0</v>
      </c>
      <c r="W58" s="54">
        <f>IF(W24=1,W44,0)</f>
        <v>50</v>
      </c>
      <c r="Y58" s="58">
        <f>IF(Y24=1,W44,0)</f>
        <v>0</v>
      </c>
      <c r="Z58" s="54">
        <f>IF(Z24=1,Z44,0)</f>
        <v>0</v>
      </c>
      <c r="AB58" s="58">
        <f>IF(AB24=1,Z44,0)</f>
        <v>0</v>
      </c>
      <c r="AC58" s="54">
        <f>IF(AC24=1,AC44,0)</f>
        <v>50</v>
      </c>
      <c r="AE58" s="58">
        <f>IF(AE24=1,AC44,0)</f>
        <v>0</v>
      </c>
      <c r="AF58" s="54">
        <f>SUM(B58:AE58)</f>
        <v>200</v>
      </c>
      <c r="AW58" s="146"/>
    </row>
    <row r="59" spans="1:49" s="54" customFormat="1" ht="12.75" hidden="1" customHeight="1" x14ac:dyDescent="0.2">
      <c r="A59" s="54" t="s">
        <v>77</v>
      </c>
      <c r="B59" s="54">
        <f>IF(B24=2,B44,0)</f>
        <v>50</v>
      </c>
      <c r="D59" s="58">
        <f>IF(D24=2,B44,0)</f>
        <v>0</v>
      </c>
      <c r="E59" s="54">
        <f>IF(E24=2,E44,0)</f>
        <v>0</v>
      </c>
      <c r="G59" s="58">
        <f>IF(G24=2,E44,0)</f>
        <v>0</v>
      </c>
      <c r="H59" s="54">
        <f>IF(H24=2,H44,0)</f>
        <v>0</v>
      </c>
      <c r="J59" s="58">
        <f>IF(J24=2,H44,0)</f>
        <v>0</v>
      </c>
      <c r="K59" s="54">
        <f>IF(K24=2,K44,0)</f>
        <v>50</v>
      </c>
      <c r="M59" s="58">
        <f>IF(M24=2,K44,0)</f>
        <v>0</v>
      </c>
      <c r="N59" s="54">
        <f>IF(N24=2,N44,0)</f>
        <v>0</v>
      </c>
      <c r="P59" s="58">
        <f>IF(P24=2,N44,0)</f>
        <v>0</v>
      </c>
      <c r="Q59" s="54">
        <f>IF(Q24=2,Q44,0)</f>
        <v>0</v>
      </c>
      <c r="S59" s="58">
        <f>IF(S24=2,Q44,0)</f>
        <v>0</v>
      </c>
      <c r="T59" s="54">
        <f>IF(T24=2,T44,0)</f>
        <v>50</v>
      </c>
      <c r="V59" s="58">
        <f>IF(V24=2,T44,0)</f>
        <v>0</v>
      </c>
      <c r="W59" s="54">
        <f>IF(W24=2,W44,0)</f>
        <v>0</v>
      </c>
      <c r="Y59" s="58">
        <f>IF(Y24=2,W44,0)</f>
        <v>0</v>
      </c>
      <c r="Z59" s="54">
        <f>IF(Z24=2,Z44,0)</f>
        <v>0</v>
      </c>
      <c r="AB59" s="58">
        <f>IF(AB24=2,Z44,0)</f>
        <v>0</v>
      </c>
      <c r="AC59" s="54">
        <f>IF(AC24=2,AC44,0)</f>
        <v>0</v>
      </c>
      <c r="AE59" s="58">
        <f>IF(AE24=2,AC44,0)</f>
        <v>50</v>
      </c>
      <c r="AF59" s="54">
        <f>SUM(B59:AE59)</f>
        <v>200</v>
      </c>
      <c r="AW59" s="146"/>
    </row>
    <row r="60" spans="1:49" s="54" customFormat="1" ht="12.75" hidden="1" customHeight="1" x14ac:dyDescent="0.2">
      <c r="A60" s="54" t="s">
        <v>78</v>
      </c>
      <c r="B60" s="54">
        <f>IF(B24=3,B44,0)</f>
        <v>0</v>
      </c>
      <c r="D60" s="58">
        <f>IF(D24=3,B44,0)</f>
        <v>0</v>
      </c>
      <c r="E60" s="54">
        <f>IF(E24=3,E44,0)</f>
        <v>0</v>
      </c>
      <c r="G60" s="58">
        <f>IF(G24=3,E44,0)</f>
        <v>0</v>
      </c>
      <c r="H60" s="54">
        <f>IF(H24=3,H44,0)</f>
        <v>50</v>
      </c>
      <c r="J60" s="58">
        <f>IF(J24=3,H44,0)</f>
        <v>0</v>
      </c>
      <c r="K60" s="54">
        <f>IF(K24=3,K44,0)</f>
        <v>0</v>
      </c>
      <c r="M60" s="58">
        <f>IF(M24=3,K44,0)</f>
        <v>0</v>
      </c>
      <c r="N60" s="54">
        <f>IF(N24=3,N44,0)</f>
        <v>0</v>
      </c>
      <c r="P60" s="58">
        <f>IF(P24=3,N44,0)</f>
        <v>50</v>
      </c>
      <c r="Q60" s="54">
        <f>IF(Q24=3,Q44,0)</f>
        <v>0</v>
      </c>
      <c r="S60" s="58">
        <f>IF(S24=3,Q44,0)</f>
        <v>0</v>
      </c>
      <c r="T60" s="54">
        <f>IF(T24=3,T44,0)</f>
        <v>0</v>
      </c>
      <c r="V60" s="58">
        <f>IF(V24=3,T44,0)</f>
        <v>50</v>
      </c>
      <c r="W60" s="54">
        <f>IF(W24=3,W44,0)</f>
        <v>0</v>
      </c>
      <c r="Y60" s="58">
        <f>IF(Y24=3,W44,0)</f>
        <v>0</v>
      </c>
      <c r="Z60" s="54">
        <f>IF(Z24=3,Z44,0)</f>
        <v>50</v>
      </c>
      <c r="AB60" s="58">
        <f>IF(AB24=3,Z44,0)</f>
        <v>0</v>
      </c>
      <c r="AC60" s="54">
        <f>IF(AC24=3,AC44,0)</f>
        <v>0</v>
      </c>
      <c r="AE60" s="58">
        <f>IF(AE24=3,AC44,0)</f>
        <v>0</v>
      </c>
      <c r="AF60" s="54">
        <f>SUM(B60:AE60)</f>
        <v>200</v>
      </c>
      <c r="AW60" s="146"/>
    </row>
    <row r="61" spans="1:49" s="54" customFormat="1" ht="12.75" hidden="1" customHeight="1" x14ac:dyDescent="0.2">
      <c r="A61" s="54" t="s">
        <v>79</v>
      </c>
      <c r="B61" s="54">
        <f>IF(B24=4,B44,0)</f>
        <v>0</v>
      </c>
      <c r="D61" s="58">
        <f>IF(D24=4,B44,0)</f>
        <v>0</v>
      </c>
      <c r="E61" s="54">
        <f>IF(E24=4,E44,0)</f>
        <v>0</v>
      </c>
      <c r="G61" s="58">
        <f>IF(G24=4,E44,0)</f>
        <v>50</v>
      </c>
      <c r="H61" s="54">
        <f>IF(H24=4,H44,0)</f>
        <v>0</v>
      </c>
      <c r="J61" s="58">
        <f>IF(J24=4,H44,0)</f>
        <v>0</v>
      </c>
      <c r="K61" s="54">
        <f>IF(K24=4,K44,0)</f>
        <v>0</v>
      </c>
      <c r="M61" s="58">
        <f>IF(M24=4,K44,0)</f>
        <v>50</v>
      </c>
      <c r="N61" s="54">
        <f>IF(N24=4,N44,0)</f>
        <v>0</v>
      </c>
      <c r="P61" s="58">
        <f>IF(P24=4,N44,0)</f>
        <v>0</v>
      </c>
      <c r="Q61" s="54">
        <f>IF(Q24=4,Q44,0)</f>
        <v>50</v>
      </c>
      <c r="S61" s="58">
        <f>IF(S24=4,Q44,0)</f>
        <v>0</v>
      </c>
      <c r="T61" s="54">
        <f>IF(T24=4,T44,0)</f>
        <v>0</v>
      </c>
      <c r="V61" s="58">
        <f>IF(V24=4,T44,0)</f>
        <v>0</v>
      </c>
      <c r="W61" s="54">
        <f>IF(W24=4,W44,0)</f>
        <v>0</v>
      </c>
      <c r="Y61" s="58">
        <f>IF(Y24=4,W44,0)</f>
        <v>0</v>
      </c>
      <c r="Z61" s="54">
        <f>IF(Z24=4,Z44,0)</f>
        <v>0</v>
      </c>
      <c r="AB61" s="58">
        <f>IF(AB24=4,Z44,0)</f>
        <v>50</v>
      </c>
      <c r="AC61" s="54">
        <f>IF(AC24=4,AC44,0)</f>
        <v>0</v>
      </c>
      <c r="AE61" s="58">
        <f>IF(AE24=4,AC44,0)</f>
        <v>0</v>
      </c>
      <c r="AF61" s="54">
        <f>SUM(B61:AE61)</f>
        <v>200</v>
      </c>
      <c r="AW61" s="146"/>
    </row>
    <row r="62" spans="1:49" s="54" customFormat="1" ht="12.75" hidden="1" customHeight="1" x14ac:dyDescent="0.2">
      <c r="A62" s="54" t="s">
        <v>80</v>
      </c>
      <c r="B62" s="54">
        <f>IF(B24=5,B44,0)</f>
        <v>0</v>
      </c>
      <c r="D62" s="58">
        <f>IF(D24=5,B44,0)</f>
        <v>50</v>
      </c>
      <c r="E62" s="54">
        <f>IF(E24=5,E44,0)</f>
        <v>0</v>
      </c>
      <c r="G62" s="58">
        <f>IF(G24=5,E44,0)</f>
        <v>0</v>
      </c>
      <c r="H62" s="54">
        <f>IF(H24=5,H44,0)</f>
        <v>0</v>
      </c>
      <c r="J62" s="58">
        <f>IF(J24=5,H44,0)</f>
        <v>50</v>
      </c>
      <c r="K62" s="54">
        <f>IF(K24=5,K44,0)</f>
        <v>0</v>
      </c>
      <c r="M62" s="58">
        <f>IF(M24=5,K44,0)</f>
        <v>0</v>
      </c>
      <c r="N62" s="54">
        <f>IF(N24=5,N44,0)</f>
        <v>0</v>
      </c>
      <c r="P62" s="58">
        <f>IF(P24=5,N44,0)</f>
        <v>0</v>
      </c>
      <c r="Q62" s="54">
        <f>IF(Q24=5,Q44,0)</f>
        <v>0</v>
      </c>
      <c r="S62" s="58">
        <f>IF(S24=5,Q44,0)</f>
        <v>50</v>
      </c>
      <c r="T62" s="54">
        <f>IF(T24=5,T44,0)</f>
        <v>0</v>
      </c>
      <c r="V62" s="58">
        <f>IF(V24=5,T44,0)</f>
        <v>0</v>
      </c>
      <c r="W62" s="54">
        <f>IF(W24=5,W44,0)</f>
        <v>0</v>
      </c>
      <c r="Y62" s="58">
        <f>IF(Y24=5,W44,0)</f>
        <v>50</v>
      </c>
      <c r="Z62" s="54">
        <f>IF(Z24=5,Z44,0)</f>
        <v>0</v>
      </c>
      <c r="AB62" s="58">
        <f>IF(AB24=5,Z44,0)</f>
        <v>0</v>
      </c>
      <c r="AC62" s="54">
        <f>IF(AC24=5,AC44,0)</f>
        <v>0</v>
      </c>
      <c r="AE62" s="58">
        <f>IF(AE24=5,AC44,0)</f>
        <v>0</v>
      </c>
      <c r="AF62" s="54">
        <f>SUM(B62:AE62)</f>
        <v>200</v>
      </c>
      <c r="AW62" s="146"/>
    </row>
    <row r="63" spans="1:49" s="54" customFormat="1" ht="38.25" hidden="1" customHeight="1" x14ac:dyDescent="0.2">
      <c r="A63" s="54" t="s">
        <v>82</v>
      </c>
      <c r="D63" s="58"/>
      <c r="G63" s="58"/>
      <c r="J63" s="58"/>
      <c r="M63" s="58"/>
      <c r="P63" s="58"/>
      <c r="S63" s="58"/>
      <c r="V63" s="58"/>
      <c r="Y63" s="58"/>
      <c r="AB63" s="58"/>
      <c r="AE63" s="58"/>
      <c r="AF63" s="57" t="s">
        <v>83</v>
      </c>
      <c r="AG63" s="54" t="s">
        <v>84</v>
      </c>
      <c r="AW63" s="146"/>
    </row>
    <row r="64" spans="1:49" s="54" customFormat="1" ht="12.75" hidden="1" customHeight="1" x14ac:dyDescent="0.2">
      <c r="A64" s="54" t="s">
        <v>70</v>
      </c>
      <c r="B64" s="54">
        <f>IF(B24=1,SUMIF(B31:B35,"&gt;0"),0)</f>
        <v>0</v>
      </c>
      <c r="D64" s="58">
        <f>IF(D24=1,SUMIF(D31:D35,"&gt;0"),0)</f>
        <v>0</v>
      </c>
      <c r="E64" s="54">
        <f>IF(E24=1,SUMIF(E31:E35,"&gt;0"),0)</f>
        <v>2</v>
      </c>
      <c r="G64" s="58">
        <f>IF(G24=1,SUMIF(G31:G35,"&gt;0"),0)</f>
        <v>0</v>
      </c>
      <c r="H64" s="54">
        <f>IF(H24=1,SUMIF(H31:H35,"&gt;0"),0)</f>
        <v>0</v>
      </c>
      <c r="J64" s="58">
        <f>IF(J24=1,SUMIF(J31:J35,"&gt;0"),0)</f>
        <v>0</v>
      </c>
      <c r="K64" s="54">
        <f>IF(K24=1,SUMIF(K31:K35,"&gt;0"),0)</f>
        <v>0</v>
      </c>
      <c r="M64" s="58">
        <f>IF(M24=1,SUMIF(M31:M35,"&gt;0"),0)</f>
        <v>0</v>
      </c>
      <c r="N64" s="54">
        <f>IF(N24=1,SUMIF(N31:N35,"&gt;0"),0)</f>
        <v>0</v>
      </c>
      <c r="P64" s="58">
        <f>IF(P24=1,SUMIF(P31:P35,"&gt;0"),0)</f>
        <v>0</v>
      </c>
      <c r="Q64" s="54">
        <f>IF(Q24=1,SUMIF(Q31:Q35,"&gt;0"),0)</f>
        <v>0</v>
      </c>
      <c r="S64" s="58">
        <f>IF(S24=1,SUMIF(S31:S35,"&gt;0"),0)</f>
        <v>0</v>
      </c>
      <c r="T64" s="54">
        <f>IF(T24=1,SUMIF(T31:T35,"&gt;0"),0)</f>
        <v>0</v>
      </c>
      <c r="V64" s="58">
        <f>IF(V24=1,SUMIF(V31:V35,"&gt;0"),0)</f>
        <v>0</v>
      </c>
      <c r="W64" s="54">
        <f>IF(W24=1,SUMIF(W31:W35,"&gt;0"),0)</f>
        <v>2</v>
      </c>
      <c r="Y64" s="58">
        <f>IF(Y24=1,SUMIF(Y31:Y35,"&gt;0"),0)</f>
        <v>0</v>
      </c>
      <c r="Z64" s="54">
        <f>IF(Z24=1,SUMIF(Z31:Z35,"&gt;0"),0)</f>
        <v>0</v>
      </c>
      <c r="AB64" s="58">
        <f>IF(AB24=1,SUMIF(AB31:AB35,"&gt;0"),0)</f>
        <v>0</v>
      </c>
      <c r="AC64" s="54">
        <f>IF(AC24=1,SUMIF(AC31:AC35,"&gt;0"),0)</f>
        <v>2</v>
      </c>
      <c r="AE64" s="58">
        <f>IF(AE24=1,SUMIF(AE31:AE35,"&gt;0"),0)</f>
        <v>0</v>
      </c>
      <c r="AF64" s="54">
        <f>SUM(B64:AE64)</f>
        <v>6</v>
      </c>
      <c r="AG64" s="54">
        <f>AF72-AF64</f>
        <v>2</v>
      </c>
      <c r="AW64" s="146"/>
    </row>
    <row r="65" spans="1:54" s="54" customFormat="1" ht="12.75" hidden="1" customHeight="1" x14ac:dyDescent="0.2">
      <c r="A65" s="54" t="s">
        <v>71</v>
      </c>
      <c r="B65" s="54">
        <f>IF(B24=2,SUMIF(B31:B35,"&gt;0"),0)</f>
        <v>2</v>
      </c>
      <c r="D65" s="58">
        <f>IF(D24=2,SUMIF(D31:D35,"&gt;0"),0)</f>
        <v>0</v>
      </c>
      <c r="E65" s="54">
        <f>IF(E24=2,SUMIF(E31:E35,"&gt;0"),0)</f>
        <v>0</v>
      </c>
      <c r="G65" s="58">
        <f>IF(G24=2,SUMIF(G31:G35,"&gt;0"),0)</f>
        <v>0</v>
      </c>
      <c r="H65" s="54">
        <f>IF(H24=2,SUMIF(H31:H35,"&gt;0"),0)</f>
        <v>0</v>
      </c>
      <c r="J65" s="58">
        <f>IF(J24=2,SUMIF(J31:J35,"&gt;0"),0)</f>
        <v>0</v>
      </c>
      <c r="K65" s="54">
        <f>IF(K24=2,SUMIF(K31:K35,"&gt;0"),0)</f>
        <v>1</v>
      </c>
      <c r="M65" s="58">
        <f>IF(M24=2,SUMIF(M31:M35,"&gt;0"),0)</f>
        <v>0</v>
      </c>
      <c r="N65" s="54">
        <f>IF(N24=2,SUMIF(N31:N35,"&gt;0"),0)</f>
        <v>0</v>
      </c>
      <c r="P65" s="58">
        <f>IF(P24=2,SUMIF(P31:P35,"&gt;0"),0)</f>
        <v>0</v>
      </c>
      <c r="Q65" s="54">
        <f>IF(Q24=2,SUMIF(Q31:Q35,"&gt;0"),0)</f>
        <v>0</v>
      </c>
      <c r="S65" s="58">
        <f>IF(S24=2,SUMIF(S31:S35,"&gt;0"),0)</f>
        <v>0</v>
      </c>
      <c r="T65" s="54">
        <f>IF(T24=2,SUMIF(T31:T35,"&gt;0"),0)</f>
        <v>0</v>
      </c>
      <c r="V65" s="58">
        <f>IF(V24=2,SUMIF(V31:V35,"&gt;0"),0)</f>
        <v>0</v>
      </c>
      <c r="W65" s="54">
        <f>IF(W24=2,SUMIF(W31:W35,"&gt;0"),0)</f>
        <v>0</v>
      </c>
      <c r="Y65" s="58">
        <f>IF(Y24=2,SUMIF(Y31:Y35,"&gt;0"),0)</f>
        <v>0</v>
      </c>
      <c r="Z65" s="54">
        <f>IF(Z24=2,SUMIF(Z31:Z35,"&gt;0"),0)</f>
        <v>0</v>
      </c>
      <c r="AB65" s="58">
        <f>IF(AB24=2,SUMIF(AB31:AB35,"&gt;0"),0)</f>
        <v>0</v>
      </c>
      <c r="AC65" s="54">
        <f>IF(AC24=2,SUMIF(AC31:AC35,"&gt;0"),0)</f>
        <v>0</v>
      </c>
      <c r="AE65" s="58">
        <f>IF(AE24=2,SUMIF(AE31:AE35,"&gt;0"),0)</f>
        <v>0</v>
      </c>
      <c r="AF65" s="54">
        <f>SUM(B65:AE65)</f>
        <v>3</v>
      </c>
      <c r="AG65" s="54">
        <f>AF73-AF65</f>
        <v>5</v>
      </c>
      <c r="AW65" s="146"/>
    </row>
    <row r="66" spans="1:54" s="54" customFormat="1" ht="12.75" hidden="1" customHeight="1" x14ac:dyDescent="0.2">
      <c r="A66" s="54" t="s">
        <v>72</v>
      </c>
      <c r="B66" s="54">
        <f>IF(B24=3,SUMIF(B31:B35,"&gt;0"),0)</f>
        <v>0</v>
      </c>
      <c r="D66" s="58">
        <f>IF(D24=3,SUMIF(D31:D35,"&gt;0"),0)</f>
        <v>0</v>
      </c>
      <c r="E66" s="54">
        <f>IF(E24=3,SUMIF(E31:E35,"&gt;0"),0)</f>
        <v>0</v>
      </c>
      <c r="G66" s="58">
        <f>IF(G24=3,SUMIF(G31:G35,"&gt;0"),0)</f>
        <v>0</v>
      </c>
      <c r="H66" s="54">
        <f>IF(H24=3,SUMIF(H31:H35,"&gt;0"),0)</f>
        <v>2</v>
      </c>
      <c r="J66" s="58">
        <f>IF(J24=3,SUMIF(J31:J35,"&gt;0"),0)</f>
        <v>0</v>
      </c>
      <c r="K66" s="54">
        <f>IF(K24=3,SUMIF(K31:K35,"&gt;0"),0)</f>
        <v>0</v>
      </c>
      <c r="M66" s="58">
        <f>IF(M24=3,SUMIF(M31:M35,"&gt;0"),0)</f>
        <v>0</v>
      </c>
      <c r="N66" s="54">
        <f>IF(N24=3,SUMIF(N31:N35,"&gt;0"),0)</f>
        <v>0</v>
      </c>
      <c r="P66" s="58">
        <f>IF(P24=3,SUMIF(P31:P35,"&gt;0"),0)</f>
        <v>2</v>
      </c>
      <c r="Q66" s="54">
        <f>IF(Q24=3,SUMIF(Q31:Q35,"&gt;0"),0)</f>
        <v>0</v>
      </c>
      <c r="S66" s="58">
        <f>IF(S24=3,SUMIF(S31:S35,"&gt;0"),0)</f>
        <v>0</v>
      </c>
      <c r="T66" s="54">
        <f>IF(T24=3,SUMIF(T31:T35,"&gt;0"),0)</f>
        <v>0</v>
      </c>
      <c r="V66" s="58">
        <f>IF(V24=3,SUMIF(V31:V35,"&gt;0"),0)</f>
        <v>2</v>
      </c>
      <c r="W66" s="54">
        <f>IF(W24=3,SUMIF(W31:W35,"&gt;0"),0)</f>
        <v>0</v>
      </c>
      <c r="Y66" s="58">
        <f>IF(Y24=3,SUMIF(Y31:Y35,"&gt;0"),0)</f>
        <v>0</v>
      </c>
      <c r="Z66" s="54">
        <f>IF(Z24=3,SUMIF(Z31:Z35,"&gt;0"),0)</f>
        <v>2</v>
      </c>
      <c r="AB66" s="58">
        <f>IF(AB24=3,SUMIF(AB31:AB35,"&gt;0"),0)</f>
        <v>0</v>
      </c>
      <c r="AC66" s="54">
        <f>IF(AC24=3,SUMIF(AC31:AC35,"&gt;0"),0)</f>
        <v>0</v>
      </c>
      <c r="AE66" s="58">
        <f>IF(AE24=3,SUMIF(AE31:AE35,"&gt;0"),0)</f>
        <v>0</v>
      </c>
      <c r="AF66" s="54">
        <f>SUM(B66:AE66)</f>
        <v>8</v>
      </c>
      <c r="AG66" s="54">
        <f>AF74-AF66</f>
        <v>0</v>
      </c>
      <c r="AW66" s="146"/>
    </row>
    <row r="67" spans="1:54" s="54" customFormat="1" ht="12.75" hidden="1" customHeight="1" x14ac:dyDescent="0.2">
      <c r="A67" s="54" t="s">
        <v>73</v>
      </c>
      <c r="B67" s="54">
        <f>IF(B24=4,SUMIF(B31:B35,"&gt;0"),0)</f>
        <v>0</v>
      </c>
      <c r="D67" s="58">
        <f>IF(D24=4,SUMIF(D31:D35,"&gt;0"),0)</f>
        <v>0</v>
      </c>
      <c r="E67" s="54">
        <f>IF(E24=4,SUMIF(E31:E35,"&gt;0"),0)</f>
        <v>0</v>
      </c>
      <c r="G67" s="58">
        <f>IF(G24=4,SUMIF(G31:G35,"&gt;0"),0)</f>
        <v>0</v>
      </c>
      <c r="H67" s="54">
        <f>IF(H24=4,SUMIF(H31:H35,"&gt;0"),0)</f>
        <v>0</v>
      </c>
      <c r="J67" s="58">
        <f>IF(J24=4,SUMIF(J31:J35,"&gt;0"),0)</f>
        <v>0</v>
      </c>
      <c r="K67" s="54">
        <f>IF(K24=4,SUMIF(K31:K35,"&gt;0"),0)</f>
        <v>0</v>
      </c>
      <c r="M67" s="58">
        <f>IF(M24=4,SUMIF(M31:M35,"&gt;0"),0)</f>
        <v>1</v>
      </c>
      <c r="N67" s="54">
        <f>IF(N24=4,SUMIF(N31:N35,"&gt;0"),0)</f>
        <v>0</v>
      </c>
      <c r="P67" s="58">
        <f>IF(P24=4,SUMIF(P31:P35,"&gt;0"),0)</f>
        <v>0</v>
      </c>
      <c r="Q67" s="54">
        <f>IF(Q24=4,SUMIF(Q31:Q35,"&gt;0"),0)</f>
        <v>1</v>
      </c>
      <c r="S67" s="58">
        <f>IF(S24=4,SUMIF(S31:S35,"&gt;0"),0)</f>
        <v>0</v>
      </c>
      <c r="T67" s="54">
        <f>IF(T24=4,SUMIF(T31:T35,"&gt;0"),0)</f>
        <v>0</v>
      </c>
      <c r="V67" s="58">
        <f>IF(V24=4,SUMIF(V31:V35,"&gt;0"),0)</f>
        <v>0</v>
      </c>
      <c r="W67" s="54">
        <f>IF(W24=4,SUMIF(W31:W35,"&gt;0"),0)</f>
        <v>0</v>
      </c>
      <c r="Y67" s="58">
        <f>IF(Y24=4,SUMIF(Y31:Y35,"&gt;0"),0)</f>
        <v>0</v>
      </c>
      <c r="Z67" s="54">
        <f>IF(Z24=4,SUMIF(Z31:Z35,"&gt;0"),0)</f>
        <v>0</v>
      </c>
      <c r="AB67" s="58">
        <f>IF(AB24=4,SUMIF(AB31:AB35,"&gt;0"),0)</f>
        <v>0</v>
      </c>
      <c r="AC67" s="54">
        <f>IF(AC24=4,SUMIF(AC31:AC35,"&gt;0"),0)</f>
        <v>0</v>
      </c>
      <c r="AE67" s="58">
        <f>IF(AE24=4,SUMIF(AE31:AE35,"&gt;0"),0)</f>
        <v>0</v>
      </c>
      <c r="AF67" s="54">
        <f>SUM(B67:AE67)</f>
        <v>2</v>
      </c>
      <c r="AG67" s="54">
        <f>AF75-AF67</f>
        <v>6</v>
      </c>
      <c r="AW67" s="146"/>
    </row>
    <row r="68" spans="1:54" s="54" customFormat="1" ht="12.75" hidden="1" customHeight="1" x14ac:dyDescent="0.2">
      <c r="A68" s="54" t="s">
        <v>74</v>
      </c>
      <c r="B68" s="54">
        <f>IF(B24=5,SUMIF(B31:B35,"&gt;0"),0)</f>
        <v>0</v>
      </c>
      <c r="D68" s="58">
        <f>IF(D24=5,SUMIF(D31:D35,"&gt;0"),0)</f>
        <v>0</v>
      </c>
      <c r="E68" s="54">
        <f>IF(E24=5,SUMIF(E31:E35,"&gt;0"),0)</f>
        <v>0</v>
      </c>
      <c r="G68" s="58">
        <f>IF(G24=5,SUMIF(G31:G35,"&gt;0"),0)</f>
        <v>0</v>
      </c>
      <c r="H68" s="54">
        <f>IF(H24=5,SUMIF(H31:H35,"&gt;0"),0)</f>
        <v>0</v>
      </c>
      <c r="J68" s="58">
        <f>IF(J24=5,SUMIF(J31:J35,"&gt;0"),0)</f>
        <v>0</v>
      </c>
      <c r="K68" s="54">
        <f>IF(K24=5,SUMIF(K31:K35,"&gt;0"),0)</f>
        <v>0</v>
      </c>
      <c r="M68" s="58">
        <f>IF(M24=5,SUMIF(M31:M35,"&gt;0"),0)</f>
        <v>0</v>
      </c>
      <c r="N68" s="54">
        <f>IF(N24=5,SUMIF(N31:N35,"&gt;0"),0)</f>
        <v>0</v>
      </c>
      <c r="P68" s="58">
        <f>IF(P24=5,SUMIF(P31:P35,"&gt;0"),0)</f>
        <v>0</v>
      </c>
      <c r="Q68" s="54">
        <f>IF(Q24=5,SUMIF(Q31:Q35,"&gt;0"),0)</f>
        <v>0</v>
      </c>
      <c r="S68" s="58">
        <f>IF(S24=5,SUMIF(S31:S35,"&gt;0"),0)</f>
        <v>1</v>
      </c>
      <c r="T68" s="54">
        <f>IF(T24=5,SUMIF(T31:T35,"&gt;0"),0)</f>
        <v>0</v>
      </c>
      <c r="V68" s="58">
        <f>IF(V24=5,SUMIF(V31:V35,"&gt;0"),0)</f>
        <v>0</v>
      </c>
      <c r="W68" s="54">
        <f>IF(W24=5,SUMIF(W31:W35,"&gt;0"),0)</f>
        <v>0</v>
      </c>
      <c r="Y68" s="58">
        <f>IF(Y24=5,SUMIF(Y31:Y35,"&gt;0"),0)</f>
        <v>0</v>
      </c>
      <c r="Z68" s="54">
        <f>IF(Z24=5,SUMIF(Z31:Z35,"&gt;0"),0)</f>
        <v>0</v>
      </c>
      <c r="AB68" s="58">
        <f>IF(AB24=5,SUMIF(AB31:AB35,"&gt;0"),0)</f>
        <v>0</v>
      </c>
      <c r="AC68" s="54">
        <f>IF(AC24=5,SUMIF(AC31:AC35,"&gt;0"),0)</f>
        <v>0</v>
      </c>
      <c r="AE68" s="58">
        <f>IF(AE24=5,SUMIF(AE31:AE35,"&gt;0"),0)</f>
        <v>0</v>
      </c>
      <c r="AF68" s="54">
        <f>SUM(B68:AE68)</f>
        <v>1</v>
      </c>
      <c r="AG68" s="54">
        <f>AF76-AF68</f>
        <v>7</v>
      </c>
      <c r="AW68" s="146"/>
    </row>
    <row r="69" spans="1:54" s="54" customFormat="1" ht="12.75" hidden="1" customHeight="1" x14ac:dyDescent="0.2">
      <c r="D69" s="58"/>
      <c r="G69" s="58"/>
      <c r="J69" s="58"/>
      <c r="M69" s="58"/>
      <c r="P69" s="58"/>
      <c r="S69" s="58"/>
      <c r="V69" s="58"/>
      <c r="Y69" s="58"/>
      <c r="AB69" s="58"/>
      <c r="AE69" s="58"/>
      <c r="AW69" s="146"/>
    </row>
    <row r="70" spans="1:54" s="54" customFormat="1" ht="12.75" hidden="1" customHeight="1" x14ac:dyDescent="0.2">
      <c r="D70" s="58"/>
      <c r="G70" s="58"/>
      <c r="J70" s="58"/>
      <c r="M70" s="58"/>
      <c r="P70" s="58"/>
      <c r="S70" s="58"/>
      <c r="V70" s="58"/>
      <c r="Y70" s="58"/>
      <c r="AB70" s="58"/>
      <c r="AE70" s="58"/>
      <c r="AW70" s="146"/>
    </row>
    <row r="71" spans="1:54" s="54" customFormat="1" ht="51" hidden="1" customHeight="1" x14ac:dyDescent="0.2">
      <c r="A71" s="57" t="s">
        <v>85</v>
      </c>
      <c r="C71" s="54">
        <f>SUMIF(B64:D68,"&gt;0")</f>
        <v>2</v>
      </c>
      <c r="D71" s="58"/>
      <c r="F71" s="54">
        <f>SUMIF(E64:G68,"&gt;0")</f>
        <v>2</v>
      </c>
      <c r="G71" s="58"/>
      <c r="I71" s="54">
        <f>SUMIF(H64:J68,"&gt;0")</f>
        <v>2</v>
      </c>
      <c r="J71" s="58"/>
      <c r="L71" s="54">
        <f>SUMIF(K64:M68,"&gt;0")</f>
        <v>2</v>
      </c>
      <c r="M71" s="58"/>
      <c r="O71" s="54">
        <f>SUMIF(N64:P68,"&gt;0")</f>
        <v>2</v>
      </c>
      <c r="P71" s="58"/>
      <c r="R71" s="54">
        <f>SUMIF(Q64:S68,"&gt;0")</f>
        <v>2</v>
      </c>
      <c r="S71" s="58"/>
      <c r="U71" s="54">
        <f>SUMIF(T64:V68,"&gt;0")</f>
        <v>2</v>
      </c>
      <c r="V71" s="58"/>
      <c r="X71" s="54">
        <f>SUMIF(W64:Y68,"&gt;0")</f>
        <v>2</v>
      </c>
      <c r="Y71" s="58"/>
      <c r="AA71" s="54">
        <f>SUMIF(Z64:AB68,"&gt;0")</f>
        <v>2</v>
      </c>
      <c r="AB71" s="58"/>
      <c r="AD71" s="54">
        <f>SUMIF(AC64:AE68,"&gt;0")</f>
        <v>2</v>
      </c>
      <c r="AE71" s="58"/>
      <c r="AF71" s="57" t="s">
        <v>86</v>
      </c>
      <c r="AW71" s="146"/>
    </row>
    <row r="72" spans="1:54" s="54" customFormat="1" ht="12.75" hidden="1" customHeight="1" x14ac:dyDescent="0.2">
      <c r="A72" s="54" t="s">
        <v>76</v>
      </c>
      <c r="B72" s="54">
        <f>IF(B24=1,C71,0)</f>
        <v>0</v>
      </c>
      <c r="D72" s="58">
        <f>IF(D24=1,C71,0)</f>
        <v>0</v>
      </c>
      <c r="E72" s="54">
        <f>IF(E24=1,F71,0)</f>
        <v>2</v>
      </c>
      <c r="G72" s="58">
        <f>IF(G24=1,F71,0)</f>
        <v>0</v>
      </c>
      <c r="H72" s="54">
        <f>IF(H24=1,I71,0)</f>
        <v>0</v>
      </c>
      <c r="J72" s="58">
        <f>IF(J24=1,I71,0)</f>
        <v>0</v>
      </c>
      <c r="K72" s="54">
        <f>IF(K24=1,L71,0)</f>
        <v>0</v>
      </c>
      <c r="M72" s="58">
        <f>IF(M24=1,L71,0)</f>
        <v>0</v>
      </c>
      <c r="N72" s="54">
        <f>IF(N24=1,O71,0)</f>
        <v>2</v>
      </c>
      <c r="P72" s="58">
        <f>IF(P24=1,O71,0)</f>
        <v>0</v>
      </c>
      <c r="Q72" s="54">
        <f>IF(Q24=1,R71,0)</f>
        <v>0</v>
      </c>
      <c r="S72" s="58">
        <f>IF(S24=1,R71,0)</f>
        <v>0</v>
      </c>
      <c r="T72" s="54">
        <f>IF(T24=1,U71,0)</f>
        <v>0</v>
      </c>
      <c r="V72" s="58">
        <f>IF(V24=1,U71,0)</f>
        <v>0</v>
      </c>
      <c r="W72" s="54">
        <f>IF(W24=1,X71,0)</f>
        <v>2</v>
      </c>
      <c r="Y72" s="58">
        <f>IF(Y24=1,X71,0)</f>
        <v>0</v>
      </c>
      <c r="Z72" s="54">
        <f>IF(Z24=1,AA71,0)</f>
        <v>0</v>
      </c>
      <c r="AB72" s="58">
        <f>IF(AB24=1,AA71,0)</f>
        <v>0</v>
      </c>
      <c r="AC72" s="54">
        <f>IF(AC24=1,AD71,0)</f>
        <v>2</v>
      </c>
      <c r="AE72" s="58">
        <f>IF(AE24=1,AD71,0)</f>
        <v>0</v>
      </c>
      <c r="AF72" s="54">
        <f>SUM(B72:AE72)</f>
        <v>8</v>
      </c>
      <c r="AW72" s="146"/>
    </row>
    <row r="73" spans="1:54" s="54" customFormat="1" ht="12.75" hidden="1" customHeight="1" x14ac:dyDescent="0.2">
      <c r="A73" s="54" t="s">
        <v>77</v>
      </c>
      <c r="B73" s="54">
        <f>IF(B24=2,C71,0)</f>
        <v>2</v>
      </c>
      <c r="D73" s="58">
        <f>IF(D24=2,C71,0)</f>
        <v>0</v>
      </c>
      <c r="E73" s="54">
        <f>IF(E24=2,F71,0)</f>
        <v>0</v>
      </c>
      <c r="G73" s="58">
        <f>IF(G24=2,F71,0)</f>
        <v>0</v>
      </c>
      <c r="H73" s="54">
        <f>IF(H24=2,I71,0)</f>
        <v>0</v>
      </c>
      <c r="J73" s="58">
        <f>IF(J24=2,I71,0)</f>
        <v>0</v>
      </c>
      <c r="K73" s="54">
        <f>IF(K24=2,L71,0)</f>
        <v>2</v>
      </c>
      <c r="M73" s="58">
        <f>IF(M24=2,L71,0)</f>
        <v>0</v>
      </c>
      <c r="N73" s="54">
        <f>IF(N24=2,O71,0)</f>
        <v>0</v>
      </c>
      <c r="P73" s="58">
        <f>IF(P24=2,O71,0)</f>
        <v>0</v>
      </c>
      <c r="Q73" s="54">
        <f>IF(Q24=2,R71,0)</f>
        <v>0</v>
      </c>
      <c r="S73" s="58">
        <f>IF(S24=2,R71,0)</f>
        <v>0</v>
      </c>
      <c r="T73" s="54">
        <f>IF(T24=2,U71,0)</f>
        <v>2</v>
      </c>
      <c r="V73" s="58">
        <f>IF(V24=2,U71,0)</f>
        <v>0</v>
      </c>
      <c r="W73" s="54">
        <f>IF(W24=2,X71,0)</f>
        <v>0</v>
      </c>
      <c r="Y73" s="58">
        <f>IF(Y24=2,X71,0)</f>
        <v>0</v>
      </c>
      <c r="Z73" s="54">
        <f>IF(Z24=2,AA71,0)</f>
        <v>0</v>
      </c>
      <c r="AB73" s="58">
        <f>IF(AB24=2,AA71,0)</f>
        <v>0</v>
      </c>
      <c r="AC73" s="54">
        <f>IF(AC24=2,AD71,0)</f>
        <v>0</v>
      </c>
      <c r="AE73" s="58">
        <f>IF(AE24=2,AD71,0)</f>
        <v>2</v>
      </c>
      <c r="AF73" s="54">
        <f>SUM(B73:AE73)</f>
        <v>8</v>
      </c>
      <c r="AW73" s="146"/>
    </row>
    <row r="74" spans="1:54" s="54" customFormat="1" ht="12.75" hidden="1" customHeight="1" x14ac:dyDescent="0.2">
      <c r="A74" s="54" t="s">
        <v>78</v>
      </c>
      <c r="B74" s="54">
        <f>IF(B24=3,C71,0)</f>
        <v>0</v>
      </c>
      <c r="D74" s="58">
        <f>IF(D24=3,C71,0)</f>
        <v>0</v>
      </c>
      <c r="E74" s="54">
        <f>IF(E24=3,F71,0)</f>
        <v>0</v>
      </c>
      <c r="G74" s="58">
        <f>IF(G24=3,F71,0)</f>
        <v>0</v>
      </c>
      <c r="H74" s="54">
        <f>IF(H24=3,I71,0)</f>
        <v>2</v>
      </c>
      <c r="J74" s="58">
        <f>IF(J24=3,I71,0)</f>
        <v>0</v>
      </c>
      <c r="K74" s="54">
        <f>IF(K24=3,L71,0)</f>
        <v>0</v>
      </c>
      <c r="M74" s="58">
        <f>IF(M24=3,L71,0)</f>
        <v>0</v>
      </c>
      <c r="N74" s="54">
        <f>IF(N24=3,O71,0)</f>
        <v>0</v>
      </c>
      <c r="P74" s="58">
        <f>IF(P24=3,O71,0)</f>
        <v>2</v>
      </c>
      <c r="Q74" s="54">
        <f>IF(Q24=3,R71,0)</f>
        <v>0</v>
      </c>
      <c r="S74" s="58">
        <f>IF(S24=3,R71,0)</f>
        <v>0</v>
      </c>
      <c r="T74" s="54">
        <f>IF(T24=3,U71,0)</f>
        <v>0</v>
      </c>
      <c r="V74" s="58">
        <f>IF(V24=3,U71,0)</f>
        <v>2</v>
      </c>
      <c r="W74" s="54">
        <f>IF(W24=3,X71,0)</f>
        <v>0</v>
      </c>
      <c r="Y74" s="58">
        <f>IF(Y24=3,X71,0)</f>
        <v>0</v>
      </c>
      <c r="Z74" s="54">
        <f>IF(Z24=3,AA71,0)</f>
        <v>2</v>
      </c>
      <c r="AB74" s="58">
        <f>IF(AB24=3,AA71,0)</f>
        <v>0</v>
      </c>
      <c r="AC74" s="54">
        <f>IF(AC24=3,AD71,0)</f>
        <v>0</v>
      </c>
      <c r="AE74" s="58">
        <f>IF(AE24=3,AD71,0)</f>
        <v>0</v>
      </c>
      <c r="AF74" s="54">
        <f>SUM(B74:AE74)</f>
        <v>8</v>
      </c>
      <c r="AW74" s="146"/>
    </row>
    <row r="75" spans="1:54" s="54" customFormat="1" ht="12.75" hidden="1" customHeight="1" x14ac:dyDescent="0.2">
      <c r="A75" s="54" t="s">
        <v>79</v>
      </c>
      <c r="B75" s="54">
        <f>IF(B24=4,C71,0)</f>
        <v>0</v>
      </c>
      <c r="D75" s="58">
        <f>IF(D24=4,C71,0)</f>
        <v>0</v>
      </c>
      <c r="E75" s="54">
        <f>IF(E24=4,F71,0)</f>
        <v>0</v>
      </c>
      <c r="G75" s="58">
        <f>IF(G24=4,F71,0)</f>
        <v>2</v>
      </c>
      <c r="H75" s="54">
        <f>IF(H24=4,I71,0)</f>
        <v>0</v>
      </c>
      <c r="J75" s="58">
        <f>IF(J24=4,I71,0)</f>
        <v>0</v>
      </c>
      <c r="K75" s="54">
        <f>IF(K24=4,L71,0)</f>
        <v>0</v>
      </c>
      <c r="M75" s="58">
        <f>IF(M24=4,L71,0)</f>
        <v>2</v>
      </c>
      <c r="N75" s="54">
        <f>IF(N24=4,O71,0)</f>
        <v>0</v>
      </c>
      <c r="P75" s="58">
        <f>IF(P24=4,O71,0)</f>
        <v>0</v>
      </c>
      <c r="Q75" s="54">
        <f>IF(Q24=4,R71,0)</f>
        <v>2</v>
      </c>
      <c r="S75" s="58">
        <f>IF(S24=4,R71,0)</f>
        <v>0</v>
      </c>
      <c r="T75" s="54">
        <f>IF(T24=4,U71,0)</f>
        <v>0</v>
      </c>
      <c r="V75" s="58">
        <f>IF(V24=4,U71,0)</f>
        <v>0</v>
      </c>
      <c r="W75" s="54">
        <f>IF(W24=4,X71,0)</f>
        <v>0</v>
      </c>
      <c r="Y75" s="58">
        <f>IF(Y24=4,X71,0)</f>
        <v>0</v>
      </c>
      <c r="Z75" s="54">
        <f>IF(Z24=4,AA71,0)</f>
        <v>0</v>
      </c>
      <c r="AB75" s="58">
        <f>IF(AB24=4,AA71,0)</f>
        <v>2</v>
      </c>
      <c r="AC75" s="54">
        <f>IF(AC24=4,AD71,0)</f>
        <v>0</v>
      </c>
      <c r="AE75" s="58">
        <f>IF(AE24=4,AD71,0)</f>
        <v>0</v>
      </c>
      <c r="AF75" s="54">
        <f>SUM(B75:AE75)</f>
        <v>8</v>
      </c>
      <c r="AW75" s="146"/>
    </row>
    <row r="76" spans="1:54" s="54" customFormat="1" ht="12.75" hidden="1" customHeight="1" x14ac:dyDescent="0.2">
      <c r="A76" s="54" t="s">
        <v>80</v>
      </c>
      <c r="B76" s="54">
        <f>IF(B24=5,C71,0)</f>
        <v>0</v>
      </c>
      <c r="D76" s="58">
        <f>IF(D24=5,C71,0)</f>
        <v>2</v>
      </c>
      <c r="E76" s="54">
        <f>IF(E24=5,F71,0)</f>
        <v>0</v>
      </c>
      <c r="G76" s="58">
        <f>IF(G24=5,F71,0)</f>
        <v>0</v>
      </c>
      <c r="H76" s="54">
        <f>IF(H24=5,I71,0)</f>
        <v>0</v>
      </c>
      <c r="J76" s="58">
        <f>IF(J24=5,I71,0)</f>
        <v>2</v>
      </c>
      <c r="K76" s="54">
        <f>IF(K24=5,L71,0)</f>
        <v>0</v>
      </c>
      <c r="M76" s="58">
        <f>IF(M24=5,L71,0)</f>
        <v>0</v>
      </c>
      <c r="N76" s="54">
        <f>IF(N24=5,O71,0)</f>
        <v>0</v>
      </c>
      <c r="P76" s="58">
        <f>IF(P24=5,O71,0)</f>
        <v>0</v>
      </c>
      <c r="Q76" s="54">
        <f>IF(Q24=5,R71,0)</f>
        <v>0</v>
      </c>
      <c r="S76" s="58">
        <f>IF(S24=5,R71,0)</f>
        <v>2</v>
      </c>
      <c r="T76" s="54">
        <f>IF(T24=5,U71,0)</f>
        <v>0</v>
      </c>
      <c r="V76" s="58">
        <f>IF(V24=5,U71,0)</f>
        <v>0</v>
      </c>
      <c r="W76" s="54">
        <f>IF(W24=5,X71,0)</f>
        <v>0</v>
      </c>
      <c r="Y76" s="58">
        <f>IF(Y24=5,X71,0)</f>
        <v>2</v>
      </c>
      <c r="Z76" s="54">
        <f>IF(Z24=5,AA71,0)</f>
        <v>0</v>
      </c>
      <c r="AB76" s="58">
        <f>IF(AB24=5,AA71,0)</f>
        <v>0</v>
      </c>
      <c r="AC76" s="54">
        <f>IF(AC24=5,AD71,0)</f>
        <v>0</v>
      </c>
      <c r="AE76" s="58">
        <f>IF(AE24=5,AD71,0)</f>
        <v>0</v>
      </c>
      <c r="AF76" s="54">
        <f>SUM(B76:AE76)</f>
        <v>8</v>
      </c>
      <c r="AW76" s="146"/>
    </row>
    <row r="77" spans="1:54" hidden="1" x14ac:dyDescent="0.2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60"/>
      <c r="AO77" s="60"/>
      <c r="AP77" s="60"/>
      <c r="AQ77" s="60"/>
      <c r="AR77" s="61"/>
      <c r="AS77" s="61"/>
      <c r="AT77" s="61"/>
      <c r="AU77" s="61"/>
      <c r="AV77" s="61"/>
      <c r="BB77" s="62"/>
    </row>
    <row r="78" spans="1:54" s="61" customFormat="1" hidden="1" x14ac:dyDescent="0.2">
      <c r="A78" s="63"/>
      <c r="B78" s="63"/>
      <c r="C78" s="63" t="s">
        <v>87</v>
      </c>
      <c r="D78" s="63">
        <v>1</v>
      </c>
      <c r="E78" s="63"/>
      <c r="F78" s="63"/>
      <c r="G78" s="63">
        <v>2</v>
      </c>
      <c r="H78" s="63"/>
      <c r="I78" s="63"/>
      <c r="J78" s="63">
        <v>3</v>
      </c>
      <c r="K78" s="63"/>
      <c r="L78" s="63"/>
      <c r="M78" s="63">
        <v>4</v>
      </c>
      <c r="N78" s="63"/>
      <c r="O78" s="63"/>
      <c r="P78" s="63">
        <v>5</v>
      </c>
      <c r="Q78" s="63"/>
      <c r="R78" s="63"/>
      <c r="S78" s="63">
        <v>6</v>
      </c>
      <c r="T78" s="63"/>
      <c r="U78" s="63"/>
      <c r="V78" s="63">
        <v>7</v>
      </c>
      <c r="W78" s="63"/>
      <c r="X78" s="63"/>
      <c r="Y78" s="63">
        <v>8</v>
      </c>
      <c r="Z78" s="63"/>
      <c r="AA78" s="63"/>
      <c r="AB78" s="63">
        <v>9</v>
      </c>
      <c r="AC78" s="63"/>
      <c r="AD78" s="63"/>
      <c r="AE78" s="63">
        <v>10</v>
      </c>
      <c r="AF78" s="4"/>
      <c r="AG78" s="63"/>
      <c r="AI78" s="64"/>
      <c r="AJ78" s="4"/>
      <c r="AK78" s="4"/>
      <c r="AL78" s="4"/>
      <c r="AM78" s="4"/>
      <c r="AN78" s="4"/>
      <c r="AO78" s="4"/>
      <c r="AT78" s="64" t="s">
        <v>88</v>
      </c>
      <c r="AW78" s="65"/>
      <c r="BB78" s="65"/>
    </row>
    <row r="79" spans="1:54" s="61" customFormat="1" hidden="1" x14ac:dyDescent="0.2">
      <c r="A79" s="66">
        <v>1</v>
      </c>
      <c r="B79" s="66" t="str">
        <f>E8</f>
        <v>Sumter VBC 16 Heath</v>
      </c>
      <c r="C79" s="66">
        <f>VLOOKUP(B79,AU$3:BB$33,3,FALSE)</f>
        <v>2402.3375292126752</v>
      </c>
      <c r="D79" s="66">
        <f>IF(B72,B87,IF(D72,D87,C79))</f>
        <v>2402.3375292126752</v>
      </c>
      <c r="E79" s="66"/>
      <c r="F79" s="66"/>
      <c r="G79" s="66">
        <f>IF(E72,E87,IF(G72,G87,D79))</f>
        <v>2413.8838580578663</v>
      </c>
      <c r="H79" s="66"/>
      <c r="I79" s="66"/>
      <c r="J79" s="66">
        <f>IF(H72,H87,IF(J72,J87,G79))</f>
        <v>2413.8838580578663</v>
      </c>
      <c r="K79" s="66"/>
      <c r="L79" s="66"/>
      <c r="M79" s="66">
        <f>IF(K72,K87,IF(M72,M87,J79))</f>
        <v>2413.8838580578663</v>
      </c>
      <c r="N79" s="66"/>
      <c r="O79" s="66"/>
      <c r="P79" s="66">
        <f>IF(N72,N87,IF(P72,P87,M79))</f>
        <v>2397.8419295531112</v>
      </c>
      <c r="Q79" s="66"/>
      <c r="R79" s="66"/>
      <c r="S79" s="66">
        <f>IF(Q72,Q87,IF(S72,S87,P79))</f>
        <v>2397.8419295531112</v>
      </c>
      <c r="T79" s="66"/>
      <c r="U79" s="66"/>
      <c r="V79" s="66">
        <f>IF(T72,T87,IF(V72,V87,S79))</f>
        <v>2397.8419295531112</v>
      </c>
      <c r="W79" s="66"/>
      <c r="X79" s="66"/>
      <c r="Y79" s="66">
        <f>IF(W72,W87,IF(Y72,Y87,V79))</f>
        <v>2409.2219963761781</v>
      </c>
      <c r="Z79" s="66"/>
      <c r="AA79" s="66"/>
      <c r="AB79" s="66">
        <f>IF(Z72,Z87,IF(AB72,AB87,Y79))</f>
        <v>2409.2219963761781</v>
      </c>
      <c r="AC79" s="66"/>
      <c r="AD79" s="66"/>
      <c r="AE79" s="66">
        <f>IF(AC72,AC87,IF(AE72,AE87,AB79))</f>
        <v>2425.9374584524344</v>
      </c>
      <c r="AF79" s="4"/>
      <c r="AG79" s="4"/>
      <c r="AJ79" s="4"/>
      <c r="AK79" s="4"/>
      <c r="AL79" s="4"/>
      <c r="AM79" s="4"/>
      <c r="AN79" s="4"/>
      <c r="AO79" s="4"/>
      <c r="AT79" s="61" t="str">
        <f>B79</f>
        <v>Sumter VBC 16 Heath</v>
      </c>
      <c r="AU79" s="61">
        <f>AE79</f>
        <v>2425.9374584524344</v>
      </c>
      <c r="AW79" s="65"/>
      <c r="BB79" s="65"/>
    </row>
    <row r="80" spans="1:54" s="61" customFormat="1" hidden="1" x14ac:dyDescent="0.2">
      <c r="A80" s="66">
        <v>2</v>
      </c>
      <c r="B80" s="66" t="str">
        <f>E10</f>
        <v>SC Midlands 16 Black</v>
      </c>
      <c r="C80" s="66">
        <f>VLOOKUP(B80,AU$3:BB$33,3,FALSE)</f>
        <v>2218.4199647772912</v>
      </c>
      <c r="D80" s="66">
        <f>IF(B73,B87,IF(D73,D87,C80))</f>
        <v>2245.2845782627442</v>
      </c>
      <c r="E80" s="66"/>
      <c r="F80" s="66"/>
      <c r="G80" s="66">
        <f>IF(E73,E87,IF(G73,G87,D80))</f>
        <v>2245.2845782627442</v>
      </c>
      <c r="H80" s="66"/>
      <c r="I80" s="66"/>
      <c r="J80" s="66">
        <f>IF(H73,H87,IF(J73,J87,G80))</f>
        <v>2245.2845782627442</v>
      </c>
      <c r="K80" s="66"/>
      <c r="L80" s="66"/>
      <c r="M80" s="66">
        <f>IF(K73,K87,IF(M73,M87,J80))</f>
        <v>2234.863057091251</v>
      </c>
      <c r="N80" s="66"/>
      <c r="O80" s="66"/>
      <c r="P80" s="66">
        <f>IF(N73,N87,IF(P73,P87,M80))</f>
        <v>2234.863057091251</v>
      </c>
      <c r="Q80" s="66"/>
      <c r="R80" s="66"/>
      <c r="S80" s="66">
        <f>IF(Q73,Q87,IF(S73,S87,P80))</f>
        <v>2234.863057091251</v>
      </c>
      <c r="T80" s="66"/>
      <c r="U80" s="66"/>
      <c r="V80" s="66">
        <f>IF(T73,T87,IF(V73,V87,S80))</f>
        <v>2228.5816912627602</v>
      </c>
      <c r="W80" s="66"/>
      <c r="X80" s="66"/>
      <c r="Y80" s="66">
        <f>IF(W73,W87,IF(Y73,Y87,V80))</f>
        <v>2228.5816912627602</v>
      </c>
      <c r="Z80" s="66"/>
      <c r="AA80" s="66"/>
      <c r="AB80" s="66">
        <f>IF(Z73,Z87,IF(AB73,AB87,Y80))</f>
        <v>2228.5816912627602</v>
      </c>
      <c r="AC80" s="66"/>
      <c r="AD80" s="66"/>
      <c r="AE80" s="66">
        <f>IF(AC73,AC87,IF(AE73,AE87,AB80))</f>
        <v>2211.8662291865039</v>
      </c>
      <c r="AF80" s="4"/>
      <c r="AG80" s="4"/>
      <c r="AJ80" s="4"/>
      <c r="AL80" s="4"/>
      <c r="AM80" s="4"/>
      <c r="AN80" s="4"/>
      <c r="AO80" s="4"/>
      <c r="AT80" s="61" t="str">
        <f>B80</f>
        <v>SC Midlands 16 Black</v>
      </c>
      <c r="AU80" s="61">
        <f>AE80</f>
        <v>2211.8662291865039</v>
      </c>
      <c r="AW80" s="65"/>
      <c r="BB80" s="65"/>
    </row>
    <row r="81" spans="1:54" s="61" customFormat="1" hidden="1" x14ac:dyDescent="0.2">
      <c r="A81" s="66">
        <v>3</v>
      </c>
      <c r="B81" s="66" t="str">
        <f>E12</f>
        <v>KVC16-1</v>
      </c>
      <c r="C81" s="66">
        <f>VLOOKUP(B81,AU$3:BB$33,3,FALSE)</f>
        <v>2600</v>
      </c>
      <c r="D81" s="66">
        <f>IF(B74,B87,IF(D74,D87,C81))</f>
        <v>2600</v>
      </c>
      <c r="E81" s="66"/>
      <c r="F81" s="66"/>
      <c r="G81" s="66">
        <f>IF(E74,E87,IF(G74,G87,D81))</f>
        <v>2600</v>
      </c>
      <c r="H81" s="66"/>
      <c r="I81" s="66"/>
      <c r="J81" s="66">
        <f>IF(H74,H87,IF(J74,J87,G81))</f>
        <v>2604.125911793145</v>
      </c>
      <c r="K81" s="66"/>
      <c r="L81" s="66"/>
      <c r="M81" s="66">
        <f>IF(K74,K87,IF(M74,M87,J81))</f>
        <v>2604.125911793145</v>
      </c>
      <c r="N81" s="66"/>
      <c r="O81" s="66"/>
      <c r="P81" s="66">
        <f>IF(N74,N87,IF(P74,P87,M81))</f>
        <v>2620.1678402979001</v>
      </c>
      <c r="Q81" s="66"/>
      <c r="R81" s="66"/>
      <c r="S81" s="66">
        <f>IF(Q74,Q87,IF(S74,S87,P81))</f>
        <v>2620.1678402979001</v>
      </c>
      <c r="T81" s="66"/>
      <c r="U81" s="66"/>
      <c r="V81" s="66">
        <f>IF(T74,T87,IF(V74,V87,S81))</f>
        <v>2626.4492061263909</v>
      </c>
      <c r="W81" s="66"/>
      <c r="X81" s="66"/>
      <c r="Y81" s="66">
        <f>IF(W74,W87,IF(Y74,Y87,V81))</f>
        <v>2626.4492061263909</v>
      </c>
      <c r="Z81" s="66"/>
      <c r="AA81" s="66"/>
      <c r="AB81" s="66">
        <f>IF(Z74,Z87,IF(AB74,AB87,Y81))</f>
        <v>2630.0702149015451</v>
      </c>
      <c r="AC81" s="66"/>
      <c r="AD81" s="66"/>
      <c r="AE81" s="66">
        <f>IF(AC74,AC87,IF(AE74,AE87,AB81))</f>
        <v>2630.0702149015451</v>
      </c>
      <c r="AF81" s="4"/>
      <c r="AG81" s="4"/>
      <c r="AJ81" s="4"/>
      <c r="AL81" s="4"/>
      <c r="AM81" s="4"/>
      <c r="AN81" s="4"/>
      <c r="AO81" s="4"/>
      <c r="AT81" s="61" t="str">
        <f>B81</f>
        <v>KVC16-1</v>
      </c>
      <c r="AU81" s="61">
        <f>AE81</f>
        <v>2630.0702149015451</v>
      </c>
      <c r="AW81" s="65"/>
      <c r="BB81" s="65"/>
    </row>
    <row r="82" spans="1:54" s="61" customFormat="1" hidden="1" x14ac:dyDescent="0.2">
      <c r="A82" s="66">
        <v>4</v>
      </c>
      <c r="B82" s="66" t="str">
        <f>E14</f>
        <v>Vision 16 Regional</v>
      </c>
      <c r="C82" s="66">
        <f>VLOOKUP(B82,AU$3:BB$33,3,FALSE)</f>
        <v>2139.4047424288392</v>
      </c>
      <c r="D82" s="66">
        <f>IF(B75,B87,IF(D75,D87,C82))</f>
        <v>2139.4047424288392</v>
      </c>
      <c r="E82" s="66"/>
      <c r="F82" s="66"/>
      <c r="G82" s="66">
        <f>IF(E75,E87,IF(G75,G87,D82))</f>
        <v>2127.8584135836481</v>
      </c>
      <c r="H82" s="66"/>
      <c r="I82" s="66"/>
      <c r="J82" s="66">
        <f>IF(H75,H87,IF(J75,J87,G82))</f>
        <v>2127.8584135836481</v>
      </c>
      <c r="K82" s="66"/>
      <c r="L82" s="66"/>
      <c r="M82" s="66">
        <f>IF(K75,K87,IF(M75,M87,J82))</f>
        <v>2138.2799347551413</v>
      </c>
      <c r="N82" s="66"/>
      <c r="O82" s="66"/>
      <c r="P82" s="66">
        <f>IF(N75,N87,IF(P75,P87,M82))</f>
        <v>2138.2799347551413</v>
      </c>
      <c r="Q82" s="66"/>
      <c r="R82" s="66"/>
      <c r="S82" s="66">
        <f>IF(Q75,Q87,IF(S75,S87,P82))</f>
        <v>2137.6266959127447</v>
      </c>
      <c r="T82" s="66"/>
      <c r="U82" s="66"/>
      <c r="V82" s="66">
        <f>IF(T75,T87,IF(V75,V87,S82))</f>
        <v>2137.6266959127447</v>
      </c>
      <c r="W82" s="66"/>
      <c r="X82" s="66"/>
      <c r="Y82" s="66">
        <f>IF(W75,W87,IF(Y75,Y87,V82))</f>
        <v>2137.6266959127447</v>
      </c>
      <c r="Z82" s="66"/>
      <c r="AA82" s="66"/>
      <c r="AB82" s="66">
        <f>IF(Z75,Z87,IF(AB75,AB87,Y82))</f>
        <v>2134.0056871375905</v>
      </c>
      <c r="AC82" s="66"/>
      <c r="AD82" s="66"/>
      <c r="AE82" s="66">
        <f>IF(AC75,AC87,IF(AE75,AE87,AB82))</f>
        <v>2134.0056871375905</v>
      </c>
      <c r="AF82" s="4"/>
      <c r="AG82" s="4"/>
      <c r="AJ82" s="4"/>
      <c r="AL82" s="4"/>
      <c r="AM82" s="4"/>
      <c r="AN82" s="4"/>
      <c r="AO82" s="4"/>
      <c r="AT82" s="61" t="str">
        <f>B82</f>
        <v>Vision 16 Regional</v>
      </c>
      <c r="AU82" s="61">
        <f>AE82</f>
        <v>2134.0056871375905</v>
      </c>
      <c r="AW82" s="65"/>
      <c r="BB82" s="65"/>
    </row>
    <row r="83" spans="1:54" s="61" customFormat="1" hidden="1" x14ac:dyDescent="0.2">
      <c r="A83" s="66">
        <v>5</v>
      </c>
      <c r="B83" s="66" t="str">
        <f>E16</f>
        <v>CSRA Heat 16 Red</v>
      </c>
      <c r="C83" s="66">
        <f>VLOOKUP(B83,AU$3:BB$33,3,FALSE)</f>
        <v>2162.1770239839025</v>
      </c>
      <c r="D83" s="66">
        <f>IF(B76,B87,IF(D76,D87,C83))</f>
        <v>2135.3124104984495</v>
      </c>
      <c r="E83" s="66"/>
      <c r="F83" s="66"/>
      <c r="G83" s="66">
        <f>IF(E76,E87,IF(G76,G87,D83))</f>
        <v>2135.3124104984495</v>
      </c>
      <c r="H83" s="66"/>
      <c r="I83" s="66"/>
      <c r="J83" s="66">
        <f>IF(H76,H87,IF(J76,J87,G83))</f>
        <v>2131.1864987053045</v>
      </c>
      <c r="K83" s="66"/>
      <c r="L83" s="66"/>
      <c r="M83" s="66">
        <f>IF(K76,K87,IF(M76,M87,J83))</f>
        <v>2131.1864987053045</v>
      </c>
      <c r="N83" s="66"/>
      <c r="O83" s="66"/>
      <c r="P83" s="66">
        <f>IF(N76,N87,IF(P76,P87,M83))</f>
        <v>2131.1864987053045</v>
      </c>
      <c r="Q83" s="66"/>
      <c r="R83" s="66"/>
      <c r="S83" s="66">
        <f>IF(Q76,Q87,IF(S76,S87,P83))</f>
        <v>2131.8397375477011</v>
      </c>
      <c r="T83" s="66"/>
      <c r="U83" s="66"/>
      <c r="V83" s="66">
        <f>IF(T76,T87,IF(V76,V87,S83))</f>
        <v>2131.8397375477011</v>
      </c>
      <c r="W83" s="66"/>
      <c r="X83" s="66"/>
      <c r="Y83" s="66">
        <f>IF(W76,W87,IF(Y76,Y87,V83))</f>
        <v>2120.4596707246342</v>
      </c>
      <c r="Z83" s="66"/>
      <c r="AA83" s="66"/>
      <c r="AB83" s="66">
        <f>IF(Z76,Z87,IF(AB76,AB87,Y83))</f>
        <v>2120.4596707246342</v>
      </c>
      <c r="AC83" s="66"/>
      <c r="AD83" s="66"/>
      <c r="AE83" s="66">
        <f>IF(AC76,AC87,IF(AE76,AE87,AB83))</f>
        <v>2120.4596707246342</v>
      </c>
      <c r="AF83" s="4"/>
      <c r="AG83" s="4"/>
      <c r="AJ83" s="4"/>
      <c r="AL83" s="4"/>
      <c r="AM83" s="4"/>
      <c r="AN83" s="4"/>
      <c r="AO83" s="4"/>
      <c r="AT83" s="61" t="str">
        <f>B83</f>
        <v>CSRA Heat 16 Red</v>
      </c>
      <c r="AU83" s="61">
        <f>AE83</f>
        <v>2120.4596707246342</v>
      </c>
      <c r="AW83" s="65"/>
      <c r="BB83" s="65"/>
    </row>
    <row r="84" spans="1:54" s="61" customFormat="1" hidden="1" x14ac:dyDescent="0.2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4"/>
      <c r="AG84" s="4"/>
      <c r="AJ84" s="4"/>
      <c r="AL84" s="4"/>
      <c r="AM84" s="4"/>
      <c r="AN84" s="4"/>
      <c r="AO84" s="4"/>
      <c r="AW84" s="65"/>
      <c r="BB84" s="65"/>
    </row>
    <row r="85" spans="1:54" s="61" customFormat="1" hidden="1" x14ac:dyDescent="0.2">
      <c r="A85" s="66" t="s">
        <v>89</v>
      </c>
      <c r="B85" s="66">
        <f>VLOOKUP(B24,$A79:$AE83,3,FALSE)</f>
        <v>2218.4199647772912</v>
      </c>
      <c r="C85" s="66">
        <v>1</v>
      </c>
      <c r="D85" s="66">
        <f>VLOOKUP(D24,$A79:$AE83,3,FALSE)</f>
        <v>2162.1770239839025</v>
      </c>
      <c r="E85" s="66">
        <f>VLOOKUP(E24,$A79:$AE83,4,FALSE)</f>
        <v>2402.3375292126752</v>
      </c>
      <c r="F85" s="66">
        <v>2</v>
      </c>
      <c r="G85" s="66">
        <f>VLOOKUP(G24,$A79:$AE83,4,FALSE)</f>
        <v>2139.4047424288392</v>
      </c>
      <c r="H85" s="66">
        <f>VLOOKUP(H24,$A79:$AE83,7,FALSE)</f>
        <v>2600</v>
      </c>
      <c r="I85" s="66">
        <v>3</v>
      </c>
      <c r="J85" s="66">
        <f>VLOOKUP(J24,$A79:$AE83,7,FALSE)</f>
        <v>2135.3124104984495</v>
      </c>
      <c r="K85" s="66">
        <f>VLOOKUP(K24,$A79:$AE83,10,FALSE)</f>
        <v>2245.2845782627442</v>
      </c>
      <c r="L85" s="66">
        <v>4</v>
      </c>
      <c r="M85" s="66">
        <f>VLOOKUP(M24,$A79:$AE83,10,FALSE)</f>
        <v>2127.8584135836481</v>
      </c>
      <c r="N85" s="66">
        <f>VLOOKUP(N24,$A79:$AE83,13,FALSE)</f>
        <v>2413.8838580578663</v>
      </c>
      <c r="O85" s="66">
        <v>5</v>
      </c>
      <c r="P85" s="66">
        <f>VLOOKUP(P24,$A79:$AE83,13,FALSE)</f>
        <v>2604.125911793145</v>
      </c>
      <c r="Q85" s="66">
        <f>VLOOKUP(Q24,$A79:$AE83,16,FALSE)</f>
        <v>2138.2799347551413</v>
      </c>
      <c r="R85" s="66">
        <v>6</v>
      </c>
      <c r="S85" s="66">
        <f>VLOOKUP(S24,$A79:$AE83,16,FALSE)</f>
        <v>2131.1864987053045</v>
      </c>
      <c r="T85" s="66">
        <f>VLOOKUP(T24,$A79:$AE83,19,FALSE)</f>
        <v>2234.863057091251</v>
      </c>
      <c r="U85" s="66">
        <v>7</v>
      </c>
      <c r="V85" s="66">
        <f>VLOOKUP(V24,$A79:$AE83,19,FALSE)</f>
        <v>2620.1678402979001</v>
      </c>
      <c r="W85" s="66">
        <f>VLOOKUP(W24,$A79:$AE83,22,FALSE)</f>
        <v>2397.8419295531112</v>
      </c>
      <c r="X85" s="66">
        <v>8</v>
      </c>
      <c r="Y85" s="66">
        <f>VLOOKUP(Y24,$A79:$AE83,22,FALSE)</f>
        <v>2131.8397375477011</v>
      </c>
      <c r="Z85" s="66">
        <f>VLOOKUP(Z24,$A79:$AE83,25,FALSE)</f>
        <v>2626.4492061263909</v>
      </c>
      <c r="AA85" s="66">
        <v>9</v>
      </c>
      <c r="AB85" s="66">
        <f>VLOOKUP(AB24,$A79:$AE83,25,FALSE)</f>
        <v>2137.6266959127447</v>
      </c>
      <c r="AC85" s="66">
        <f>VLOOKUP(AC24,$A79:$AE83,28,FALSE)</f>
        <v>2409.2219963761781</v>
      </c>
      <c r="AD85" s="66">
        <v>10</v>
      </c>
      <c r="AE85" s="66">
        <f>VLOOKUP(AE24,$A79:$AE83,28,FALSE)</f>
        <v>2228.5816912627602</v>
      </c>
      <c r="AF85" s="4"/>
      <c r="AG85" s="59"/>
      <c r="AH85" s="59"/>
      <c r="AI85" s="59"/>
      <c r="AJ85" s="59"/>
      <c r="AK85" s="59"/>
      <c r="AL85" s="59"/>
      <c r="AM85" s="59"/>
      <c r="AN85" s="60"/>
      <c r="AO85" s="60"/>
      <c r="AP85" s="60"/>
      <c r="AQ85" s="60"/>
      <c r="AW85" s="65"/>
      <c r="BB85" s="65"/>
    </row>
    <row r="86" spans="1:54" s="71" customFormat="1" hidden="1" x14ac:dyDescent="0.2">
      <c r="A86" s="67" t="s">
        <v>90</v>
      </c>
      <c r="B86" s="67">
        <f>1/(1+(10^-((B85-D85)/400)))*(B36+D36)</f>
        <v>1.1604808285795984</v>
      </c>
      <c r="C86" s="67"/>
      <c r="D86" s="67">
        <f>1/(1+(10^-((D85-B85)/400)))*(B36+D36)</f>
        <v>0.83951917142040144</v>
      </c>
      <c r="E86" s="67">
        <f>1/(1+(10^-((E85-G85)/400)))*(E36+G36)</f>
        <v>1.639177223587776</v>
      </c>
      <c r="F86" s="67"/>
      <c r="G86" s="67">
        <f>1/(1+(10^-((G85-E85)/400)))*(E36+G36)</f>
        <v>0.36082277641222399</v>
      </c>
      <c r="H86" s="67">
        <f>1/(1+(10^-((H85-J85)/400)))*(H36+J36)</f>
        <v>1.8710652564642241</v>
      </c>
      <c r="I86" s="67"/>
      <c r="J86" s="67">
        <f>1/(1+(10^-((J85-H85)/400)))*(H36+J36)</f>
        <v>0.12893474353577603</v>
      </c>
      <c r="K86" s="67">
        <f>1/(1+(10^-((K85-M85)/400)))*(K36+M36)</f>
        <v>1.3256725366091642</v>
      </c>
      <c r="L86" s="67"/>
      <c r="M86" s="67">
        <f>1/(1+(10^-((M85-K85)/400)))*(K36+M36)</f>
        <v>0.67432746339083594</v>
      </c>
      <c r="N86" s="67">
        <f>1/(1+(10^-((N85-P85)/400)))*(N36+P36)</f>
        <v>0.50131026577359628</v>
      </c>
      <c r="O86" s="67"/>
      <c r="P86" s="67">
        <f>1/(1+(10^-((P85-N85)/400)))*(N36+P36)</f>
        <v>1.4986897342264038</v>
      </c>
      <c r="Q86" s="67">
        <f>1/(1+(10^-((Q85-S85)/400)))*(Q36+S36)</f>
        <v>1.0204137138248921</v>
      </c>
      <c r="R86" s="67"/>
      <c r="S86" s="67">
        <f>1/(1+(10^-((S85-Q85)/400)))*(Q36+S36)</f>
        <v>0.9795862861751079</v>
      </c>
      <c r="T86" s="67">
        <f>1/(1+(10^-((T85-V85)/400)))*(T36+V36)</f>
        <v>0.19629268214034223</v>
      </c>
      <c r="U86" s="67"/>
      <c r="V86" s="67">
        <f>1/(1+(10^-((V85-T85)/400)))*(T36+V36)</f>
        <v>1.8037073178596577</v>
      </c>
      <c r="W86" s="67">
        <f>1/(1+(10^-((W85-Y85)/400)))*(W36+Y36)</f>
        <v>1.6443729117791577</v>
      </c>
      <c r="X86" s="67"/>
      <c r="Y86" s="67">
        <f>1/(1+(10^-((Y85-W85)/400)))*(W36+Y36)</f>
        <v>0.35562708822084216</v>
      </c>
      <c r="Z86" s="67">
        <f>1/(1+(10^-((Z85-AB85)/400)))*(Z36+AB36)</f>
        <v>1.8868434757764281</v>
      </c>
      <c r="AA86" s="67"/>
      <c r="AB86" s="67">
        <f>1/(1+(10^-((AB85-Z85)/400)))*(Z36+AB36)</f>
        <v>0.11315652422357182</v>
      </c>
      <c r="AC86" s="67">
        <f>1/(1+(10^-((AC85-AE85)/400)))*(AC36+AE36)</f>
        <v>1.4776418101169908</v>
      </c>
      <c r="AD86" s="67"/>
      <c r="AE86" s="67">
        <f>1/(1+(10^-((AE85-AC85)/400)))*(AC36+AE36)</f>
        <v>0.52235818988300919</v>
      </c>
      <c r="AF86" s="68"/>
      <c r="AG86" s="69"/>
      <c r="AH86" s="69"/>
      <c r="AI86" s="69"/>
      <c r="AJ86" s="69"/>
      <c r="AK86" s="69"/>
      <c r="AL86" s="69"/>
      <c r="AM86" s="69"/>
      <c r="AN86" s="70"/>
      <c r="AO86" s="70"/>
      <c r="AP86" s="70"/>
      <c r="AQ86" s="70"/>
      <c r="AW86" s="72"/>
      <c r="BB86" s="72"/>
    </row>
    <row r="87" spans="1:54" s="77" customFormat="1" hidden="1" x14ac:dyDescent="0.2">
      <c r="A87" s="73" t="s">
        <v>91</v>
      </c>
      <c r="B87" s="73">
        <f>B85+(B36-B86)*$BA$1</f>
        <v>2245.2845782627442</v>
      </c>
      <c r="C87" s="73"/>
      <c r="D87" s="73">
        <f>D85+(D36-D86)*$BA$1</f>
        <v>2135.3124104984495</v>
      </c>
      <c r="E87" s="73">
        <f>E85+(E36-E86)*$BA$1</f>
        <v>2413.8838580578663</v>
      </c>
      <c r="F87" s="73"/>
      <c r="G87" s="73">
        <f>G85+(G36-G86)*$BA$1</f>
        <v>2127.8584135836481</v>
      </c>
      <c r="H87" s="73">
        <f>H85+(H36-H86)*$BA$1</f>
        <v>2604.125911793145</v>
      </c>
      <c r="I87" s="73"/>
      <c r="J87" s="73">
        <f>J85+(J36-J86)*$BA$1</f>
        <v>2131.1864987053045</v>
      </c>
      <c r="K87" s="73">
        <f>K85+(K36-K86)*$BA$1</f>
        <v>2234.863057091251</v>
      </c>
      <c r="L87" s="73"/>
      <c r="M87" s="73">
        <f>M85+(M36-M86)*$BA$1</f>
        <v>2138.2799347551413</v>
      </c>
      <c r="N87" s="73">
        <f>N85+(N36-N86)*$BA$1</f>
        <v>2397.8419295531112</v>
      </c>
      <c r="O87" s="73"/>
      <c r="P87" s="73">
        <f>P85+(P36-P86)*$BA$1</f>
        <v>2620.1678402979001</v>
      </c>
      <c r="Q87" s="73">
        <f>Q85+(Q36-Q86)*$BA$1</f>
        <v>2137.6266959127447</v>
      </c>
      <c r="R87" s="73"/>
      <c r="S87" s="73">
        <f>S85+(S36-S86)*$BA$1</f>
        <v>2131.8397375477011</v>
      </c>
      <c r="T87" s="73">
        <f>T85+(T36-T86)*$BA$1</f>
        <v>2228.5816912627602</v>
      </c>
      <c r="U87" s="73"/>
      <c r="V87" s="73">
        <f>V85+(V36-V86)*$BA$1</f>
        <v>2626.4492061263909</v>
      </c>
      <c r="W87" s="73">
        <f>W85+(W36-W86)*$BA$1</f>
        <v>2409.2219963761781</v>
      </c>
      <c r="X87" s="73"/>
      <c r="Y87" s="73">
        <f>Y85+(Y36-Y86)*$BA$1</f>
        <v>2120.4596707246342</v>
      </c>
      <c r="Z87" s="73">
        <f>Z85+(Z36-Z86)*$BA$1</f>
        <v>2630.0702149015451</v>
      </c>
      <c r="AA87" s="73"/>
      <c r="AB87" s="73">
        <f>AB85+(AB36-AB86)*$BA$1</f>
        <v>2134.0056871375905</v>
      </c>
      <c r="AC87" s="73">
        <f>AC85+(AC36-AC86)*$BA$1</f>
        <v>2425.9374584524344</v>
      </c>
      <c r="AD87" s="73"/>
      <c r="AE87" s="73">
        <f>AE85+(AE36-AE86)*$BA$1</f>
        <v>2211.8662291865039</v>
      </c>
      <c r="AF87" s="74"/>
      <c r="AG87" s="75"/>
      <c r="AH87" s="75"/>
      <c r="AI87" s="75"/>
      <c r="AJ87" s="75"/>
      <c r="AK87" s="75"/>
      <c r="AL87" s="75"/>
      <c r="AM87" s="75"/>
      <c r="AN87" s="76"/>
      <c r="AO87" s="76"/>
      <c r="AP87" s="76"/>
      <c r="AQ87" s="76"/>
      <c r="AW87" s="78"/>
      <c r="BB87" s="78"/>
    </row>
    <row r="88" spans="1:54" s="77" customFormat="1" hidden="1" x14ac:dyDescent="0.2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4"/>
      <c r="AG88" s="75"/>
      <c r="AH88" s="75"/>
      <c r="AI88" s="75"/>
      <c r="AJ88" s="75"/>
      <c r="AK88" s="75"/>
      <c r="AL88" s="75"/>
      <c r="AM88" s="75"/>
      <c r="AN88" s="76"/>
      <c r="AO88" s="76"/>
      <c r="AP88" s="76"/>
      <c r="AQ88" s="76"/>
      <c r="AW88" s="78"/>
      <c r="BB88" s="78"/>
    </row>
    <row r="89" spans="1:54" s="61" customFormat="1" x14ac:dyDescent="0.2">
      <c r="A89" s="790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790"/>
      <c r="C89" s="790"/>
      <c r="D89" s="790"/>
      <c r="E89" s="790"/>
      <c r="F89" s="790"/>
      <c r="G89" s="790"/>
      <c r="H89" s="790"/>
      <c r="I89" s="790"/>
      <c r="J89" s="790"/>
      <c r="K89" s="790"/>
      <c r="L89" s="790"/>
      <c r="M89" s="790"/>
      <c r="N89" s="790"/>
      <c r="O89" s="790"/>
      <c r="P89" s="790"/>
      <c r="Q89" s="790"/>
      <c r="R89" s="790"/>
      <c r="S89" s="790"/>
      <c r="T89" s="790"/>
      <c r="U89" s="790"/>
      <c r="V89" s="790"/>
      <c r="W89" s="790"/>
      <c r="X89" s="790"/>
      <c r="Y89" s="790"/>
      <c r="Z89" s="790"/>
      <c r="AA89" s="790"/>
      <c r="AB89" s="790"/>
      <c r="AC89" s="790"/>
      <c r="AD89" s="790"/>
      <c r="AE89" s="790"/>
      <c r="AF89" s="790"/>
      <c r="AG89" s="790"/>
      <c r="AH89" s="790"/>
      <c r="AI89" s="790"/>
      <c r="AJ89" s="790"/>
      <c r="AK89" s="790"/>
      <c r="AL89" s="790"/>
      <c r="AM89" s="790"/>
      <c r="AN89" s="768"/>
      <c r="AO89" s="768"/>
      <c r="AP89" s="768"/>
      <c r="AQ89" s="768"/>
      <c r="AW89" s="65"/>
    </row>
    <row r="90" spans="1:54" s="61" customFormat="1" ht="13.5" thickBot="1" x14ac:dyDescent="0.25">
      <c r="A90" s="791"/>
      <c r="B90" s="791"/>
      <c r="C90" s="791"/>
      <c r="D90" s="791"/>
      <c r="E90" s="791"/>
      <c r="F90" s="791"/>
      <c r="G90" s="791"/>
      <c r="H90" s="791"/>
      <c r="I90" s="791"/>
      <c r="J90" s="791"/>
      <c r="K90" s="791"/>
      <c r="L90" s="791"/>
      <c r="M90" s="791"/>
      <c r="N90" s="791"/>
      <c r="O90" s="791"/>
      <c r="P90" s="791"/>
      <c r="Q90" s="791"/>
      <c r="R90" s="791"/>
      <c r="S90" s="791"/>
      <c r="T90" s="791"/>
      <c r="U90" s="791"/>
      <c r="V90" s="791"/>
      <c r="W90" s="791"/>
      <c r="X90" s="791"/>
      <c r="Y90" s="791"/>
      <c r="Z90" s="791"/>
      <c r="AA90" s="791"/>
      <c r="AB90" s="791"/>
      <c r="AC90" s="791"/>
      <c r="AD90" s="791"/>
      <c r="AE90" s="791"/>
      <c r="AF90" s="791"/>
      <c r="AG90" s="791"/>
      <c r="AH90" s="791"/>
      <c r="AI90" s="791"/>
      <c r="AJ90" s="791"/>
      <c r="AK90" s="791"/>
      <c r="AL90" s="791"/>
      <c r="AM90" s="791"/>
      <c r="AN90" s="791"/>
      <c r="AO90" s="791"/>
      <c r="AP90" s="791"/>
      <c r="AQ90" s="791"/>
      <c r="AW90" s="65"/>
    </row>
    <row r="91" spans="1:54" ht="24" customHeight="1" thickBot="1" x14ac:dyDescent="0.25">
      <c r="A91" s="22" t="s">
        <v>22</v>
      </c>
      <c r="B91" s="23" t="s">
        <v>92</v>
      </c>
      <c r="C91" s="862" t="s">
        <v>24</v>
      </c>
      <c r="D91" s="863"/>
      <c r="E91" s="863"/>
      <c r="F91" s="863"/>
      <c r="G91" s="863"/>
      <c r="H91" s="864"/>
      <c r="I91" s="865">
        <v>2</v>
      </c>
      <c r="J91" s="866"/>
      <c r="K91" s="867" t="str">
        <f>"Pool "&amp;B91&amp;" - Round 1 - Court "&amp;I91</f>
        <v>Pool B - Round 1 - Court 2</v>
      </c>
      <c r="L91" s="868"/>
      <c r="M91" s="868"/>
      <c r="N91" s="868"/>
      <c r="O91" s="868"/>
      <c r="P91" s="868"/>
      <c r="Q91" s="868"/>
      <c r="R91" s="868"/>
      <c r="S91" s="868"/>
      <c r="T91" s="868"/>
      <c r="U91" s="868"/>
      <c r="V91" s="868"/>
      <c r="W91" s="868"/>
      <c r="X91" s="868"/>
      <c r="Y91" s="868"/>
      <c r="Z91" s="868"/>
      <c r="AA91" s="868"/>
      <c r="AB91" s="868"/>
      <c r="AC91" s="868"/>
      <c r="AD91" s="868"/>
      <c r="AE91" s="868"/>
      <c r="AF91" s="868"/>
      <c r="AG91" s="868"/>
      <c r="AH91" s="868"/>
      <c r="AI91" s="869"/>
      <c r="AJ91" s="11"/>
      <c r="AK91" s="11"/>
      <c r="AL91" s="11"/>
      <c r="AM91" s="11"/>
      <c r="AN91" s="11"/>
      <c r="AO91" s="11"/>
      <c r="AP91" s="11"/>
      <c r="AQ91" s="11"/>
    </row>
    <row r="92" spans="1:54" ht="27" customHeight="1" thickBot="1" x14ac:dyDescent="0.25">
      <c r="A92" s="24" t="s">
        <v>25</v>
      </c>
      <c r="B92" s="870" t="s">
        <v>7</v>
      </c>
      <c r="C92" s="871"/>
      <c r="D92" s="871"/>
      <c r="E92" s="871"/>
      <c r="F92" s="871"/>
      <c r="G92" s="871"/>
      <c r="H92" s="871"/>
      <c r="I92" s="871"/>
      <c r="J92" s="871"/>
      <c r="K92" s="871"/>
      <c r="L92" s="870" t="str">
        <f>IF($AK95=0,"Games Won","Matches Won")</f>
        <v>Games Won</v>
      </c>
      <c r="M92" s="871"/>
      <c r="N92" s="871"/>
      <c r="O92" s="871"/>
      <c r="P92" s="871"/>
      <c r="Q92" s="872"/>
      <c r="R92" s="870" t="str">
        <f>IF($AK95=0,"Games Lost","Matches Lost")</f>
        <v>Games Lost</v>
      </c>
      <c r="S92" s="873"/>
      <c r="T92" s="873"/>
      <c r="U92" s="873"/>
      <c r="V92" s="874"/>
      <c r="W92" s="875" t="s">
        <v>26</v>
      </c>
      <c r="X92" s="876"/>
      <c r="Y92" s="877"/>
      <c r="Z92" s="875" t="s">
        <v>27</v>
      </c>
      <c r="AA92" s="876"/>
      <c r="AB92" s="877"/>
      <c r="AC92" s="878" t="s">
        <v>28</v>
      </c>
      <c r="AD92" s="879"/>
      <c r="AE92" s="880"/>
      <c r="AF92" s="25" t="s">
        <v>29</v>
      </c>
      <c r="AG92" s="26" t="s">
        <v>6</v>
      </c>
      <c r="AH92" s="860" t="s">
        <v>30</v>
      </c>
      <c r="AI92" s="861"/>
      <c r="AJ92" s="27"/>
      <c r="AK92" s="28">
        <v>2</v>
      </c>
      <c r="AL92" s="29" t="s">
        <v>31</v>
      </c>
      <c r="AM92" s="29"/>
      <c r="AN92" s="29"/>
      <c r="AO92" s="29"/>
      <c r="AP92" s="29"/>
      <c r="AQ92" s="29"/>
      <c r="AR92" s="30"/>
    </row>
    <row r="93" spans="1:54" ht="18.75" customHeight="1" x14ac:dyDescent="0.2">
      <c r="A93" s="829" t="str">
        <f>IF($AK94&gt;0,"1","")</f>
        <v>1</v>
      </c>
      <c r="B93" s="857" t="s">
        <v>7</v>
      </c>
      <c r="C93" s="858"/>
      <c r="D93" s="859"/>
      <c r="E93" s="833" t="str">
        <f>AU4</f>
        <v>CSRA Heat 16 Black</v>
      </c>
      <c r="F93" s="834"/>
      <c r="G93" s="834"/>
      <c r="H93" s="834"/>
      <c r="I93" s="834"/>
      <c r="J93" s="834"/>
      <c r="K93" s="835"/>
      <c r="L93" s="836">
        <f>IF($AK95=0,AF149,AF131)</f>
        <v>3</v>
      </c>
      <c r="M93" s="837"/>
      <c r="N93" s="837"/>
      <c r="O93" s="837"/>
      <c r="P93" s="837"/>
      <c r="Q93" s="872"/>
      <c r="R93" s="836">
        <f>IF($AK95=0,AG149,AG131)</f>
        <v>5</v>
      </c>
      <c r="S93" s="837"/>
      <c r="T93" s="837"/>
      <c r="U93" s="837"/>
      <c r="V93" s="837"/>
      <c r="W93" s="836">
        <f>AQ109</f>
        <v>-28</v>
      </c>
      <c r="X93" s="837"/>
      <c r="Y93" s="837"/>
      <c r="Z93" s="809">
        <f>IF(AF143&gt;0,(AQ109/AF143),0)</f>
        <v>-0.14000000000000001</v>
      </c>
      <c r="AA93" s="810"/>
      <c r="AB93" s="810"/>
      <c r="AC93" s="813">
        <f>IF(AF157=0,0,(AF149/AF157))</f>
        <v>0.375</v>
      </c>
      <c r="AD93" s="814"/>
      <c r="AE93" s="815"/>
      <c r="AF93" s="819">
        <v>4</v>
      </c>
      <c r="AG93" s="819"/>
      <c r="AH93" s="821">
        <v>10</v>
      </c>
      <c r="AI93" s="822"/>
      <c r="AJ93" s="27"/>
      <c r="AK93" s="28">
        <v>10</v>
      </c>
      <c r="AL93" s="29" t="s">
        <v>32</v>
      </c>
      <c r="AM93" s="29"/>
      <c r="AN93" s="29"/>
      <c r="AO93" s="29"/>
      <c r="AP93" s="29"/>
      <c r="AQ93" s="29"/>
      <c r="AR93" s="30"/>
    </row>
    <row r="94" spans="1:54" ht="18.75" customHeight="1" thickBot="1" x14ac:dyDescent="0.25">
      <c r="A94" s="830"/>
      <c r="B94" s="854" t="s">
        <v>8</v>
      </c>
      <c r="C94" s="855"/>
      <c r="D94" s="856"/>
      <c r="E94" s="850" t="str">
        <f>AV4</f>
        <v>fj6csrah2pm</v>
      </c>
      <c r="F94" s="851"/>
      <c r="G94" s="851"/>
      <c r="H94" s="851"/>
      <c r="I94" s="851"/>
      <c r="J94" s="851"/>
      <c r="K94" s="851"/>
      <c r="L94" s="852"/>
      <c r="M94" s="853"/>
      <c r="N94" s="853"/>
      <c r="O94" s="853"/>
      <c r="P94" s="853"/>
      <c r="Q94" s="872"/>
      <c r="R94" s="852"/>
      <c r="S94" s="853"/>
      <c r="T94" s="853"/>
      <c r="U94" s="853"/>
      <c r="V94" s="853"/>
      <c r="W94" s="852"/>
      <c r="X94" s="853"/>
      <c r="Y94" s="853"/>
      <c r="Z94" s="840"/>
      <c r="AA94" s="841"/>
      <c r="AB94" s="841"/>
      <c r="AC94" s="842"/>
      <c r="AD94" s="843"/>
      <c r="AE94" s="844"/>
      <c r="AF94" s="845"/>
      <c r="AG94" s="845"/>
      <c r="AH94" s="846"/>
      <c r="AI94" s="847"/>
      <c r="AJ94" s="27"/>
      <c r="AK94" s="28">
        <v>5</v>
      </c>
      <c r="AL94" s="29" t="s">
        <v>33</v>
      </c>
      <c r="AM94" s="27"/>
      <c r="AN94" s="27"/>
      <c r="AO94" s="27"/>
      <c r="AP94" s="27"/>
      <c r="AQ94" s="27"/>
      <c r="AR94" s="3"/>
    </row>
    <row r="95" spans="1:54" ht="18.75" customHeight="1" x14ac:dyDescent="0.2">
      <c r="A95" s="829" t="str">
        <f>IF($AK94&gt;1,"2","")</f>
        <v>2</v>
      </c>
      <c r="B95" s="857" t="s">
        <v>7</v>
      </c>
      <c r="C95" s="858"/>
      <c r="D95" s="859"/>
      <c r="E95" s="833" t="str">
        <f>AU7</f>
        <v>Sumter VBC 17</v>
      </c>
      <c r="F95" s="834"/>
      <c r="G95" s="834"/>
      <c r="H95" s="834"/>
      <c r="I95" s="834"/>
      <c r="J95" s="834"/>
      <c r="K95" s="835"/>
      <c r="L95" s="836">
        <f>IF($AK95=0,AF150,AF132)</f>
        <v>4</v>
      </c>
      <c r="M95" s="837"/>
      <c r="N95" s="837"/>
      <c r="O95" s="837"/>
      <c r="P95" s="837"/>
      <c r="Q95" s="872"/>
      <c r="R95" s="836">
        <f>IF($AK95=0,AG150,AG132)</f>
        <v>4</v>
      </c>
      <c r="S95" s="837"/>
      <c r="T95" s="837"/>
      <c r="U95" s="837"/>
      <c r="V95" s="837"/>
      <c r="W95" s="836">
        <f>AQ110</f>
        <v>-6</v>
      </c>
      <c r="X95" s="837"/>
      <c r="Y95" s="837"/>
      <c r="Z95" s="809">
        <f>IF(AF144&gt;0,(AQ110/AF144),0)</f>
        <v>-0.03</v>
      </c>
      <c r="AA95" s="810"/>
      <c r="AB95" s="810"/>
      <c r="AC95" s="813">
        <f>IF(AF158=0,0,(AF150/AF158))</f>
        <v>0.5</v>
      </c>
      <c r="AD95" s="814"/>
      <c r="AE95" s="815"/>
      <c r="AF95" s="819">
        <v>3</v>
      </c>
      <c r="AG95" s="819"/>
      <c r="AH95" s="821">
        <v>7</v>
      </c>
      <c r="AI95" s="822"/>
      <c r="AJ95" s="27"/>
      <c r="AK95" s="28">
        <v>0</v>
      </c>
      <c r="AL95" s="29" t="s">
        <v>34</v>
      </c>
      <c r="AM95" s="29"/>
      <c r="AN95" s="29"/>
      <c r="AO95" s="29"/>
      <c r="AP95" s="29"/>
      <c r="AQ95" s="29"/>
      <c r="AR95" s="30"/>
    </row>
    <row r="96" spans="1:54" ht="18.75" customHeight="1" thickBot="1" x14ac:dyDescent="0.25">
      <c r="A96" s="830"/>
      <c r="B96" s="848" t="s">
        <v>8</v>
      </c>
      <c r="C96" s="849"/>
      <c r="D96" s="849"/>
      <c r="E96" s="850" t="str">
        <f>AV7</f>
        <v>fj7sumtr1pm</v>
      </c>
      <c r="F96" s="851"/>
      <c r="G96" s="851"/>
      <c r="H96" s="851"/>
      <c r="I96" s="851"/>
      <c r="J96" s="851"/>
      <c r="K96" s="851"/>
      <c r="L96" s="852"/>
      <c r="M96" s="853"/>
      <c r="N96" s="853"/>
      <c r="O96" s="853"/>
      <c r="P96" s="853"/>
      <c r="Q96" s="872"/>
      <c r="R96" s="852"/>
      <c r="S96" s="853"/>
      <c r="T96" s="853"/>
      <c r="U96" s="853"/>
      <c r="V96" s="853"/>
      <c r="W96" s="852"/>
      <c r="X96" s="853"/>
      <c r="Y96" s="853"/>
      <c r="Z96" s="840"/>
      <c r="AA96" s="841"/>
      <c r="AB96" s="841"/>
      <c r="AC96" s="842"/>
      <c r="AD96" s="843"/>
      <c r="AE96" s="844"/>
      <c r="AF96" s="845"/>
      <c r="AG96" s="845"/>
      <c r="AH96" s="846"/>
      <c r="AI96" s="847"/>
      <c r="AJ96" s="27"/>
      <c r="AK96" s="28">
        <v>1</v>
      </c>
      <c r="AL96" s="29" t="s">
        <v>35</v>
      </c>
      <c r="AM96" s="27"/>
      <c r="AN96" s="27"/>
      <c r="AO96" s="27"/>
      <c r="AP96" s="27"/>
      <c r="AQ96" s="27"/>
      <c r="AR96" s="3"/>
    </row>
    <row r="97" spans="1:44" ht="18.75" customHeight="1" x14ac:dyDescent="0.2">
      <c r="A97" s="829" t="str">
        <f>IF($AK94&gt;2,"3","")</f>
        <v>3</v>
      </c>
      <c r="B97" s="831" t="s">
        <v>7</v>
      </c>
      <c r="C97" s="832"/>
      <c r="D97" s="832"/>
      <c r="E97" s="833" t="str">
        <f>AU10</f>
        <v>KVC16-2</v>
      </c>
      <c r="F97" s="834"/>
      <c r="G97" s="834"/>
      <c r="H97" s="834"/>
      <c r="I97" s="834"/>
      <c r="J97" s="834"/>
      <c r="K97" s="835"/>
      <c r="L97" s="836">
        <f>IF($AK95=0,AF151,AF133)</f>
        <v>6</v>
      </c>
      <c r="M97" s="837"/>
      <c r="N97" s="837"/>
      <c r="O97" s="837"/>
      <c r="P97" s="837"/>
      <c r="Q97" s="872"/>
      <c r="R97" s="836">
        <f>IF($AK95=0,AG151,AG133)</f>
        <v>2</v>
      </c>
      <c r="S97" s="837"/>
      <c r="T97" s="837"/>
      <c r="U97" s="837"/>
      <c r="V97" s="837"/>
      <c r="W97" s="836">
        <f>AQ111</f>
        <v>45</v>
      </c>
      <c r="X97" s="837"/>
      <c r="Y97" s="837"/>
      <c r="Z97" s="809">
        <f>IF(AF145&gt;0,(AQ111/AF145),0)</f>
        <v>0.22500000000000001</v>
      </c>
      <c r="AA97" s="810"/>
      <c r="AB97" s="810"/>
      <c r="AC97" s="813">
        <f>IF(AF159=0,0,(AF151/AF159))</f>
        <v>0.75</v>
      </c>
      <c r="AD97" s="814"/>
      <c r="AE97" s="815"/>
      <c r="AF97" s="819">
        <v>1</v>
      </c>
      <c r="AG97" s="819"/>
      <c r="AH97" s="821">
        <v>2</v>
      </c>
      <c r="AI97" s="822"/>
      <c r="AJ97" s="36"/>
      <c r="AK97" s="28">
        <v>8</v>
      </c>
      <c r="AL97" s="37" t="s">
        <v>36</v>
      </c>
      <c r="AM97" s="29"/>
      <c r="AN97" s="29"/>
      <c r="AO97" s="29"/>
      <c r="AP97" s="29"/>
      <c r="AQ97" s="29"/>
      <c r="AR97" s="30"/>
    </row>
    <row r="98" spans="1:44" ht="18.75" customHeight="1" thickBot="1" x14ac:dyDescent="0.25">
      <c r="A98" s="830"/>
      <c r="B98" s="848" t="s">
        <v>8</v>
      </c>
      <c r="C98" s="849"/>
      <c r="D98" s="849"/>
      <c r="E98" s="850" t="str">
        <f>AV10</f>
        <v>fj6kvctn2so</v>
      </c>
      <c r="F98" s="851"/>
      <c r="G98" s="851"/>
      <c r="H98" s="851"/>
      <c r="I98" s="851"/>
      <c r="J98" s="851"/>
      <c r="K98" s="851"/>
      <c r="L98" s="852"/>
      <c r="M98" s="853"/>
      <c r="N98" s="853"/>
      <c r="O98" s="853"/>
      <c r="P98" s="853"/>
      <c r="Q98" s="872"/>
      <c r="R98" s="852"/>
      <c r="S98" s="853"/>
      <c r="T98" s="853"/>
      <c r="U98" s="853"/>
      <c r="V98" s="853"/>
      <c r="W98" s="852"/>
      <c r="X98" s="853"/>
      <c r="Y98" s="853"/>
      <c r="Z98" s="840"/>
      <c r="AA98" s="841"/>
      <c r="AB98" s="841"/>
      <c r="AC98" s="842"/>
      <c r="AD98" s="843"/>
      <c r="AE98" s="844"/>
      <c r="AF98" s="845"/>
      <c r="AG98" s="845"/>
      <c r="AH98" s="846"/>
      <c r="AI98" s="847"/>
      <c r="AJ98" s="36"/>
      <c r="AK98" s="38"/>
      <c r="AL98" s="39"/>
      <c r="AM98" s="39"/>
      <c r="AN98" s="39"/>
      <c r="AO98" s="39"/>
      <c r="AP98" s="39"/>
      <c r="AQ98" s="27"/>
      <c r="AR98" s="3"/>
    </row>
    <row r="99" spans="1:44" ht="18.75" customHeight="1" x14ac:dyDescent="0.2">
      <c r="A99" s="829" t="str">
        <f>IF($AK94&gt;3,"4","")</f>
        <v>4</v>
      </c>
      <c r="B99" s="831" t="s">
        <v>7</v>
      </c>
      <c r="C99" s="832"/>
      <c r="D99" s="832"/>
      <c r="E99" s="833" t="str">
        <f>AU13</f>
        <v>NETVC 16</v>
      </c>
      <c r="F99" s="834"/>
      <c r="G99" s="834"/>
      <c r="H99" s="834"/>
      <c r="I99" s="834"/>
      <c r="J99" s="834"/>
      <c r="K99" s="835"/>
      <c r="L99" s="836">
        <f>IF($AK95=0,AF152,AF134)</f>
        <v>5</v>
      </c>
      <c r="M99" s="837"/>
      <c r="N99" s="837"/>
      <c r="O99" s="837"/>
      <c r="P99" s="837"/>
      <c r="Q99" s="872"/>
      <c r="R99" s="836">
        <f>IF($AK95=0,AG152,AG134)</f>
        <v>3</v>
      </c>
      <c r="S99" s="837"/>
      <c r="T99" s="837"/>
      <c r="U99" s="837"/>
      <c r="V99" s="837"/>
      <c r="W99" s="836">
        <f>AQ112</f>
        <v>18</v>
      </c>
      <c r="X99" s="837"/>
      <c r="Y99" s="837"/>
      <c r="Z99" s="809">
        <f>IF(AF146&gt;0,(AQ112/AF146),0)</f>
        <v>0.09</v>
      </c>
      <c r="AA99" s="810"/>
      <c r="AB99" s="810"/>
      <c r="AC99" s="813">
        <f>IF(AF160=0,0,(AF152/AF160))</f>
        <v>0.625</v>
      </c>
      <c r="AD99" s="814"/>
      <c r="AE99" s="815"/>
      <c r="AF99" s="819">
        <v>2</v>
      </c>
      <c r="AG99" s="819"/>
      <c r="AH99" s="821">
        <v>6</v>
      </c>
      <c r="AI99" s="822"/>
      <c r="AJ99" s="11"/>
      <c r="AK99" s="39"/>
      <c r="AL99" s="39"/>
      <c r="AM99" s="39"/>
      <c r="AN99" s="39"/>
      <c r="AO99" s="39"/>
      <c r="AP99" s="39"/>
      <c r="AQ99" s="29"/>
      <c r="AR99" s="30"/>
    </row>
    <row r="100" spans="1:44" ht="18.75" customHeight="1" thickBot="1" x14ac:dyDescent="0.25">
      <c r="A100" s="830"/>
      <c r="B100" s="848" t="s">
        <v>8</v>
      </c>
      <c r="C100" s="849"/>
      <c r="D100" s="849"/>
      <c r="E100" s="850" t="str">
        <f>AV13</f>
        <v>fj6netvc1so</v>
      </c>
      <c r="F100" s="851"/>
      <c r="G100" s="851"/>
      <c r="H100" s="851"/>
      <c r="I100" s="851"/>
      <c r="J100" s="851"/>
      <c r="K100" s="851"/>
      <c r="L100" s="852"/>
      <c r="M100" s="853"/>
      <c r="N100" s="853"/>
      <c r="O100" s="853"/>
      <c r="P100" s="853"/>
      <c r="Q100" s="872"/>
      <c r="R100" s="852"/>
      <c r="S100" s="853"/>
      <c r="T100" s="853"/>
      <c r="U100" s="853"/>
      <c r="V100" s="853"/>
      <c r="W100" s="852"/>
      <c r="X100" s="853"/>
      <c r="Y100" s="853"/>
      <c r="Z100" s="840"/>
      <c r="AA100" s="841"/>
      <c r="AB100" s="841"/>
      <c r="AC100" s="842"/>
      <c r="AD100" s="843"/>
      <c r="AE100" s="844"/>
      <c r="AF100" s="845"/>
      <c r="AG100" s="845"/>
      <c r="AH100" s="846"/>
      <c r="AI100" s="847"/>
      <c r="AJ100" s="11"/>
      <c r="AK100" s="39"/>
      <c r="AL100" s="39"/>
      <c r="AM100" s="39"/>
      <c r="AN100" s="39"/>
      <c r="AO100" s="39"/>
      <c r="AP100" s="39"/>
      <c r="AQ100" s="11"/>
      <c r="AR100" s="3"/>
    </row>
    <row r="101" spans="1:44" ht="18.75" customHeight="1" x14ac:dyDescent="0.2">
      <c r="A101" s="829" t="str">
        <f>IF($AK94&gt;4,"5","")</f>
        <v>5</v>
      </c>
      <c r="B101" s="831" t="s">
        <v>7</v>
      </c>
      <c r="C101" s="832"/>
      <c r="D101" s="832"/>
      <c r="E101" s="833" t="str">
        <f>AU16</f>
        <v>SC Midlands 16 Garnet</v>
      </c>
      <c r="F101" s="834"/>
      <c r="G101" s="834"/>
      <c r="H101" s="834"/>
      <c r="I101" s="834"/>
      <c r="J101" s="834"/>
      <c r="K101" s="835"/>
      <c r="L101" s="836">
        <f>IF($AK95=0,AF153,AF135)</f>
        <v>2</v>
      </c>
      <c r="M101" s="837"/>
      <c r="N101" s="837"/>
      <c r="O101" s="837"/>
      <c r="P101" s="837"/>
      <c r="Q101" s="872"/>
      <c r="R101" s="836">
        <f>IF($AK95=0,AG153,AG135)</f>
        <v>6</v>
      </c>
      <c r="S101" s="837"/>
      <c r="T101" s="837"/>
      <c r="U101" s="837"/>
      <c r="V101" s="837"/>
      <c r="W101" s="836">
        <f>AQ113</f>
        <v>-29</v>
      </c>
      <c r="X101" s="837"/>
      <c r="Y101" s="837"/>
      <c r="Z101" s="809">
        <f>IF(AF147&gt;0,(AQ113/AF147),0)</f>
        <v>-0.14499999999999999</v>
      </c>
      <c r="AA101" s="810"/>
      <c r="AB101" s="810"/>
      <c r="AC101" s="813">
        <f>IF(AF161=0,0,(AF153/AF161))</f>
        <v>0.25</v>
      </c>
      <c r="AD101" s="814"/>
      <c r="AE101" s="815"/>
      <c r="AF101" s="819">
        <v>5</v>
      </c>
      <c r="AG101" s="819"/>
      <c r="AH101" s="821">
        <v>13</v>
      </c>
      <c r="AI101" s="822"/>
      <c r="AJ101" s="11"/>
      <c r="AK101" s="39"/>
      <c r="AL101" s="39"/>
      <c r="AM101" s="39"/>
      <c r="AN101" s="39"/>
      <c r="AO101" s="39"/>
      <c r="AP101" s="39"/>
      <c r="AQ101" s="11"/>
      <c r="AR101" s="3"/>
    </row>
    <row r="102" spans="1:44" ht="18.75" customHeight="1" thickBot="1" x14ac:dyDescent="0.25">
      <c r="A102" s="830"/>
      <c r="B102" s="825" t="s">
        <v>8</v>
      </c>
      <c r="C102" s="826"/>
      <c r="D102" s="826"/>
      <c r="E102" s="827" t="str">
        <f>AV16</f>
        <v>fj6scmid4pm</v>
      </c>
      <c r="F102" s="828"/>
      <c r="G102" s="828"/>
      <c r="H102" s="828"/>
      <c r="I102" s="828"/>
      <c r="J102" s="828"/>
      <c r="K102" s="828"/>
      <c r="L102" s="838"/>
      <c r="M102" s="839"/>
      <c r="N102" s="839"/>
      <c r="O102" s="839"/>
      <c r="P102" s="839"/>
      <c r="Q102" s="872"/>
      <c r="R102" s="838"/>
      <c r="S102" s="839"/>
      <c r="T102" s="839"/>
      <c r="U102" s="839"/>
      <c r="V102" s="839"/>
      <c r="W102" s="838"/>
      <c r="X102" s="839"/>
      <c r="Y102" s="839"/>
      <c r="Z102" s="811"/>
      <c r="AA102" s="812"/>
      <c r="AB102" s="812"/>
      <c r="AC102" s="816"/>
      <c r="AD102" s="817"/>
      <c r="AE102" s="818"/>
      <c r="AF102" s="820"/>
      <c r="AG102" s="820"/>
      <c r="AH102" s="823"/>
      <c r="AI102" s="824"/>
      <c r="AJ102" s="11"/>
      <c r="AK102" s="39"/>
      <c r="AL102" s="39"/>
      <c r="AM102" s="39"/>
      <c r="AN102" s="39"/>
      <c r="AO102" s="39"/>
      <c r="AP102" s="39"/>
      <c r="AQ102" s="11"/>
      <c r="AR102" s="3"/>
    </row>
    <row r="103" spans="1:44" ht="21" customHeight="1" thickTop="1" thickBot="1" x14ac:dyDescent="0.25">
      <c r="A103" s="40"/>
      <c r="B103" s="806" t="s">
        <v>168</v>
      </c>
      <c r="C103" s="807"/>
      <c r="D103" s="807"/>
      <c r="E103" s="807"/>
      <c r="F103" s="807"/>
      <c r="G103" s="807"/>
      <c r="H103" s="807"/>
      <c r="I103" s="807"/>
      <c r="J103" s="807"/>
      <c r="K103" s="807"/>
      <c r="L103" s="807"/>
      <c r="M103" s="807"/>
      <c r="N103" s="807"/>
      <c r="O103" s="807"/>
      <c r="P103" s="807"/>
      <c r="Q103" s="807"/>
      <c r="R103" s="807"/>
      <c r="S103" s="807"/>
      <c r="T103" s="807"/>
      <c r="U103" s="807"/>
      <c r="V103" s="807"/>
      <c r="W103" s="807"/>
      <c r="X103" s="807"/>
      <c r="Y103" s="807"/>
      <c r="Z103" s="807"/>
      <c r="AA103" s="807"/>
      <c r="AB103" s="807"/>
      <c r="AC103" s="807"/>
      <c r="AD103" s="807"/>
      <c r="AE103" s="807"/>
      <c r="AF103" s="807"/>
      <c r="AG103" s="807"/>
      <c r="AH103" s="807"/>
      <c r="AI103" s="808"/>
      <c r="AJ103" s="11"/>
      <c r="AK103" s="39"/>
      <c r="AL103" s="39"/>
      <c r="AM103" s="39"/>
      <c r="AN103" s="39"/>
      <c r="AO103" s="39"/>
      <c r="AP103" s="39"/>
      <c r="AQ103" s="11"/>
      <c r="AR103" s="3"/>
    </row>
    <row r="104" spans="1:44" ht="13.5" thickTop="1" x14ac:dyDescent="0.2">
      <c r="A104" s="4" t="s">
        <v>39</v>
      </c>
      <c r="B104" s="795">
        <v>0.35416666666666669</v>
      </c>
      <c r="C104" s="796"/>
      <c r="D104" s="797"/>
      <c r="E104" s="795">
        <v>0.38194444444444442</v>
      </c>
      <c r="F104" s="796"/>
      <c r="G104" s="797"/>
      <c r="H104" s="795">
        <v>0.40972222222222227</v>
      </c>
      <c r="I104" s="796"/>
      <c r="J104" s="797"/>
      <c r="K104" s="795">
        <v>0.4375</v>
      </c>
      <c r="L104" s="796"/>
      <c r="M104" s="797"/>
      <c r="N104" s="795">
        <v>0.46527777777777773</v>
      </c>
      <c r="O104" s="796"/>
      <c r="P104" s="797"/>
      <c r="Q104" s="795">
        <v>0.49305555555555558</v>
      </c>
      <c r="R104" s="796"/>
      <c r="S104" s="797"/>
      <c r="T104" s="795">
        <v>0.52083333333333337</v>
      </c>
      <c r="U104" s="796"/>
      <c r="V104" s="797"/>
      <c r="W104" s="795">
        <v>4.8611111111111112E-2</v>
      </c>
      <c r="X104" s="796"/>
      <c r="Y104" s="797"/>
      <c r="Z104" s="795">
        <v>7.6388888888888895E-2</v>
      </c>
      <c r="AA104" s="796"/>
      <c r="AB104" s="797"/>
      <c r="AC104" s="795">
        <v>0.10416666666666667</v>
      </c>
      <c r="AD104" s="796"/>
      <c r="AE104" s="797"/>
      <c r="AF104" s="798" t="s">
        <v>40</v>
      </c>
      <c r="AG104" s="799"/>
      <c r="AH104" s="799"/>
      <c r="AI104" s="799"/>
      <c r="AJ104" s="800"/>
      <c r="AK104" s="800"/>
      <c r="AL104" s="800"/>
      <c r="AM104" s="800"/>
      <c r="AN104" s="800"/>
      <c r="AO104" s="800"/>
      <c r="AP104" s="800"/>
      <c r="AQ104" s="801"/>
    </row>
    <row r="105" spans="1:44" x14ac:dyDescent="0.2">
      <c r="A105" s="41" t="s">
        <v>41</v>
      </c>
      <c r="B105" s="792">
        <v>0.36805555555555558</v>
      </c>
      <c r="C105" s="793"/>
      <c r="D105" s="794"/>
      <c r="E105" s="792"/>
      <c r="F105" s="793"/>
      <c r="G105" s="794"/>
      <c r="H105" s="792"/>
      <c r="I105" s="793"/>
      <c r="J105" s="794"/>
      <c r="K105" s="792"/>
      <c r="L105" s="793"/>
      <c r="M105" s="794"/>
      <c r="N105" s="792"/>
      <c r="O105" s="793"/>
      <c r="P105" s="794"/>
      <c r="Q105" s="792"/>
      <c r="R105" s="793"/>
      <c r="S105" s="794"/>
      <c r="T105" s="792"/>
      <c r="U105" s="793"/>
      <c r="V105" s="794"/>
      <c r="W105" s="792"/>
      <c r="X105" s="793"/>
      <c r="Y105" s="794"/>
      <c r="Z105" s="792"/>
      <c r="AA105" s="793"/>
      <c r="AB105" s="794"/>
      <c r="AC105" s="792"/>
      <c r="AD105" s="793"/>
      <c r="AE105" s="794"/>
      <c r="AF105" s="798"/>
      <c r="AG105" s="799"/>
      <c r="AH105" s="799"/>
      <c r="AI105" s="799"/>
      <c r="AJ105" s="799"/>
      <c r="AK105" s="799"/>
      <c r="AL105" s="799"/>
      <c r="AM105" s="799"/>
      <c r="AN105" s="799"/>
      <c r="AO105" s="799"/>
      <c r="AP105" s="799"/>
      <c r="AQ105" s="802"/>
    </row>
    <row r="106" spans="1:44" x14ac:dyDescent="0.2">
      <c r="A106" s="41" t="s">
        <v>42</v>
      </c>
      <c r="B106" s="792"/>
      <c r="C106" s="793"/>
      <c r="D106" s="794"/>
      <c r="E106" s="792"/>
      <c r="F106" s="793"/>
      <c r="G106" s="794"/>
      <c r="H106" s="792"/>
      <c r="I106" s="793"/>
      <c r="J106" s="794"/>
      <c r="K106" s="792"/>
      <c r="L106" s="793"/>
      <c r="M106" s="794"/>
      <c r="N106" s="792"/>
      <c r="O106" s="793"/>
      <c r="P106" s="794"/>
      <c r="Q106" s="792"/>
      <c r="R106" s="793"/>
      <c r="S106" s="794"/>
      <c r="T106" s="792"/>
      <c r="U106" s="793"/>
      <c r="V106" s="794"/>
      <c r="W106" s="792"/>
      <c r="X106" s="793"/>
      <c r="Y106" s="794"/>
      <c r="Z106" s="792"/>
      <c r="AA106" s="793"/>
      <c r="AB106" s="794"/>
      <c r="AC106" s="792"/>
      <c r="AD106" s="793"/>
      <c r="AE106" s="794"/>
      <c r="AF106" s="798"/>
      <c r="AG106" s="799"/>
      <c r="AH106" s="799"/>
      <c r="AI106" s="799"/>
      <c r="AJ106" s="799"/>
      <c r="AK106" s="799"/>
      <c r="AL106" s="799"/>
      <c r="AM106" s="799"/>
      <c r="AN106" s="799"/>
      <c r="AO106" s="799"/>
      <c r="AP106" s="799"/>
      <c r="AQ106" s="802"/>
    </row>
    <row r="107" spans="1:44" ht="13.5" thickBot="1" x14ac:dyDescent="0.25">
      <c r="A107" s="11"/>
      <c r="B107" s="684" t="s">
        <v>43</v>
      </c>
      <c r="C107" s="685"/>
      <c r="D107" s="691"/>
      <c r="E107" s="684" t="str">
        <f>IF(AK93&gt;1,"Match 2","")</f>
        <v>Match 2</v>
      </c>
      <c r="F107" s="685"/>
      <c r="G107" s="691"/>
      <c r="H107" s="684" t="str">
        <f>IF(AK93&gt;2,"Match 3","")</f>
        <v>Match 3</v>
      </c>
      <c r="I107" s="685"/>
      <c r="J107" s="691"/>
      <c r="K107" s="684" t="str">
        <f>IF(AK93&gt;3,"Match 4","")</f>
        <v>Match 4</v>
      </c>
      <c r="L107" s="685"/>
      <c r="M107" s="691"/>
      <c r="N107" s="684" t="str">
        <f>IF(AK93&gt;4,"Match 5","")</f>
        <v>Match 5</v>
      </c>
      <c r="O107" s="685"/>
      <c r="P107" s="691"/>
      <c r="Q107" s="684" t="str">
        <f>IF(AK93&gt;5,"Match 6","")</f>
        <v>Match 6</v>
      </c>
      <c r="R107" s="685"/>
      <c r="S107" s="691"/>
      <c r="T107" s="684" t="str">
        <f>IF(AK93&gt;6,"Match 7","")</f>
        <v>Match 7</v>
      </c>
      <c r="U107" s="685"/>
      <c r="V107" s="691"/>
      <c r="W107" s="684" t="str">
        <f>IF(AK93&gt;7,"Match 8","")</f>
        <v>Match 8</v>
      </c>
      <c r="X107" s="685"/>
      <c r="Y107" s="691"/>
      <c r="Z107" s="684" t="str">
        <f>IF(AK93&gt;8,"Match 9","")</f>
        <v>Match 9</v>
      </c>
      <c r="AA107" s="685"/>
      <c r="AB107" s="691"/>
      <c r="AC107" s="684" t="str">
        <f>IF(AK93&gt;9,"Match 10","")</f>
        <v>Match 10</v>
      </c>
      <c r="AD107" s="685"/>
      <c r="AE107" s="691"/>
      <c r="AF107" s="803"/>
      <c r="AG107" s="804"/>
      <c r="AH107" s="804"/>
      <c r="AI107" s="804"/>
      <c r="AJ107" s="804"/>
      <c r="AK107" s="804"/>
      <c r="AL107" s="804"/>
      <c r="AM107" s="804"/>
      <c r="AN107" s="804"/>
      <c r="AO107" s="804"/>
      <c r="AP107" s="804"/>
      <c r="AQ107" s="805"/>
    </row>
    <row r="108" spans="1:44" ht="15.75" x14ac:dyDescent="0.25">
      <c r="A108" s="11"/>
      <c r="B108" s="786" t="s">
        <v>44</v>
      </c>
      <c r="C108" s="787"/>
      <c r="D108" s="788"/>
      <c r="E108" s="786" t="s">
        <v>45</v>
      </c>
      <c r="F108" s="787"/>
      <c r="G108" s="788"/>
      <c r="H108" s="786" t="s">
        <v>46</v>
      </c>
      <c r="I108" s="787"/>
      <c r="J108" s="788"/>
      <c r="K108" s="786" t="s">
        <v>47</v>
      </c>
      <c r="L108" s="787"/>
      <c r="M108" s="788"/>
      <c r="N108" s="786" t="s">
        <v>48</v>
      </c>
      <c r="O108" s="787"/>
      <c r="P108" s="788"/>
      <c r="Q108" s="786" t="s">
        <v>46</v>
      </c>
      <c r="R108" s="787"/>
      <c r="S108" s="788"/>
      <c r="T108" s="786" t="s">
        <v>44</v>
      </c>
      <c r="U108" s="787"/>
      <c r="V108" s="788"/>
      <c r="W108" s="786" t="s">
        <v>48</v>
      </c>
      <c r="X108" s="787"/>
      <c r="Y108" s="788"/>
      <c r="Z108" s="786" t="s">
        <v>47</v>
      </c>
      <c r="AA108" s="787"/>
      <c r="AB108" s="788"/>
      <c r="AC108" s="786" t="s">
        <v>45</v>
      </c>
      <c r="AD108" s="787"/>
      <c r="AE108" s="788"/>
      <c r="AF108" s="42" t="s">
        <v>49</v>
      </c>
      <c r="AG108" s="43">
        <v>1</v>
      </c>
      <c r="AH108" s="43">
        <v>2</v>
      </c>
      <c r="AI108" s="43">
        <v>3</v>
      </c>
      <c r="AJ108" s="43">
        <v>4</v>
      </c>
      <c r="AK108" s="43">
        <v>5</v>
      </c>
      <c r="AL108" s="43">
        <v>6</v>
      </c>
      <c r="AM108" s="43">
        <v>7</v>
      </c>
      <c r="AN108" s="43">
        <v>8</v>
      </c>
      <c r="AO108" s="43">
        <v>9</v>
      </c>
      <c r="AP108" s="43">
        <v>10</v>
      </c>
      <c r="AQ108" s="44" t="s">
        <v>50</v>
      </c>
    </row>
    <row r="109" spans="1:44" ht="15.75" x14ac:dyDescent="0.25">
      <c r="A109" s="11"/>
      <c r="B109" s="45">
        <v>2</v>
      </c>
      <c r="C109" s="46" t="s">
        <v>51</v>
      </c>
      <c r="D109" s="47">
        <v>5</v>
      </c>
      <c r="E109" s="45">
        <v>1</v>
      </c>
      <c r="F109" s="46" t="str">
        <f>IF(AK93&gt;1,"v","")</f>
        <v>v</v>
      </c>
      <c r="G109" s="47">
        <v>4</v>
      </c>
      <c r="H109" s="45">
        <v>3</v>
      </c>
      <c r="I109" s="46" t="str">
        <f>IF(AK93&gt;2,"v","")</f>
        <v>v</v>
      </c>
      <c r="J109" s="47">
        <v>5</v>
      </c>
      <c r="K109" s="45">
        <v>2</v>
      </c>
      <c r="L109" s="46" t="str">
        <f>IF(AK93&gt;3,"v","")</f>
        <v>v</v>
      </c>
      <c r="M109" s="47">
        <v>4</v>
      </c>
      <c r="N109" s="45">
        <v>1</v>
      </c>
      <c r="O109" s="46" t="str">
        <f>IF(AK93&gt;4,"v","")</f>
        <v>v</v>
      </c>
      <c r="P109" s="47">
        <v>3</v>
      </c>
      <c r="Q109" s="45">
        <v>4</v>
      </c>
      <c r="R109" s="46" t="str">
        <f>IF(AK93&gt;5,"v","")</f>
        <v>v</v>
      </c>
      <c r="S109" s="47">
        <v>5</v>
      </c>
      <c r="T109" s="45">
        <v>2</v>
      </c>
      <c r="U109" s="46" t="str">
        <f>IF(AK93&gt;6,"v","")</f>
        <v>v</v>
      </c>
      <c r="V109" s="47">
        <v>3</v>
      </c>
      <c r="W109" s="45">
        <v>1</v>
      </c>
      <c r="X109" s="46" t="str">
        <f>IF(AK93&gt;7,"v","")</f>
        <v>v</v>
      </c>
      <c r="Y109" s="47">
        <v>5</v>
      </c>
      <c r="Z109" s="45">
        <v>3</v>
      </c>
      <c r="AA109" s="46" t="str">
        <f>IF(AK93&gt;8,"v","")</f>
        <v>v</v>
      </c>
      <c r="AB109" s="47">
        <v>4</v>
      </c>
      <c r="AC109" s="45">
        <v>1</v>
      </c>
      <c r="AD109" s="46" t="str">
        <f>IF(AK93&gt;9,"v","")</f>
        <v>v</v>
      </c>
      <c r="AE109" s="47">
        <v>2</v>
      </c>
      <c r="AF109" s="42" t="str">
        <f>IF(AK94&gt;0,"Team 1","")</f>
        <v>Team 1</v>
      </c>
      <c r="AG109" s="48" t="str">
        <f>IF(AK94&lt;1,"",IF(AK93&lt;1,"",IF(B109=1,B115-D115,IF(D109=1,D115-B115,""))))</f>
        <v/>
      </c>
      <c r="AH109" s="48">
        <f>IF(AK94&lt;1,"",IF(AK93&lt;2,"",IF(E109=1,E115-G115,IF(G109=1,G115-E115,""))))</f>
        <v>-4</v>
      </c>
      <c r="AI109" s="48" t="str">
        <f>IF(AK94&lt;1,"",IF(AK93&lt;3,"",IF(H109=1,H115-J115,IF(J109=1,J115-H115,""))))</f>
        <v/>
      </c>
      <c r="AJ109" s="48" t="str">
        <f>IF(AK94&lt;1,"",IF(AK93&lt;4,"",IF(K109=1,K115-M115,IF(M109=1,M115-K115,""))))</f>
        <v/>
      </c>
      <c r="AK109" s="48">
        <f>IF(AK94&lt;1,"",IF(AK93&lt;5,"",IF(N109=1,N115-P115,IF(P109=1,P115-N115,""))))</f>
        <v>-21</v>
      </c>
      <c r="AL109" s="48" t="str">
        <f>IF(AK94&lt;1,"",IF(AK93&lt;6,"",IF(Q109=1,Q115-S115,IF(S109=1,S115-Q115,""))))</f>
        <v/>
      </c>
      <c r="AM109" s="48" t="str">
        <f>IF(AK94&lt;1,"",IF(AK93&lt;7,"",IF(T109=1,T115-V115,IF(V109=1,V115-T115,""))))</f>
        <v/>
      </c>
      <c r="AN109" s="48">
        <f>IF(AK94&lt;1,"",IF(AK93&lt;8,"",IF(W109=1,W115-Y115,IF(Y109=1,Y115-W115,""))))</f>
        <v>-3</v>
      </c>
      <c r="AO109" s="48" t="str">
        <f>IF(AK94&lt;1,"",IF(AK93&lt;9,"",IF(Z109=1,Z115-AB115,IF(AB109=1,AB115-Z115,""))))</f>
        <v/>
      </c>
      <c r="AP109" s="48">
        <f>IF(AK94&lt;1,"",IF(AK93&lt;10,"",IF(AC109=1,AC115-AE115,IF(AE109=1,AE115-AC115,""))))</f>
        <v>0</v>
      </c>
      <c r="AQ109" s="44">
        <f>SUM(AG109:AP109)</f>
        <v>-28</v>
      </c>
    </row>
    <row r="110" spans="1:44" ht="15" x14ac:dyDescent="0.2">
      <c r="A110" s="4" t="s">
        <v>52</v>
      </c>
      <c r="B110" s="49">
        <v>25</v>
      </c>
      <c r="C110" s="50" t="s">
        <v>53</v>
      </c>
      <c r="D110" s="51">
        <v>19</v>
      </c>
      <c r="E110" s="49">
        <v>12</v>
      </c>
      <c r="F110" s="50" t="str">
        <f>IF(AK93&gt;1,"/","")</f>
        <v>/</v>
      </c>
      <c r="G110" s="51">
        <v>25</v>
      </c>
      <c r="H110" s="49">
        <v>25</v>
      </c>
      <c r="I110" s="50" t="str">
        <f>IF(AK93&gt;2,"/","")</f>
        <v>/</v>
      </c>
      <c r="J110" s="51">
        <v>14</v>
      </c>
      <c r="K110" s="49">
        <v>17</v>
      </c>
      <c r="L110" s="50" t="str">
        <f>IF(AK93&gt;3,"/","")</f>
        <v>/</v>
      </c>
      <c r="M110" s="51">
        <v>25</v>
      </c>
      <c r="N110" s="49">
        <v>12</v>
      </c>
      <c r="O110" s="50" t="str">
        <f>IF(AK93&gt;4,"/","")</f>
        <v>/</v>
      </c>
      <c r="P110" s="51">
        <v>25</v>
      </c>
      <c r="Q110" s="49">
        <v>25</v>
      </c>
      <c r="R110" s="50" t="str">
        <f>IF(AK93&gt;5,"/","")</f>
        <v>/</v>
      </c>
      <c r="S110" s="51">
        <v>21</v>
      </c>
      <c r="T110" s="49">
        <v>19</v>
      </c>
      <c r="U110" s="50" t="str">
        <f>IF(AK93&gt;6,"/","")</f>
        <v>/</v>
      </c>
      <c r="V110" s="51">
        <v>25</v>
      </c>
      <c r="W110" s="49">
        <v>16</v>
      </c>
      <c r="X110" s="50" t="str">
        <f>IF(AK93&gt;7,"/","")</f>
        <v>/</v>
      </c>
      <c r="Y110" s="51">
        <v>25</v>
      </c>
      <c r="Z110" s="49">
        <v>25</v>
      </c>
      <c r="AA110" s="50" t="str">
        <f>IF(AK93&gt;8,"/","")</f>
        <v>/</v>
      </c>
      <c r="AB110" s="51">
        <v>15</v>
      </c>
      <c r="AC110" s="49">
        <v>22</v>
      </c>
      <c r="AD110" s="50" t="str">
        <f>IF(AK93&gt;9,"/","")</f>
        <v>/</v>
      </c>
      <c r="AE110" s="51">
        <v>25</v>
      </c>
      <c r="AF110" s="42" t="str">
        <f>IF(AK94&gt;1,"Team 2","")</f>
        <v>Team 2</v>
      </c>
      <c r="AG110" s="48">
        <f>IF(AK94&lt;2,"",IF(AK93&lt;1,"",IF(B109=2,B115-D115,IF(D109=2,D115-B115,""))))</f>
        <v>11</v>
      </c>
      <c r="AH110" s="48" t="str">
        <f>IF(AK94&lt;2,"",IF(AK93&lt;2,"",IF(E109=2,E115-G115,IF(G109=2,G115-E115,""))))</f>
        <v/>
      </c>
      <c r="AI110" s="48" t="str">
        <f>IF(AK94&lt;2,"",IF(AK93&lt;3,"",IF(H109=2,H115-J115,IF(J109=2,J115-H115,""))))</f>
        <v/>
      </c>
      <c r="AJ110" s="48">
        <f>IF(AK94&lt;2,"",IF(AK93&lt;4,"",IF(K109=2,K115-M115,IF(M109=2,M115-K115,""))))</f>
        <v>-16</v>
      </c>
      <c r="AK110" s="48" t="str">
        <f>IF(AK94&lt;2,"",IF(AK93&lt;5,"",IF(N109=2,N115-P115,IF(P109=2,P115-N115,""))))</f>
        <v/>
      </c>
      <c r="AL110" s="48" t="str">
        <f>IF(AK94&lt;2,"",IF(AK93&lt;6,"",IF(Q109=2,Q115-S115,IF(S109=2,S115-Q115,""))))</f>
        <v/>
      </c>
      <c r="AM110" s="48">
        <f>IF(AK94&lt;2,"",IF(AK93&lt;7,"",IF(T109=2,T115-V115,IF(V109=2,V115-T115,""))))</f>
        <v>-1</v>
      </c>
      <c r="AN110" s="48" t="str">
        <f>IF(AK94&lt;2,"",IF(AK93&lt;8,"",IF(W109=2,W115-Y115,IF(Y109=2,Y115-W115,""))))</f>
        <v/>
      </c>
      <c r="AO110" s="48" t="str">
        <f>IF(AK94&lt;2,"",IF(AK93&lt;9,"",IF(Z109=2,Z115-AB115,IF(AB109=2,AB115-Z115,""))))</f>
        <v/>
      </c>
      <c r="AP110" s="48">
        <f>IF(AK94&lt;2,"",IF(AK93&lt;10,"",IF(AC109=2,AC115-AE115,IF(AE109=2,AE115-AC115,""))))</f>
        <v>0</v>
      </c>
      <c r="AQ110" s="44">
        <f>SUM(AG110:AP110)</f>
        <v>-6</v>
      </c>
    </row>
    <row r="111" spans="1:44" ht="15" x14ac:dyDescent="0.2">
      <c r="A111" s="3" t="str">
        <f>IF(AK92&gt;1,"Game 2","")</f>
        <v>Game 2</v>
      </c>
      <c r="B111" s="49">
        <v>25</v>
      </c>
      <c r="C111" s="50" t="s">
        <v>53</v>
      </c>
      <c r="D111" s="51">
        <v>20</v>
      </c>
      <c r="E111" s="49">
        <v>25</v>
      </c>
      <c r="F111" s="50" t="str">
        <f>IF(AK93&gt;1,IF(AK92&gt;1,"/",""),"")</f>
        <v>/</v>
      </c>
      <c r="G111" s="51">
        <v>16</v>
      </c>
      <c r="H111" s="49">
        <v>23</v>
      </c>
      <c r="I111" s="50" t="str">
        <f>IF(AK93&gt;2,IF(AK92&gt;1,"/",""),"")</f>
        <v>/</v>
      </c>
      <c r="J111" s="51">
        <v>25</v>
      </c>
      <c r="K111" s="49">
        <v>17</v>
      </c>
      <c r="L111" s="50" t="str">
        <f>IF(AK93&gt;3,IF(AK92&gt;1,"/",""),"")</f>
        <v>/</v>
      </c>
      <c r="M111" s="51">
        <v>25</v>
      </c>
      <c r="N111" s="49">
        <v>17</v>
      </c>
      <c r="O111" s="50" t="str">
        <f>IF(AK93&gt;4,IF(AK92&gt;1,"/",""),"")</f>
        <v>/</v>
      </c>
      <c r="P111" s="51">
        <v>25</v>
      </c>
      <c r="Q111" s="49">
        <v>25</v>
      </c>
      <c r="R111" s="50" t="str">
        <f>IF(AK93&gt;5,IF(AK92&gt;1,"/",""),"")</f>
        <v>/</v>
      </c>
      <c r="S111" s="51">
        <v>17</v>
      </c>
      <c r="T111" s="49">
        <v>25</v>
      </c>
      <c r="U111" s="50" t="str">
        <f>IF(AK93&gt;6,IF(AK92&gt;1,"/",""),"")</f>
        <v>/</v>
      </c>
      <c r="V111" s="51">
        <v>20</v>
      </c>
      <c r="W111" s="49">
        <v>25</v>
      </c>
      <c r="X111" s="50" t="str">
        <f>IF(AK93&gt;7,IF(AK92&gt;1,"/",""),"")</f>
        <v>/</v>
      </c>
      <c r="Y111" s="51">
        <v>19</v>
      </c>
      <c r="Z111" s="49">
        <v>25</v>
      </c>
      <c r="AA111" s="50" t="str">
        <f>IF(AK93&gt;8,IF(AK92&gt;1,"/",""),"")</f>
        <v>/</v>
      </c>
      <c r="AB111" s="51">
        <v>21</v>
      </c>
      <c r="AC111" s="49">
        <v>25</v>
      </c>
      <c r="AD111" s="50" t="str">
        <f>IF(AK93&gt;9,IF(AK92&gt;1,"/",""),"")</f>
        <v>/</v>
      </c>
      <c r="AE111" s="51">
        <v>22</v>
      </c>
      <c r="AF111" s="42" t="str">
        <f>IF(AK94&gt;2,"Team 3","")</f>
        <v>Team 3</v>
      </c>
      <c r="AG111" s="48" t="str">
        <f>IF(AK94&lt;3,"",IF(AK93&lt;1,"",IF(B109=3,B115-D115,IF(D109=3,D115-B115,""))))</f>
        <v/>
      </c>
      <c r="AH111" s="48" t="str">
        <f>IF(AK94&lt;3,"",IF(AK93&lt;2,"",IF(E109=3,E115-G115,IF(G109=3,G115-E115,""))))</f>
        <v/>
      </c>
      <c r="AI111" s="48">
        <f>IF(AK94&lt;3,"",IF(AK93&lt;3,"",IF(H109=3,H115-J115,IF(J109=3,J115-H115,""))))</f>
        <v>9</v>
      </c>
      <c r="AJ111" s="48" t="str">
        <f>IF(AK94&lt;3,"",IF(AK93&lt;4,"",IF(K109=3,K115-M115,IF(M109=3,M115-K115,""))))</f>
        <v/>
      </c>
      <c r="AK111" s="48">
        <f>IF(AK94&lt;3,"",IF(AK93&lt;5,"",IF(N109=3,N115-P115,IF(P109=3,P115-N115,""))))</f>
        <v>21</v>
      </c>
      <c r="AL111" s="48" t="str">
        <f>IF(AK94&lt;3,"",IF(AK93&lt;6,"",IF(Q109=3,Q115-S115,IF(S109=3,S115-Q115,""))))</f>
        <v/>
      </c>
      <c r="AM111" s="48">
        <f>IF(AK94&lt;3,"",IF(AK93&lt;7,"",IF(T109=3,T115-V115,IF(V109=3,V115-T115,""))))</f>
        <v>1</v>
      </c>
      <c r="AN111" s="48" t="str">
        <f>IF(AK94&lt;3,"",IF(AK93&lt;8,"",IF(W109=3,W115-Y115,IF(Y109=3,Y115-W115,""))))</f>
        <v/>
      </c>
      <c r="AO111" s="48">
        <f>IF(AK94&lt;3,"",IF(AK93&lt;9,"",IF(Z109=3,Z115-AB115,IF(AB109=3,AB115-Z115,""))))</f>
        <v>14</v>
      </c>
      <c r="AP111" s="48" t="str">
        <f>IF(AK94&lt;3,"",IF(AK93&lt;9,"",IF(AC109=3,AC115-AE115,IF(AE109=3,AE115-AC115,""))))</f>
        <v/>
      </c>
      <c r="AQ111" s="44">
        <f>SUM(AG111:AP111)</f>
        <v>45</v>
      </c>
    </row>
    <row r="112" spans="1:44" ht="15" x14ac:dyDescent="0.2">
      <c r="A112" s="3" t="str">
        <f>IF(AK92&gt;2,"Game 3","")</f>
        <v/>
      </c>
      <c r="B112" s="49"/>
      <c r="C112" s="50" t="s">
        <v>53</v>
      </c>
      <c r="D112" s="51"/>
      <c r="E112" s="49"/>
      <c r="F112" s="50" t="str">
        <f>IF(AK93&gt;1,IF(AK92&gt;2,"/",""),"")</f>
        <v/>
      </c>
      <c r="G112" s="51"/>
      <c r="H112" s="49"/>
      <c r="I112" s="50" t="str">
        <f>IF(AK93&gt;2,IF(AK92&gt;2,"/",""),"")</f>
        <v/>
      </c>
      <c r="J112" s="51"/>
      <c r="K112" s="49"/>
      <c r="L112" s="50" t="str">
        <f>IF(AK93&gt;3,IF(AK92&gt;2,"/",""),"")</f>
        <v/>
      </c>
      <c r="M112" s="51"/>
      <c r="N112" s="49"/>
      <c r="O112" s="50" t="str">
        <f>IF(AK93&gt;4,IF(AK92&gt;2,"/",""),"")</f>
        <v/>
      </c>
      <c r="P112" s="51"/>
      <c r="Q112" s="49"/>
      <c r="R112" s="50" t="str">
        <f>IF(AK93&gt;5,IF(AK92&gt;2,"/",""),"")</f>
        <v/>
      </c>
      <c r="S112" s="51"/>
      <c r="T112" s="49"/>
      <c r="U112" s="50" t="str">
        <f>IF(AK93&gt;6,IF(AK92&gt;2,"/",""),"")</f>
        <v/>
      </c>
      <c r="V112" s="51"/>
      <c r="W112" s="49">
        <v>25</v>
      </c>
      <c r="X112" s="50" t="str">
        <f>IF(AK93&gt;7,IF(AK92&gt;2,"/",""),"")</f>
        <v/>
      </c>
      <c r="Y112" s="51">
        <v>0</v>
      </c>
      <c r="Z112" s="49"/>
      <c r="AA112" s="50" t="str">
        <f>IF(AK93&gt;8,IF(AK92&gt;2,"/",""),"")</f>
        <v/>
      </c>
      <c r="AB112" s="51"/>
      <c r="AC112" s="49"/>
      <c r="AD112" s="50" t="str">
        <f>IF(AK93&gt;9,IF(AK92&gt;2,"/",""),"")</f>
        <v/>
      </c>
      <c r="AE112" s="51"/>
      <c r="AF112" s="42" t="str">
        <f>IF(AK94&gt;3,"Team 4","")</f>
        <v>Team 4</v>
      </c>
      <c r="AG112" s="48" t="str">
        <f>IF(AK94&lt;4,"",IF(AK93&lt;1,"",IF(B109=4,B115-D115,IF(D109=4,D115-B115,""))))</f>
        <v/>
      </c>
      <c r="AH112" s="48">
        <f>IF(AK94&lt;4,"",IF(AK93&lt;2,"",IF(E109=4,E115-G115,IF(G109=4,G115-E115,""))))</f>
        <v>4</v>
      </c>
      <c r="AI112" s="48" t="str">
        <f>IF(AK94&lt;4,"",IF(AK93&lt;3,"",IF(H109=4,H115-J115,IF(J109=4,J115-H115,""))))</f>
        <v/>
      </c>
      <c r="AJ112" s="48">
        <f>IF(AK94&lt;4,"",IF(AK93&lt;4,"",IF(K109=4,K115-M115,IF(M109=4,M115-K115,""))))</f>
        <v>16</v>
      </c>
      <c r="AK112" s="48" t="str">
        <f>IF(AK94&lt;4,"",IF(AK93&lt;5,"",IF(N109=4,N115-P115,IF(P109=4,P115-N115,""))))</f>
        <v/>
      </c>
      <c r="AL112" s="48">
        <f>IF(AK94&lt;4,"",IF(AK93&lt;6,"",IF(Q109=4,Q115-S115,IF(S109=4,S115-Q115,""))))</f>
        <v>12</v>
      </c>
      <c r="AM112" s="48" t="str">
        <f>IF(AK94&lt;4,"",IF(AK93&lt;7,"",IF(T109=4,T115-V115,IF(V109=4,V115-T115,""))))</f>
        <v/>
      </c>
      <c r="AN112" s="48" t="str">
        <f>IF(AK94&lt;4,"",IF(AK93&lt;8,"",IF(W109=4,W115-Y115,IF(Y109=4,Y115-W115,""))))</f>
        <v/>
      </c>
      <c r="AO112" s="48">
        <f>IF(AK94&lt;4,"",IF(AK93&lt;9,"",IF(Z109=4,Z115-AB115,IF(AB109=4,AB115-Z115,""))))</f>
        <v>-14</v>
      </c>
      <c r="AP112" s="48" t="str">
        <f>IF(AK94&lt;4,"",IF(AK93&lt;10,"",IF(AC109=4,AC115-AE115,IF(AE109=4,AE115-AC115,""))))</f>
        <v/>
      </c>
      <c r="AQ112" s="44">
        <f>SUM(AG112:AP112)</f>
        <v>18</v>
      </c>
    </row>
    <row r="113" spans="1:49" ht="15" x14ac:dyDescent="0.2">
      <c r="A113" s="3" t="str">
        <f>IF(AK92&gt;3,"Game 4","")</f>
        <v/>
      </c>
      <c r="B113" s="49"/>
      <c r="C113" s="50" t="s">
        <v>53</v>
      </c>
      <c r="D113" s="51"/>
      <c r="E113" s="49"/>
      <c r="F113" s="50" t="str">
        <f>IF(AK93&gt;1,IF(AK92&gt;3,"/",""),"")</f>
        <v/>
      </c>
      <c r="G113" s="51"/>
      <c r="H113" s="49"/>
      <c r="I113" s="50" t="str">
        <f>IF(AK93&gt;2,IF(AK92&gt;3,"/",""),"")</f>
        <v/>
      </c>
      <c r="J113" s="51"/>
      <c r="K113" s="49"/>
      <c r="L113" s="50" t="str">
        <f>IF(AK93&gt;3,IF(AK92&gt;3,"/",""),"")</f>
        <v/>
      </c>
      <c r="M113" s="51"/>
      <c r="N113" s="49"/>
      <c r="O113" s="50" t="str">
        <f>IF(AK93&gt;4,IF(AK92&gt;3,"/",""),"")</f>
        <v/>
      </c>
      <c r="P113" s="51"/>
      <c r="Q113" s="49"/>
      <c r="R113" s="50" t="str">
        <f>IF(AK93&gt;5,IF(AK92&gt;3,"/",""),"")</f>
        <v/>
      </c>
      <c r="S113" s="51"/>
      <c r="T113" s="49"/>
      <c r="U113" s="50" t="str">
        <f>IF(AK93&gt;6,IF(AK92&gt;3,"/",""),"")</f>
        <v/>
      </c>
      <c r="V113" s="51"/>
      <c r="W113" s="49"/>
      <c r="X113" s="50" t="str">
        <f>IF(AK93&gt;7,IF(AK92&gt;3,"/",""),"")</f>
        <v/>
      </c>
      <c r="Y113" s="51"/>
      <c r="Z113" s="49"/>
      <c r="AA113" s="50" t="str">
        <f>IF(AK93&gt;8,IF(AK92&gt;3,"/",""),"")</f>
        <v/>
      </c>
      <c r="AB113" s="51"/>
      <c r="AC113" s="49"/>
      <c r="AD113" s="50" t="str">
        <f>IF(AK93&gt;9,IF(AK92&gt;3,"/",""),"")</f>
        <v/>
      </c>
      <c r="AE113" s="51"/>
      <c r="AF113" s="42" t="str">
        <f>IF(AK94&gt;4,"Team 5","")</f>
        <v>Team 5</v>
      </c>
      <c r="AG113" s="52">
        <f>IF(AK94&lt;5,"",IF(AK93&lt;1,"",IF(B109=5,B115-D115,IF(D109=5,D115-B115,""))))</f>
        <v>-11</v>
      </c>
      <c r="AH113" s="48" t="str">
        <f>IF(AK94&lt;5,"",IF(AK93&lt;2,"",IF(E109=5,E115-G115,IF(G109=5,G115-E115,""))))</f>
        <v/>
      </c>
      <c r="AI113" s="48">
        <f>IF(AK94&lt;5,"",IF(AK93&lt;3,"",IF(H109=5,H115-J115,IF(J109=5,J115-H115,""))))</f>
        <v>-9</v>
      </c>
      <c r="AJ113" s="48" t="str">
        <f>IF(AK94&lt;5,"",IF(AK93&lt;4,"",IF(K109=5,K115-M115,IF(M109=5,M115-K115,""))))</f>
        <v/>
      </c>
      <c r="AK113" s="48" t="str">
        <f>IF(AK94&lt;5,"",IF(AK93&lt;5,"",IF(N109=5,N115-P115,IF(P109=5,P115-N115,""))))</f>
        <v/>
      </c>
      <c r="AL113" s="48">
        <f>IF(AK94&lt;5,"",IF(AK93&lt;6,"",IF(Q109=5,Q115-S115,IF(S109=5,S115-Q115,""))))</f>
        <v>-12</v>
      </c>
      <c r="AM113" s="48" t="str">
        <f>IF(AK94&lt;5,"",IF(AK93&lt;7,"",IF(T109=5,T115-V115,IF(V109=5,V115-T115,""))))</f>
        <v/>
      </c>
      <c r="AN113" s="48">
        <f>IF(AK94&lt;5,"",IF(AK93&lt;8,"",IF(W109=5,W115-Y115,IF(Y109=5,Y115-W115,""))))</f>
        <v>3</v>
      </c>
      <c r="AO113" s="48" t="str">
        <f>IF(AK94&lt;5,"",IF(AK93&lt;9,"",IF(Z109=5,Z115-AB115,IF(AB109=5,AB115-Z115,""))))</f>
        <v/>
      </c>
      <c r="AP113" s="48" t="str">
        <f>IF(AK94&lt;5,"",IF(AK93&lt;10,"",IF(AC109=5,AC115-AE115,IF(AE109=5,AE115-AC115,""))))</f>
        <v/>
      </c>
      <c r="AQ113" s="44">
        <f>SUM(AG113:AP113)</f>
        <v>-29</v>
      </c>
    </row>
    <row r="114" spans="1:49" ht="15" x14ac:dyDescent="0.2">
      <c r="A114" s="3" t="str">
        <f>IF(AK92&gt;4,"Game 5","")</f>
        <v/>
      </c>
      <c r="B114" s="49"/>
      <c r="C114" s="50" t="s">
        <v>53</v>
      </c>
      <c r="D114" s="51"/>
      <c r="E114" s="49"/>
      <c r="F114" s="50" t="str">
        <f>IF(AK93&gt;1,IF(AK92&gt;4,"/",""),"")</f>
        <v/>
      </c>
      <c r="G114" s="51"/>
      <c r="H114" s="49"/>
      <c r="I114" s="50" t="str">
        <f>IF(AK93&gt;2,IF(AK92&gt;4,"/",""),"")</f>
        <v/>
      </c>
      <c r="J114" s="51"/>
      <c r="K114" s="49"/>
      <c r="L114" s="50" t="str">
        <f>IF(AK93&gt;3,IF(AK92&gt;4,"/",""),"")</f>
        <v/>
      </c>
      <c r="M114" s="51"/>
      <c r="N114" s="49"/>
      <c r="O114" s="50" t="str">
        <f>IF(AK93&gt;4,IF(AK92&gt;4,"/",""),"")</f>
        <v/>
      </c>
      <c r="P114" s="51"/>
      <c r="Q114" s="49"/>
      <c r="R114" s="50" t="str">
        <f>IF(AK93&gt;5,IF(AK92&gt;4,"/",""),"")</f>
        <v/>
      </c>
      <c r="S114" s="51"/>
      <c r="T114" s="49"/>
      <c r="U114" s="50" t="str">
        <f>IF(AK93&gt;6,IF(AK92&gt;4,"/",""),"")</f>
        <v/>
      </c>
      <c r="V114" s="51"/>
      <c r="W114" s="49"/>
      <c r="X114" s="50" t="str">
        <f>IF(AK93&gt;7,IF(AK92&gt;4,"/",""),"")</f>
        <v/>
      </c>
      <c r="Y114" s="51"/>
      <c r="Z114" s="49"/>
      <c r="AA114" s="50" t="str">
        <f>IF(AK93&gt;8,IF(AK92&gt;4,"/",""),"")</f>
        <v/>
      </c>
      <c r="AB114" s="51"/>
      <c r="AC114" s="49"/>
      <c r="AD114" s="50" t="str">
        <f>IF(AK93&gt;9,IF(AK92&gt;4,"/",""),"")</f>
        <v/>
      </c>
      <c r="AE114" s="5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</row>
    <row r="115" spans="1:49" hidden="1" x14ac:dyDescent="0.2">
      <c r="A115" s="53"/>
      <c r="B115" s="53">
        <f>IF($AK92=5,SUM(B110:B114),IF($AK92=4,SUM(B110:B113),IF($AK92=3,SUM(B110:B112),IF($AK92=2,SUM(B110:B111),B110))))</f>
        <v>50</v>
      </c>
      <c r="C115" s="53"/>
      <c r="D115" s="53">
        <f>IF($AK92=5,SUM(D110:D114),IF($AK92=4,SUM(D110:D113),IF($AK92=3,SUM(D110:D112),IF($AK92=2,SUM(D110:D111),D110))))</f>
        <v>39</v>
      </c>
      <c r="E115" s="53">
        <f>IF($AK92=5,SUM(E110:E114),IF($AK92=4,SUM(E110:E113),IF($AK92=3,SUM(E110:E112),IF($AK92=2,SUM(E110:E111),E110))))</f>
        <v>37</v>
      </c>
      <c r="F115" s="53"/>
      <c r="G115" s="53">
        <f>IF($AK92=5,SUM(G110:G114),IF($AK92=4,SUM(G110:G113),IF($AK92=3,SUM(G110:G112),IF($AK92=2,SUM(G110:G111),G110))))</f>
        <v>41</v>
      </c>
      <c r="H115" s="53">
        <f>IF($AK92=5,SUM(H110:H114),IF($AK92=4,SUM(H110:H113),IF($AK92=3,SUM(H110:H112),IF($AK92=2,SUM(H110:H111),H110))))</f>
        <v>48</v>
      </c>
      <c r="I115" s="53"/>
      <c r="J115" s="53">
        <f>IF($AK92=5,SUM(J110:J114),IF($AK92=4,SUM(J110:J113),IF($AK92=3,SUM(J110:J112),IF($AK92=2,SUM(J110:J111),J110))))</f>
        <v>39</v>
      </c>
      <c r="K115" s="53">
        <f>IF($AK92=5,SUM(K110:K114),IF($AK92=4,SUM(K110:K113),IF($AK92=3,SUM(K110:K112),IF($AK92=2,SUM(K110:K111),K110))))</f>
        <v>34</v>
      </c>
      <c r="L115" s="53"/>
      <c r="M115" s="53">
        <f>IF($AK92=5,SUM(M110:M114),IF($AK92=4,SUM(M110:M113),IF($AK92=3,SUM(M110:M112),IF($AK92=2,SUM(M110:M111),M110))))</f>
        <v>50</v>
      </c>
      <c r="N115" s="53">
        <f>IF($AK92=5,SUM(N110:N114),IF($AK92=4,SUM(N110:N113),IF($AK92=3,SUM(N110:N112),IF($AK92=2,SUM(N110:N111),N110))))</f>
        <v>29</v>
      </c>
      <c r="O115" s="53"/>
      <c r="P115" s="53">
        <f>IF($AK92=5,SUM(P110:P114),IF($AK92=4,SUM(P110:P113),IF($AK92=3,SUM(P110:P112),IF($AK92=2,SUM(P110:P111),P110))))</f>
        <v>50</v>
      </c>
      <c r="Q115" s="53">
        <f>IF($AK92=5,SUM(Q110:Q114),IF($AK92=4,SUM(Q110:Q113),IF($AK92=3,SUM(Q110:Q112),IF($AK92=2,SUM(Q110:Q111),Q110))))</f>
        <v>50</v>
      </c>
      <c r="R115" s="53"/>
      <c r="S115" s="53">
        <f>IF($AK92=5,SUM(S110:S114),IF($AK92=4,SUM(S110:S113),IF($AK92=3,SUM(S110:S112),IF($AK92=2,SUM(S110:S111),S110))))</f>
        <v>38</v>
      </c>
      <c r="T115" s="53">
        <f>IF($AK92=5,SUM(T110:T114),IF($AK92=4,SUM(T110:T113),IF($AK92=3,SUM(T110:T112),IF($AK92=2,SUM(T110:T111),T110))))</f>
        <v>44</v>
      </c>
      <c r="U115" s="53"/>
      <c r="V115" s="53">
        <f>IF($AK92=5,SUM(V110:V114),IF($AK92=4,SUM(V110:V113),IF($AK92=3,SUM(V110:V112),IF($AK92=2,SUM(V110:V111),V110))))</f>
        <v>45</v>
      </c>
      <c r="W115" s="53">
        <f>IF($AK92=5,SUM(W110:W114),IF($AK92=4,SUM(W110:W113),IF($AK92=3,SUM(W110:W112),IF($AK92=2,SUM(W110:W111),W110))))</f>
        <v>41</v>
      </c>
      <c r="X115" s="53"/>
      <c r="Y115" s="53">
        <f>IF($AK92=5,SUM(Y110:Y114),IF($AK92=4,SUM(Y110:Y113),IF($AK92=3,SUM(Y110:Y112),IF($AK92=2,SUM(Y110:Y111),Y110))))</f>
        <v>44</v>
      </c>
      <c r="Z115" s="53">
        <f>IF($AK92=5,SUM(Z110:Z114),IF($AK92=4,SUM(Z110:Z113),IF($AK92=3,SUM(Z110:Z112),IF($AK92=2,SUM(Z110:Z111),Z110))))</f>
        <v>50</v>
      </c>
      <c r="AA115" s="53"/>
      <c r="AB115" s="53">
        <f>IF($AK92=5,SUM(AB110:AB114),IF($AK92=4,SUM(AB110:AB113),IF($AK92=3,SUM(AB110:AB112),IF($AK92=2,SUM(AB110:AB111),AB110))))</f>
        <v>36</v>
      </c>
      <c r="AC115" s="53">
        <f>IF($AK92=5,SUM(AC110:AC114),IF($AK92=4,SUM(AC110:AC113),IF($AK92=3,SUM(AC110:AC112),IF($AK92=2,SUM(AC110:AC111),AC110))))</f>
        <v>47</v>
      </c>
      <c r="AD115" s="53"/>
      <c r="AE115" s="53">
        <f>IF($AK92=5,SUM(AE110:AE114),IF($AK92=4,SUM(AE110:AE113),IF($AK92=3,SUM(AE110:AE112),IF($AK92=2,SUM(AE110:AE111),AE110))))</f>
        <v>47</v>
      </c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</row>
    <row r="116" spans="1:49" s="54" customFormat="1" ht="12.75" hidden="1" customHeight="1" x14ac:dyDescent="0.2">
      <c r="A116" s="54" t="s">
        <v>54</v>
      </c>
      <c r="B116" s="55">
        <f>IF(AND(B110&gt;D110,$AK93&gt;0,ISNUMBER(B110),ISNUMBER(D110)),1,0)</f>
        <v>1</v>
      </c>
      <c r="C116" s="55"/>
      <c r="D116" s="56">
        <f>IF(AND(D110&gt;B110,$AK93&gt;0,ISNUMBER(B110),ISNUMBER(D110)),1,0)</f>
        <v>0</v>
      </c>
      <c r="E116" s="55">
        <f>IF(AND(E110&gt;G110,$AK93&gt;1,ISNUMBER(E110),ISNUMBER(G110)),1,0)</f>
        <v>0</v>
      </c>
      <c r="F116" s="55"/>
      <c r="G116" s="56">
        <f>IF(AND(G110&gt;E110,$AK93&gt;1,ISNUMBER(E110),ISNUMBER(G110)),1,0)</f>
        <v>1</v>
      </c>
      <c r="H116" s="55">
        <f>IF(AND(H110&gt;J110,$AK93&gt;2,ISNUMBER(H110),ISNUMBER(J110)),1,0)</f>
        <v>1</v>
      </c>
      <c r="I116" s="55"/>
      <c r="J116" s="56">
        <f>IF(AND(J110&gt;H110,$AK93&gt;2,ISNUMBER(H110),ISNUMBER(J110)),1,0)</f>
        <v>0</v>
      </c>
      <c r="K116" s="55">
        <f>IF(AND(K110&gt;M110,$AK93&gt;3,ISNUMBER(K110),ISNUMBER(M110)),1,0)</f>
        <v>0</v>
      </c>
      <c r="L116" s="55"/>
      <c r="M116" s="56">
        <f>IF(AND(M110&gt;K110,$AK93&gt;3,ISNUMBER(K110),ISNUMBER(M110)),1,0)</f>
        <v>1</v>
      </c>
      <c r="N116" s="55">
        <f>IF(AND(N110&gt;P110,$AK93&gt;4,ISNUMBER(N110),ISNUMBER(P110)),1,0)</f>
        <v>0</v>
      </c>
      <c r="O116" s="55"/>
      <c r="P116" s="56">
        <f>IF(AND(P110&gt;N110,$AK93&gt;4,ISNUMBER(N110),ISNUMBER(P110)),1,0)</f>
        <v>1</v>
      </c>
      <c r="Q116" s="55">
        <f>IF(AND(Q110&gt;S110,$AK93&gt;5,ISNUMBER(Q110),ISNUMBER(S110)),1,0)</f>
        <v>1</v>
      </c>
      <c r="R116" s="55"/>
      <c r="S116" s="56">
        <f>IF(AND(S110&gt;Q110,$AK93&gt;5,ISNUMBER(Q110),ISNUMBER(S110)),1,0)</f>
        <v>0</v>
      </c>
      <c r="T116" s="55">
        <f>IF(AND(T110&gt;V110,$AK93&gt;6,ISNUMBER(T110),ISNUMBER(V110)),1,0)</f>
        <v>0</v>
      </c>
      <c r="U116" s="55"/>
      <c r="V116" s="56">
        <f>IF(AND(V110&gt;T110,$AK93&gt;6,ISNUMBER(T110),ISNUMBER(V110)),1,0)</f>
        <v>1</v>
      </c>
      <c r="W116" s="55">
        <f>IF(AND(W110&gt;Y110,$AK93&gt;7,ISNUMBER(W110),ISNUMBER(Y110)),1,0)</f>
        <v>0</v>
      </c>
      <c r="X116" s="55"/>
      <c r="Y116" s="56">
        <f>IF(AND(Y110&gt;W110,$AK93&gt;7,ISNUMBER(W110),ISNUMBER(Y110)),1,0)</f>
        <v>1</v>
      </c>
      <c r="Z116" s="55">
        <f>IF(AND(Z110&gt;AB110,$AK93&gt;8,ISNUMBER(Z110),ISNUMBER(AB110)),1,0)</f>
        <v>1</v>
      </c>
      <c r="AA116" s="55"/>
      <c r="AB116" s="56">
        <f>IF(AND(AB110&gt;Z110,$AK93&gt;8,ISNUMBER(Z110),ISNUMBER(AB110)),1,0)</f>
        <v>0</v>
      </c>
      <c r="AC116" s="55">
        <f>IF(AND(AC110&gt;AE110,$AK93&gt;9,ISNUMBER(AC110),ISNUMBER(AE110)),1,0)</f>
        <v>0</v>
      </c>
      <c r="AD116" s="55"/>
      <c r="AE116" s="56">
        <f>IF(AND(AE110&gt;AC110,$AK93&gt;9,ISNUMBER(AC110),ISNUMBER(AE110)),1,0)</f>
        <v>1</v>
      </c>
      <c r="AW116" s="146"/>
    </row>
    <row r="117" spans="1:49" s="54" customFormat="1" ht="12.75" hidden="1" customHeight="1" x14ac:dyDescent="0.2">
      <c r="A117" s="54" t="s">
        <v>55</v>
      </c>
      <c r="B117" s="55">
        <f>IF(AND(B111&gt;D111,$AK93&gt;0,$AK92&gt;1,ISNUMBER(B111),ISNUMBER(D111)),1,0)</f>
        <v>1</v>
      </c>
      <c r="C117" s="55"/>
      <c r="D117" s="56">
        <f>IF(AND(D111&gt;B111,$AK93&gt;0,$AK92&gt;1,ISNUMBER(B111),ISNUMBER(D111)),1,0)</f>
        <v>0</v>
      </c>
      <c r="E117" s="55">
        <f>IF(AND(E111&gt;G111,$AK93&gt;1,$AK92&gt;1,ISNUMBER(E111),ISNUMBER(G111)),1,0)</f>
        <v>1</v>
      </c>
      <c r="F117" s="55"/>
      <c r="G117" s="56">
        <f>IF(AND(G111&gt;E111,$AK93&gt;1,$AK92&gt;1,ISNUMBER(E111),ISNUMBER(G111)),1,0)</f>
        <v>0</v>
      </c>
      <c r="H117" s="55">
        <f>IF(AND(H111&gt;J111,$AK93&gt;2,$AK92&gt;1,ISNUMBER(H111),ISNUMBER(J111)),1,0)</f>
        <v>0</v>
      </c>
      <c r="I117" s="55"/>
      <c r="J117" s="56">
        <f>IF(AND(J111&gt;H111,$AK93&gt;2,$AK92&gt;1,ISNUMBER(H111),ISNUMBER(J111)),1,0)</f>
        <v>1</v>
      </c>
      <c r="K117" s="55">
        <f>IF(AND(K111&gt;M111,$AK93&gt;3,$AK92&gt;1,ISNUMBER(K111),ISNUMBER(M111)),1,0)</f>
        <v>0</v>
      </c>
      <c r="L117" s="55"/>
      <c r="M117" s="56">
        <f>IF(AND(M111&gt;K111,$AK93&gt;3,$AK92&gt;1,ISNUMBER(K111),ISNUMBER(M111)),1,0)</f>
        <v>1</v>
      </c>
      <c r="N117" s="55">
        <f>IF(AND(N111&gt;P111,$AK93&gt;4,$AK92&gt;1,ISNUMBER(N111),ISNUMBER(P111)),1,0)</f>
        <v>0</v>
      </c>
      <c r="O117" s="55"/>
      <c r="P117" s="56">
        <f>IF(AND(P111&gt;N111,$AK93&gt;4,$AK92&gt;1,ISNUMBER(N111),ISNUMBER(P111)),1,0)</f>
        <v>1</v>
      </c>
      <c r="Q117" s="55">
        <f>IF(AND(Q111&gt;S111,$AK93&gt;5,$AK92&gt;1,ISNUMBER(Q111),ISNUMBER(S111)),1,0)</f>
        <v>1</v>
      </c>
      <c r="R117" s="55"/>
      <c r="S117" s="56">
        <f>IF(AND(S111&gt;Q111,$AK93&gt;5,$AK92&gt;1,ISNUMBER(Q111),ISNUMBER(S111)),1,0)</f>
        <v>0</v>
      </c>
      <c r="T117" s="55">
        <f>IF(AND(T111&gt;V111,$AK93&gt;6,$AK92&gt;1,ISNUMBER(T111),ISNUMBER(V111)),1,0)</f>
        <v>1</v>
      </c>
      <c r="U117" s="55"/>
      <c r="V117" s="56">
        <f>IF(AND(V111&gt;T111,$AK93&gt;6,$AK92&gt;1,ISNUMBER(T111),ISNUMBER(V111)),1,0)</f>
        <v>0</v>
      </c>
      <c r="W117" s="55">
        <f>IF(AND(W111&gt;Y111,$AK93&gt;7,$AK92&gt;1,ISNUMBER(W111),ISNUMBER(Y111)),1,0)</f>
        <v>1</v>
      </c>
      <c r="X117" s="55"/>
      <c r="Y117" s="56">
        <f>IF(AND(Y111&gt;W111,$AK93&gt;7,$AK92&gt;1,ISNUMBER(W111),ISNUMBER(Y111)),1,0)</f>
        <v>0</v>
      </c>
      <c r="Z117" s="55">
        <f>IF(AND(Z111&gt;AB111,$AK93&gt;8,$AK92&gt;1,ISNUMBER(Z111),ISNUMBER(AB111)),1,0)</f>
        <v>1</v>
      </c>
      <c r="AA117" s="55"/>
      <c r="AB117" s="56">
        <f>IF(AND(AB111&gt;Z111,$AK93&gt;8,$AK92&gt;1,ISNUMBER(Z111),ISNUMBER(AB111)),1,0)</f>
        <v>0</v>
      </c>
      <c r="AC117" s="55">
        <f>IF(AND(AC111&gt;AE111,$AK93&gt;9,$AK92&gt;1,ISNUMBER(AC111),ISNUMBER(AE111)),1,0)</f>
        <v>1</v>
      </c>
      <c r="AD117" s="55"/>
      <c r="AE117" s="56">
        <f>IF(AND(AE111&gt;AC111,$AK93&gt;9,$AK92&gt;1,ISNUMBER(AC111),ISNUMBER(AE111)),1,0)</f>
        <v>0</v>
      </c>
      <c r="AW117" s="146"/>
    </row>
    <row r="118" spans="1:49" s="54" customFormat="1" ht="12.75" hidden="1" customHeight="1" x14ac:dyDescent="0.2">
      <c r="A118" s="54" t="s">
        <v>56</v>
      </c>
      <c r="B118" s="55">
        <f>IF(AND(B112&gt;D112,$AK93&gt;0,$AK92&gt;2,ISNUMBER(B112),ISNUMBER(D112)),1,0)</f>
        <v>0</v>
      </c>
      <c r="C118" s="55"/>
      <c r="D118" s="56">
        <f>IF(AND(D112&gt;B112,$AK93&gt;0,$AK92&gt;2,ISNUMBER(B112),ISNUMBER(D112)),1,0)</f>
        <v>0</v>
      </c>
      <c r="E118" s="55">
        <f>IF(AND(E112&gt;G112,$AK93&gt;1,$AK92&gt;2,ISNUMBER(E112),ISNUMBER(G112)),1,0)</f>
        <v>0</v>
      </c>
      <c r="F118" s="55"/>
      <c r="G118" s="56">
        <f>IF(AND(G112&gt;E112,$AK93&gt;1,$AK92&gt;2,ISNUMBER(E112),ISNUMBER(G112)),1,0)</f>
        <v>0</v>
      </c>
      <c r="H118" s="55">
        <f>IF(AND(H112&gt;J112,$AK93&gt;2,$AK92&gt;2,ISNUMBER(H112),ISNUMBER(J112)),1,0)</f>
        <v>0</v>
      </c>
      <c r="I118" s="55"/>
      <c r="J118" s="56">
        <f>IF(AND(J112&gt;H112,$AK93&gt;2,$AK92&gt;2,ISNUMBER(H112),ISNUMBER(J112)),1,0)</f>
        <v>0</v>
      </c>
      <c r="K118" s="55">
        <f>IF(AND(K112&gt;M112,$AK93&gt;3,$AK92&gt;2,ISNUMBER(K112),ISNUMBER(M112)),1,0)</f>
        <v>0</v>
      </c>
      <c r="L118" s="55"/>
      <c r="M118" s="56">
        <f>IF(AND(M112&gt;K112,$AK93&gt;3,$AK92&gt;2,ISNUMBER(K112),ISNUMBER(M112)),1,0)</f>
        <v>0</v>
      </c>
      <c r="N118" s="55">
        <f>IF(AND(N112&gt;P112,$AK93&gt;4,$AK92&gt;2,ISNUMBER(N112),ISNUMBER(P112)),1,0)</f>
        <v>0</v>
      </c>
      <c r="O118" s="55"/>
      <c r="P118" s="56">
        <f>IF(AND(P112&gt;N112,$AK93&gt;4,$AK92&gt;2,ISNUMBER(N112),ISNUMBER(P112)),1,0)</f>
        <v>0</v>
      </c>
      <c r="Q118" s="55">
        <f>IF(AND(Q112&gt;S112,$AK93&gt;5,$AK92&gt;2,ISNUMBER(Q112),ISNUMBER(S112)),1,0)</f>
        <v>0</v>
      </c>
      <c r="R118" s="55"/>
      <c r="S118" s="56">
        <f>IF(AND(S112&gt;Q112,$AK93&gt;5,$AK92&gt;2,ISNUMBER(Q112),ISNUMBER(S112)),1,0)</f>
        <v>0</v>
      </c>
      <c r="T118" s="55">
        <f>IF(AND(T112&gt;V112,$AK93&gt;6,$AK92&gt;2,ISNUMBER(T112),ISNUMBER(V112)),1,0)</f>
        <v>0</v>
      </c>
      <c r="U118" s="55"/>
      <c r="V118" s="56">
        <f>IF(AND(V112&gt;T112,$AK93&gt;6,$AK92&gt;2,ISNUMBER(T112),ISNUMBER(V112)),1,0)</f>
        <v>0</v>
      </c>
      <c r="W118" s="55">
        <f>IF(AND(W112&gt;Y112,$AK93&gt;7,$AK92&gt;2,ISNUMBER(W112),ISNUMBER(Y112)),1,0)</f>
        <v>0</v>
      </c>
      <c r="X118" s="55"/>
      <c r="Y118" s="56">
        <f>IF(AND(Y112&gt;W112,$AK93&gt;7,$AK92&gt;2,ISNUMBER(W112),ISNUMBER(Y112)),1,0)</f>
        <v>0</v>
      </c>
      <c r="Z118" s="55">
        <f>IF(AND(Z112&gt;AB112,$AK93&gt;8,$AK92&gt;2,ISNUMBER(Z112),ISNUMBER(AB112)),1,0)</f>
        <v>0</v>
      </c>
      <c r="AA118" s="55"/>
      <c r="AB118" s="56">
        <f>IF(AND(AB112&gt;Z112,$AK93&gt;8,$AK92&gt;2,ISNUMBER(Z112),ISNUMBER(AB112)),1,0)</f>
        <v>0</v>
      </c>
      <c r="AC118" s="55">
        <f>IF(AND(AC112&gt;AE112,$AK93&gt;9,$AK92&gt;2,ISNUMBER(AC112),ISNUMBER(AE112)),1,0)</f>
        <v>0</v>
      </c>
      <c r="AD118" s="55"/>
      <c r="AE118" s="56">
        <f>IF(AND(AE112&gt;AC112,$AK93&gt;9,$AK92&gt;2,ISNUMBER(AC112),ISNUMBER(AE112)),1,0)</f>
        <v>0</v>
      </c>
      <c r="AW118" s="146"/>
    </row>
    <row r="119" spans="1:49" s="54" customFormat="1" ht="12.75" hidden="1" customHeight="1" x14ac:dyDescent="0.2">
      <c r="A119" s="54" t="s">
        <v>57</v>
      </c>
      <c r="B119" s="55">
        <f>IF(AND(B113&gt;D113,$AK93&gt;0,$AK92&gt;3,ISNUMBER(B113),ISNUMBER(D113)),1,0)</f>
        <v>0</v>
      </c>
      <c r="C119" s="55"/>
      <c r="D119" s="56">
        <f>IF(AND(D113&gt;B113,$AK93&gt;0,$AK92&gt;3,ISNUMBER(B113),ISNUMBER(D113)),1,0)</f>
        <v>0</v>
      </c>
      <c r="E119" s="55">
        <f>IF(AND(E113&gt;G113,$AK93&gt;1,$AK92&gt;3,ISNUMBER(E113),ISNUMBER(G113)),1,0)</f>
        <v>0</v>
      </c>
      <c r="F119" s="55"/>
      <c r="G119" s="56">
        <f>IF(AND(G113&gt;E113,$AK93&gt;1,$AK92&gt;3,ISNUMBER(E113),ISNUMBER(G113)),1,0)</f>
        <v>0</v>
      </c>
      <c r="H119" s="55">
        <f>IF(AND(H113&gt;J113,$AK93&gt;2,$AK92&gt;3,ISNUMBER(H113),ISNUMBER(J113)),1,0)</f>
        <v>0</v>
      </c>
      <c r="I119" s="55"/>
      <c r="J119" s="56">
        <f>IF(AND(J113&gt;H113,$AK93&gt;2,$AK92&gt;3,ISNUMBER(H113),ISNUMBER(J113)),1,0)</f>
        <v>0</v>
      </c>
      <c r="K119" s="55">
        <f>IF(AND(K113&gt;M113,$AK93&gt;3,$AK92&gt;3,ISNUMBER(K113),ISNUMBER(M113)),1,0)</f>
        <v>0</v>
      </c>
      <c r="L119" s="55"/>
      <c r="M119" s="56">
        <f>IF(AND(M113&gt;K113,$AK93&gt;3,$AK92&gt;3,ISNUMBER(K113),ISNUMBER(M113)),1,0)</f>
        <v>0</v>
      </c>
      <c r="N119" s="55">
        <f>IF(AND(N113&gt;P113,$AK93&gt;4,$AK92&gt;3,ISNUMBER(N113),ISNUMBER(P113)),1,0)</f>
        <v>0</v>
      </c>
      <c r="O119" s="55"/>
      <c r="P119" s="56">
        <f>IF(AND(P113&gt;N113,$AK93&gt;4,$AK92&gt;3,ISNUMBER(N113),ISNUMBER(P113)),1,0)</f>
        <v>0</v>
      </c>
      <c r="Q119" s="55">
        <f>IF(AND(Q113&gt;S113,$AK93&gt;5,$AK92&gt;3,ISNUMBER(Q113),ISNUMBER(S113)),1,0)</f>
        <v>0</v>
      </c>
      <c r="R119" s="55"/>
      <c r="S119" s="56">
        <f>IF(AND(S113&gt;Q113,$AK93&gt;5,$AK92&gt;3,ISNUMBER(Q113),ISNUMBER(S113)),1,0)</f>
        <v>0</v>
      </c>
      <c r="T119" s="55">
        <f>IF(AND(T113&gt;V113,$AK93&gt;6,$AK92&gt;3,ISNUMBER(T113),ISNUMBER(V113)),1,0)</f>
        <v>0</v>
      </c>
      <c r="U119" s="55"/>
      <c r="V119" s="56">
        <f>IF(AND(V113&gt;T113,$AK93&gt;6,$AK92&gt;3,ISNUMBER(T113),ISNUMBER(V113)),1,0)</f>
        <v>0</v>
      </c>
      <c r="W119" s="55">
        <f>IF(AND(W113&gt;Y113,$AK93&gt;7,$AK92&gt;3,ISNUMBER(W113),ISNUMBER(Y113)),1,0)</f>
        <v>0</v>
      </c>
      <c r="X119" s="55"/>
      <c r="Y119" s="56">
        <f>IF(AND(Y113&gt;W113,$AK93&gt;7,$AK92&gt;3,ISNUMBER(W113),ISNUMBER(Y113)),1,0)</f>
        <v>0</v>
      </c>
      <c r="Z119" s="55">
        <f>IF(AND(Z113&gt;AB113,$AK93&gt;8,$AK92&gt;3,ISNUMBER(Z113),ISNUMBER(AB113)),1,0)</f>
        <v>0</v>
      </c>
      <c r="AA119" s="55"/>
      <c r="AB119" s="56">
        <f>IF(AND(AB113&gt;Z113,$AK93&gt;8,$AK92&gt;3,ISNUMBER(Z113),ISNUMBER(AB113)),1,0)</f>
        <v>0</v>
      </c>
      <c r="AC119" s="55">
        <f>IF(AND(AC113&gt;AE113,$AK93&gt;9,$AK92&gt;3,ISNUMBER(AC113),ISNUMBER(AE113)),1,0)</f>
        <v>0</v>
      </c>
      <c r="AD119" s="55"/>
      <c r="AE119" s="56">
        <f>IF(AND(AE113&gt;AC113,$AK93&gt;9,$AK92&gt;3,ISNUMBER(AC113),ISNUMBER(AE113)),1,0)</f>
        <v>0</v>
      </c>
      <c r="AW119" s="146"/>
    </row>
    <row r="120" spans="1:49" s="54" customFormat="1" ht="12.75" hidden="1" customHeight="1" x14ac:dyDescent="0.2">
      <c r="A120" s="54" t="s">
        <v>58</v>
      </c>
      <c r="B120" s="55">
        <f>IF(AND(B114&gt;D114,$AK93&gt;0,$AK92&gt;4,ISNUMBER(B114),ISNUMBER(D114)),1,0)</f>
        <v>0</v>
      </c>
      <c r="C120" s="55"/>
      <c r="D120" s="56">
        <f>IF(AND(D114&gt;B114,$AK93&gt;0,$AK92&gt;4,ISNUMBER(B114),ISNUMBER(D114)),1,0)</f>
        <v>0</v>
      </c>
      <c r="E120" s="55">
        <f>IF(AND(E114&gt;G114,$AK93&gt;1,$AK92&gt;4,ISNUMBER(E114),ISNUMBER(G114)),1,0)</f>
        <v>0</v>
      </c>
      <c r="F120" s="55"/>
      <c r="G120" s="56">
        <f>IF(AND(G114&gt;E114,$AK93&gt;1,$AK92&gt;4,ISNUMBER(E114),ISNUMBER(G114)),1,0)</f>
        <v>0</v>
      </c>
      <c r="H120" s="55">
        <f>IF(AND(H114&gt;J114,$AK93&gt;2,$AK92&gt;4,ISNUMBER(H114),ISNUMBER(J114)),1,0)</f>
        <v>0</v>
      </c>
      <c r="I120" s="55"/>
      <c r="J120" s="56">
        <f>IF(AND(J114&gt;H114,$AK93&gt;2,$AK92&gt;4,ISNUMBER(H114),ISNUMBER(J114)),1,0)</f>
        <v>0</v>
      </c>
      <c r="K120" s="55">
        <f>IF(AND(K114&gt;M114,$AK93&gt;3,$AK92&gt;4,ISNUMBER(K114),ISNUMBER(M114)),1,0)</f>
        <v>0</v>
      </c>
      <c r="L120" s="55"/>
      <c r="M120" s="56">
        <f>IF(AND(M114&gt;K114,$AK93&gt;3,$AK92&gt;4,ISNUMBER(K114),ISNUMBER(M114)),1,0)</f>
        <v>0</v>
      </c>
      <c r="N120" s="55">
        <f>IF(AND(N114&gt;P114,$AK93&gt;4,$AK92&gt;4,ISNUMBER(N114),ISNUMBER(P114)),1,0)</f>
        <v>0</v>
      </c>
      <c r="O120" s="55"/>
      <c r="P120" s="56">
        <f>IF(AND(P114&gt;N114,$AK93&gt;4,$AK92&gt;4,ISNUMBER(N114),ISNUMBER(P114)),1,0)</f>
        <v>0</v>
      </c>
      <c r="Q120" s="55">
        <f>IF(AND(Q114&gt;S114,$AK93&gt;5,$AK92&gt;4,ISNUMBER(Q114),ISNUMBER(S114)),1,0)</f>
        <v>0</v>
      </c>
      <c r="R120" s="55"/>
      <c r="S120" s="56">
        <f>IF(AND(S114&gt;Q114,$AK93&gt;5,$AK92&gt;4,ISNUMBER(Q114),ISNUMBER(S114)),1,0)</f>
        <v>0</v>
      </c>
      <c r="T120" s="55">
        <f>IF(AND(T114&gt;V114,$AK93&gt;6,$AK92&gt;4,ISNUMBER(T114),ISNUMBER(V114)),1,0)</f>
        <v>0</v>
      </c>
      <c r="U120" s="55"/>
      <c r="V120" s="56">
        <f>IF(AND(V114&gt;T114,$AK93&gt;6,$AK92&gt;4,ISNUMBER(T114),ISNUMBER(V114)),1,0)</f>
        <v>0</v>
      </c>
      <c r="W120" s="55">
        <f>IF(AND(W114&gt;Y114,$AK93&gt;7,$AK92&gt;4,ISNUMBER(W114),ISNUMBER(Y114)),1,0)</f>
        <v>0</v>
      </c>
      <c r="X120" s="55"/>
      <c r="Y120" s="56">
        <f>IF(AND(Y114&gt;W114,$AK93&gt;7,$AK92&gt;4,ISNUMBER(W114),ISNUMBER(Y114)),1,0)</f>
        <v>0</v>
      </c>
      <c r="Z120" s="55">
        <f>IF(AND(Z114&gt;AB114,$AK93&gt;8,$AK92&gt;4,ISNUMBER(Z114),ISNUMBER(AB114)),1,0)</f>
        <v>0</v>
      </c>
      <c r="AA120" s="55"/>
      <c r="AB120" s="56">
        <f>IF(AND(AB114&gt;Z114,$AK93&gt;8,$AK92&gt;4,ISNUMBER(Z114),ISNUMBER(AB114)),1,0)</f>
        <v>0</v>
      </c>
      <c r="AC120" s="55">
        <f>IF(AND(AC114&gt;AE114,$AK93&gt;9,$AK92&gt;4,ISNUMBER(AC114),ISNUMBER(AE114)),1,0)</f>
        <v>0</v>
      </c>
      <c r="AD120" s="55"/>
      <c r="AE120" s="56">
        <f>IF(AND(AE114&gt;AC114,$AK93&gt;9,$AK92&gt;4,ISNUMBER(AC114),ISNUMBER(AE114)),1,0)</f>
        <v>0</v>
      </c>
      <c r="AW120" s="146"/>
    </row>
    <row r="121" spans="1:49" s="54" customFormat="1" ht="38.25" hidden="1" customHeight="1" x14ac:dyDescent="0.2">
      <c r="A121" s="57" t="s">
        <v>59</v>
      </c>
      <c r="B121" s="54">
        <f>SUM(B116:B120)</f>
        <v>2</v>
      </c>
      <c r="D121" s="58">
        <f>SUM(D116:D120)</f>
        <v>0</v>
      </c>
      <c r="E121" s="54">
        <f>SUM(E116:E120)</f>
        <v>1</v>
      </c>
      <c r="G121" s="58">
        <f>SUM(G116:G120)</f>
        <v>1</v>
      </c>
      <c r="H121" s="54">
        <f>SUM(H116:H120)</f>
        <v>1</v>
      </c>
      <c r="J121" s="58">
        <f>SUM(J116:J120)</f>
        <v>1</v>
      </c>
      <c r="K121" s="54">
        <f>SUM(K116:K120)</f>
        <v>0</v>
      </c>
      <c r="M121" s="58">
        <f>SUM(M116:M120)</f>
        <v>2</v>
      </c>
      <c r="N121" s="54">
        <f>SUM(N116:N120)</f>
        <v>0</v>
      </c>
      <c r="P121" s="58">
        <f>SUM(P116:P120)</f>
        <v>2</v>
      </c>
      <c r="Q121" s="54">
        <f>SUM(Q116:Q120)</f>
        <v>2</v>
      </c>
      <c r="S121" s="58">
        <f>SUM(S116:S120)</f>
        <v>0</v>
      </c>
      <c r="T121" s="54">
        <f>SUM(T116:T120)</f>
        <v>1</v>
      </c>
      <c r="V121" s="58">
        <f>SUM(V116:V120)</f>
        <v>1</v>
      </c>
      <c r="W121" s="54">
        <f>SUM(W116:W120)</f>
        <v>1</v>
      </c>
      <c r="Y121" s="58">
        <f>SUM(Y116:Y120)</f>
        <v>1</v>
      </c>
      <c r="Z121" s="54">
        <f>SUM(Z116:Z120)</f>
        <v>2</v>
      </c>
      <c r="AB121" s="58">
        <f>SUM(AB116:AB120)</f>
        <v>0</v>
      </c>
      <c r="AC121" s="54">
        <f>SUM(AC116:AC120)</f>
        <v>1</v>
      </c>
      <c r="AE121" s="58">
        <f>SUM(AE116:AE120)</f>
        <v>1</v>
      </c>
      <c r="AW121" s="146"/>
    </row>
    <row r="122" spans="1:49" s="54" customFormat="1" ht="25.5" hidden="1" customHeight="1" x14ac:dyDescent="0.2">
      <c r="A122" s="57" t="s">
        <v>60</v>
      </c>
      <c r="B122" s="54">
        <f>IF(B121&gt;D121,IF(C156=AK92,1,IF(C156=AK92-1,1,0)),0)</f>
        <v>1</v>
      </c>
      <c r="C122" s="54">
        <f>B122+D122</f>
        <v>1</v>
      </c>
      <c r="D122" s="58">
        <f>IF(D121&gt;B121,IF(C156=AK92,1,IF(C156=AK92-1,1,0)),0)</f>
        <v>0</v>
      </c>
      <c r="E122" s="54">
        <f>IF(E121&gt;G121,IF(F156=AK92,1,IF(F156=AK92-1,1,0)),0)</f>
        <v>0</v>
      </c>
      <c r="F122" s="54">
        <f>E122+G122</f>
        <v>0</v>
      </c>
      <c r="G122" s="58">
        <f>IF(G121&gt;E121,IF(F156=AK92,1,IF(F156=AK92-1,1,0)),0)</f>
        <v>0</v>
      </c>
      <c r="H122" s="54">
        <f>IF(H121&gt;J121,IF(I156=AK92,1,IF(I156=AK92-1,1,0)),0)</f>
        <v>0</v>
      </c>
      <c r="I122" s="54">
        <f>H122+J122</f>
        <v>0</v>
      </c>
      <c r="J122" s="58">
        <f>IF(J121&gt;H121,IF(I156=AK92,1,IF(I156=AK92-1,1,0)),0)</f>
        <v>0</v>
      </c>
      <c r="K122" s="54">
        <f>IF(K121&gt;M121,IF(L156=AK92,1,IF(L156=AK92-1,1,0)),0)</f>
        <v>0</v>
      </c>
      <c r="L122" s="54">
        <f>K122+M122</f>
        <v>1</v>
      </c>
      <c r="M122" s="58">
        <f>IF(M121&gt;K121,IF(L156=AK92,1,IF(L156=AK92-1,1,0)),0)</f>
        <v>1</v>
      </c>
      <c r="N122" s="54">
        <f>IF(N121&gt;P121,IF(O156=AK92,1,IF(O156=AK92-1,1,0)),0)</f>
        <v>0</v>
      </c>
      <c r="O122" s="54">
        <f>N122+P122</f>
        <v>1</v>
      </c>
      <c r="P122" s="58">
        <f>IF(P121&gt;N121,IF(O156=AK92,1,IF(O156=AK92-1,1,0)),0)</f>
        <v>1</v>
      </c>
      <c r="Q122" s="54">
        <f>IF(Q121&gt;S121,IF(R156=AK92,1,IF(R156=AK92-1,1,0)),0)</f>
        <v>1</v>
      </c>
      <c r="R122" s="54">
        <f>Q122+S122</f>
        <v>1</v>
      </c>
      <c r="S122" s="58">
        <f>IF(S121&gt;Q121,IF(R156=AK92,1,IF(R156=AK92-1,1,0)),0)</f>
        <v>0</v>
      </c>
      <c r="T122" s="54">
        <f>IF(T121&gt;V121,IF(U156=AK92,1,IF(U156=AK92-1,1,0)),0)</f>
        <v>0</v>
      </c>
      <c r="U122" s="54">
        <f>T122+V122</f>
        <v>0</v>
      </c>
      <c r="V122" s="58">
        <f>IF(V121&gt;T121,IF(U156=AK92,1,IF(U156=AK92-1,1,0)),0)</f>
        <v>0</v>
      </c>
      <c r="W122" s="54">
        <f>IF(W121&gt;Y121,IF(X156=AK92,1,IF(X156=AK92-1,1,0)),0)</f>
        <v>0</v>
      </c>
      <c r="X122" s="54">
        <f>W122+Y122</f>
        <v>0</v>
      </c>
      <c r="Y122" s="58">
        <f>IF(Y121&gt;W121,IF(X156=AK92,1,IF(X156=AK92-1,1,0)),0)</f>
        <v>0</v>
      </c>
      <c r="Z122" s="54">
        <f>IF(Z121&gt;AB121,IF(AA156=AK92,1,IF(AA156=AK92-1,1,0)),0)</f>
        <v>1</v>
      </c>
      <c r="AA122" s="54">
        <f>Z122+AB122</f>
        <v>1</v>
      </c>
      <c r="AB122" s="58">
        <f>IF(AB121&gt;Z121,IF(AA156=AK92,1,IF(AA156=AK92-1,1,0)),0)</f>
        <v>0</v>
      </c>
      <c r="AC122" s="54">
        <f>IF(AC121&gt;AE121,IF(AD156=AK92,1,IF(AD156=AK92-1,1,0)),0)</f>
        <v>0</v>
      </c>
      <c r="AD122" s="54">
        <f>AC122+AE122</f>
        <v>0</v>
      </c>
      <c r="AE122" s="58">
        <f>IF(AE121&gt;AC121,IF(AD156=AK92,1,IF(AD156=AK92-1,1,0)),0)</f>
        <v>0</v>
      </c>
      <c r="AW122" s="146"/>
    </row>
    <row r="123" spans="1:49" s="54" customFormat="1" ht="25.5" hidden="1" customHeight="1" x14ac:dyDescent="0.2">
      <c r="A123" s="57"/>
      <c r="D123" s="58"/>
      <c r="G123" s="58"/>
      <c r="J123" s="58"/>
      <c r="M123" s="58"/>
      <c r="P123" s="58"/>
      <c r="S123" s="58"/>
      <c r="V123" s="58"/>
      <c r="Y123" s="58"/>
      <c r="AB123" s="58"/>
      <c r="AE123" s="58"/>
      <c r="AW123" s="146"/>
    </row>
    <row r="124" spans="1:49" s="54" customFormat="1" ht="12.75" hidden="1" customHeight="1" x14ac:dyDescent="0.2">
      <c r="A124" s="54" t="s">
        <v>61</v>
      </c>
      <c r="B124" s="54">
        <f>IF(B116=1,B110,0)</f>
        <v>25</v>
      </c>
      <c r="D124" s="58">
        <f t="shared" ref="D124:E128" si="11">IF(D116=1,D110,0)</f>
        <v>0</v>
      </c>
      <c r="E124" s="54">
        <f t="shared" si="11"/>
        <v>0</v>
      </c>
      <c r="G124" s="58">
        <f t="shared" ref="G124:H128" si="12">IF(G116=1,G110,0)</f>
        <v>25</v>
      </c>
      <c r="H124" s="54">
        <f t="shared" si="12"/>
        <v>25</v>
      </c>
      <c r="J124" s="58">
        <f t="shared" ref="J124:K128" si="13">IF(J116=1,J110,0)</f>
        <v>0</v>
      </c>
      <c r="K124" s="54">
        <f t="shared" si="13"/>
        <v>0</v>
      </c>
      <c r="M124" s="58">
        <f t="shared" ref="M124:N128" si="14">IF(M116=1,M110,0)</f>
        <v>25</v>
      </c>
      <c r="N124" s="54">
        <f t="shared" si="14"/>
        <v>0</v>
      </c>
      <c r="P124" s="58">
        <f t="shared" ref="P124:Q128" si="15">IF(P116=1,P110,0)</f>
        <v>25</v>
      </c>
      <c r="Q124" s="54">
        <f t="shared" si="15"/>
        <v>25</v>
      </c>
      <c r="S124" s="58">
        <f t="shared" ref="S124:T128" si="16">IF(S116=1,S110,0)</f>
        <v>0</v>
      </c>
      <c r="T124" s="54">
        <f t="shared" si="16"/>
        <v>0</v>
      </c>
      <c r="V124" s="58">
        <f t="shared" ref="V124:W128" si="17">IF(V116=1,V110,0)</f>
        <v>25</v>
      </c>
      <c r="W124" s="54">
        <f t="shared" si="17"/>
        <v>0</v>
      </c>
      <c r="Y124" s="58">
        <f t="shared" ref="Y124:Z128" si="18">IF(Y116=1,Y110,0)</f>
        <v>25</v>
      </c>
      <c r="Z124" s="54">
        <f t="shared" si="18"/>
        <v>25</v>
      </c>
      <c r="AB124" s="58">
        <f t="shared" ref="AB124:AC128" si="19">IF(AB116=1,AB110,0)</f>
        <v>0</v>
      </c>
      <c r="AC124" s="54">
        <f t="shared" si="19"/>
        <v>0</v>
      </c>
      <c r="AE124" s="58">
        <f>IF(AE116=1,AE110,0)</f>
        <v>25</v>
      </c>
      <c r="AW124" s="146"/>
    </row>
    <row r="125" spans="1:49" s="54" customFormat="1" ht="12.75" hidden="1" customHeight="1" x14ac:dyDescent="0.2">
      <c r="A125" s="54" t="s">
        <v>62</v>
      </c>
      <c r="B125" s="54">
        <f>IF(B117=1,B111,0)</f>
        <v>25</v>
      </c>
      <c r="D125" s="58">
        <f t="shared" si="11"/>
        <v>0</v>
      </c>
      <c r="E125" s="54">
        <f t="shared" si="11"/>
        <v>25</v>
      </c>
      <c r="G125" s="58">
        <f t="shared" si="12"/>
        <v>0</v>
      </c>
      <c r="H125" s="54">
        <f t="shared" si="12"/>
        <v>0</v>
      </c>
      <c r="J125" s="58">
        <f t="shared" si="13"/>
        <v>25</v>
      </c>
      <c r="K125" s="54">
        <f t="shared" si="13"/>
        <v>0</v>
      </c>
      <c r="M125" s="58">
        <f t="shared" si="14"/>
        <v>25</v>
      </c>
      <c r="N125" s="54">
        <f t="shared" si="14"/>
        <v>0</v>
      </c>
      <c r="P125" s="58">
        <f t="shared" si="15"/>
        <v>25</v>
      </c>
      <c r="Q125" s="54">
        <f t="shared" si="15"/>
        <v>25</v>
      </c>
      <c r="S125" s="58">
        <f t="shared" si="16"/>
        <v>0</v>
      </c>
      <c r="T125" s="54">
        <f t="shared" si="16"/>
        <v>25</v>
      </c>
      <c r="V125" s="58">
        <f t="shared" si="17"/>
        <v>0</v>
      </c>
      <c r="W125" s="54">
        <f t="shared" si="17"/>
        <v>25</v>
      </c>
      <c r="Y125" s="58">
        <f t="shared" si="18"/>
        <v>0</v>
      </c>
      <c r="Z125" s="54">
        <f t="shared" si="18"/>
        <v>25</v>
      </c>
      <c r="AB125" s="58">
        <f t="shared" si="19"/>
        <v>0</v>
      </c>
      <c r="AC125" s="54">
        <f t="shared" si="19"/>
        <v>25</v>
      </c>
      <c r="AE125" s="58">
        <f>IF(AE117=1,AE111,0)</f>
        <v>0</v>
      </c>
      <c r="AW125" s="146"/>
    </row>
    <row r="126" spans="1:49" s="54" customFormat="1" ht="12.75" hidden="1" customHeight="1" x14ac:dyDescent="0.2">
      <c r="A126" s="54" t="s">
        <v>63</v>
      </c>
      <c r="B126" s="54">
        <f>IF(B118=1,B112,0)</f>
        <v>0</v>
      </c>
      <c r="D126" s="58">
        <f t="shared" si="11"/>
        <v>0</v>
      </c>
      <c r="E126" s="54">
        <f t="shared" si="11"/>
        <v>0</v>
      </c>
      <c r="G126" s="58">
        <f t="shared" si="12"/>
        <v>0</v>
      </c>
      <c r="H126" s="54">
        <f t="shared" si="12"/>
        <v>0</v>
      </c>
      <c r="J126" s="58">
        <f t="shared" si="13"/>
        <v>0</v>
      </c>
      <c r="K126" s="54">
        <f t="shared" si="13"/>
        <v>0</v>
      </c>
      <c r="M126" s="58">
        <f t="shared" si="14"/>
        <v>0</v>
      </c>
      <c r="N126" s="54">
        <f t="shared" si="14"/>
        <v>0</v>
      </c>
      <c r="P126" s="58">
        <f t="shared" si="15"/>
        <v>0</v>
      </c>
      <c r="Q126" s="54">
        <f t="shared" si="15"/>
        <v>0</v>
      </c>
      <c r="S126" s="58">
        <f t="shared" si="16"/>
        <v>0</v>
      </c>
      <c r="T126" s="54">
        <f t="shared" si="16"/>
        <v>0</v>
      </c>
      <c r="V126" s="58">
        <f t="shared" si="17"/>
        <v>0</v>
      </c>
      <c r="W126" s="54">
        <f t="shared" si="17"/>
        <v>0</v>
      </c>
      <c r="Y126" s="58">
        <f t="shared" si="18"/>
        <v>0</v>
      </c>
      <c r="Z126" s="54">
        <f t="shared" si="18"/>
        <v>0</v>
      </c>
      <c r="AB126" s="58">
        <f t="shared" si="19"/>
        <v>0</v>
      </c>
      <c r="AC126" s="54">
        <f t="shared" si="19"/>
        <v>0</v>
      </c>
      <c r="AE126" s="58">
        <f>IF(AE118=1,AE112,0)</f>
        <v>0</v>
      </c>
      <c r="AW126" s="146"/>
    </row>
    <row r="127" spans="1:49" s="54" customFormat="1" ht="12.75" hidden="1" customHeight="1" x14ac:dyDescent="0.2">
      <c r="A127" s="54" t="s">
        <v>64</v>
      </c>
      <c r="B127" s="54">
        <f>IF(B119=1,B113,0)</f>
        <v>0</v>
      </c>
      <c r="D127" s="58">
        <f t="shared" si="11"/>
        <v>0</v>
      </c>
      <c r="E127" s="54">
        <f t="shared" si="11"/>
        <v>0</v>
      </c>
      <c r="G127" s="58">
        <f t="shared" si="12"/>
        <v>0</v>
      </c>
      <c r="H127" s="54">
        <f t="shared" si="12"/>
        <v>0</v>
      </c>
      <c r="J127" s="58">
        <f t="shared" si="13"/>
        <v>0</v>
      </c>
      <c r="K127" s="54">
        <f t="shared" si="13"/>
        <v>0</v>
      </c>
      <c r="M127" s="58">
        <f t="shared" si="14"/>
        <v>0</v>
      </c>
      <c r="N127" s="54">
        <f t="shared" si="14"/>
        <v>0</v>
      </c>
      <c r="P127" s="58">
        <f t="shared" si="15"/>
        <v>0</v>
      </c>
      <c r="Q127" s="54">
        <f t="shared" si="15"/>
        <v>0</v>
      </c>
      <c r="S127" s="58">
        <f t="shared" si="16"/>
        <v>0</v>
      </c>
      <c r="T127" s="54">
        <f t="shared" si="16"/>
        <v>0</v>
      </c>
      <c r="V127" s="58">
        <f t="shared" si="17"/>
        <v>0</v>
      </c>
      <c r="W127" s="54">
        <f t="shared" si="17"/>
        <v>0</v>
      </c>
      <c r="Y127" s="58">
        <f t="shared" si="18"/>
        <v>0</v>
      </c>
      <c r="Z127" s="54">
        <f t="shared" si="18"/>
        <v>0</v>
      </c>
      <c r="AB127" s="58">
        <f t="shared" si="19"/>
        <v>0</v>
      </c>
      <c r="AC127" s="54">
        <f t="shared" si="19"/>
        <v>0</v>
      </c>
      <c r="AE127" s="58">
        <f>IF(AE119=1,AE113,0)</f>
        <v>0</v>
      </c>
      <c r="AW127" s="146"/>
    </row>
    <row r="128" spans="1:49" s="54" customFormat="1" ht="12.75" hidden="1" customHeight="1" x14ac:dyDescent="0.2">
      <c r="A128" s="54" t="s">
        <v>65</v>
      </c>
      <c r="B128" s="54">
        <f>IF(B120=1,B114,0)</f>
        <v>0</v>
      </c>
      <c r="D128" s="58">
        <f t="shared" si="11"/>
        <v>0</v>
      </c>
      <c r="E128" s="54">
        <f t="shared" si="11"/>
        <v>0</v>
      </c>
      <c r="G128" s="58">
        <f t="shared" si="12"/>
        <v>0</v>
      </c>
      <c r="H128" s="54">
        <f t="shared" si="12"/>
        <v>0</v>
      </c>
      <c r="J128" s="58">
        <f t="shared" si="13"/>
        <v>0</v>
      </c>
      <c r="K128" s="54">
        <f t="shared" si="13"/>
        <v>0</v>
      </c>
      <c r="M128" s="58">
        <f t="shared" si="14"/>
        <v>0</v>
      </c>
      <c r="N128" s="54">
        <f t="shared" si="14"/>
        <v>0</v>
      </c>
      <c r="P128" s="58">
        <f t="shared" si="15"/>
        <v>0</v>
      </c>
      <c r="Q128" s="54">
        <f t="shared" si="15"/>
        <v>0</v>
      </c>
      <c r="S128" s="58">
        <f t="shared" si="16"/>
        <v>0</v>
      </c>
      <c r="T128" s="54">
        <f t="shared" si="16"/>
        <v>0</v>
      </c>
      <c r="V128" s="58">
        <f t="shared" si="17"/>
        <v>0</v>
      </c>
      <c r="W128" s="54">
        <f t="shared" si="17"/>
        <v>0</v>
      </c>
      <c r="Y128" s="58">
        <f t="shared" si="18"/>
        <v>0</v>
      </c>
      <c r="Z128" s="54">
        <f t="shared" si="18"/>
        <v>0</v>
      </c>
      <c r="AB128" s="58">
        <f t="shared" si="19"/>
        <v>0</v>
      </c>
      <c r="AC128" s="54">
        <f t="shared" si="19"/>
        <v>0</v>
      </c>
      <c r="AE128" s="58">
        <f>IF(AE120=1,AE114,0)</f>
        <v>0</v>
      </c>
      <c r="AW128" s="146"/>
    </row>
    <row r="129" spans="1:49" s="54" customFormat="1" ht="38.25" hidden="1" customHeight="1" x14ac:dyDescent="0.2">
      <c r="A129" s="57" t="s">
        <v>66</v>
      </c>
      <c r="B129" s="54">
        <f>SUM(B124:D128)</f>
        <v>50</v>
      </c>
      <c r="D129" s="58"/>
      <c r="E129" s="54">
        <f>SUM(E124:G128)</f>
        <v>50</v>
      </c>
      <c r="G129" s="58"/>
      <c r="H129" s="54">
        <f>SUM(H124:J128)</f>
        <v>50</v>
      </c>
      <c r="J129" s="58"/>
      <c r="K129" s="54">
        <f>SUM(K124:M128)</f>
        <v>50</v>
      </c>
      <c r="M129" s="58"/>
      <c r="N129" s="54">
        <f>SUM(N124:P128)</f>
        <v>50</v>
      </c>
      <c r="P129" s="58"/>
      <c r="Q129" s="54">
        <f>SUM(Q124:S128)</f>
        <v>50</v>
      </c>
      <c r="S129" s="58"/>
      <c r="T129" s="54">
        <f>SUM(T124:V128)</f>
        <v>50</v>
      </c>
      <c r="V129" s="58"/>
      <c r="W129" s="54">
        <f>SUM(W124:Y128)</f>
        <v>50</v>
      </c>
      <c r="Y129" s="58"/>
      <c r="Z129" s="54">
        <f>SUM(Z124:AB128)</f>
        <v>50</v>
      </c>
      <c r="AB129" s="58"/>
      <c r="AC129" s="54">
        <f>SUM(AC124:AE128)</f>
        <v>50</v>
      </c>
      <c r="AE129" s="58"/>
      <c r="AW129" s="146"/>
    </row>
    <row r="130" spans="1:49" s="54" customFormat="1" ht="38.25" hidden="1" customHeight="1" x14ac:dyDescent="0.2">
      <c r="A130" s="54" t="s">
        <v>67</v>
      </c>
      <c r="D130" s="58"/>
      <c r="G130" s="58"/>
      <c r="J130" s="58"/>
      <c r="M130" s="58"/>
      <c r="P130" s="58"/>
      <c r="S130" s="58"/>
      <c r="V130" s="58"/>
      <c r="Y130" s="58"/>
      <c r="AB130" s="58"/>
      <c r="AE130" s="58"/>
      <c r="AF130" s="57" t="s">
        <v>68</v>
      </c>
      <c r="AG130" s="54" t="s">
        <v>69</v>
      </c>
      <c r="AW130" s="146"/>
    </row>
    <row r="131" spans="1:49" s="54" customFormat="1" ht="12.75" hidden="1" customHeight="1" x14ac:dyDescent="0.2">
      <c r="A131" s="54" t="s">
        <v>70</v>
      </c>
      <c r="B131" s="54">
        <f>IF(B109=1,IF(B122=1,1,0),0)</f>
        <v>0</v>
      </c>
      <c r="D131" s="58">
        <f>IF(D109=1,IF(D122=1,1,0),0)</f>
        <v>0</v>
      </c>
      <c r="E131" s="54">
        <f>IF(E109=1,IF(E122=1,1,0),0)</f>
        <v>0</v>
      </c>
      <c r="G131" s="58">
        <f>IF(G109=1,IF(G122=1,1,0),0)</f>
        <v>0</v>
      </c>
      <c r="H131" s="54">
        <f>IF(H109=1,IF(H122=1,1,0),0)</f>
        <v>0</v>
      </c>
      <c r="J131" s="58">
        <f>IF(J109=1,IF(J122=1,1,0),0)</f>
        <v>0</v>
      </c>
      <c r="K131" s="54">
        <f>IF(K109=1,IF(K122=1,1,0),0)</f>
        <v>0</v>
      </c>
      <c r="M131" s="58">
        <f>IF(M109=1,IF(M122=1,1,0),0)</f>
        <v>0</v>
      </c>
      <c r="N131" s="54">
        <f>IF(N109=1,IF(N122=1,1,0),0)</f>
        <v>0</v>
      </c>
      <c r="P131" s="58">
        <f>IF(P109=1,IF(P122=1,1,0),0)</f>
        <v>0</v>
      </c>
      <c r="Q131" s="54">
        <f>IF(Q109=1,IF(Q122=1,1,0),0)</f>
        <v>0</v>
      </c>
      <c r="S131" s="58">
        <f>IF(S109=1,IF(S122=1,1,0),0)</f>
        <v>0</v>
      </c>
      <c r="T131" s="54">
        <f>IF(T109=1,IF(T122=1,1,0),0)</f>
        <v>0</v>
      </c>
      <c r="V131" s="58">
        <f>IF(V109=1,IF(V122=1,1,0),0)</f>
        <v>0</v>
      </c>
      <c r="W131" s="54">
        <f>IF(W109=1,IF(W122=1,1,0),0)</f>
        <v>0</v>
      </c>
      <c r="Y131" s="58">
        <f>IF(Y109=1,IF(Y122=1,1,0),0)</f>
        <v>0</v>
      </c>
      <c r="Z131" s="54">
        <f>IF(Z109=1,IF(Z122=1,1,0),0)</f>
        <v>0</v>
      </c>
      <c r="AB131" s="58">
        <f>IF(AB109=1,IF(AB122=1,1,0),0)</f>
        <v>0</v>
      </c>
      <c r="AC131" s="54">
        <f>IF(AC109=1,IF(AC122=1,1,0),0)</f>
        <v>0</v>
      </c>
      <c r="AE131" s="58">
        <f>IF(AE109=1,IF(AE122=1,1,0),0)</f>
        <v>0</v>
      </c>
      <c r="AF131" s="54">
        <f>SUM(B131:AE131)</f>
        <v>0</v>
      </c>
      <c r="AG131" s="54">
        <f>AF137-AF131</f>
        <v>1</v>
      </c>
      <c r="AW131" s="146"/>
    </row>
    <row r="132" spans="1:49" s="54" customFormat="1" ht="12.75" hidden="1" customHeight="1" x14ac:dyDescent="0.2">
      <c r="A132" s="54" t="s">
        <v>71</v>
      </c>
      <c r="B132" s="54">
        <f>IF(B109=2,IF(B122=1,1,0),0)</f>
        <v>1</v>
      </c>
      <c r="D132" s="58">
        <f>IF(D109=2,IF(D122=1,1,0),0)</f>
        <v>0</v>
      </c>
      <c r="E132" s="54">
        <f>IF(E109=2,IF(E122=1,1,0),0)</f>
        <v>0</v>
      </c>
      <c r="G132" s="58">
        <f>IF(G109=2,IF(G122=1,1,0),0)</f>
        <v>0</v>
      </c>
      <c r="H132" s="54">
        <f>IF(H109=2,IF(H122=1,1,0),0)</f>
        <v>0</v>
      </c>
      <c r="J132" s="58">
        <f>IF(J109=2,IF(J122=1,1,0),0)</f>
        <v>0</v>
      </c>
      <c r="K132" s="54">
        <f>IF(K109=2,IF(K122=1,1,0),0)</f>
        <v>0</v>
      </c>
      <c r="M132" s="58">
        <f>IF(M109=2,IF(M122=1,1,0),0)</f>
        <v>0</v>
      </c>
      <c r="N132" s="54">
        <f>IF(N109=2,IF(N122=1,1,0),0)</f>
        <v>0</v>
      </c>
      <c r="P132" s="58">
        <f>IF(P109=2,IF(P122=1,1,0),0)</f>
        <v>0</v>
      </c>
      <c r="Q132" s="54">
        <f>IF(Q109=2,IF(Q122=1,1,0),0)</f>
        <v>0</v>
      </c>
      <c r="S132" s="58">
        <f>IF(S109=2,IF(S122=1,1,0),0)</f>
        <v>0</v>
      </c>
      <c r="T132" s="54">
        <f>IF(T109=2,IF(T122=1,1,0),0)</f>
        <v>0</v>
      </c>
      <c r="V132" s="58">
        <f>IF(V109=2,IF(V122=1,1,0),0)</f>
        <v>0</v>
      </c>
      <c r="W132" s="54">
        <f>IF(W109=2,IF(W122=1,1,0),0)</f>
        <v>0</v>
      </c>
      <c r="Y132" s="58">
        <f>IF(Y109=2,IF(Y122=1,1,0),0)</f>
        <v>0</v>
      </c>
      <c r="Z132" s="54">
        <f>IF(Z109=2,IF(Z122=1,1,0),0)</f>
        <v>0</v>
      </c>
      <c r="AB132" s="58">
        <f>IF(AB109=2,IF(AB122=1,1,0),0)</f>
        <v>0</v>
      </c>
      <c r="AC132" s="54">
        <f>IF(AC109=2,IF(AC122=1,1,0),0)</f>
        <v>0</v>
      </c>
      <c r="AE132" s="58">
        <f>IF(AE109=2,IF(AE122=1,1,0),0)</f>
        <v>0</v>
      </c>
      <c r="AF132" s="54">
        <f>SUM(B132:AE132)</f>
        <v>1</v>
      </c>
      <c r="AG132" s="54">
        <f>AF138-AF132</f>
        <v>1</v>
      </c>
      <c r="AW132" s="146"/>
    </row>
    <row r="133" spans="1:49" s="54" customFormat="1" ht="12.75" hidden="1" customHeight="1" x14ac:dyDescent="0.2">
      <c r="A133" s="54" t="s">
        <v>72</v>
      </c>
      <c r="B133" s="54">
        <f>IF(B109=3,IF(B122=1,1,0),0)</f>
        <v>0</v>
      </c>
      <c r="D133" s="58">
        <f>IF(D109=3,IF(D122=1,1,0),0)</f>
        <v>0</v>
      </c>
      <c r="E133" s="54">
        <f>IF(E109=3,IF(E122=1,1,0),0)</f>
        <v>0</v>
      </c>
      <c r="G133" s="58">
        <f>IF(G109=3,IF(G122=1,1,0),0)</f>
        <v>0</v>
      </c>
      <c r="H133" s="54">
        <f>IF(H109=3,IF(H122=1,1,0),0)</f>
        <v>0</v>
      </c>
      <c r="J133" s="58">
        <f>IF(J109=3,IF(J122=1,1,0),0)</f>
        <v>0</v>
      </c>
      <c r="K133" s="54">
        <f>IF(K109=3,IF(K122=1,1,0),0)</f>
        <v>0</v>
      </c>
      <c r="M133" s="58">
        <f>IF(M109=3,IF(M122=1,1,0),0)</f>
        <v>0</v>
      </c>
      <c r="N133" s="54">
        <f>IF(N109=3,IF(N122=1,1,0),0)</f>
        <v>0</v>
      </c>
      <c r="P133" s="58">
        <f>IF(P109=3,IF(P122=1,1,0),0)</f>
        <v>1</v>
      </c>
      <c r="Q133" s="54">
        <f>IF(Q109=3,IF(Q122=1,1,0),0)</f>
        <v>0</v>
      </c>
      <c r="S133" s="58">
        <f>IF(S109=3,IF(S122=1,1,0),0)</f>
        <v>0</v>
      </c>
      <c r="T133" s="54">
        <f>IF(T109=3,IF(T122=1,1,0),0)</f>
        <v>0</v>
      </c>
      <c r="V133" s="58">
        <f>IF(V109=3,IF(V122=1,1,0),0)</f>
        <v>0</v>
      </c>
      <c r="W133" s="54">
        <f>IF(W109=3,IF(W122=1,1,0),0)</f>
        <v>0</v>
      </c>
      <c r="Y133" s="58">
        <f>IF(Y109=3,IF(Y122=1,1,0),0)</f>
        <v>0</v>
      </c>
      <c r="Z133" s="54">
        <f>IF(Z109=3,IF(Z122=1,1,0),0)</f>
        <v>1</v>
      </c>
      <c r="AB133" s="58">
        <f>IF(AB109=3,IF(AB122=1,1,0),0)</f>
        <v>0</v>
      </c>
      <c r="AC133" s="54">
        <f>IF(AC109=3,IF(AC122=1,1,0),0)</f>
        <v>0</v>
      </c>
      <c r="AE133" s="58">
        <f>IF(AE109=3,IF(AE122=1,1,0),0)</f>
        <v>0</v>
      </c>
      <c r="AF133" s="54">
        <f>SUM(B133:AE133)</f>
        <v>2</v>
      </c>
      <c r="AG133" s="54">
        <f>AF139-AF133</f>
        <v>0</v>
      </c>
      <c r="AW133" s="146"/>
    </row>
    <row r="134" spans="1:49" s="54" customFormat="1" ht="12.75" hidden="1" customHeight="1" x14ac:dyDescent="0.2">
      <c r="A134" s="54" t="s">
        <v>73</v>
      </c>
      <c r="B134" s="54">
        <f>IF(B109=4,IF(B122=1,1,0),0)</f>
        <v>0</v>
      </c>
      <c r="D134" s="58">
        <f>IF(D109=4,IF(D122=1,1,0),0)</f>
        <v>0</v>
      </c>
      <c r="E134" s="54">
        <f>IF(E109=4,IF(E122=1,1,0),0)</f>
        <v>0</v>
      </c>
      <c r="G134" s="58">
        <f>IF(G109=4,IF(G122=1,1,0),0)</f>
        <v>0</v>
      </c>
      <c r="H134" s="54">
        <f>IF(H109=4,IF(H122=1,1,0),0)</f>
        <v>0</v>
      </c>
      <c r="J134" s="58">
        <f>IF(J109=4,IF(J122=1,1,0),0)</f>
        <v>0</v>
      </c>
      <c r="K134" s="54">
        <f>IF(K109=4,IF(K122=1,1,0),0)</f>
        <v>0</v>
      </c>
      <c r="M134" s="58">
        <f>IF(M109=4,IF(M122=1,1,0),0)</f>
        <v>1</v>
      </c>
      <c r="N134" s="54">
        <f>IF(N109=4,IF(N122=1,1,0),0)</f>
        <v>0</v>
      </c>
      <c r="P134" s="58">
        <f>IF(P109=4,IF(P122=1,1,0),0)</f>
        <v>0</v>
      </c>
      <c r="Q134" s="54">
        <f>IF(Q109=4,IF(Q122=1,1,0),0)</f>
        <v>1</v>
      </c>
      <c r="S134" s="58">
        <f>IF(S109=4,IF(S122=1,1,0),0)</f>
        <v>0</v>
      </c>
      <c r="T134" s="54">
        <f>IF(T109=4,IF(T122=1,1,0),0)</f>
        <v>0</v>
      </c>
      <c r="V134" s="58">
        <f>IF(V109=4,IF(V122=1,1,0),0)</f>
        <v>0</v>
      </c>
      <c r="W134" s="54">
        <f>IF(W109=4,IF(W122=1,1,0),0)</f>
        <v>0</v>
      </c>
      <c r="Y134" s="58">
        <f>IF(Y109=4,IF(Y122=1,1,0),0)</f>
        <v>0</v>
      </c>
      <c r="Z134" s="54">
        <f>IF(Z109=4,IF(Z122=1,1,0),0)</f>
        <v>0</v>
      </c>
      <c r="AB134" s="58">
        <f>IF(AB109=4,IF(AB122=1,1,0),0)</f>
        <v>0</v>
      </c>
      <c r="AC134" s="54">
        <f>IF(AC109=4,IF(AC122=1,1,0),0)</f>
        <v>0</v>
      </c>
      <c r="AE134" s="58">
        <f>IF(AE109=4,IF(AE122=1,1,0),0)</f>
        <v>0</v>
      </c>
      <c r="AF134" s="54">
        <f>SUM(B134:AE134)</f>
        <v>2</v>
      </c>
      <c r="AG134" s="54">
        <f>AF140-AF134</f>
        <v>1</v>
      </c>
      <c r="AW134" s="146"/>
    </row>
    <row r="135" spans="1:49" s="54" customFormat="1" ht="12.75" hidden="1" customHeight="1" x14ac:dyDescent="0.2">
      <c r="A135" s="54" t="s">
        <v>74</v>
      </c>
      <c r="B135" s="54">
        <f>IF(B109=5,IF(B122=1,1,0),0)</f>
        <v>0</v>
      </c>
      <c r="D135" s="58">
        <f>IF(D109=5,IF(D122=1,1,0),0)</f>
        <v>0</v>
      </c>
      <c r="E135" s="54">
        <f>IF(E109=5,IF(E122=1,1,0),0)</f>
        <v>0</v>
      </c>
      <c r="G135" s="58">
        <f>IF(G109=5,IF(G122=1,1,0),0)</f>
        <v>0</v>
      </c>
      <c r="H135" s="54">
        <f>IF(H109=5,IF(H122=1,1,0),0)</f>
        <v>0</v>
      </c>
      <c r="J135" s="58">
        <f>IF(J109=5,IF(J122=1,1,0),0)</f>
        <v>0</v>
      </c>
      <c r="K135" s="54">
        <f>IF(K109=5,IF(K122=1,1,0),0)</f>
        <v>0</v>
      </c>
      <c r="M135" s="58">
        <f>IF(M109=5,IF(M122=1,1,0),0)</f>
        <v>0</v>
      </c>
      <c r="N135" s="54">
        <f>IF(N109=5,IF(N122=1,1,0),0)</f>
        <v>0</v>
      </c>
      <c r="P135" s="58">
        <f>IF(P109=5,IF(P122=1,1,0),0)</f>
        <v>0</v>
      </c>
      <c r="Q135" s="54">
        <f>IF(Q109=5,IF(Q122=1,1,0),0)</f>
        <v>0</v>
      </c>
      <c r="S135" s="58">
        <f>IF(S109=5,IF(S122=1,1,0),0)</f>
        <v>0</v>
      </c>
      <c r="T135" s="54">
        <f>IF(T109=5,IF(T122=1,1,0),0)</f>
        <v>0</v>
      </c>
      <c r="V135" s="58">
        <f>IF(V109=5,IF(V122=1,1,0),0)</f>
        <v>0</v>
      </c>
      <c r="W135" s="54">
        <f>IF(W109=5,IF(W122=1,1,0),0)</f>
        <v>0</v>
      </c>
      <c r="Y135" s="58">
        <f>IF(Y109=5,IF(Y122=1,1,0),0)</f>
        <v>0</v>
      </c>
      <c r="Z135" s="54">
        <f>IF(Z109=5,IF(Z122=1,1,0),0)</f>
        <v>0</v>
      </c>
      <c r="AB135" s="58">
        <f>IF(AB109=5,IF(AB122=1,1,0),0)</f>
        <v>0</v>
      </c>
      <c r="AC135" s="54">
        <f>IF(AC109=5,IF(AC122=1,1,0),0)</f>
        <v>0</v>
      </c>
      <c r="AE135" s="58">
        <f>IF(AE109=5,IF(AE122=1,1,0),0)</f>
        <v>0</v>
      </c>
      <c r="AF135" s="54">
        <f>SUM(B135:AE135)</f>
        <v>0</v>
      </c>
      <c r="AG135" s="54">
        <f>AF141-AF135</f>
        <v>2</v>
      </c>
      <c r="AW135" s="146"/>
    </row>
    <row r="136" spans="1:49" s="54" customFormat="1" ht="38.25" hidden="1" customHeight="1" x14ac:dyDescent="0.2">
      <c r="A136" s="57"/>
      <c r="D136" s="58"/>
      <c r="G136" s="58"/>
      <c r="J136" s="58"/>
      <c r="M136" s="58"/>
      <c r="P136" s="58"/>
      <c r="S136" s="58"/>
      <c r="V136" s="58"/>
      <c r="Y136" s="58"/>
      <c r="AB136" s="58"/>
      <c r="AE136" s="58"/>
      <c r="AF136" s="57" t="s">
        <v>75</v>
      </c>
      <c r="AW136" s="146"/>
    </row>
    <row r="137" spans="1:49" s="54" customFormat="1" ht="12.75" hidden="1" customHeight="1" x14ac:dyDescent="0.2">
      <c r="A137" s="54" t="s">
        <v>76</v>
      </c>
      <c r="B137" s="54">
        <f>IF(B109=1,IF(C122=1,1,0),0)</f>
        <v>0</v>
      </c>
      <c r="D137" s="58">
        <f>IF(D109=1,IF(C122=1,1,0),0)</f>
        <v>0</v>
      </c>
      <c r="E137" s="54">
        <f>IF(E109=1,IF(F122=1,1,0),0)</f>
        <v>0</v>
      </c>
      <c r="G137" s="58">
        <f>IF(G109=1,IF(F122=1,1,0),0)</f>
        <v>0</v>
      </c>
      <c r="H137" s="54">
        <f>IF(H109=1,IF(I122=1,1,0),0)</f>
        <v>0</v>
      </c>
      <c r="J137" s="58">
        <f>IF(J109=1,IF(I122=1,1,0),0)</f>
        <v>0</v>
      </c>
      <c r="K137" s="54">
        <f>IF(K109=1,IF(L122=1,1,0),0)</f>
        <v>0</v>
      </c>
      <c r="M137" s="58">
        <f>IF(M109=1,IF(L122=1,1,0),0)</f>
        <v>0</v>
      </c>
      <c r="N137" s="54">
        <f>IF(N109=1,IF(O122=1,1,0),0)</f>
        <v>1</v>
      </c>
      <c r="P137" s="58">
        <f>IF(P109=1,IF(O122=1,1,0),0)</f>
        <v>0</v>
      </c>
      <c r="Q137" s="54">
        <f>IF(Q109=1,IF(R122=1,1,0),0)</f>
        <v>0</v>
      </c>
      <c r="S137" s="58">
        <f>IF(S109=1,IF(R122=1,1,0),0)</f>
        <v>0</v>
      </c>
      <c r="T137" s="54">
        <f>IF(T109=1,IF(U122=1,1,0),0)</f>
        <v>0</v>
      </c>
      <c r="V137" s="58">
        <f>IF(V109=1,IF(U122=1,1,0),0)</f>
        <v>0</v>
      </c>
      <c r="W137" s="54">
        <f>IF(W109=1,IF(X122=1,1,0),0)</f>
        <v>0</v>
      </c>
      <c r="Y137" s="58">
        <f>IF(Y109=1,IF(X122=1,1,0),0)</f>
        <v>0</v>
      </c>
      <c r="Z137" s="54">
        <f>IF(Z109=1,IF(AA122=1,1,0),0)</f>
        <v>0</v>
      </c>
      <c r="AB137" s="58">
        <f>IF(AB109=1,IF(AA122=1,1,0),0)</f>
        <v>0</v>
      </c>
      <c r="AC137" s="54">
        <f>IF(AC109=1,IF(AD122=1,1,0),0)</f>
        <v>0</v>
      </c>
      <c r="AE137" s="58">
        <f>IF(AE109=1,IF(AD122=1,1,0),0)</f>
        <v>0</v>
      </c>
      <c r="AF137" s="54">
        <f>SUM(B137:AE137)</f>
        <v>1</v>
      </c>
      <c r="AW137" s="146"/>
    </row>
    <row r="138" spans="1:49" s="54" customFormat="1" ht="12.75" hidden="1" customHeight="1" x14ac:dyDescent="0.2">
      <c r="A138" s="54" t="s">
        <v>77</v>
      </c>
      <c r="B138" s="54">
        <f>IF(B109=2,IF(C122=1,1,0),0)</f>
        <v>1</v>
      </c>
      <c r="D138" s="58">
        <f>IF(D109=2,IF(C122=1,1,0),0)</f>
        <v>0</v>
      </c>
      <c r="E138" s="54">
        <f>IF(E109=2,IF(F122=1,1,0),0)</f>
        <v>0</v>
      </c>
      <c r="G138" s="58">
        <f>IF(G109=2,IF(F122=1,1,0),0)</f>
        <v>0</v>
      </c>
      <c r="H138" s="54">
        <f>IF(H109=2,IF(I122=1,1,0),0)</f>
        <v>0</v>
      </c>
      <c r="J138" s="58">
        <f>IF(J109=2,IF(I122=1,1,0),0)</f>
        <v>0</v>
      </c>
      <c r="K138" s="54">
        <f>IF(K109=2,IF(L122=1,1,0),0)</f>
        <v>1</v>
      </c>
      <c r="M138" s="58">
        <f>IF(M109=2,IF(L122=1,1,0),0)</f>
        <v>0</v>
      </c>
      <c r="N138" s="54">
        <f>IF(N109=2,IF(O122=1,1,0),0)</f>
        <v>0</v>
      </c>
      <c r="P138" s="58">
        <f>IF(P109=2,IF(O122=1,1,0),0)</f>
        <v>0</v>
      </c>
      <c r="Q138" s="54">
        <f>IF(Q109=2,IF(R122=1,1,0),0)</f>
        <v>0</v>
      </c>
      <c r="S138" s="58">
        <f>IF(S109=2,IF(R122=1,1,0),0)</f>
        <v>0</v>
      </c>
      <c r="T138" s="54">
        <f>IF(T109=2,IF(U122=1,1,0),0)</f>
        <v>0</v>
      </c>
      <c r="V138" s="58">
        <f>IF(V109=2,IF(U122=1,1,0),0)</f>
        <v>0</v>
      </c>
      <c r="W138" s="54">
        <f>IF(W109=2,IF(X122=1,1,0),0)</f>
        <v>0</v>
      </c>
      <c r="Y138" s="58">
        <f>IF(Y109=2,IF(X122=1,1,0),0)</f>
        <v>0</v>
      </c>
      <c r="Z138" s="54">
        <f>IF(Z109=2,IF(AA122=1,1,0),0)</f>
        <v>0</v>
      </c>
      <c r="AB138" s="58">
        <f>IF(AB109=2,IF(AA122=1,1,0),0)</f>
        <v>0</v>
      </c>
      <c r="AC138" s="54">
        <f>IF(AC109=2,IF(AD122=1,1,0),0)</f>
        <v>0</v>
      </c>
      <c r="AE138" s="58">
        <f>IF(AE109=2,IF(AD122=1,1,0),0)</f>
        <v>0</v>
      </c>
      <c r="AF138" s="54">
        <f>SUM(B138:AE138)</f>
        <v>2</v>
      </c>
      <c r="AW138" s="146"/>
    </row>
    <row r="139" spans="1:49" s="54" customFormat="1" ht="12.75" hidden="1" customHeight="1" x14ac:dyDescent="0.2">
      <c r="A139" s="54" t="s">
        <v>78</v>
      </c>
      <c r="B139" s="54">
        <f>IF(B109=3,IF(C122=1,1,0),0)</f>
        <v>0</v>
      </c>
      <c r="D139" s="58">
        <f>IF(D109=3,IF(C122=1,1,0),0)</f>
        <v>0</v>
      </c>
      <c r="E139" s="54">
        <f>IF(E109=3,IF(F122=1,1,0),0)</f>
        <v>0</v>
      </c>
      <c r="G139" s="58">
        <f>IF(G109=3,IF(F122=1,1,0),0)</f>
        <v>0</v>
      </c>
      <c r="H139" s="54">
        <f>IF(H109=3,IF(I122=1,1,0),0)</f>
        <v>0</v>
      </c>
      <c r="J139" s="58">
        <f>IF(J109=3,IF(I122=1,1,0),0)</f>
        <v>0</v>
      </c>
      <c r="K139" s="54">
        <f>IF(K109=3,IF(L122=1,1,0),0)</f>
        <v>0</v>
      </c>
      <c r="M139" s="58">
        <f>IF(M109=3,IF(L122=1,1,0),0)</f>
        <v>0</v>
      </c>
      <c r="N139" s="54">
        <f>IF(N109=3,IF(O122=1,1,0),0)</f>
        <v>0</v>
      </c>
      <c r="P139" s="58">
        <f>IF(P109=3,IF(O122=1,1,0),0)</f>
        <v>1</v>
      </c>
      <c r="Q139" s="54">
        <f>IF(Q109=3,IF(R122=1,1,0),0)</f>
        <v>0</v>
      </c>
      <c r="S139" s="58">
        <f>IF(S109=3,IF(R122=1,1,0),0)</f>
        <v>0</v>
      </c>
      <c r="T139" s="54">
        <f>IF(T109=3,IF(U122=1,1,0),0)</f>
        <v>0</v>
      </c>
      <c r="V139" s="58">
        <f>IF(V109=3,IF(U122=1,1,0),0)</f>
        <v>0</v>
      </c>
      <c r="W139" s="54">
        <f>IF(W109=3,IF(X122=1,1,0),0)</f>
        <v>0</v>
      </c>
      <c r="Y139" s="58">
        <f>IF(Y109=3,IF(X122=1,1,0),0)</f>
        <v>0</v>
      </c>
      <c r="Z139" s="54">
        <f>IF(Z109=3,IF(AA122=1,1,0),0)</f>
        <v>1</v>
      </c>
      <c r="AB139" s="58">
        <f>IF(AB109=3,IF(AA122=1,1,0),0)</f>
        <v>0</v>
      </c>
      <c r="AC139" s="54">
        <f>IF(AC109=3,IF(AD122=1,1,0),0)</f>
        <v>0</v>
      </c>
      <c r="AE139" s="58">
        <f>IF(AE109=3,IF(AD122=1,1,0),0)</f>
        <v>0</v>
      </c>
      <c r="AF139" s="54">
        <f>SUM(B139:AE139)</f>
        <v>2</v>
      </c>
      <c r="AW139" s="146"/>
    </row>
    <row r="140" spans="1:49" s="54" customFormat="1" ht="12.75" hidden="1" customHeight="1" x14ac:dyDescent="0.2">
      <c r="A140" s="54" t="s">
        <v>79</v>
      </c>
      <c r="B140" s="54">
        <f>IF(B109=4,IF(C122=1,1,0),0)</f>
        <v>0</v>
      </c>
      <c r="D140" s="58">
        <f>IF(D109=4,IF(C122=1,1,0),0)</f>
        <v>0</v>
      </c>
      <c r="E140" s="54">
        <f>IF(E109=4,IF(F122=1,1,0),0)</f>
        <v>0</v>
      </c>
      <c r="G140" s="58">
        <f>IF(G109=4,IF(F122=1,1,0),0)</f>
        <v>0</v>
      </c>
      <c r="H140" s="54">
        <f>IF(H109=4,IF(I122=1,1,0),0)</f>
        <v>0</v>
      </c>
      <c r="J140" s="58">
        <f>IF(J109=4,IF(I122=1,1,0),0)</f>
        <v>0</v>
      </c>
      <c r="K140" s="54">
        <f>IF(K109=4,IF(L122=1,1,0),0)</f>
        <v>0</v>
      </c>
      <c r="M140" s="58">
        <f>IF(M109=4,IF(L122=1,1,0),0)</f>
        <v>1</v>
      </c>
      <c r="N140" s="54">
        <f>IF(N109=4,IF(O122=1,1,0),0)</f>
        <v>0</v>
      </c>
      <c r="P140" s="58">
        <f>IF(P109=4,IF(O122=1,1,0),0)</f>
        <v>0</v>
      </c>
      <c r="Q140" s="54">
        <f>IF(Q109=4,IF(R122=1,1,0),0)</f>
        <v>1</v>
      </c>
      <c r="S140" s="58">
        <f>IF(S109=4,IF(R122=1,1,0),0)</f>
        <v>0</v>
      </c>
      <c r="T140" s="54">
        <f>IF(T109=4,IF(U122=1,1,0),0)</f>
        <v>0</v>
      </c>
      <c r="V140" s="58">
        <f>IF(V109=4,IF(U122=1,1,0),0)</f>
        <v>0</v>
      </c>
      <c r="W140" s="54">
        <f>IF(W109=4,IF(X122=1,1,0),0)</f>
        <v>0</v>
      </c>
      <c r="Y140" s="58">
        <f>IF(Y109=4,IF(X122=1,1,0),0)</f>
        <v>0</v>
      </c>
      <c r="Z140" s="54">
        <f>IF(Z109=4,IF(AA122=1,1,0),0)</f>
        <v>0</v>
      </c>
      <c r="AB140" s="58">
        <f>IF(AB109=4,IF(AA122=1,1,0),0)</f>
        <v>1</v>
      </c>
      <c r="AC140" s="54">
        <f>IF(AC109=4,IF(AD122=1,1,0),0)</f>
        <v>0</v>
      </c>
      <c r="AE140" s="58">
        <f>IF(AE109=4,IF(AD122=1,1,0),0)</f>
        <v>0</v>
      </c>
      <c r="AF140" s="54">
        <f>SUM(B140:AE140)</f>
        <v>3</v>
      </c>
      <c r="AW140" s="146"/>
    </row>
    <row r="141" spans="1:49" s="54" customFormat="1" ht="12.75" hidden="1" customHeight="1" x14ac:dyDescent="0.2">
      <c r="A141" s="54" t="s">
        <v>80</v>
      </c>
      <c r="B141" s="54">
        <f>IF(B109=5,IF(C122=1,1,0),0)</f>
        <v>0</v>
      </c>
      <c r="D141" s="58">
        <f>IF(D109=5,IF(C122=1,1,0),0)</f>
        <v>1</v>
      </c>
      <c r="E141" s="54">
        <f>IF(E109=5,IF(F122=1,1,0),0)</f>
        <v>0</v>
      </c>
      <c r="G141" s="58">
        <f>IF(G109=5,IF(F122=1,1,0),0)</f>
        <v>0</v>
      </c>
      <c r="H141" s="54">
        <f>IF(H109=5,IF(I122=1,1,0),0)</f>
        <v>0</v>
      </c>
      <c r="J141" s="58">
        <f>IF(J109=5,IF(I122=1,1,0),0)</f>
        <v>0</v>
      </c>
      <c r="K141" s="54">
        <f>IF(K109=5,IF(L122=1,1,0),0)</f>
        <v>0</v>
      </c>
      <c r="M141" s="58">
        <f>IF(M109=5,IF(L122=1,1,0),0)</f>
        <v>0</v>
      </c>
      <c r="N141" s="54">
        <f>IF(N109=5,IF(O122=1,1,0),0)</f>
        <v>0</v>
      </c>
      <c r="P141" s="58">
        <f>IF(P109=5,IF(O122=1,1,0),0)</f>
        <v>0</v>
      </c>
      <c r="Q141" s="54">
        <f>IF(Q109=5,IF(R122=1,1,0),0)</f>
        <v>0</v>
      </c>
      <c r="S141" s="58">
        <f>IF(S109=5,IF(R122=1,1,0),0)</f>
        <v>1</v>
      </c>
      <c r="T141" s="54">
        <f>IF(T109=5,IF(U122=1,1,0),0)</f>
        <v>0</v>
      </c>
      <c r="V141" s="58">
        <f>IF(V109=5,IF(U122=1,1,0),0)</f>
        <v>0</v>
      </c>
      <c r="W141" s="54">
        <f>IF(W109=5,IF(X122=1,1,0),0)</f>
        <v>0</v>
      </c>
      <c r="Y141" s="58">
        <f>IF(Y109=5,IF(X122=1,1,0),0)</f>
        <v>0</v>
      </c>
      <c r="Z141" s="54">
        <f>IF(Z109=5,IF(AA122=1,1,0),0)</f>
        <v>0</v>
      </c>
      <c r="AB141" s="58">
        <f>IF(AB109=5,IF(AA122=1,1,0),0)</f>
        <v>0</v>
      </c>
      <c r="AC141" s="54">
        <f>IF(AC109=5,IF(AD122=1,1,0),0)</f>
        <v>0</v>
      </c>
      <c r="AE141" s="58">
        <f>IF(AE109=5,IF(AD122=1,1,0),0)</f>
        <v>0</v>
      </c>
      <c r="AF141" s="54">
        <f>SUM(B141:AE141)</f>
        <v>2</v>
      </c>
      <c r="AW141" s="146"/>
    </row>
    <row r="142" spans="1:49" s="54" customFormat="1" ht="38.25" hidden="1" customHeight="1" x14ac:dyDescent="0.2">
      <c r="A142" s="57"/>
      <c r="D142" s="58"/>
      <c r="G142" s="58"/>
      <c r="J142" s="58"/>
      <c r="M142" s="58"/>
      <c r="P142" s="58"/>
      <c r="S142" s="58"/>
      <c r="V142" s="58"/>
      <c r="Y142" s="58"/>
      <c r="AB142" s="58"/>
      <c r="AE142" s="58"/>
      <c r="AF142" s="57" t="s">
        <v>81</v>
      </c>
      <c r="AG142" s="789"/>
      <c r="AH142" s="789"/>
      <c r="AI142" s="789"/>
      <c r="AJ142" s="789"/>
      <c r="AK142" s="789"/>
      <c r="AW142" s="146"/>
    </row>
    <row r="143" spans="1:49" s="54" customFormat="1" ht="12.75" hidden="1" customHeight="1" x14ac:dyDescent="0.2">
      <c r="A143" s="54" t="s">
        <v>76</v>
      </c>
      <c r="B143" s="54">
        <f>IF(B109=1,B129,0)</f>
        <v>0</v>
      </c>
      <c r="D143" s="58">
        <f>IF(D109=1,B129,0)</f>
        <v>0</v>
      </c>
      <c r="E143" s="54">
        <f>IF(E109=1,E129,0)</f>
        <v>50</v>
      </c>
      <c r="G143" s="58">
        <f>IF(G109=1,E129,0)</f>
        <v>0</v>
      </c>
      <c r="H143" s="54">
        <f>IF(H109=1,H129,0)</f>
        <v>0</v>
      </c>
      <c r="J143" s="58">
        <f>IF(J109=1,H129,0)</f>
        <v>0</v>
      </c>
      <c r="K143" s="54">
        <f>IF(K109=1,K129,0)</f>
        <v>0</v>
      </c>
      <c r="M143" s="58">
        <f>IF(M109=1,K129,0)</f>
        <v>0</v>
      </c>
      <c r="N143" s="54">
        <f>IF(N109=1,N129,0)</f>
        <v>50</v>
      </c>
      <c r="P143" s="58">
        <f>IF(P109=1,N129,0)</f>
        <v>0</v>
      </c>
      <c r="Q143" s="54">
        <f>IF(Q109=1,Q129,0)</f>
        <v>0</v>
      </c>
      <c r="S143" s="58">
        <f>IF(S109=1,Q129,0)</f>
        <v>0</v>
      </c>
      <c r="T143" s="54">
        <f>IF(T109=1,T129,0)</f>
        <v>0</v>
      </c>
      <c r="V143" s="58">
        <f>IF(V109=1,T129,0)</f>
        <v>0</v>
      </c>
      <c r="W143" s="54">
        <f>IF(W109=1,W129,0)</f>
        <v>50</v>
      </c>
      <c r="Y143" s="58">
        <f>IF(Y109=1,W129,0)</f>
        <v>0</v>
      </c>
      <c r="Z143" s="54">
        <f>IF(Z109=1,Z129,0)</f>
        <v>0</v>
      </c>
      <c r="AB143" s="58">
        <f>IF(AB109=1,Z129,0)</f>
        <v>0</v>
      </c>
      <c r="AC143" s="54">
        <f>IF(AC109=1,AC129,0)</f>
        <v>50</v>
      </c>
      <c r="AE143" s="58">
        <f>IF(AE109=1,AC129,0)</f>
        <v>0</v>
      </c>
      <c r="AF143" s="54">
        <f>SUM(B143:AE143)</f>
        <v>200</v>
      </c>
      <c r="AW143" s="146"/>
    </row>
    <row r="144" spans="1:49" s="54" customFormat="1" ht="12.75" hidden="1" customHeight="1" x14ac:dyDescent="0.2">
      <c r="A144" s="54" t="s">
        <v>77</v>
      </c>
      <c r="B144" s="54">
        <f>IF(B109=2,B129,0)</f>
        <v>50</v>
      </c>
      <c r="D144" s="58">
        <f>IF(D109=2,B129,0)</f>
        <v>0</v>
      </c>
      <c r="E144" s="54">
        <f>IF(E109=2,E129,0)</f>
        <v>0</v>
      </c>
      <c r="G144" s="58">
        <f>IF(G109=2,E129,0)</f>
        <v>0</v>
      </c>
      <c r="H144" s="54">
        <f>IF(H109=2,H129,0)</f>
        <v>0</v>
      </c>
      <c r="J144" s="58">
        <f>IF(J109=2,H129,0)</f>
        <v>0</v>
      </c>
      <c r="K144" s="54">
        <f>IF(K109=2,K129,0)</f>
        <v>50</v>
      </c>
      <c r="M144" s="58">
        <f>IF(M109=2,K129,0)</f>
        <v>0</v>
      </c>
      <c r="N144" s="54">
        <f>IF(N109=2,N129,0)</f>
        <v>0</v>
      </c>
      <c r="P144" s="58">
        <f>IF(P109=2,N129,0)</f>
        <v>0</v>
      </c>
      <c r="Q144" s="54">
        <f>IF(Q109=2,Q129,0)</f>
        <v>0</v>
      </c>
      <c r="S144" s="58">
        <f>IF(S109=2,Q129,0)</f>
        <v>0</v>
      </c>
      <c r="T144" s="54">
        <f>IF(T109=2,T129,0)</f>
        <v>50</v>
      </c>
      <c r="V144" s="58">
        <f>IF(V109=2,T129,0)</f>
        <v>0</v>
      </c>
      <c r="W144" s="54">
        <f>IF(W109=2,W129,0)</f>
        <v>0</v>
      </c>
      <c r="Y144" s="58">
        <f>IF(Y109=2,W129,0)</f>
        <v>0</v>
      </c>
      <c r="Z144" s="54">
        <f>IF(Z109=2,Z129,0)</f>
        <v>0</v>
      </c>
      <c r="AB144" s="58">
        <f>IF(AB109=2,Z129,0)</f>
        <v>0</v>
      </c>
      <c r="AC144" s="54">
        <f>IF(AC109=2,AC129,0)</f>
        <v>0</v>
      </c>
      <c r="AE144" s="58">
        <f>IF(AE109=2,AC129,0)</f>
        <v>50</v>
      </c>
      <c r="AF144" s="54">
        <f>SUM(B144:AE144)</f>
        <v>200</v>
      </c>
      <c r="AW144" s="146"/>
    </row>
    <row r="145" spans="1:49" s="54" customFormat="1" ht="12.75" hidden="1" customHeight="1" x14ac:dyDescent="0.2">
      <c r="A145" s="54" t="s">
        <v>78</v>
      </c>
      <c r="B145" s="54">
        <f>IF(B109=3,B129,0)</f>
        <v>0</v>
      </c>
      <c r="D145" s="58">
        <f>IF(D109=3,B129,0)</f>
        <v>0</v>
      </c>
      <c r="E145" s="54">
        <f>IF(E109=3,E129,0)</f>
        <v>0</v>
      </c>
      <c r="G145" s="58">
        <f>IF(G109=3,E129,0)</f>
        <v>0</v>
      </c>
      <c r="H145" s="54">
        <f>IF(H109=3,H129,0)</f>
        <v>50</v>
      </c>
      <c r="J145" s="58">
        <f>IF(J109=3,H129,0)</f>
        <v>0</v>
      </c>
      <c r="K145" s="54">
        <f>IF(K109=3,K129,0)</f>
        <v>0</v>
      </c>
      <c r="M145" s="58">
        <f>IF(M109=3,K129,0)</f>
        <v>0</v>
      </c>
      <c r="N145" s="54">
        <f>IF(N109=3,N129,0)</f>
        <v>0</v>
      </c>
      <c r="P145" s="58">
        <f>IF(P109=3,N129,0)</f>
        <v>50</v>
      </c>
      <c r="Q145" s="54">
        <f>IF(Q109=3,Q129,0)</f>
        <v>0</v>
      </c>
      <c r="S145" s="58">
        <f>IF(S109=3,Q129,0)</f>
        <v>0</v>
      </c>
      <c r="T145" s="54">
        <f>IF(T109=3,T129,0)</f>
        <v>0</v>
      </c>
      <c r="V145" s="58">
        <f>IF(V109=3,T129,0)</f>
        <v>50</v>
      </c>
      <c r="W145" s="54">
        <f>IF(W109=3,W129,0)</f>
        <v>0</v>
      </c>
      <c r="Y145" s="58">
        <f>IF(Y109=3,W129,0)</f>
        <v>0</v>
      </c>
      <c r="Z145" s="54">
        <f>IF(Z109=3,Z129,0)</f>
        <v>50</v>
      </c>
      <c r="AB145" s="58">
        <f>IF(AB109=3,Z129,0)</f>
        <v>0</v>
      </c>
      <c r="AC145" s="54">
        <f>IF(AC109=3,AC129,0)</f>
        <v>0</v>
      </c>
      <c r="AE145" s="58">
        <f>IF(AE109=3,AC129,0)</f>
        <v>0</v>
      </c>
      <c r="AF145" s="54">
        <f>SUM(B145:AE145)</f>
        <v>200</v>
      </c>
      <c r="AW145" s="146"/>
    </row>
    <row r="146" spans="1:49" s="54" customFormat="1" ht="12.75" hidden="1" customHeight="1" x14ac:dyDescent="0.2">
      <c r="A146" s="54" t="s">
        <v>79</v>
      </c>
      <c r="B146" s="54">
        <f>IF(B109=4,B129,0)</f>
        <v>0</v>
      </c>
      <c r="D146" s="58">
        <f>IF(D109=4,B129,0)</f>
        <v>0</v>
      </c>
      <c r="E146" s="54">
        <f>IF(E109=4,E129,0)</f>
        <v>0</v>
      </c>
      <c r="G146" s="58">
        <f>IF(G109=4,E129,0)</f>
        <v>50</v>
      </c>
      <c r="H146" s="54">
        <f>IF(H109=4,H129,0)</f>
        <v>0</v>
      </c>
      <c r="J146" s="58">
        <f>IF(J109=4,H129,0)</f>
        <v>0</v>
      </c>
      <c r="K146" s="54">
        <f>IF(K109=4,K129,0)</f>
        <v>0</v>
      </c>
      <c r="M146" s="58">
        <f>IF(M109=4,K129,0)</f>
        <v>50</v>
      </c>
      <c r="N146" s="54">
        <f>IF(N109=4,N129,0)</f>
        <v>0</v>
      </c>
      <c r="P146" s="58">
        <f>IF(P109=4,N129,0)</f>
        <v>0</v>
      </c>
      <c r="Q146" s="54">
        <f>IF(Q109=4,Q129,0)</f>
        <v>50</v>
      </c>
      <c r="S146" s="58">
        <f>IF(S109=4,Q129,0)</f>
        <v>0</v>
      </c>
      <c r="T146" s="54">
        <f>IF(T109=4,T129,0)</f>
        <v>0</v>
      </c>
      <c r="V146" s="58">
        <f>IF(V109=4,T129,0)</f>
        <v>0</v>
      </c>
      <c r="W146" s="54">
        <f>IF(W109=4,W129,0)</f>
        <v>0</v>
      </c>
      <c r="Y146" s="58">
        <f>IF(Y109=4,W129,0)</f>
        <v>0</v>
      </c>
      <c r="Z146" s="54">
        <f>IF(Z109=4,Z129,0)</f>
        <v>0</v>
      </c>
      <c r="AB146" s="58">
        <f>IF(AB109=4,Z129,0)</f>
        <v>50</v>
      </c>
      <c r="AC146" s="54">
        <f>IF(AC109=4,AC129,0)</f>
        <v>0</v>
      </c>
      <c r="AE146" s="58">
        <f>IF(AE109=4,AC129,0)</f>
        <v>0</v>
      </c>
      <c r="AF146" s="54">
        <f>SUM(B146:AE146)</f>
        <v>200</v>
      </c>
      <c r="AW146" s="146"/>
    </row>
    <row r="147" spans="1:49" s="54" customFormat="1" ht="12.75" hidden="1" customHeight="1" x14ac:dyDescent="0.2">
      <c r="A147" s="54" t="s">
        <v>80</v>
      </c>
      <c r="B147" s="54">
        <f>IF(B109=5,B129,0)</f>
        <v>0</v>
      </c>
      <c r="D147" s="58">
        <f>IF(D109=5,B129,0)</f>
        <v>50</v>
      </c>
      <c r="E147" s="54">
        <f>IF(E109=5,E129,0)</f>
        <v>0</v>
      </c>
      <c r="G147" s="58">
        <f>IF(G109=5,E129,0)</f>
        <v>0</v>
      </c>
      <c r="H147" s="54">
        <f>IF(H109=5,H129,0)</f>
        <v>0</v>
      </c>
      <c r="J147" s="58">
        <f>IF(J109=5,H129,0)</f>
        <v>50</v>
      </c>
      <c r="K147" s="54">
        <f>IF(K109=5,K129,0)</f>
        <v>0</v>
      </c>
      <c r="M147" s="58">
        <f>IF(M109=5,K129,0)</f>
        <v>0</v>
      </c>
      <c r="N147" s="54">
        <f>IF(N109=5,N129,0)</f>
        <v>0</v>
      </c>
      <c r="P147" s="58">
        <f>IF(P109=5,N129,0)</f>
        <v>0</v>
      </c>
      <c r="Q147" s="54">
        <f>IF(Q109=5,Q129,0)</f>
        <v>0</v>
      </c>
      <c r="S147" s="58">
        <f>IF(S109=5,Q129,0)</f>
        <v>50</v>
      </c>
      <c r="T147" s="54">
        <f>IF(T109=5,T129,0)</f>
        <v>0</v>
      </c>
      <c r="V147" s="58">
        <f>IF(V109=5,T129,0)</f>
        <v>0</v>
      </c>
      <c r="W147" s="54">
        <f>IF(W109=5,W129,0)</f>
        <v>0</v>
      </c>
      <c r="Y147" s="58">
        <f>IF(Y109=5,W129,0)</f>
        <v>50</v>
      </c>
      <c r="Z147" s="54">
        <f>IF(Z109=5,Z129,0)</f>
        <v>0</v>
      </c>
      <c r="AB147" s="58">
        <f>IF(AB109=5,Z129,0)</f>
        <v>0</v>
      </c>
      <c r="AC147" s="54">
        <f>IF(AC109=5,AC129,0)</f>
        <v>0</v>
      </c>
      <c r="AE147" s="58">
        <f>IF(AE109=5,AC129,0)</f>
        <v>0</v>
      </c>
      <c r="AF147" s="54">
        <f>SUM(B147:AE147)</f>
        <v>200</v>
      </c>
      <c r="AW147" s="146"/>
    </row>
    <row r="148" spans="1:49" s="54" customFormat="1" ht="38.25" hidden="1" customHeight="1" x14ac:dyDescent="0.2">
      <c r="A148" s="54" t="s">
        <v>82</v>
      </c>
      <c r="D148" s="58"/>
      <c r="G148" s="58"/>
      <c r="J148" s="58"/>
      <c r="M148" s="58"/>
      <c r="P148" s="58"/>
      <c r="S148" s="58"/>
      <c r="V148" s="58"/>
      <c r="Y148" s="58"/>
      <c r="AB148" s="58"/>
      <c r="AE148" s="58"/>
      <c r="AF148" s="57" t="s">
        <v>83</v>
      </c>
      <c r="AG148" s="54" t="s">
        <v>84</v>
      </c>
      <c r="AW148" s="146"/>
    </row>
    <row r="149" spans="1:49" s="54" customFormat="1" ht="12.75" hidden="1" customHeight="1" x14ac:dyDescent="0.2">
      <c r="A149" s="54" t="s">
        <v>70</v>
      </c>
      <c r="B149" s="54">
        <f>IF(B109=1,SUMIF(B116:B120,"&gt;0"),0)</f>
        <v>0</v>
      </c>
      <c r="D149" s="58">
        <f>IF(D109=1,SUMIF(D116:D120,"&gt;0"),0)</f>
        <v>0</v>
      </c>
      <c r="E149" s="54">
        <f>IF(E109=1,SUMIF(E116:E120,"&gt;0"),0)</f>
        <v>1</v>
      </c>
      <c r="G149" s="58">
        <f>IF(G109=1,SUMIF(G116:G120,"&gt;0"),0)</f>
        <v>0</v>
      </c>
      <c r="H149" s="54">
        <f>IF(H109=1,SUMIF(H116:H120,"&gt;0"),0)</f>
        <v>0</v>
      </c>
      <c r="J149" s="58">
        <f>IF(J109=1,SUMIF(J116:J120,"&gt;0"),0)</f>
        <v>0</v>
      </c>
      <c r="K149" s="54">
        <f>IF(K109=1,SUMIF(K116:K120,"&gt;0"),0)</f>
        <v>0</v>
      </c>
      <c r="M149" s="58">
        <f>IF(M109=1,SUMIF(M116:M120,"&gt;0"),0)</f>
        <v>0</v>
      </c>
      <c r="N149" s="54">
        <f>IF(N109=1,SUMIF(N116:N120,"&gt;0"),0)</f>
        <v>0</v>
      </c>
      <c r="P149" s="58">
        <f>IF(P109=1,SUMIF(P116:P120,"&gt;0"),0)</f>
        <v>0</v>
      </c>
      <c r="Q149" s="54">
        <f>IF(Q109=1,SUMIF(Q116:Q120,"&gt;0"),0)</f>
        <v>0</v>
      </c>
      <c r="S149" s="58">
        <f>IF(S109=1,SUMIF(S116:S120,"&gt;0"),0)</f>
        <v>0</v>
      </c>
      <c r="T149" s="54">
        <f>IF(T109=1,SUMIF(T116:T120,"&gt;0"),0)</f>
        <v>0</v>
      </c>
      <c r="V149" s="58">
        <f>IF(V109=1,SUMIF(V116:V120,"&gt;0"),0)</f>
        <v>0</v>
      </c>
      <c r="W149" s="54">
        <f>IF(W109=1,SUMIF(W116:W120,"&gt;0"),0)</f>
        <v>1</v>
      </c>
      <c r="Y149" s="58">
        <f>IF(Y109=1,SUMIF(Y116:Y120,"&gt;0"),0)</f>
        <v>0</v>
      </c>
      <c r="Z149" s="54">
        <f>IF(Z109=1,SUMIF(Z116:Z120,"&gt;0"),0)</f>
        <v>0</v>
      </c>
      <c r="AB149" s="58">
        <f>IF(AB109=1,SUMIF(AB116:AB120,"&gt;0"),0)</f>
        <v>0</v>
      </c>
      <c r="AC149" s="54">
        <f>IF(AC109=1,SUMIF(AC116:AC120,"&gt;0"),0)</f>
        <v>1</v>
      </c>
      <c r="AE149" s="58">
        <f>IF(AE109=1,SUMIF(AE116:AE120,"&gt;0"),0)</f>
        <v>0</v>
      </c>
      <c r="AF149" s="54">
        <f>SUM(B149:AE149)</f>
        <v>3</v>
      </c>
      <c r="AG149" s="54">
        <f>AF157-AF149</f>
        <v>5</v>
      </c>
      <c r="AW149" s="146"/>
    </row>
    <row r="150" spans="1:49" s="54" customFormat="1" ht="12.75" hidden="1" customHeight="1" x14ac:dyDescent="0.2">
      <c r="A150" s="54" t="s">
        <v>71</v>
      </c>
      <c r="B150" s="54">
        <f>IF(B109=2,SUMIF(B116:B120,"&gt;0"),0)</f>
        <v>2</v>
      </c>
      <c r="D150" s="58">
        <f>IF(D109=2,SUMIF(D116:D120,"&gt;0"),0)</f>
        <v>0</v>
      </c>
      <c r="E150" s="54">
        <f>IF(E109=2,SUMIF(E116:E120,"&gt;0"),0)</f>
        <v>0</v>
      </c>
      <c r="G150" s="58">
        <f>IF(G109=2,SUMIF(G116:G120,"&gt;0"),0)</f>
        <v>0</v>
      </c>
      <c r="H150" s="54">
        <f>IF(H109=2,SUMIF(H116:H120,"&gt;0"),0)</f>
        <v>0</v>
      </c>
      <c r="J150" s="58">
        <f>IF(J109=2,SUMIF(J116:J120,"&gt;0"),0)</f>
        <v>0</v>
      </c>
      <c r="K150" s="54">
        <f>IF(K109=2,SUMIF(K116:K120,"&gt;0"),0)</f>
        <v>0</v>
      </c>
      <c r="M150" s="58">
        <f>IF(M109=2,SUMIF(M116:M120,"&gt;0"),0)</f>
        <v>0</v>
      </c>
      <c r="N150" s="54">
        <f>IF(N109=2,SUMIF(N116:N120,"&gt;0"),0)</f>
        <v>0</v>
      </c>
      <c r="P150" s="58">
        <f>IF(P109=2,SUMIF(P116:P120,"&gt;0"),0)</f>
        <v>0</v>
      </c>
      <c r="Q150" s="54">
        <f>IF(Q109=2,SUMIF(Q116:Q120,"&gt;0"),0)</f>
        <v>0</v>
      </c>
      <c r="S150" s="58">
        <f>IF(S109=2,SUMIF(S116:S120,"&gt;0"),0)</f>
        <v>0</v>
      </c>
      <c r="T150" s="54">
        <f>IF(T109=2,SUMIF(T116:T120,"&gt;0"),0)</f>
        <v>1</v>
      </c>
      <c r="V150" s="58">
        <f>IF(V109=2,SUMIF(V116:V120,"&gt;0"),0)</f>
        <v>0</v>
      </c>
      <c r="W150" s="54">
        <f>IF(W109=2,SUMIF(W116:W120,"&gt;0"),0)</f>
        <v>0</v>
      </c>
      <c r="Y150" s="58">
        <f>IF(Y109=2,SUMIF(Y116:Y120,"&gt;0"),0)</f>
        <v>0</v>
      </c>
      <c r="Z150" s="54">
        <f>IF(Z109=2,SUMIF(Z116:Z120,"&gt;0"),0)</f>
        <v>0</v>
      </c>
      <c r="AB150" s="58">
        <f>IF(AB109=2,SUMIF(AB116:AB120,"&gt;0"),0)</f>
        <v>0</v>
      </c>
      <c r="AC150" s="54">
        <f>IF(AC109=2,SUMIF(AC116:AC120,"&gt;0"),0)</f>
        <v>0</v>
      </c>
      <c r="AE150" s="58">
        <f>IF(AE109=2,SUMIF(AE116:AE120,"&gt;0"),0)</f>
        <v>1</v>
      </c>
      <c r="AF150" s="54">
        <f>SUM(B150:AE150)</f>
        <v>4</v>
      </c>
      <c r="AG150" s="54">
        <f>AF158-AF150</f>
        <v>4</v>
      </c>
      <c r="AW150" s="146"/>
    </row>
    <row r="151" spans="1:49" s="54" customFormat="1" ht="12.75" hidden="1" customHeight="1" x14ac:dyDescent="0.2">
      <c r="A151" s="54" t="s">
        <v>72</v>
      </c>
      <c r="B151" s="54">
        <f>IF(B109=3,SUMIF(B116:B120,"&gt;0"),0)</f>
        <v>0</v>
      </c>
      <c r="D151" s="58">
        <f>IF(D109=3,SUMIF(D116:D120,"&gt;0"),0)</f>
        <v>0</v>
      </c>
      <c r="E151" s="54">
        <f>IF(E109=3,SUMIF(E116:E120,"&gt;0"),0)</f>
        <v>0</v>
      </c>
      <c r="G151" s="58">
        <f>IF(G109=3,SUMIF(G116:G120,"&gt;0"),0)</f>
        <v>0</v>
      </c>
      <c r="H151" s="54">
        <f>IF(H109=3,SUMIF(H116:H120,"&gt;0"),0)</f>
        <v>1</v>
      </c>
      <c r="J151" s="58">
        <f>IF(J109=3,SUMIF(J116:J120,"&gt;0"),0)</f>
        <v>0</v>
      </c>
      <c r="K151" s="54">
        <f>IF(K109=3,SUMIF(K116:K120,"&gt;0"),0)</f>
        <v>0</v>
      </c>
      <c r="M151" s="58">
        <f>IF(M109=3,SUMIF(M116:M120,"&gt;0"),0)</f>
        <v>0</v>
      </c>
      <c r="N151" s="54">
        <f>IF(N109=3,SUMIF(N116:N120,"&gt;0"),0)</f>
        <v>0</v>
      </c>
      <c r="P151" s="58">
        <f>IF(P109=3,SUMIF(P116:P120,"&gt;0"),0)</f>
        <v>2</v>
      </c>
      <c r="Q151" s="54">
        <f>IF(Q109=3,SUMIF(Q116:Q120,"&gt;0"),0)</f>
        <v>0</v>
      </c>
      <c r="S151" s="58">
        <f>IF(S109=3,SUMIF(S116:S120,"&gt;0"),0)</f>
        <v>0</v>
      </c>
      <c r="T151" s="54">
        <f>IF(T109=3,SUMIF(T116:T120,"&gt;0"),0)</f>
        <v>0</v>
      </c>
      <c r="V151" s="58">
        <f>IF(V109=3,SUMIF(V116:V120,"&gt;0"),0)</f>
        <v>1</v>
      </c>
      <c r="W151" s="54">
        <f>IF(W109=3,SUMIF(W116:W120,"&gt;0"),0)</f>
        <v>0</v>
      </c>
      <c r="Y151" s="58">
        <f>IF(Y109=3,SUMIF(Y116:Y120,"&gt;0"),0)</f>
        <v>0</v>
      </c>
      <c r="Z151" s="54">
        <f>IF(Z109=3,SUMIF(Z116:Z120,"&gt;0"),0)</f>
        <v>2</v>
      </c>
      <c r="AB151" s="58">
        <f>IF(AB109=3,SUMIF(AB116:AB120,"&gt;0"),0)</f>
        <v>0</v>
      </c>
      <c r="AC151" s="54">
        <f>IF(AC109=3,SUMIF(AC116:AC120,"&gt;0"),0)</f>
        <v>0</v>
      </c>
      <c r="AE151" s="58">
        <f>IF(AE109=3,SUMIF(AE116:AE120,"&gt;0"),0)</f>
        <v>0</v>
      </c>
      <c r="AF151" s="54">
        <f>SUM(B151:AE151)</f>
        <v>6</v>
      </c>
      <c r="AG151" s="54">
        <f>AF159-AF151</f>
        <v>2</v>
      </c>
      <c r="AW151" s="146"/>
    </row>
    <row r="152" spans="1:49" s="54" customFormat="1" ht="12.75" hidden="1" customHeight="1" x14ac:dyDescent="0.2">
      <c r="A152" s="54" t="s">
        <v>73</v>
      </c>
      <c r="B152" s="54">
        <f>IF(B109=4,SUMIF(B116:B120,"&gt;0"),0)</f>
        <v>0</v>
      </c>
      <c r="D152" s="58">
        <f>IF(D109=4,SUMIF(D116:D120,"&gt;0"),0)</f>
        <v>0</v>
      </c>
      <c r="E152" s="54">
        <f>IF(E109=4,SUMIF(E116:E120,"&gt;0"),0)</f>
        <v>0</v>
      </c>
      <c r="G152" s="58">
        <f>IF(G109=4,SUMIF(G116:G120,"&gt;0"),0)</f>
        <v>1</v>
      </c>
      <c r="H152" s="54">
        <f>IF(H109=4,SUMIF(H116:H120,"&gt;0"),0)</f>
        <v>0</v>
      </c>
      <c r="J152" s="58">
        <f>IF(J109=4,SUMIF(J116:J120,"&gt;0"),0)</f>
        <v>0</v>
      </c>
      <c r="K152" s="54">
        <f>IF(K109=4,SUMIF(K116:K120,"&gt;0"),0)</f>
        <v>0</v>
      </c>
      <c r="M152" s="58">
        <f>IF(M109=4,SUMIF(M116:M120,"&gt;0"),0)</f>
        <v>2</v>
      </c>
      <c r="N152" s="54">
        <f>IF(N109=4,SUMIF(N116:N120,"&gt;0"),0)</f>
        <v>0</v>
      </c>
      <c r="P152" s="58">
        <f>IF(P109=4,SUMIF(P116:P120,"&gt;0"),0)</f>
        <v>0</v>
      </c>
      <c r="Q152" s="54">
        <f>IF(Q109=4,SUMIF(Q116:Q120,"&gt;0"),0)</f>
        <v>2</v>
      </c>
      <c r="S152" s="58">
        <f>IF(S109=4,SUMIF(S116:S120,"&gt;0"),0)</f>
        <v>0</v>
      </c>
      <c r="T152" s="54">
        <f>IF(T109=4,SUMIF(T116:T120,"&gt;0"),0)</f>
        <v>0</v>
      </c>
      <c r="V152" s="58">
        <f>IF(V109=4,SUMIF(V116:V120,"&gt;0"),0)</f>
        <v>0</v>
      </c>
      <c r="W152" s="54">
        <f>IF(W109=4,SUMIF(W116:W120,"&gt;0"),0)</f>
        <v>0</v>
      </c>
      <c r="Y152" s="58">
        <f>IF(Y109=4,SUMIF(Y116:Y120,"&gt;0"),0)</f>
        <v>0</v>
      </c>
      <c r="Z152" s="54">
        <f>IF(Z109=4,SUMIF(Z116:Z120,"&gt;0"),0)</f>
        <v>0</v>
      </c>
      <c r="AB152" s="58">
        <f>IF(AB109=4,SUMIF(AB116:AB120,"&gt;0"),0)</f>
        <v>0</v>
      </c>
      <c r="AC152" s="54">
        <f>IF(AC109=4,SUMIF(AC116:AC120,"&gt;0"),0)</f>
        <v>0</v>
      </c>
      <c r="AE152" s="58">
        <f>IF(AE109=4,SUMIF(AE116:AE120,"&gt;0"),0)</f>
        <v>0</v>
      </c>
      <c r="AF152" s="54">
        <f>SUM(B152:AE152)</f>
        <v>5</v>
      </c>
      <c r="AG152" s="54">
        <f>AF160-AF152</f>
        <v>3</v>
      </c>
      <c r="AW152" s="146"/>
    </row>
    <row r="153" spans="1:49" s="54" customFormat="1" ht="12.75" hidden="1" customHeight="1" x14ac:dyDescent="0.2">
      <c r="A153" s="54" t="s">
        <v>74</v>
      </c>
      <c r="B153" s="54">
        <f>IF(B109=5,SUMIF(B116:B120,"&gt;0"),0)</f>
        <v>0</v>
      </c>
      <c r="D153" s="58">
        <f>IF(D109=5,SUMIF(D116:D120,"&gt;0"),0)</f>
        <v>0</v>
      </c>
      <c r="E153" s="54">
        <f>IF(E109=5,SUMIF(E116:E120,"&gt;0"),0)</f>
        <v>0</v>
      </c>
      <c r="G153" s="58">
        <f>IF(G109=5,SUMIF(G116:G120,"&gt;0"),0)</f>
        <v>0</v>
      </c>
      <c r="H153" s="54">
        <f>IF(H109=5,SUMIF(H116:H120,"&gt;0"),0)</f>
        <v>0</v>
      </c>
      <c r="J153" s="58">
        <f>IF(J109=5,SUMIF(J116:J120,"&gt;0"),0)</f>
        <v>1</v>
      </c>
      <c r="K153" s="54">
        <f>IF(K109=5,SUMIF(K116:K120,"&gt;0"),0)</f>
        <v>0</v>
      </c>
      <c r="M153" s="58">
        <f>IF(M109=5,SUMIF(M116:M120,"&gt;0"),0)</f>
        <v>0</v>
      </c>
      <c r="N153" s="54">
        <f>IF(N109=5,SUMIF(N116:N120,"&gt;0"),0)</f>
        <v>0</v>
      </c>
      <c r="P153" s="58">
        <f>IF(P109=5,SUMIF(P116:P120,"&gt;0"),0)</f>
        <v>0</v>
      </c>
      <c r="Q153" s="54">
        <f>IF(Q109=5,SUMIF(Q116:Q120,"&gt;0"),0)</f>
        <v>0</v>
      </c>
      <c r="S153" s="58">
        <f>IF(S109=5,SUMIF(S116:S120,"&gt;0"),0)</f>
        <v>0</v>
      </c>
      <c r="T153" s="54">
        <f>IF(T109=5,SUMIF(T116:T120,"&gt;0"),0)</f>
        <v>0</v>
      </c>
      <c r="V153" s="58">
        <f>IF(V109=5,SUMIF(V116:V120,"&gt;0"),0)</f>
        <v>0</v>
      </c>
      <c r="W153" s="54">
        <f>IF(W109=5,SUMIF(W116:W120,"&gt;0"),0)</f>
        <v>0</v>
      </c>
      <c r="Y153" s="58">
        <f>IF(Y109=5,SUMIF(Y116:Y120,"&gt;0"),0)</f>
        <v>1</v>
      </c>
      <c r="Z153" s="54">
        <f>IF(Z109=5,SUMIF(Z116:Z120,"&gt;0"),0)</f>
        <v>0</v>
      </c>
      <c r="AB153" s="58">
        <f>IF(AB109=5,SUMIF(AB116:AB120,"&gt;0"),0)</f>
        <v>0</v>
      </c>
      <c r="AC153" s="54">
        <f>IF(AC109=5,SUMIF(AC116:AC120,"&gt;0"),0)</f>
        <v>0</v>
      </c>
      <c r="AE153" s="58">
        <f>IF(AE109=5,SUMIF(AE116:AE120,"&gt;0"),0)</f>
        <v>0</v>
      </c>
      <c r="AF153" s="54">
        <f>SUM(B153:AE153)</f>
        <v>2</v>
      </c>
      <c r="AG153" s="54">
        <f>AF161-AF153</f>
        <v>6</v>
      </c>
      <c r="AW153" s="146"/>
    </row>
    <row r="154" spans="1:49" s="54" customFormat="1" ht="12.75" hidden="1" customHeight="1" x14ac:dyDescent="0.2">
      <c r="D154" s="58"/>
      <c r="G154" s="58"/>
      <c r="J154" s="58"/>
      <c r="M154" s="58"/>
      <c r="P154" s="58"/>
      <c r="S154" s="58"/>
      <c r="V154" s="58"/>
      <c r="Y154" s="58"/>
      <c r="AB154" s="58"/>
      <c r="AE154" s="58"/>
      <c r="AW154" s="146"/>
    </row>
    <row r="155" spans="1:49" s="54" customFormat="1" ht="12.75" hidden="1" customHeight="1" x14ac:dyDescent="0.2">
      <c r="D155" s="58"/>
      <c r="G155" s="58"/>
      <c r="J155" s="58"/>
      <c r="M155" s="58"/>
      <c r="P155" s="58"/>
      <c r="S155" s="58"/>
      <c r="V155" s="58"/>
      <c r="Y155" s="58"/>
      <c r="AB155" s="58"/>
      <c r="AE155" s="58"/>
      <c r="AW155" s="146"/>
    </row>
    <row r="156" spans="1:49" s="54" customFormat="1" ht="51" hidden="1" customHeight="1" x14ac:dyDescent="0.2">
      <c r="A156" s="57" t="s">
        <v>85</v>
      </c>
      <c r="C156" s="54">
        <f>SUMIF(B149:D153,"&gt;0")</f>
        <v>2</v>
      </c>
      <c r="D156" s="58"/>
      <c r="F156" s="54">
        <f>SUMIF(E149:G153,"&gt;0")</f>
        <v>2</v>
      </c>
      <c r="G156" s="58"/>
      <c r="I156" s="54">
        <f>SUMIF(H149:J153,"&gt;0")</f>
        <v>2</v>
      </c>
      <c r="J156" s="58"/>
      <c r="L156" s="54">
        <f>SUMIF(K149:M153,"&gt;0")</f>
        <v>2</v>
      </c>
      <c r="M156" s="58"/>
      <c r="O156" s="54">
        <f>SUMIF(N149:P153,"&gt;0")</f>
        <v>2</v>
      </c>
      <c r="P156" s="58"/>
      <c r="R156" s="54">
        <f>SUMIF(Q149:S153,"&gt;0")</f>
        <v>2</v>
      </c>
      <c r="S156" s="58"/>
      <c r="U156" s="54">
        <f>SUMIF(T149:V153,"&gt;0")</f>
        <v>2</v>
      </c>
      <c r="V156" s="58"/>
      <c r="X156" s="54">
        <f>SUMIF(W149:Y153,"&gt;0")</f>
        <v>2</v>
      </c>
      <c r="Y156" s="58"/>
      <c r="AA156" s="54">
        <f>SUMIF(Z149:AB153,"&gt;0")</f>
        <v>2</v>
      </c>
      <c r="AB156" s="58"/>
      <c r="AD156" s="54">
        <f>SUMIF(AC149:AE153,"&gt;0")</f>
        <v>2</v>
      </c>
      <c r="AE156" s="58"/>
      <c r="AF156" s="57" t="s">
        <v>86</v>
      </c>
      <c r="AW156" s="146"/>
    </row>
    <row r="157" spans="1:49" s="54" customFormat="1" ht="12.75" hidden="1" customHeight="1" x14ac:dyDescent="0.2">
      <c r="A157" s="54" t="s">
        <v>76</v>
      </c>
      <c r="B157" s="54">
        <f>IF(B109=1,C156,0)</f>
        <v>0</v>
      </c>
      <c r="D157" s="58">
        <f>IF(D109=1,C156,0)</f>
        <v>0</v>
      </c>
      <c r="E157" s="54">
        <f>IF(E109=1,F156,0)</f>
        <v>2</v>
      </c>
      <c r="G157" s="58">
        <f>IF(G109=1,F156,0)</f>
        <v>0</v>
      </c>
      <c r="H157" s="54">
        <f>IF(H109=1,I156,0)</f>
        <v>0</v>
      </c>
      <c r="J157" s="58">
        <f>IF(J109=1,I156,0)</f>
        <v>0</v>
      </c>
      <c r="K157" s="54">
        <f>IF(K109=1,L156,0)</f>
        <v>0</v>
      </c>
      <c r="M157" s="58">
        <f>IF(M109=1,L156,0)</f>
        <v>0</v>
      </c>
      <c r="N157" s="54">
        <f>IF(N109=1,O156,0)</f>
        <v>2</v>
      </c>
      <c r="P157" s="58">
        <f>IF(P109=1,O156,0)</f>
        <v>0</v>
      </c>
      <c r="Q157" s="54">
        <f>IF(Q109=1,R156,0)</f>
        <v>0</v>
      </c>
      <c r="S157" s="58">
        <f>IF(S109=1,R156,0)</f>
        <v>0</v>
      </c>
      <c r="T157" s="54">
        <f>IF(T109=1,U156,0)</f>
        <v>0</v>
      </c>
      <c r="V157" s="58">
        <f>IF(V109=1,U156,0)</f>
        <v>0</v>
      </c>
      <c r="W157" s="54">
        <f>IF(W109=1,X156,0)</f>
        <v>2</v>
      </c>
      <c r="Y157" s="58">
        <f>IF(Y109=1,X156,0)</f>
        <v>0</v>
      </c>
      <c r="Z157" s="54">
        <f>IF(Z109=1,AA156,0)</f>
        <v>0</v>
      </c>
      <c r="AB157" s="58">
        <f>IF(AB109=1,AA156,0)</f>
        <v>0</v>
      </c>
      <c r="AC157" s="54">
        <f>IF(AC109=1,AD156,0)</f>
        <v>2</v>
      </c>
      <c r="AE157" s="58">
        <f>IF(AE109=1,AD156,0)</f>
        <v>0</v>
      </c>
      <c r="AF157" s="54">
        <f>SUM(B157:AE157)</f>
        <v>8</v>
      </c>
      <c r="AW157" s="146"/>
    </row>
    <row r="158" spans="1:49" s="54" customFormat="1" ht="12.75" hidden="1" customHeight="1" x14ac:dyDescent="0.2">
      <c r="A158" s="54" t="s">
        <v>77</v>
      </c>
      <c r="B158" s="54">
        <f>IF(B109=2,C156,0)</f>
        <v>2</v>
      </c>
      <c r="D158" s="58">
        <f>IF(D109=2,C156,0)</f>
        <v>0</v>
      </c>
      <c r="E158" s="54">
        <f>IF(E109=2,F156,0)</f>
        <v>0</v>
      </c>
      <c r="G158" s="58">
        <f>IF(G109=2,F156,0)</f>
        <v>0</v>
      </c>
      <c r="H158" s="54">
        <f>IF(H109=2,I156,0)</f>
        <v>0</v>
      </c>
      <c r="J158" s="58">
        <f>IF(J109=2,I156,0)</f>
        <v>0</v>
      </c>
      <c r="K158" s="54">
        <f>IF(K109=2,L156,0)</f>
        <v>2</v>
      </c>
      <c r="M158" s="58">
        <f>IF(M109=2,L156,0)</f>
        <v>0</v>
      </c>
      <c r="N158" s="54">
        <f>IF(N109=2,O156,0)</f>
        <v>0</v>
      </c>
      <c r="P158" s="58">
        <f>IF(P109=2,O156,0)</f>
        <v>0</v>
      </c>
      <c r="Q158" s="54">
        <f>IF(Q109=2,R156,0)</f>
        <v>0</v>
      </c>
      <c r="S158" s="58">
        <f>IF(S109=2,R156,0)</f>
        <v>0</v>
      </c>
      <c r="T158" s="54">
        <f>IF(T109=2,U156,0)</f>
        <v>2</v>
      </c>
      <c r="V158" s="58">
        <f>IF(V109=2,U156,0)</f>
        <v>0</v>
      </c>
      <c r="W158" s="54">
        <f>IF(W109=2,X156,0)</f>
        <v>0</v>
      </c>
      <c r="Y158" s="58">
        <f>IF(Y109=2,X156,0)</f>
        <v>0</v>
      </c>
      <c r="Z158" s="54">
        <f>IF(Z109=2,AA156,0)</f>
        <v>0</v>
      </c>
      <c r="AB158" s="58">
        <f>IF(AB109=2,AA156,0)</f>
        <v>0</v>
      </c>
      <c r="AC158" s="54">
        <f>IF(AC109=2,AD156,0)</f>
        <v>0</v>
      </c>
      <c r="AE158" s="58">
        <f>IF(AE109=2,AD156,0)</f>
        <v>2</v>
      </c>
      <c r="AF158" s="54">
        <f>SUM(B158:AE158)</f>
        <v>8</v>
      </c>
      <c r="AW158" s="146"/>
    </row>
    <row r="159" spans="1:49" s="54" customFormat="1" ht="12.75" hidden="1" customHeight="1" x14ac:dyDescent="0.2">
      <c r="A159" s="54" t="s">
        <v>78</v>
      </c>
      <c r="B159" s="54">
        <f>IF(B109=3,C156,0)</f>
        <v>0</v>
      </c>
      <c r="D159" s="58">
        <f>IF(D109=3,C156,0)</f>
        <v>0</v>
      </c>
      <c r="E159" s="54">
        <f>IF(E109=3,F156,0)</f>
        <v>0</v>
      </c>
      <c r="G159" s="58">
        <f>IF(G109=3,F156,0)</f>
        <v>0</v>
      </c>
      <c r="H159" s="54">
        <f>IF(H109=3,I156,0)</f>
        <v>2</v>
      </c>
      <c r="J159" s="58">
        <f>IF(J109=3,I156,0)</f>
        <v>0</v>
      </c>
      <c r="K159" s="54">
        <f>IF(K109=3,L156,0)</f>
        <v>0</v>
      </c>
      <c r="M159" s="58">
        <f>IF(M109=3,L156,0)</f>
        <v>0</v>
      </c>
      <c r="N159" s="54">
        <f>IF(N109=3,O156,0)</f>
        <v>0</v>
      </c>
      <c r="P159" s="58">
        <f>IF(P109=3,O156,0)</f>
        <v>2</v>
      </c>
      <c r="Q159" s="54">
        <f>IF(Q109=3,R156,0)</f>
        <v>0</v>
      </c>
      <c r="S159" s="58">
        <f>IF(S109=3,R156,0)</f>
        <v>0</v>
      </c>
      <c r="T159" s="54">
        <f>IF(T109=3,U156,0)</f>
        <v>0</v>
      </c>
      <c r="V159" s="58">
        <f>IF(V109=3,U156,0)</f>
        <v>2</v>
      </c>
      <c r="W159" s="54">
        <f>IF(W109=3,X156,0)</f>
        <v>0</v>
      </c>
      <c r="Y159" s="58">
        <f>IF(Y109=3,X156,0)</f>
        <v>0</v>
      </c>
      <c r="Z159" s="54">
        <f>IF(Z109=3,AA156,0)</f>
        <v>2</v>
      </c>
      <c r="AB159" s="58">
        <f>IF(AB109=3,AA156,0)</f>
        <v>0</v>
      </c>
      <c r="AC159" s="54">
        <f>IF(AC109=3,AD156,0)</f>
        <v>0</v>
      </c>
      <c r="AE159" s="58">
        <f>IF(AE109=3,AD156,0)</f>
        <v>0</v>
      </c>
      <c r="AF159" s="54">
        <f>SUM(B159:AE159)</f>
        <v>8</v>
      </c>
      <c r="AW159" s="146"/>
    </row>
    <row r="160" spans="1:49" s="54" customFormat="1" ht="12.75" hidden="1" customHeight="1" x14ac:dyDescent="0.2">
      <c r="A160" s="54" t="s">
        <v>79</v>
      </c>
      <c r="B160" s="54">
        <f>IF(B109=4,C156,0)</f>
        <v>0</v>
      </c>
      <c r="D160" s="58">
        <f>IF(D109=4,C156,0)</f>
        <v>0</v>
      </c>
      <c r="E160" s="54">
        <f>IF(E109=4,F156,0)</f>
        <v>0</v>
      </c>
      <c r="G160" s="58">
        <f>IF(G109=4,F156,0)</f>
        <v>2</v>
      </c>
      <c r="H160" s="54">
        <f>IF(H109=4,I156,0)</f>
        <v>0</v>
      </c>
      <c r="J160" s="58">
        <f>IF(J109=4,I156,0)</f>
        <v>0</v>
      </c>
      <c r="K160" s="54">
        <f>IF(K109=4,L156,0)</f>
        <v>0</v>
      </c>
      <c r="M160" s="58">
        <f>IF(M109=4,L156,0)</f>
        <v>2</v>
      </c>
      <c r="N160" s="54">
        <f>IF(N109=4,O156,0)</f>
        <v>0</v>
      </c>
      <c r="P160" s="58">
        <f>IF(P109=4,O156,0)</f>
        <v>0</v>
      </c>
      <c r="Q160" s="54">
        <f>IF(Q109=4,R156,0)</f>
        <v>2</v>
      </c>
      <c r="S160" s="58">
        <f>IF(S109=4,R156,0)</f>
        <v>0</v>
      </c>
      <c r="T160" s="54">
        <f>IF(T109=4,U156,0)</f>
        <v>0</v>
      </c>
      <c r="V160" s="58">
        <f>IF(V109=4,U156,0)</f>
        <v>0</v>
      </c>
      <c r="W160" s="54">
        <f>IF(W109=4,X156,0)</f>
        <v>0</v>
      </c>
      <c r="Y160" s="58">
        <f>IF(Y109=4,X156,0)</f>
        <v>0</v>
      </c>
      <c r="Z160" s="54">
        <f>IF(Z109=4,AA156,0)</f>
        <v>0</v>
      </c>
      <c r="AB160" s="58">
        <f>IF(AB109=4,AA156,0)</f>
        <v>2</v>
      </c>
      <c r="AC160" s="54">
        <f>IF(AC109=4,AD156,0)</f>
        <v>0</v>
      </c>
      <c r="AE160" s="58">
        <f>IF(AE109=4,AD156,0)</f>
        <v>0</v>
      </c>
      <c r="AF160" s="54">
        <f>SUM(B160:AE160)</f>
        <v>8</v>
      </c>
      <c r="AW160" s="146"/>
    </row>
    <row r="161" spans="1:54" s="54" customFormat="1" ht="12.75" hidden="1" customHeight="1" x14ac:dyDescent="0.2">
      <c r="A161" s="54" t="s">
        <v>80</v>
      </c>
      <c r="B161" s="54">
        <f>IF(B109=5,C156,0)</f>
        <v>0</v>
      </c>
      <c r="D161" s="58">
        <f>IF(D109=5,C156,0)</f>
        <v>2</v>
      </c>
      <c r="E161" s="54">
        <f>IF(E109=5,F156,0)</f>
        <v>0</v>
      </c>
      <c r="G161" s="58">
        <f>IF(G109=5,F156,0)</f>
        <v>0</v>
      </c>
      <c r="H161" s="54">
        <f>IF(H109=5,I156,0)</f>
        <v>0</v>
      </c>
      <c r="J161" s="58">
        <f>IF(J109=5,I156,0)</f>
        <v>2</v>
      </c>
      <c r="K161" s="54">
        <f>IF(K109=5,L156,0)</f>
        <v>0</v>
      </c>
      <c r="M161" s="58">
        <f>IF(M109=5,L156,0)</f>
        <v>0</v>
      </c>
      <c r="N161" s="54">
        <f>IF(N109=5,O156,0)</f>
        <v>0</v>
      </c>
      <c r="P161" s="58">
        <f>IF(P109=5,O156,0)</f>
        <v>0</v>
      </c>
      <c r="Q161" s="54">
        <f>IF(Q109=5,R156,0)</f>
        <v>0</v>
      </c>
      <c r="S161" s="58">
        <f>IF(S109=5,R156,0)</f>
        <v>2</v>
      </c>
      <c r="T161" s="54">
        <f>IF(T109=5,U156,0)</f>
        <v>0</v>
      </c>
      <c r="V161" s="58">
        <f>IF(V109=5,U156,0)</f>
        <v>0</v>
      </c>
      <c r="W161" s="54">
        <f>IF(W109=5,X156,0)</f>
        <v>0</v>
      </c>
      <c r="Y161" s="58">
        <f>IF(Y109=5,X156,0)</f>
        <v>2</v>
      </c>
      <c r="Z161" s="54">
        <f>IF(Z109=5,AA156,0)</f>
        <v>0</v>
      </c>
      <c r="AB161" s="58">
        <f>IF(AB109=5,AA156,0)</f>
        <v>0</v>
      </c>
      <c r="AC161" s="54">
        <f>IF(AC109=5,AD156,0)</f>
        <v>0</v>
      </c>
      <c r="AE161" s="58">
        <f>IF(AE109=5,AD156,0)</f>
        <v>0</v>
      </c>
      <c r="AF161" s="54">
        <f>SUM(B161:AE161)</f>
        <v>8</v>
      </c>
      <c r="AW161" s="146"/>
    </row>
    <row r="162" spans="1:54" hidden="1" x14ac:dyDescent="0.2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60"/>
      <c r="AO162" s="60"/>
      <c r="AP162" s="60"/>
      <c r="AQ162" s="60"/>
      <c r="AR162" s="61"/>
      <c r="AS162" s="61"/>
      <c r="AT162" s="61"/>
      <c r="AU162" s="61"/>
      <c r="AV162" s="61"/>
      <c r="BB162" s="62"/>
    </row>
    <row r="163" spans="1:54" s="61" customFormat="1" hidden="1" x14ac:dyDescent="0.2">
      <c r="A163" s="63"/>
      <c r="B163" s="63"/>
      <c r="C163" s="63" t="s">
        <v>87</v>
      </c>
      <c r="D163" s="63">
        <v>1</v>
      </c>
      <c r="E163" s="63"/>
      <c r="F163" s="63"/>
      <c r="G163" s="63">
        <v>2</v>
      </c>
      <c r="H163" s="63"/>
      <c r="I163" s="63"/>
      <c r="J163" s="63">
        <v>3</v>
      </c>
      <c r="K163" s="63"/>
      <c r="L163" s="63"/>
      <c r="M163" s="63">
        <v>4</v>
      </c>
      <c r="N163" s="63"/>
      <c r="O163" s="63"/>
      <c r="P163" s="63">
        <v>5</v>
      </c>
      <c r="Q163" s="63"/>
      <c r="R163" s="63"/>
      <c r="S163" s="63">
        <v>6</v>
      </c>
      <c r="T163" s="63"/>
      <c r="U163" s="63"/>
      <c r="V163" s="63">
        <v>7</v>
      </c>
      <c r="W163" s="63"/>
      <c r="X163" s="63"/>
      <c r="Y163" s="63">
        <v>8</v>
      </c>
      <c r="Z163" s="63"/>
      <c r="AA163" s="63"/>
      <c r="AB163" s="63">
        <v>9</v>
      </c>
      <c r="AC163" s="63"/>
      <c r="AD163" s="63"/>
      <c r="AE163" s="63">
        <v>10</v>
      </c>
      <c r="AF163" s="4"/>
      <c r="AG163" s="63"/>
      <c r="AI163" s="64"/>
      <c r="AJ163" s="4"/>
      <c r="AK163" s="4"/>
      <c r="AL163" s="4"/>
      <c r="AM163" s="4"/>
      <c r="AN163" s="4"/>
      <c r="AO163" s="4"/>
      <c r="AT163" s="64" t="s">
        <v>88</v>
      </c>
      <c r="AW163" s="65"/>
      <c r="BB163" s="65"/>
    </row>
    <row r="164" spans="1:54" s="61" customFormat="1" hidden="1" x14ac:dyDescent="0.2">
      <c r="A164" s="66">
        <v>1</v>
      </c>
      <c r="B164" s="66" t="str">
        <f>E93</f>
        <v>CSRA Heat 16 Black</v>
      </c>
      <c r="C164" s="66">
        <f>VLOOKUP(B164,AU$3:BB$33,3,FALSE)</f>
        <v>2278.9436446962341</v>
      </c>
      <c r="D164" s="66">
        <f>IF(B157,B172,IF(D157,D172,C164))</f>
        <v>2278.9436446962341</v>
      </c>
      <c r="E164" s="66"/>
      <c r="F164" s="66"/>
      <c r="G164" s="66">
        <f>IF(E157,E172,IF(G157,G172,D164))</f>
        <v>2289.7921747189616</v>
      </c>
      <c r="H164" s="66"/>
      <c r="I164" s="66"/>
      <c r="J164" s="66">
        <f>IF(H157,H172,IF(J157,J172,G164))</f>
        <v>2289.7921747189616</v>
      </c>
      <c r="K164" s="66"/>
      <c r="L164" s="66"/>
      <c r="M164" s="66">
        <f>IF(K157,K172,IF(M157,M172,J164))</f>
        <v>2289.7921747189616</v>
      </c>
      <c r="N164" s="66"/>
      <c r="O164" s="66"/>
      <c r="P164" s="66">
        <f>IF(N157,N172,IF(P157,P172,M164))</f>
        <v>2272.5129997072709</v>
      </c>
      <c r="Q164" s="66"/>
      <c r="R164" s="66"/>
      <c r="S164" s="66">
        <f>IF(Q157,Q172,IF(S157,S172,P164))</f>
        <v>2272.5129997072709</v>
      </c>
      <c r="T164" s="66"/>
      <c r="U164" s="66"/>
      <c r="V164" s="66">
        <f>IF(T157,T172,IF(V157,V172,S164))</f>
        <v>2272.5129997072709</v>
      </c>
      <c r="W164" s="66"/>
      <c r="X164" s="66"/>
      <c r="Y164" s="66">
        <f>IF(W157,W172,IF(Y157,Y172,V164))</f>
        <v>2258.35174796295</v>
      </c>
      <c r="Z164" s="66"/>
      <c r="AA164" s="66"/>
      <c r="AB164" s="66">
        <f>IF(Z157,Z172,IF(AB157,AB172,Y164))</f>
        <v>2258.35174796295</v>
      </c>
      <c r="AC164" s="66"/>
      <c r="AD164" s="66"/>
      <c r="AE164" s="66">
        <f>IF(AC157,AC172,IF(AE157,AE172,AB164))</f>
        <v>2269.8759894215596</v>
      </c>
      <c r="AF164" s="4"/>
      <c r="AG164" s="4"/>
      <c r="AJ164" s="4"/>
      <c r="AK164" s="4"/>
      <c r="AL164" s="4"/>
      <c r="AM164" s="4"/>
      <c r="AN164" s="4"/>
      <c r="AO164" s="4"/>
      <c r="AT164" s="61" t="str">
        <f>B164</f>
        <v>CSRA Heat 16 Black</v>
      </c>
      <c r="AU164" s="61">
        <f>AE164</f>
        <v>2269.8759894215596</v>
      </c>
      <c r="AW164" s="65"/>
      <c r="BB164" s="65"/>
    </row>
    <row r="165" spans="1:54" s="61" customFormat="1" hidden="1" x14ac:dyDescent="0.2">
      <c r="A165" s="66">
        <v>2</v>
      </c>
      <c r="B165" s="66" t="str">
        <f>E95</f>
        <v>Sumter VBC 17</v>
      </c>
      <c r="C165" s="66">
        <f>VLOOKUP(B165,AU$3:BB$33,3,FALSE)</f>
        <v>2405.2146345930723</v>
      </c>
      <c r="D165" s="66">
        <f>IF(B158,B172,IF(D158,D172,C165))</f>
        <v>2414.6295824454514</v>
      </c>
      <c r="E165" s="66"/>
      <c r="F165" s="66"/>
      <c r="G165" s="66">
        <f>IF(E158,E172,IF(G158,G172,D165))</f>
        <v>2414.6295824454514</v>
      </c>
      <c r="H165" s="66"/>
      <c r="I165" s="66"/>
      <c r="J165" s="66">
        <f>IF(H158,H172,IF(J158,J172,G165))</f>
        <v>2414.6295824454514</v>
      </c>
      <c r="K165" s="66"/>
      <c r="L165" s="66"/>
      <c r="M165" s="66">
        <f>IF(K158,K172,IF(M158,M172,J165))</f>
        <v>2380.4321141406717</v>
      </c>
      <c r="N165" s="66"/>
      <c r="O165" s="66"/>
      <c r="P165" s="66">
        <f>IF(N158,N172,IF(P158,P172,M165))</f>
        <v>2380.4321141406717</v>
      </c>
      <c r="Q165" s="66"/>
      <c r="R165" s="66"/>
      <c r="S165" s="66">
        <f>IF(Q158,Q172,IF(S158,S172,P165))</f>
        <v>2380.4321141406717</v>
      </c>
      <c r="T165" s="66"/>
      <c r="U165" s="66"/>
      <c r="V165" s="66">
        <f>IF(T158,T172,IF(V158,V172,S165))</f>
        <v>2389.3482325364198</v>
      </c>
      <c r="W165" s="66"/>
      <c r="X165" s="66"/>
      <c r="Y165" s="66">
        <f>IF(W158,W172,IF(Y158,Y172,V165))</f>
        <v>2389.3482325364198</v>
      </c>
      <c r="Z165" s="66"/>
      <c r="AA165" s="66"/>
      <c r="AB165" s="66">
        <f>IF(Z158,Z172,IF(AB158,AB172,Y165))</f>
        <v>2389.3482325364198</v>
      </c>
      <c r="AC165" s="66"/>
      <c r="AD165" s="66"/>
      <c r="AE165" s="66">
        <f>IF(AC158,AC172,IF(AE158,AE172,AB165))</f>
        <v>2377.8239910778102</v>
      </c>
      <c r="AF165" s="4"/>
      <c r="AG165" s="4"/>
      <c r="AJ165" s="4"/>
      <c r="AL165" s="4"/>
      <c r="AM165" s="4"/>
      <c r="AN165" s="4"/>
      <c r="AO165" s="4"/>
      <c r="AT165" s="61" t="str">
        <f>B165</f>
        <v>Sumter VBC 17</v>
      </c>
      <c r="AU165" s="61">
        <f>AE165</f>
        <v>2377.8239910778102</v>
      </c>
      <c r="AW165" s="65"/>
      <c r="BB165" s="65"/>
    </row>
    <row r="166" spans="1:54" s="61" customFormat="1" hidden="1" x14ac:dyDescent="0.2">
      <c r="A166" s="66">
        <v>3</v>
      </c>
      <c r="B166" s="66" t="str">
        <f>E97</f>
        <v>KVC16-2</v>
      </c>
      <c r="C166" s="66">
        <f>VLOOKUP(B166,AU$3:BB$33,3,FALSE)</f>
        <v>2488.7144801532836</v>
      </c>
      <c r="D166" s="66">
        <f>IF(B159,B172,IF(D159,D172,C166))</f>
        <v>2488.7144801532836</v>
      </c>
      <c r="E166" s="66"/>
      <c r="F166" s="66"/>
      <c r="G166" s="66">
        <f>IF(E159,E172,IF(G159,G172,D166))</f>
        <v>2488.7144801532836</v>
      </c>
      <c r="H166" s="66"/>
      <c r="I166" s="66"/>
      <c r="J166" s="66">
        <f>IF(H159,H172,IF(J159,J172,G166))</f>
        <v>2462.5871745082882</v>
      </c>
      <c r="K166" s="66"/>
      <c r="L166" s="66"/>
      <c r="M166" s="66">
        <f>IF(K159,K172,IF(M159,M172,J166))</f>
        <v>2462.5871745082882</v>
      </c>
      <c r="N166" s="66"/>
      <c r="O166" s="66"/>
      <c r="P166" s="66">
        <f>IF(N159,N172,IF(P159,P172,M166))</f>
        <v>2479.8663495199794</v>
      </c>
      <c r="Q166" s="66"/>
      <c r="R166" s="66"/>
      <c r="S166" s="66">
        <f>IF(Q159,Q172,IF(S159,S172,P166))</f>
        <v>2479.8663495199794</v>
      </c>
      <c r="T166" s="66"/>
      <c r="U166" s="66"/>
      <c r="V166" s="66">
        <f>IF(T159,T172,IF(V159,V172,S166))</f>
        <v>2470.9502311242313</v>
      </c>
      <c r="W166" s="66"/>
      <c r="X166" s="66"/>
      <c r="Y166" s="66">
        <f>IF(W159,W172,IF(Y159,Y172,V166))</f>
        <v>2470.9502311242313</v>
      </c>
      <c r="Z166" s="66"/>
      <c r="AA166" s="66"/>
      <c r="AB166" s="66">
        <f>IF(Z159,Z172,IF(AB159,AB172,Y166))</f>
        <v>2499.5786767285817</v>
      </c>
      <c r="AC166" s="66"/>
      <c r="AD166" s="66"/>
      <c r="AE166" s="66">
        <f>IF(AC159,AC172,IF(AE159,AE172,AB166))</f>
        <v>2499.5786767285817</v>
      </c>
      <c r="AF166" s="4"/>
      <c r="AG166" s="4"/>
      <c r="AJ166" s="4"/>
      <c r="AL166" s="4"/>
      <c r="AM166" s="4"/>
      <c r="AN166" s="4"/>
      <c r="AO166" s="4"/>
      <c r="AT166" s="61" t="str">
        <f>B166</f>
        <v>KVC16-2</v>
      </c>
      <c r="AU166" s="61">
        <f>AE166</f>
        <v>2499.5786767285817</v>
      </c>
      <c r="AW166" s="65"/>
      <c r="BB166" s="65"/>
    </row>
    <row r="167" spans="1:54" s="61" customFormat="1" hidden="1" x14ac:dyDescent="0.2">
      <c r="A167" s="66">
        <v>4</v>
      </c>
      <c r="B167" s="66" t="str">
        <f>E99</f>
        <v>NETVC 16</v>
      </c>
      <c r="C167" s="66">
        <f>VLOOKUP(B167,AU$3:BB$33,3,FALSE)</f>
        <v>2401.5817935954892</v>
      </c>
      <c r="D167" s="66">
        <f>IF(B160,B172,IF(D160,D172,C167))</f>
        <v>2401.5817935954892</v>
      </c>
      <c r="E167" s="66"/>
      <c r="F167" s="66"/>
      <c r="G167" s="66">
        <f>IF(E160,E172,IF(G160,G172,D167))</f>
        <v>2390.7332635727616</v>
      </c>
      <c r="H167" s="66"/>
      <c r="I167" s="66"/>
      <c r="J167" s="66">
        <f>IF(H160,H172,IF(J160,J172,G167))</f>
        <v>2390.7332635727616</v>
      </c>
      <c r="K167" s="66"/>
      <c r="L167" s="66"/>
      <c r="M167" s="66">
        <f>IF(K160,K172,IF(M160,M172,J167))</f>
        <v>2424.9307318775413</v>
      </c>
      <c r="N167" s="66"/>
      <c r="O167" s="66"/>
      <c r="P167" s="66">
        <f>IF(N160,N172,IF(P160,P172,M167))</f>
        <v>2424.9307318775413</v>
      </c>
      <c r="Q167" s="66"/>
      <c r="R167" s="66"/>
      <c r="S167" s="66">
        <f>IF(Q160,Q172,IF(S160,S172,P167))</f>
        <v>2434.2076804090707</v>
      </c>
      <c r="T167" s="66"/>
      <c r="U167" s="66"/>
      <c r="V167" s="66">
        <f>IF(T160,T172,IF(V160,V172,S167))</f>
        <v>2434.2076804090707</v>
      </c>
      <c r="W167" s="66"/>
      <c r="X167" s="66"/>
      <c r="Y167" s="66">
        <f>IF(W160,W172,IF(Y160,Y172,V167))</f>
        <v>2434.2076804090707</v>
      </c>
      <c r="Z167" s="66"/>
      <c r="AA167" s="66"/>
      <c r="AB167" s="66">
        <f>IF(Z160,Z172,IF(AB160,AB172,Y167))</f>
        <v>2405.5792348047203</v>
      </c>
      <c r="AC167" s="66"/>
      <c r="AD167" s="66"/>
      <c r="AE167" s="66">
        <f>IF(AC160,AC172,IF(AE160,AE172,AB167))</f>
        <v>2405.5792348047203</v>
      </c>
      <c r="AF167" s="4"/>
      <c r="AG167" s="4"/>
      <c r="AJ167" s="4"/>
      <c r="AL167" s="4"/>
      <c r="AM167" s="4"/>
      <c r="AN167" s="4"/>
      <c r="AO167" s="4"/>
      <c r="AT167" s="61" t="str">
        <f>B167</f>
        <v>NETVC 16</v>
      </c>
      <c r="AU167" s="61">
        <f>AE167</f>
        <v>2405.5792348047203</v>
      </c>
      <c r="AW167" s="65"/>
      <c r="BB167" s="65"/>
    </row>
    <row r="168" spans="1:54" s="61" customFormat="1" hidden="1" x14ac:dyDescent="0.2">
      <c r="A168" s="66">
        <v>5</v>
      </c>
      <c r="B168" s="66" t="str">
        <f>E101</f>
        <v>SC Midlands 16 Garnet</v>
      </c>
      <c r="C168" s="66">
        <f>VLOOKUP(B168,AU$3:BB$33,3,FALSE)</f>
        <v>2099.9123103292327</v>
      </c>
      <c r="D168" s="66">
        <f>IF(B161,B172,IF(D161,D172,C168))</f>
        <v>2090.4973624768536</v>
      </c>
      <c r="E168" s="66"/>
      <c r="F168" s="66"/>
      <c r="G168" s="66">
        <f>IF(E161,E172,IF(G161,G172,D168))</f>
        <v>2090.4973624768536</v>
      </c>
      <c r="H168" s="66"/>
      <c r="I168" s="66"/>
      <c r="J168" s="66">
        <f>IF(H161,H172,IF(J161,J172,G168))</f>
        <v>2116.624668121849</v>
      </c>
      <c r="K168" s="66"/>
      <c r="L168" s="66"/>
      <c r="M168" s="66">
        <f>IF(K161,K172,IF(M161,M172,J168))</f>
        <v>2116.624668121849</v>
      </c>
      <c r="N168" s="66"/>
      <c r="O168" s="66"/>
      <c r="P168" s="66">
        <f>IF(N161,N172,IF(P161,P172,M168))</f>
        <v>2116.624668121849</v>
      </c>
      <c r="Q168" s="66"/>
      <c r="R168" s="66"/>
      <c r="S168" s="66">
        <f>IF(Q161,Q172,IF(S161,S172,P168))</f>
        <v>2107.3477195903197</v>
      </c>
      <c r="T168" s="66"/>
      <c r="U168" s="66"/>
      <c r="V168" s="66">
        <f>IF(T161,T172,IF(V161,V172,S168))</f>
        <v>2107.3477195903197</v>
      </c>
      <c r="W168" s="66"/>
      <c r="X168" s="66"/>
      <c r="Y168" s="66">
        <f>IF(W161,W172,IF(Y161,Y172,V168))</f>
        <v>2121.5089713346406</v>
      </c>
      <c r="Z168" s="66"/>
      <c r="AA168" s="66"/>
      <c r="AB168" s="66">
        <f>IF(Z161,Z172,IF(AB161,AB172,Y168))</f>
        <v>2121.5089713346406</v>
      </c>
      <c r="AC168" s="66"/>
      <c r="AD168" s="66"/>
      <c r="AE168" s="66">
        <f>IF(AC161,AC172,IF(AE161,AE172,AB168))</f>
        <v>2121.5089713346406</v>
      </c>
      <c r="AF168" s="4"/>
      <c r="AG168" s="4"/>
      <c r="AJ168" s="4"/>
      <c r="AL168" s="4"/>
      <c r="AM168" s="4"/>
      <c r="AN168" s="4"/>
      <c r="AO168" s="4"/>
      <c r="AT168" s="61" t="str">
        <f>B168</f>
        <v>SC Midlands 16 Garnet</v>
      </c>
      <c r="AU168" s="61">
        <f>AE168</f>
        <v>2121.5089713346406</v>
      </c>
      <c r="AW168" s="65"/>
      <c r="BB168" s="65"/>
    </row>
    <row r="169" spans="1:54" s="61" customFormat="1" hidden="1" x14ac:dyDescent="0.2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4"/>
      <c r="AG169" s="4"/>
      <c r="AJ169" s="4"/>
      <c r="AL169" s="4"/>
      <c r="AM169" s="4"/>
      <c r="AN169" s="4"/>
      <c r="AO169" s="4"/>
      <c r="AW169" s="65"/>
      <c r="BB169" s="65"/>
    </row>
    <row r="170" spans="1:54" s="61" customFormat="1" hidden="1" x14ac:dyDescent="0.2">
      <c r="A170" s="66" t="s">
        <v>89</v>
      </c>
      <c r="B170" s="66">
        <f>VLOOKUP(B109,$A164:$AE168,3,FALSE)</f>
        <v>2405.2146345930723</v>
      </c>
      <c r="C170" s="66">
        <v>1</v>
      </c>
      <c r="D170" s="66">
        <f>VLOOKUP(D109,$A164:$AE168,3,FALSE)</f>
        <v>2099.9123103292327</v>
      </c>
      <c r="E170" s="66">
        <f>VLOOKUP(E109,$A164:$AE168,4,FALSE)</f>
        <v>2278.9436446962341</v>
      </c>
      <c r="F170" s="66">
        <v>2</v>
      </c>
      <c r="G170" s="66">
        <f>VLOOKUP(G109,$A164:$AE168,4,FALSE)</f>
        <v>2401.5817935954892</v>
      </c>
      <c r="H170" s="66">
        <f>VLOOKUP(H109,$A164:$AE168,7,FALSE)</f>
        <v>2488.7144801532836</v>
      </c>
      <c r="I170" s="66">
        <v>3</v>
      </c>
      <c r="J170" s="66">
        <f>VLOOKUP(J109,$A164:$AE168,7,FALSE)</f>
        <v>2090.4973624768536</v>
      </c>
      <c r="K170" s="66">
        <f>VLOOKUP(K109,$A164:$AE168,10,FALSE)</f>
        <v>2414.6295824454514</v>
      </c>
      <c r="L170" s="66">
        <v>4</v>
      </c>
      <c r="M170" s="66">
        <f>VLOOKUP(M109,$A164:$AE168,10,FALSE)</f>
        <v>2390.7332635727616</v>
      </c>
      <c r="N170" s="66">
        <f>VLOOKUP(N109,$A164:$AE168,13,FALSE)</f>
        <v>2289.7921747189616</v>
      </c>
      <c r="O170" s="66">
        <v>5</v>
      </c>
      <c r="P170" s="66">
        <f>VLOOKUP(P109,$A164:$AE168,13,FALSE)</f>
        <v>2462.5871745082882</v>
      </c>
      <c r="Q170" s="66">
        <f>VLOOKUP(Q109,$A164:$AE168,16,FALSE)</f>
        <v>2424.9307318775413</v>
      </c>
      <c r="R170" s="66">
        <v>6</v>
      </c>
      <c r="S170" s="66">
        <f>VLOOKUP(S109,$A164:$AE168,16,FALSE)</f>
        <v>2116.624668121849</v>
      </c>
      <c r="T170" s="66">
        <f>VLOOKUP(T109,$A164:$AE168,19,FALSE)</f>
        <v>2380.4321141406717</v>
      </c>
      <c r="U170" s="66">
        <v>7</v>
      </c>
      <c r="V170" s="66">
        <f>VLOOKUP(V109,$A164:$AE168,19,FALSE)</f>
        <v>2479.8663495199794</v>
      </c>
      <c r="W170" s="66">
        <f>VLOOKUP(W109,$A164:$AE168,22,FALSE)</f>
        <v>2272.5129997072709</v>
      </c>
      <c r="X170" s="66">
        <v>8</v>
      </c>
      <c r="Y170" s="66">
        <f>VLOOKUP(Y109,$A164:$AE168,22,FALSE)</f>
        <v>2107.3477195903197</v>
      </c>
      <c r="Z170" s="66">
        <f>VLOOKUP(Z109,$A164:$AE168,25,FALSE)</f>
        <v>2470.9502311242313</v>
      </c>
      <c r="AA170" s="66">
        <v>9</v>
      </c>
      <c r="AB170" s="66">
        <f>VLOOKUP(AB109,$A164:$AE168,25,FALSE)</f>
        <v>2434.2076804090707</v>
      </c>
      <c r="AC170" s="66">
        <f>VLOOKUP(AC109,$A164:$AE168,28,FALSE)</f>
        <v>2258.35174796295</v>
      </c>
      <c r="AD170" s="66">
        <v>10</v>
      </c>
      <c r="AE170" s="66">
        <f>VLOOKUP(AE109,$A164:$AE168,28,FALSE)</f>
        <v>2389.3482325364198</v>
      </c>
      <c r="AF170" s="4"/>
      <c r="AG170" s="59"/>
      <c r="AH170" s="59"/>
      <c r="AI170" s="59"/>
      <c r="AJ170" s="59"/>
      <c r="AK170" s="59"/>
      <c r="AL170" s="59"/>
      <c r="AM170" s="59"/>
      <c r="AN170" s="60"/>
      <c r="AO170" s="60"/>
      <c r="AP170" s="60"/>
      <c r="AQ170" s="60"/>
      <c r="AW170" s="65"/>
      <c r="BB170" s="65"/>
    </row>
    <row r="171" spans="1:54" s="71" customFormat="1" hidden="1" x14ac:dyDescent="0.2">
      <c r="A171" s="67" t="s">
        <v>90</v>
      </c>
      <c r="B171" s="67">
        <f>1/(1+(10^-((B170-D170)/400)))*(B121+D121)</f>
        <v>1.7057828796131593</v>
      </c>
      <c r="C171" s="67"/>
      <c r="D171" s="67">
        <f>1/(1+(10^-((D170-B170)/400)))*(B121+D121)</f>
        <v>0.29421712038684078</v>
      </c>
      <c r="E171" s="67">
        <f>1/(1+(10^-((E170-G170)/400)))*(E121+G121)</f>
        <v>0.66098343678976201</v>
      </c>
      <c r="F171" s="67"/>
      <c r="G171" s="67">
        <f>1/(1+(10^-((G170-E170)/400)))*(E121+G121)</f>
        <v>1.339016563210238</v>
      </c>
      <c r="H171" s="67">
        <f>1/(1+(10^-((H170-J170)/400)))*(H121+J121)</f>
        <v>1.8164783014061114</v>
      </c>
      <c r="I171" s="67"/>
      <c r="J171" s="67">
        <f>1/(1+(10^-((J170-H170)/400)))*(H121+J121)</f>
        <v>0.18352169859388856</v>
      </c>
      <c r="K171" s="67">
        <f>1/(1+(10^-((K170-M170)/400)))*(K121+M121)</f>
        <v>1.0686708845243631</v>
      </c>
      <c r="L171" s="67"/>
      <c r="M171" s="67">
        <f>1/(1+(10^-((M170-K170)/400)))*(K121+M121)</f>
        <v>0.9313291154756369</v>
      </c>
      <c r="N171" s="67">
        <f>1/(1+(10^-((N170-P170)/400)))*(N121+P121)</f>
        <v>0.5399742191153436</v>
      </c>
      <c r="O171" s="67"/>
      <c r="P171" s="67">
        <f>1/(1+(10^-((P170-N170)/400)))*(N121+P121)</f>
        <v>1.4600257808846562</v>
      </c>
      <c r="Q171" s="67">
        <f>1/(1+(10^-((Q170-S170)/400)))*(Q121+S121)</f>
        <v>1.7100953583897029</v>
      </c>
      <c r="R171" s="67"/>
      <c r="S171" s="67">
        <f>1/(1+(10^-((S170-Q170)/400)))*(Q121+S121)</f>
        <v>0.28990464161029705</v>
      </c>
      <c r="T171" s="67">
        <f>1/(1+(10^-((T170-V170)/400)))*(T121+V121)</f>
        <v>0.72137130013287509</v>
      </c>
      <c r="U171" s="67"/>
      <c r="V171" s="67">
        <f>1/(1+(10^-((V170-T170)/400)))*(T121+V121)</f>
        <v>1.2786286998671248</v>
      </c>
      <c r="W171" s="67">
        <f>1/(1+(10^-((W170-Y170)/400)))*(W121+Y121)</f>
        <v>1.4425391170100326</v>
      </c>
      <c r="X171" s="67"/>
      <c r="Y171" s="67">
        <f>1/(1+(10^-((Y170-W170)/400)))*(W121+Y121)</f>
        <v>0.55746088298996743</v>
      </c>
      <c r="Z171" s="67">
        <f>1/(1+(10^-((Z170-AB170)/400)))*(Z121+AB121)</f>
        <v>1.1053610748640548</v>
      </c>
      <c r="AA171" s="67"/>
      <c r="AB171" s="67">
        <f>1/(1+(10^-((AB170-Z170)/400)))*(Z121+AB121)</f>
        <v>0.89463892513594545</v>
      </c>
      <c r="AC171" s="67">
        <f>1/(1+(10^-((AC170-AE170)/400)))*(AC121+AE121)</f>
        <v>0.63986745441845339</v>
      </c>
      <c r="AD171" s="67"/>
      <c r="AE171" s="67">
        <f>1/(1+(10^-((AE170-AC170)/400)))*(AC121+AE121)</f>
        <v>1.3601325455815465</v>
      </c>
      <c r="AF171" s="68"/>
      <c r="AG171" s="69"/>
      <c r="AH171" s="69"/>
      <c r="AI171" s="69"/>
      <c r="AJ171" s="69"/>
      <c r="AK171" s="69"/>
      <c r="AL171" s="69"/>
      <c r="AM171" s="69"/>
      <c r="AN171" s="70"/>
      <c r="AO171" s="70"/>
      <c r="AP171" s="70"/>
      <c r="AQ171" s="70"/>
      <c r="AW171" s="72"/>
      <c r="BB171" s="72"/>
    </row>
    <row r="172" spans="1:54" s="77" customFormat="1" hidden="1" x14ac:dyDescent="0.2">
      <c r="A172" s="73" t="s">
        <v>91</v>
      </c>
      <c r="B172" s="73">
        <f>B170+(B121-B171)*$BA$1</f>
        <v>2414.6295824454514</v>
      </c>
      <c r="C172" s="73"/>
      <c r="D172" s="73">
        <f>D170+(D121-D171)*$BA$1</f>
        <v>2090.4973624768536</v>
      </c>
      <c r="E172" s="73">
        <f>E170+(E121-E171)*$BA$1</f>
        <v>2289.7921747189616</v>
      </c>
      <c r="F172" s="73"/>
      <c r="G172" s="73">
        <f>G170+(G121-G171)*$BA$1</f>
        <v>2390.7332635727616</v>
      </c>
      <c r="H172" s="73">
        <f>H170+(H121-H171)*$BA$1</f>
        <v>2462.5871745082882</v>
      </c>
      <c r="I172" s="73"/>
      <c r="J172" s="73">
        <f>J170+(J121-J171)*$BA$1</f>
        <v>2116.624668121849</v>
      </c>
      <c r="K172" s="73">
        <f>K170+(K121-K171)*$BA$1</f>
        <v>2380.4321141406717</v>
      </c>
      <c r="L172" s="73"/>
      <c r="M172" s="73">
        <f>M170+(M121-M171)*$BA$1</f>
        <v>2424.9307318775413</v>
      </c>
      <c r="N172" s="73">
        <f>N170+(N121-N171)*$BA$1</f>
        <v>2272.5129997072709</v>
      </c>
      <c r="O172" s="73"/>
      <c r="P172" s="73">
        <f>P170+(P121-P171)*$BA$1</f>
        <v>2479.8663495199794</v>
      </c>
      <c r="Q172" s="73">
        <f>Q170+(Q121-Q171)*$BA$1</f>
        <v>2434.2076804090707</v>
      </c>
      <c r="R172" s="73"/>
      <c r="S172" s="73">
        <f>S170+(S121-S171)*$BA$1</f>
        <v>2107.3477195903197</v>
      </c>
      <c r="T172" s="73">
        <f>T170+(T121-T171)*$BA$1</f>
        <v>2389.3482325364198</v>
      </c>
      <c r="U172" s="73"/>
      <c r="V172" s="73">
        <f>V170+(V121-V171)*$BA$1</f>
        <v>2470.9502311242313</v>
      </c>
      <c r="W172" s="73">
        <f>W170+(W121-W171)*$BA$1</f>
        <v>2258.35174796295</v>
      </c>
      <c r="X172" s="73"/>
      <c r="Y172" s="73">
        <f>Y170+(Y121-Y171)*$BA$1</f>
        <v>2121.5089713346406</v>
      </c>
      <c r="Z172" s="73">
        <f>Z170+(Z121-Z171)*$BA$1</f>
        <v>2499.5786767285817</v>
      </c>
      <c r="AA172" s="73"/>
      <c r="AB172" s="73">
        <f>AB170+(AB121-AB171)*$BA$1</f>
        <v>2405.5792348047203</v>
      </c>
      <c r="AC172" s="73">
        <f>AC170+(AC121-AC171)*$BA$1</f>
        <v>2269.8759894215596</v>
      </c>
      <c r="AD172" s="73"/>
      <c r="AE172" s="73">
        <f>AE170+(AE121-AE171)*$BA$1</f>
        <v>2377.8239910778102</v>
      </c>
      <c r="AF172" s="74"/>
      <c r="AG172" s="75"/>
      <c r="AH172" s="75"/>
      <c r="AI172" s="75"/>
      <c r="AJ172" s="75"/>
      <c r="AK172" s="75"/>
      <c r="AL172" s="75"/>
      <c r="AM172" s="75"/>
      <c r="AN172" s="76"/>
      <c r="AO172" s="76"/>
      <c r="AP172" s="76"/>
      <c r="AQ172" s="76"/>
      <c r="AW172" s="78"/>
      <c r="BB172" s="78"/>
    </row>
    <row r="173" spans="1:54" s="77" customFormat="1" hidden="1" x14ac:dyDescent="0.2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  <c r="AD173" s="73"/>
      <c r="AE173" s="73"/>
      <c r="AF173" s="74"/>
      <c r="AG173" s="75"/>
      <c r="AH173" s="75"/>
      <c r="AI173" s="75"/>
      <c r="AJ173" s="75"/>
      <c r="AK173" s="75"/>
      <c r="AL173" s="75"/>
      <c r="AM173" s="75"/>
      <c r="AN173" s="76"/>
      <c r="AO173" s="76"/>
      <c r="AP173" s="76"/>
      <c r="AQ173" s="76"/>
      <c r="AW173" s="78"/>
      <c r="BB173" s="78"/>
    </row>
    <row r="174" spans="1:54" s="61" customFormat="1" x14ac:dyDescent="0.2">
      <c r="A174" s="790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790"/>
      <c r="C174" s="790"/>
      <c r="D174" s="790"/>
      <c r="E174" s="790"/>
      <c r="F174" s="790"/>
      <c r="G174" s="790"/>
      <c r="H174" s="790"/>
      <c r="I174" s="790"/>
      <c r="J174" s="790"/>
      <c r="K174" s="790"/>
      <c r="L174" s="790"/>
      <c r="M174" s="790"/>
      <c r="N174" s="790"/>
      <c r="O174" s="790"/>
      <c r="P174" s="790"/>
      <c r="Q174" s="790"/>
      <c r="R174" s="790"/>
      <c r="S174" s="790"/>
      <c r="T174" s="790"/>
      <c r="U174" s="790"/>
      <c r="V174" s="790"/>
      <c r="W174" s="790"/>
      <c r="X174" s="790"/>
      <c r="Y174" s="790"/>
      <c r="Z174" s="790"/>
      <c r="AA174" s="790"/>
      <c r="AB174" s="790"/>
      <c r="AC174" s="790"/>
      <c r="AD174" s="790"/>
      <c r="AE174" s="790"/>
      <c r="AF174" s="790"/>
      <c r="AG174" s="790"/>
      <c r="AH174" s="790"/>
      <c r="AI174" s="790"/>
      <c r="AJ174" s="790"/>
      <c r="AK174" s="790"/>
      <c r="AL174" s="790"/>
      <c r="AM174" s="790"/>
      <c r="AN174" s="768"/>
      <c r="AO174" s="768"/>
      <c r="AP174" s="768"/>
      <c r="AQ174" s="768"/>
      <c r="AW174" s="65"/>
    </row>
    <row r="175" spans="1:54" s="61" customFormat="1" ht="13.5" thickBot="1" x14ac:dyDescent="0.25">
      <c r="A175" s="791"/>
      <c r="B175" s="791"/>
      <c r="C175" s="791"/>
      <c r="D175" s="791"/>
      <c r="E175" s="791"/>
      <c r="F175" s="791"/>
      <c r="G175" s="791"/>
      <c r="H175" s="791"/>
      <c r="I175" s="791"/>
      <c r="J175" s="791"/>
      <c r="K175" s="791"/>
      <c r="L175" s="791"/>
      <c r="M175" s="791"/>
      <c r="N175" s="791"/>
      <c r="O175" s="791"/>
      <c r="P175" s="791"/>
      <c r="Q175" s="791"/>
      <c r="R175" s="791"/>
      <c r="S175" s="791"/>
      <c r="T175" s="791"/>
      <c r="U175" s="791"/>
      <c r="V175" s="791"/>
      <c r="W175" s="791"/>
      <c r="X175" s="791"/>
      <c r="Y175" s="791"/>
      <c r="Z175" s="791"/>
      <c r="AA175" s="791"/>
      <c r="AB175" s="791"/>
      <c r="AC175" s="791"/>
      <c r="AD175" s="791"/>
      <c r="AE175" s="791"/>
      <c r="AF175" s="791"/>
      <c r="AG175" s="791"/>
      <c r="AH175" s="791"/>
      <c r="AI175" s="791"/>
      <c r="AJ175" s="791"/>
      <c r="AK175" s="791"/>
      <c r="AL175" s="791"/>
      <c r="AM175" s="791"/>
      <c r="AN175" s="791"/>
      <c r="AO175" s="791"/>
      <c r="AP175" s="791"/>
      <c r="AQ175" s="791"/>
      <c r="AW175" s="65"/>
    </row>
    <row r="176" spans="1:54" ht="24" customHeight="1" thickBot="1" x14ac:dyDescent="0.25">
      <c r="A176" s="22" t="s">
        <v>22</v>
      </c>
      <c r="B176" s="23" t="s">
        <v>142</v>
      </c>
      <c r="C176" s="862" t="s">
        <v>24</v>
      </c>
      <c r="D176" s="863"/>
      <c r="E176" s="863"/>
      <c r="F176" s="863"/>
      <c r="G176" s="863"/>
      <c r="H176" s="864"/>
      <c r="I176" s="865">
        <v>3</v>
      </c>
      <c r="J176" s="866"/>
      <c r="K176" s="867" t="str">
        <f>"Pool "&amp;B176&amp;" - Round 1 - Court "&amp;I176</f>
        <v>Pool C - Round 1 - Court 3</v>
      </c>
      <c r="L176" s="868"/>
      <c r="M176" s="868"/>
      <c r="N176" s="868"/>
      <c r="O176" s="868"/>
      <c r="P176" s="868"/>
      <c r="Q176" s="868"/>
      <c r="R176" s="868"/>
      <c r="S176" s="868"/>
      <c r="T176" s="868"/>
      <c r="U176" s="868"/>
      <c r="V176" s="868"/>
      <c r="W176" s="868"/>
      <c r="X176" s="868"/>
      <c r="Y176" s="868"/>
      <c r="Z176" s="868"/>
      <c r="AA176" s="868"/>
      <c r="AB176" s="868"/>
      <c r="AC176" s="868"/>
      <c r="AD176" s="868"/>
      <c r="AE176" s="868"/>
      <c r="AF176" s="868"/>
      <c r="AG176" s="868"/>
      <c r="AH176" s="868"/>
      <c r="AI176" s="869"/>
      <c r="AJ176" s="11"/>
      <c r="AK176" s="11"/>
      <c r="AL176" s="11"/>
      <c r="AM176" s="11"/>
      <c r="AN176" s="11"/>
      <c r="AO176" s="11"/>
      <c r="AP176" s="11"/>
      <c r="AQ176" s="11"/>
    </row>
    <row r="177" spans="1:44" ht="27" customHeight="1" thickBot="1" x14ac:dyDescent="0.25">
      <c r="A177" s="24" t="s">
        <v>25</v>
      </c>
      <c r="B177" s="870" t="s">
        <v>7</v>
      </c>
      <c r="C177" s="871"/>
      <c r="D177" s="871"/>
      <c r="E177" s="871"/>
      <c r="F177" s="871"/>
      <c r="G177" s="871"/>
      <c r="H177" s="871"/>
      <c r="I177" s="871"/>
      <c r="J177" s="871"/>
      <c r="K177" s="871"/>
      <c r="L177" s="870" t="str">
        <f>IF($AK180=0,"Games Won","Matches Won")</f>
        <v>Games Won</v>
      </c>
      <c r="M177" s="871"/>
      <c r="N177" s="871"/>
      <c r="O177" s="871"/>
      <c r="P177" s="871"/>
      <c r="Q177" s="872"/>
      <c r="R177" s="870" t="str">
        <f>IF($AK180=0,"Games Lost","Matches Lost")</f>
        <v>Games Lost</v>
      </c>
      <c r="S177" s="873"/>
      <c r="T177" s="873"/>
      <c r="U177" s="873"/>
      <c r="V177" s="874"/>
      <c r="W177" s="875" t="s">
        <v>26</v>
      </c>
      <c r="X177" s="876"/>
      <c r="Y177" s="877"/>
      <c r="Z177" s="875" t="s">
        <v>27</v>
      </c>
      <c r="AA177" s="876"/>
      <c r="AB177" s="877"/>
      <c r="AC177" s="878" t="s">
        <v>28</v>
      </c>
      <c r="AD177" s="879"/>
      <c r="AE177" s="880"/>
      <c r="AF177" s="25" t="s">
        <v>29</v>
      </c>
      <c r="AG177" s="26" t="s">
        <v>6</v>
      </c>
      <c r="AH177" s="860" t="s">
        <v>30</v>
      </c>
      <c r="AI177" s="861"/>
      <c r="AJ177" s="27"/>
      <c r="AK177" s="28">
        <v>2</v>
      </c>
      <c r="AL177" s="29" t="s">
        <v>31</v>
      </c>
      <c r="AM177" s="29"/>
      <c r="AN177" s="29"/>
      <c r="AO177" s="29"/>
      <c r="AP177" s="29"/>
      <c r="AQ177" s="29"/>
      <c r="AR177" s="30"/>
    </row>
    <row r="178" spans="1:44" ht="18.75" customHeight="1" x14ac:dyDescent="0.2">
      <c r="A178" s="829" t="str">
        <f>IF($AK179&gt;0,"1","")</f>
        <v>1</v>
      </c>
      <c r="B178" s="857" t="s">
        <v>7</v>
      </c>
      <c r="C178" s="858"/>
      <c r="D178" s="859"/>
      <c r="E178" s="833" t="str">
        <f>AU5</f>
        <v>Agema 16</v>
      </c>
      <c r="F178" s="834"/>
      <c r="G178" s="834"/>
      <c r="H178" s="834"/>
      <c r="I178" s="834"/>
      <c r="J178" s="834"/>
      <c r="K178" s="835"/>
      <c r="L178" s="836">
        <f>IF($AK180=0,AF234,AF216)</f>
        <v>6</v>
      </c>
      <c r="M178" s="837"/>
      <c r="N178" s="837"/>
      <c r="O178" s="837"/>
      <c r="P178" s="837"/>
      <c r="Q178" s="872"/>
      <c r="R178" s="836">
        <f>IF($AK180=0,AG234,AG216)</f>
        <v>2</v>
      </c>
      <c r="S178" s="837"/>
      <c r="T178" s="837"/>
      <c r="U178" s="837"/>
      <c r="V178" s="837"/>
      <c r="W178" s="836">
        <f>AQ194</f>
        <v>30</v>
      </c>
      <c r="X178" s="837"/>
      <c r="Y178" s="837"/>
      <c r="Z178" s="809">
        <f>IF(AF228&gt;0,(AQ194/AF228),0)</f>
        <v>0.14778325123152711</v>
      </c>
      <c r="AA178" s="810"/>
      <c r="AB178" s="810"/>
      <c r="AC178" s="813">
        <f>IF(AF242=0,0,(AF234/AF242))</f>
        <v>0.75</v>
      </c>
      <c r="AD178" s="814"/>
      <c r="AE178" s="815"/>
      <c r="AF178" s="819">
        <v>1</v>
      </c>
      <c r="AG178" s="819"/>
      <c r="AH178" s="821">
        <v>3</v>
      </c>
      <c r="AI178" s="822"/>
      <c r="AJ178" s="27"/>
      <c r="AK178" s="28">
        <v>10</v>
      </c>
      <c r="AL178" s="29" t="s">
        <v>32</v>
      </c>
      <c r="AM178" s="29"/>
      <c r="AN178" s="29"/>
      <c r="AO178" s="29"/>
      <c r="AP178" s="29"/>
      <c r="AQ178" s="29"/>
      <c r="AR178" s="30"/>
    </row>
    <row r="179" spans="1:44" ht="18.75" customHeight="1" thickBot="1" x14ac:dyDescent="0.25">
      <c r="A179" s="830"/>
      <c r="B179" s="854" t="s">
        <v>8</v>
      </c>
      <c r="C179" s="855"/>
      <c r="D179" s="856"/>
      <c r="E179" s="850" t="str">
        <f>AV5</f>
        <v>fj6agema1pm</v>
      </c>
      <c r="F179" s="851"/>
      <c r="G179" s="851"/>
      <c r="H179" s="851"/>
      <c r="I179" s="851"/>
      <c r="J179" s="851"/>
      <c r="K179" s="851"/>
      <c r="L179" s="852"/>
      <c r="M179" s="853"/>
      <c r="N179" s="853"/>
      <c r="O179" s="853"/>
      <c r="P179" s="853"/>
      <c r="Q179" s="872"/>
      <c r="R179" s="852"/>
      <c r="S179" s="853"/>
      <c r="T179" s="853"/>
      <c r="U179" s="853"/>
      <c r="V179" s="853"/>
      <c r="W179" s="852"/>
      <c r="X179" s="853"/>
      <c r="Y179" s="853"/>
      <c r="Z179" s="840"/>
      <c r="AA179" s="841"/>
      <c r="AB179" s="841"/>
      <c r="AC179" s="842"/>
      <c r="AD179" s="843"/>
      <c r="AE179" s="844"/>
      <c r="AF179" s="845"/>
      <c r="AG179" s="845"/>
      <c r="AH179" s="846"/>
      <c r="AI179" s="847"/>
      <c r="AJ179" s="27"/>
      <c r="AK179" s="28">
        <v>5</v>
      </c>
      <c r="AL179" s="29" t="s">
        <v>33</v>
      </c>
      <c r="AM179" s="27"/>
      <c r="AN179" s="27"/>
      <c r="AO179" s="27"/>
      <c r="AP179" s="27"/>
      <c r="AQ179" s="27"/>
      <c r="AR179" s="3"/>
    </row>
    <row r="180" spans="1:44" ht="18.75" customHeight="1" x14ac:dyDescent="0.2">
      <c r="A180" s="829" t="str">
        <f>IF($AK179&gt;1,"2","")</f>
        <v>2</v>
      </c>
      <c r="B180" s="857" t="s">
        <v>7</v>
      </c>
      <c r="C180" s="858"/>
      <c r="D180" s="859"/>
      <c r="E180" s="833" t="str">
        <f>AU6</f>
        <v>SC Midlands 17 Black</v>
      </c>
      <c r="F180" s="834"/>
      <c r="G180" s="834"/>
      <c r="H180" s="834"/>
      <c r="I180" s="834"/>
      <c r="J180" s="834"/>
      <c r="K180" s="835"/>
      <c r="L180" s="836">
        <f>IF($AK180=0,AF235,AF217)</f>
        <v>6</v>
      </c>
      <c r="M180" s="837"/>
      <c r="N180" s="837"/>
      <c r="O180" s="837"/>
      <c r="P180" s="837"/>
      <c r="Q180" s="872"/>
      <c r="R180" s="836">
        <f>IF($AK180=0,AG235,AG217)</f>
        <v>2</v>
      </c>
      <c r="S180" s="837"/>
      <c r="T180" s="837"/>
      <c r="U180" s="837"/>
      <c r="V180" s="837"/>
      <c r="W180" s="836">
        <f>AQ195</f>
        <v>26</v>
      </c>
      <c r="X180" s="837"/>
      <c r="Y180" s="837"/>
      <c r="Z180" s="809">
        <f>IF(AF229&gt;0,(AQ195/AF229),0)</f>
        <v>0.12871287128712872</v>
      </c>
      <c r="AA180" s="810"/>
      <c r="AB180" s="810"/>
      <c r="AC180" s="813">
        <f>IF(AF243=0,0,(AF235/AF243))</f>
        <v>0.75</v>
      </c>
      <c r="AD180" s="814"/>
      <c r="AE180" s="815"/>
      <c r="AF180" s="819">
        <v>2</v>
      </c>
      <c r="AG180" s="819"/>
      <c r="AH180" s="821">
        <v>3</v>
      </c>
      <c r="AI180" s="822"/>
      <c r="AJ180" s="27"/>
      <c r="AK180" s="28">
        <v>0</v>
      </c>
      <c r="AL180" s="29" t="s">
        <v>34</v>
      </c>
      <c r="AM180" s="29"/>
      <c r="AN180" s="29"/>
      <c r="AO180" s="29"/>
      <c r="AP180" s="29"/>
      <c r="AQ180" s="29"/>
      <c r="AR180" s="30"/>
    </row>
    <row r="181" spans="1:44" ht="18.75" customHeight="1" thickBot="1" x14ac:dyDescent="0.25">
      <c r="A181" s="830"/>
      <c r="B181" s="848" t="s">
        <v>8</v>
      </c>
      <c r="C181" s="849"/>
      <c r="D181" s="849"/>
      <c r="E181" s="850" t="str">
        <f>AV6</f>
        <v>fj7scmid2pm</v>
      </c>
      <c r="F181" s="851"/>
      <c r="G181" s="851"/>
      <c r="H181" s="851"/>
      <c r="I181" s="851"/>
      <c r="J181" s="851"/>
      <c r="K181" s="851"/>
      <c r="L181" s="852"/>
      <c r="M181" s="853"/>
      <c r="N181" s="853"/>
      <c r="O181" s="853"/>
      <c r="P181" s="853"/>
      <c r="Q181" s="872"/>
      <c r="R181" s="852"/>
      <c r="S181" s="853"/>
      <c r="T181" s="853"/>
      <c r="U181" s="853"/>
      <c r="V181" s="853"/>
      <c r="W181" s="852"/>
      <c r="X181" s="853"/>
      <c r="Y181" s="853"/>
      <c r="Z181" s="840"/>
      <c r="AA181" s="841"/>
      <c r="AB181" s="841"/>
      <c r="AC181" s="842"/>
      <c r="AD181" s="843"/>
      <c r="AE181" s="844"/>
      <c r="AF181" s="845"/>
      <c r="AG181" s="845"/>
      <c r="AH181" s="846"/>
      <c r="AI181" s="847"/>
      <c r="AJ181" s="27"/>
      <c r="AK181" s="28">
        <v>1</v>
      </c>
      <c r="AL181" s="29" t="s">
        <v>35</v>
      </c>
      <c r="AM181" s="27"/>
      <c r="AN181" s="27"/>
      <c r="AO181" s="27"/>
      <c r="AP181" s="27"/>
      <c r="AQ181" s="27"/>
      <c r="AR181" s="3"/>
    </row>
    <row r="182" spans="1:44" ht="18.75" customHeight="1" x14ac:dyDescent="0.2">
      <c r="A182" s="829" t="str">
        <f>IF($AK179&gt;2,"3","")</f>
        <v>3</v>
      </c>
      <c r="B182" s="831" t="s">
        <v>7</v>
      </c>
      <c r="C182" s="832"/>
      <c r="D182" s="832"/>
      <c r="E182" s="833" t="str">
        <f>AU11</f>
        <v>MBVC 16</v>
      </c>
      <c r="F182" s="834"/>
      <c r="G182" s="834"/>
      <c r="H182" s="834"/>
      <c r="I182" s="834"/>
      <c r="J182" s="834"/>
      <c r="K182" s="835"/>
      <c r="L182" s="836">
        <f>IF($AK180=0,AF236,AF218)</f>
        <v>2</v>
      </c>
      <c r="M182" s="837"/>
      <c r="N182" s="837"/>
      <c r="O182" s="837"/>
      <c r="P182" s="837"/>
      <c r="Q182" s="872"/>
      <c r="R182" s="836">
        <f>IF($AK180=0,AG236,AG218)</f>
        <v>6</v>
      </c>
      <c r="S182" s="837"/>
      <c r="T182" s="837"/>
      <c r="U182" s="837"/>
      <c r="V182" s="837"/>
      <c r="W182" s="836">
        <f>AQ196</f>
        <v>-28</v>
      </c>
      <c r="X182" s="837"/>
      <c r="Y182" s="837"/>
      <c r="Z182" s="809">
        <f>IF(AF230&gt;0,(AQ196/AF230),0)</f>
        <v>-0.13930348258706468</v>
      </c>
      <c r="AA182" s="810"/>
      <c r="AB182" s="810"/>
      <c r="AC182" s="813">
        <f>IF(AF244=0,0,(AF236/AF244))</f>
        <v>0.25</v>
      </c>
      <c r="AD182" s="814"/>
      <c r="AE182" s="815"/>
      <c r="AF182" s="819">
        <v>4</v>
      </c>
      <c r="AG182" s="819"/>
      <c r="AH182" s="821">
        <v>11</v>
      </c>
      <c r="AI182" s="822"/>
      <c r="AJ182" s="36"/>
      <c r="AK182" s="28">
        <v>8</v>
      </c>
      <c r="AL182" s="37" t="s">
        <v>36</v>
      </c>
      <c r="AM182" s="29"/>
      <c r="AN182" s="29"/>
      <c r="AO182" s="29"/>
      <c r="AP182" s="29"/>
      <c r="AQ182" s="29"/>
      <c r="AR182" s="30"/>
    </row>
    <row r="183" spans="1:44" ht="18.75" customHeight="1" thickBot="1" x14ac:dyDescent="0.25">
      <c r="A183" s="830"/>
      <c r="B183" s="848" t="s">
        <v>8</v>
      </c>
      <c r="C183" s="849"/>
      <c r="D183" s="849"/>
      <c r="E183" s="850" t="str">
        <f>AV11</f>
        <v>fj6mbeac1pm</v>
      </c>
      <c r="F183" s="851"/>
      <c r="G183" s="851"/>
      <c r="H183" s="851"/>
      <c r="I183" s="851"/>
      <c r="J183" s="851"/>
      <c r="K183" s="851"/>
      <c r="L183" s="852"/>
      <c r="M183" s="853"/>
      <c r="N183" s="853"/>
      <c r="O183" s="853"/>
      <c r="P183" s="853"/>
      <c r="Q183" s="872"/>
      <c r="R183" s="852"/>
      <c r="S183" s="853"/>
      <c r="T183" s="853"/>
      <c r="U183" s="853"/>
      <c r="V183" s="853"/>
      <c r="W183" s="852"/>
      <c r="X183" s="853"/>
      <c r="Y183" s="853"/>
      <c r="Z183" s="840"/>
      <c r="AA183" s="841"/>
      <c r="AB183" s="841"/>
      <c r="AC183" s="842"/>
      <c r="AD183" s="843"/>
      <c r="AE183" s="844"/>
      <c r="AF183" s="845"/>
      <c r="AG183" s="845"/>
      <c r="AH183" s="846"/>
      <c r="AI183" s="847"/>
      <c r="AJ183" s="36"/>
      <c r="AK183" s="38"/>
      <c r="AL183" s="39"/>
      <c r="AM183" s="39"/>
      <c r="AN183" s="39"/>
      <c r="AO183" s="39"/>
      <c r="AP183" s="39"/>
      <c r="AQ183" s="27"/>
      <c r="AR183" s="3"/>
    </row>
    <row r="184" spans="1:44" ht="18.75" customHeight="1" x14ac:dyDescent="0.2">
      <c r="A184" s="829" t="str">
        <f>IF($AK179&gt;3,"4","")</f>
        <v>4</v>
      </c>
      <c r="B184" s="831" t="s">
        <v>7</v>
      </c>
      <c r="C184" s="832"/>
      <c r="D184" s="832"/>
      <c r="E184" s="833" t="str">
        <f>AU12</f>
        <v>Extreme 16 Heather</v>
      </c>
      <c r="F184" s="834"/>
      <c r="G184" s="834"/>
      <c r="H184" s="834"/>
      <c r="I184" s="834"/>
      <c r="J184" s="834"/>
      <c r="K184" s="835"/>
      <c r="L184" s="836">
        <f>IF($AK180=0,AF237,AF219)</f>
        <v>4</v>
      </c>
      <c r="M184" s="837"/>
      <c r="N184" s="837"/>
      <c r="O184" s="837"/>
      <c r="P184" s="837"/>
      <c r="Q184" s="872"/>
      <c r="R184" s="836">
        <f>IF($AK180=0,AG237,AG219)</f>
        <v>4</v>
      </c>
      <c r="S184" s="837"/>
      <c r="T184" s="837"/>
      <c r="U184" s="837"/>
      <c r="V184" s="837"/>
      <c r="W184" s="836">
        <f>AQ197</f>
        <v>10</v>
      </c>
      <c r="X184" s="837"/>
      <c r="Y184" s="837"/>
      <c r="Z184" s="809">
        <f>IF(AF231&gt;0,(AQ197/AF231),0)</f>
        <v>4.9261083743842367E-2</v>
      </c>
      <c r="AA184" s="810"/>
      <c r="AB184" s="810"/>
      <c r="AC184" s="813">
        <f>IF(AF245=0,0,(AF237/AF245))</f>
        <v>0.5</v>
      </c>
      <c r="AD184" s="814"/>
      <c r="AE184" s="815"/>
      <c r="AF184" s="819">
        <v>3</v>
      </c>
      <c r="AG184" s="819"/>
      <c r="AH184" s="821">
        <v>7</v>
      </c>
      <c r="AI184" s="822"/>
      <c r="AJ184" s="11"/>
      <c r="AK184" s="39"/>
      <c r="AL184" s="39"/>
      <c r="AM184" s="39"/>
      <c r="AN184" s="39"/>
      <c r="AO184" s="39"/>
      <c r="AP184" s="39"/>
      <c r="AQ184" s="29"/>
      <c r="AR184" s="30"/>
    </row>
    <row r="185" spans="1:44" ht="18.75" customHeight="1" thickBot="1" x14ac:dyDescent="0.25">
      <c r="A185" s="830"/>
      <c r="B185" s="848" t="s">
        <v>8</v>
      </c>
      <c r="C185" s="849"/>
      <c r="D185" s="849"/>
      <c r="E185" s="850" t="str">
        <f>AV12</f>
        <v>fj6triex5so</v>
      </c>
      <c r="F185" s="851"/>
      <c r="G185" s="851"/>
      <c r="H185" s="851"/>
      <c r="I185" s="851"/>
      <c r="J185" s="851"/>
      <c r="K185" s="851"/>
      <c r="L185" s="852"/>
      <c r="M185" s="853"/>
      <c r="N185" s="853"/>
      <c r="O185" s="853"/>
      <c r="P185" s="853"/>
      <c r="Q185" s="872"/>
      <c r="R185" s="852"/>
      <c r="S185" s="853"/>
      <c r="T185" s="853"/>
      <c r="U185" s="853"/>
      <c r="V185" s="853"/>
      <c r="W185" s="852"/>
      <c r="X185" s="853"/>
      <c r="Y185" s="853"/>
      <c r="Z185" s="840"/>
      <c r="AA185" s="841"/>
      <c r="AB185" s="841"/>
      <c r="AC185" s="842"/>
      <c r="AD185" s="843"/>
      <c r="AE185" s="844"/>
      <c r="AF185" s="845"/>
      <c r="AG185" s="845"/>
      <c r="AH185" s="846"/>
      <c r="AI185" s="847"/>
      <c r="AJ185" s="11"/>
      <c r="AK185" s="39"/>
      <c r="AL185" s="39"/>
      <c r="AM185" s="39"/>
      <c r="AN185" s="39"/>
      <c r="AO185" s="39"/>
      <c r="AP185" s="39"/>
      <c r="AQ185" s="11"/>
      <c r="AR185" s="3"/>
    </row>
    <row r="186" spans="1:44" ht="18.75" customHeight="1" x14ac:dyDescent="0.2">
      <c r="A186" s="829" t="str">
        <f>IF($AK179&gt;4,"5","")</f>
        <v>5</v>
      </c>
      <c r="B186" s="831" t="s">
        <v>7</v>
      </c>
      <c r="C186" s="832"/>
      <c r="D186" s="832"/>
      <c r="E186" s="833" t="str">
        <f>AU17</f>
        <v>Sumter VBC 16 Gwin</v>
      </c>
      <c r="F186" s="834"/>
      <c r="G186" s="834"/>
      <c r="H186" s="834"/>
      <c r="I186" s="834"/>
      <c r="J186" s="834"/>
      <c r="K186" s="835"/>
      <c r="L186" s="836">
        <f>IF($AK180=0,AF238,AF220)</f>
        <v>2</v>
      </c>
      <c r="M186" s="837"/>
      <c r="N186" s="837"/>
      <c r="O186" s="837"/>
      <c r="P186" s="837"/>
      <c r="Q186" s="872"/>
      <c r="R186" s="836">
        <f>IF($AK180=0,AG238,AG220)</f>
        <v>6</v>
      </c>
      <c r="S186" s="837"/>
      <c r="T186" s="837"/>
      <c r="U186" s="837"/>
      <c r="V186" s="837"/>
      <c r="W186" s="836">
        <f>AQ198</f>
        <v>-38</v>
      </c>
      <c r="X186" s="837"/>
      <c r="Y186" s="837"/>
      <c r="Z186" s="809">
        <f>IF(AF232&gt;0,(AQ198/AF232),0)</f>
        <v>-0.18719211822660098</v>
      </c>
      <c r="AA186" s="810"/>
      <c r="AB186" s="810"/>
      <c r="AC186" s="813">
        <f>IF(AF246=0,0,(AF238/AF246))</f>
        <v>0.25</v>
      </c>
      <c r="AD186" s="814"/>
      <c r="AE186" s="815"/>
      <c r="AF186" s="819">
        <v>5</v>
      </c>
      <c r="AG186" s="819"/>
      <c r="AH186" s="821">
        <v>13</v>
      </c>
      <c r="AI186" s="822"/>
      <c r="AJ186" s="11"/>
      <c r="AK186" s="39"/>
      <c r="AL186" s="39"/>
      <c r="AM186" s="39"/>
      <c r="AN186" s="39"/>
      <c r="AO186" s="39"/>
      <c r="AP186" s="39"/>
      <c r="AQ186" s="11"/>
      <c r="AR186" s="3"/>
    </row>
    <row r="187" spans="1:44" ht="18.75" customHeight="1" thickBot="1" x14ac:dyDescent="0.25">
      <c r="A187" s="830"/>
      <c r="B187" s="825" t="s">
        <v>8</v>
      </c>
      <c r="C187" s="826"/>
      <c r="D187" s="826"/>
      <c r="E187" s="827" t="str">
        <f>AV17</f>
        <v>fj6sumtr2pm</v>
      </c>
      <c r="F187" s="828"/>
      <c r="G187" s="828"/>
      <c r="H187" s="828"/>
      <c r="I187" s="828"/>
      <c r="J187" s="828"/>
      <c r="K187" s="828"/>
      <c r="L187" s="838"/>
      <c r="M187" s="839"/>
      <c r="N187" s="839"/>
      <c r="O187" s="839"/>
      <c r="P187" s="839"/>
      <c r="Q187" s="872"/>
      <c r="R187" s="838"/>
      <c r="S187" s="839"/>
      <c r="T187" s="839"/>
      <c r="U187" s="839"/>
      <c r="V187" s="839"/>
      <c r="W187" s="838"/>
      <c r="X187" s="839"/>
      <c r="Y187" s="839"/>
      <c r="Z187" s="811"/>
      <c r="AA187" s="812"/>
      <c r="AB187" s="812"/>
      <c r="AC187" s="816"/>
      <c r="AD187" s="817"/>
      <c r="AE187" s="818"/>
      <c r="AF187" s="820"/>
      <c r="AG187" s="820"/>
      <c r="AH187" s="823"/>
      <c r="AI187" s="824"/>
      <c r="AJ187" s="11"/>
      <c r="AK187" s="39"/>
      <c r="AL187" s="39"/>
      <c r="AM187" s="39"/>
      <c r="AN187" s="39"/>
      <c r="AO187" s="39"/>
      <c r="AP187" s="39"/>
      <c r="AQ187" s="11"/>
      <c r="AR187" s="3"/>
    </row>
    <row r="188" spans="1:44" ht="21" customHeight="1" thickTop="1" thickBot="1" x14ac:dyDescent="0.25">
      <c r="A188" s="40"/>
      <c r="B188" s="806" t="s">
        <v>168</v>
      </c>
      <c r="C188" s="807"/>
      <c r="D188" s="807"/>
      <c r="E188" s="807"/>
      <c r="F188" s="807"/>
      <c r="G188" s="807"/>
      <c r="H188" s="807"/>
      <c r="I188" s="807"/>
      <c r="J188" s="807"/>
      <c r="K188" s="807"/>
      <c r="L188" s="807"/>
      <c r="M188" s="807"/>
      <c r="N188" s="807"/>
      <c r="O188" s="807"/>
      <c r="P188" s="807"/>
      <c r="Q188" s="807"/>
      <c r="R188" s="807"/>
      <c r="S188" s="807"/>
      <c r="T188" s="807"/>
      <c r="U188" s="807"/>
      <c r="V188" s="807"/>
      <c r="W188" s="807"/>
      <c r="X188" s="807"/>
      <c r="Y188" s="807"/>
      <c r="Z188" s="807"/>
      <c r="AA188" s="807"/>
      <c r="AB188" s="807"/>
      <c r="AC188" s="807"/>
      <c r="AD188" s="807"/>
      <c r="AE188" s="807"/>
      <c r="AF188" s="807"/>
      <c r="AG188" s="807"/>
      <c r="AH188" s="807"/>
      <c r="AI188" s="808"/>
      <c r="AJ188" s="11"/>
      <c r="AK188" s="39"/>
      <c r="AL188" s="39"/>
      <c r="AM188" s="39"/>
      <c r="AN188" s="39"/>
      <c r="AO188" s="39"/>
      <c r="AP188" s="39"/>
      <c r="AQ188" s="11"/>
      <c r="AR188" s="3"/>
    </row>
    <row r="189" spans="1:44" ht="13.5" thickTop="1" x14ac:dyDescent="0.2">
      <c r="A189" s="4" t="s">
        <v>39</v>
      </c>
      <c r="B189" s="795">
        <v>0.35416666666666669</v>
      </c>
      <c r="C189" s="796"/>
      <c r="D189" s="797"/>
      <c r="E189" s="795">
        <v>0.38194444444444442</v>
      </c>
      <c r="F189" s="796"/>
      <c r="G189" s="797"/>
      <c r="H189" s="795">
        <v>0.40972222222222227</v>
      </c>
      <c r="I189" s="796"/>
      <c r="J189" s="797"/>
      <c r="K189" s="795">
        <v>0.4375</v>
      </c>
      <c r="L189" s="796"/>
      <c r="M189" s="797"/>
      <c r="N189" s="795">
        <v>0.46527777777777773</v>
      </c>
      <c r="O189" s="796"/>
      <c r="P189" s="797"/>
      <c r="Q189" s="795">
        <v>0.49305555555555558</v>
      </c>
      <c r="R189" s="796"/>
      <c r="S189" s="797"/>
      <c r="T189" s="795">
        <v>0.52083333333333337</v>
      </c>
      <c r="U189" s="796"/>
      <c r="V189" s="797"/>
      <c r="W189" s="795">
        <v>4.8611111111111112E-2</v>
      </c>
      <c r="X189" s="796"/>
      <c r="Y189" s="797"/>
      <c r="Z189" s="795">
        <v>7.6388888888888895E-2</v>
      </c>
      <c r="AA189" s="796"/>
      <c r="AB189" s="797"/>
      <c r="AC189" s="795">
        <v>0.10416666666666667</v>
      </c>
      <c r="AD189" s="796"/>
      <c r="AE189" s="797"/>
      <c r="AF189" s="798" t="s">
        <v>40</v>
      </c>
      <c r="AG189" s="799"/>
      <c r="AH189" s="799"/>
      <c r="AI189" s="799"/>
      <c r="AJ189" s="800"/>
      <c r="AK189" s="800"/>
      <c r="AL189" s="800"/>
      <c r="AM189" s="800"/>
      <c r="AN189" s="800"/>
      <c r="AO189" s="800"/>
      <c r="AP189" s="800"/>
      <c r="AQ189" s="801"/>
    </row>
    <row r="190" spans="1:44" x14ac:dyDescent="0.2">
      <c r="A190" s="41" t="s">
        <v>41</v>
      </c>
      <c r="B190" s="792">
        <v>0.3611111111111111</v>
      </c>
      <c r="C190" s="793"/>
      <c r="D190" s="794"/>
      <c r="E190" s="792"/>
      <c r="F190" s="793"/>
      <c r="G190" s="794"/>
      <c r="H190" s="792"/>
      <c r="I190" s="793"/>
      <c r="J190" s="794"/>
      <c r="K190" s="792"/>
      <c r="L190" s="793"/>
      <c r="M190" s="794"/>
      <c r="N190" s="792"/>
      <c r="O190" s="793"/>
      <c r="P190" s="794"/>
      <c r="Q190" s="792"/>
      <c r="R190" s="793"/>
      <c r="S190" s="794"/>
      <c r="T190" s="792"/>
      <c r="U190" s="793"/>
      <c r="V190" s="794"/>
      <c r="W190" s="792"/>
      <c r="X190" s="793"/>
      <c r="Y190" s="794"/>
      <c r="Z190" s="792"/>
      <c r="AA190" s="793"/>
      <c r="AB190" s="794"/>
      <c r="AC190" s="792"/>
      <c r="AD190" s="793"/>
      <c r="AE190" s="794"/>
      <c r="AF190" s="798"/>
      <c r="AG190" s="799"/>
      <c r="AH190" s="799"/>
      <c r="AI190" s="799"/>
      <c r="AJ190" s="799"/>
      <c r="AK190" s="799"/>
      <c r="AL190" s="799"/>
      <c r="AM190" s="799"/>
      <c r="AN190" s="799"/>
      <c r="AO190" s="799"/>
      <c r="AP190" s="799"/>
      <c r="AQ190" s="802"/>
    </row>
    <row r="191" spans="1:44" x14ac:dyDescent="0.2">
      <c r="A191" s="41" t="s">
        <v>42</v>
      </c>
      <c r="B191" s="792"/>
      <c r="C191" s="793"/>
      <c r="D191" s="794"/>
      <c r="E191" s="792"/>
      <c r="F191" s="793"/>
      <c r="G191" s="794"/>
      <c r="H191" s="792"/>
      <c r="I191" s="793"/>
      <c r="J191" s="794"/>
      <c r="K191" s="792"/>
      <c r="L191" s="793"/>
      <c r="M191" s="794"/>
      <c r="N191" s="792"/>
      <c r="O191" s="793"/>
      <c r="P191" s="794"/>
      <c r="Q191" s="792"/>
      <c r="R191" s="793"/>
      <c r="S191" s="794"/>
      <c r="T191" s="792"/>
      <c r="U191" s="793"/>
      <c r="V191" s="794"/>
      <c r="W191" s="792"/>
      <c r="X191" s="793"/>
      <c r="Y191" s="794"/>
      <c r="Z191" s="792"/>
      <c r="AA191" s="793"/>
      <c r="AB191" s="794"/>
      <c r="AC191" s="792"/>
      <c r="AD191" s="793"/>
      <c r="AE191" s="794"/>
      <c r="AF191" s="798"/>
      <c r="AG191" s="799"/>
      <c r="AH191" s="799"/>
      <c r="AI191" s="799"/>
      <c r="AJ191" s="799"/>
      <c r="AK191" s="799"/>
      <c r="AL191" s="799"/>
      <c r="AM191" s="799"/>
      <c r="AN191" s="799"/>
      <c r="AO191" s="799"/>
      <c r="AP191" s="799"/>
      <c r="AQ191" s="802"/>
    </row>
    <row r="192" spans="1:44" ht="13.5" thickBot="1" x14ac:dyDescent="0.25">
      <c r="A192" s="11"/>
      <c r="B192" s="684" t="s">
        <v>43</v>
      </c>
      <c r="C192" s="685"/>
      <c r="D192" s="691"/>
      <c r="E192" s="684" t="str">
        <f>IF(AK178&gt;1,"Match 2","")</f>
        <v>Match 2</v>
      </c>
      <c r="F192" s="685"/>
      <c r="G192" s="691"/>
      <c r="H192" s="684" t="str">
        <f>IF(AK178&gt;2,"Match 3","")</f>
        <v>Match 3</v>
      </c>
      <c r="I192" s="685"/>
      <c r="J192" s="691"/>
      <c r="K192" s="684" t="str">
        <f>IF(AK178&gt;3,"Match 4","")</f>
        <v>Match 4</v>
      </c>
      <c r="L192" s="685"/>
      <c r="M192" s="691"/>
      <c r="N192" s="684" t="str">
        <f>IF(AK178&gt;4,"Match 5","")</f>
        <v>Match 5</v>
      </c>
      <c r="O192" s="685"/>
      <c r="P192" s="691"/>
      <c r="Q192" s="684" t="str">
        <f>IF(AK178&gt;5,"Match 6","")</f>
        <v>Match 6</v>
      </c>
      <c r="R192" s="685"/>
      <c r="S192" s="691"/>
      <c r="T192" s="684" t="str">
        <f>IF(AK178&gt;6,"Match 7","")</f>
        <v>Match 7</v>
      </c>
      <c r="U192" s="685"/>
      <c r="V192" s="691"/>
      <c r="W192" s="684" t="str">
        <f>IF(AK178&gt;7,"Match 8","")</f>
        <v>Match 8</v>
      </c>
      <c r="X192" s="685"/>
      <c r="Y192" s="691"/>
      <c r="Z192" s="684" t="str">
        <f>IF(AK178&gt;8,"Match 9","")</f>
        <v>Match 9</v>
      </c>
      <c r="AA192" s="685"/>
      <c r="AB192" s="691"/>
      <c r="AC192" s="684" t="str">
        <f>IF(AK178&gt;9,"Match 10","")</f>
        <v>Match 10</v>
      </c>
      <c r="AD192" s="685"/>
      <c r="AE192" s="691"/>
      <c r="AF192" s="803"/>
      <c r="AG192" s="804"/>
      <c r="AH192" s="804"/>
      <c r="AI192" s="804"/>
      <c r="AJ192" s="804"/>
      <c r="AK192" s="804"/>
      <c r="AL192" s="804"/>
      <c r="AM192" s="804"/>
      <c r="AN192" s="804"/>
      <c r="AO192" s="804"/>
      <c r="AP192" s="804"/>
      <c r="AQ192" s="805"/>
    </row>
    <row r="193" spans="1:49" ht="15.75" x14ac:dyDescent="0.25">
      <c r="A193" s="11"/>
      <c r="B193" s="786" t="s">
        <v>44</v>
      </c>
      <c r="C193" s="787"/>
      <c r="D193" s="788"/>
      <c r="E193" s="786" t="s">
        <v>45</v>
      </c>
      <c r="F193" s="787"/>
      <c r="G193" s="788"/>
      <c r="H193" s="786" t="s">
        <v>46</v>
      </c>
      <c r="I193" s="787"/>
      <c r="J193" s="788"/>
      <c r="K193" s="786" t="s">
        <v>47</v>
      </c>
      <c r="L193" s="787"/>
      <c r="M193" s="788"/>
      <c r="N193" s="786" t="s">
        <v>48</v>
      </c>
      <c r="O193" s="787"/>
      <c r="P193" s="788"/>
      <c r="Q193" s="786" t="s">
        <v>46</v>
      </c>
      <c r="R193" s="787"/>
      <c r="S193" s="788"/>
      <c r="T193" s="786" t="s">
        <v>44</v>
      </c>
      <c r="U193" s="787"/>
      <c r="V193" s="788"/>
      <c r="W193" s="786" t="s">
        <v>48</v>
      </c>
      <c r="X193" s="787"/>
      <c r="Y193" s="788"/>
      <c r="Z193" s="786" t="s">
        <v>47</v>
      </c>
      <c r="AA193" s="787"/>
      <c r="AB193" s="788"/>
      <c r="AC193" s="786" t="s">
        <v>45</v>
      </c>
      <c r="AD193" s="787"/>
      <c r="AE193" s="788"/>
      <c r="AF193" s="42" t="s">
        <v>49</v>
      </c>
      <c r="AG193" s="43">
        <v>1</v>
      </c>
      <c r="AH193" s="43">
        <v>2</v>
      </c>
      <c r="AI193" s="43">
        <v>3</v>
      </c>
      <c r="AJ193" s="43">
        <v>4</v>
      </c>
      <c r="AK193" s="43">
        <v>5</v>
      </c>
      <c r="AL193" s="43">
        <v>6</v>
      </c>
      <c r="AM193" s="43">
        <v>7</v>
      </c>
      <c r="AN193" s="43">
        <v>8</v>
      </c>
      <c r="AO193" s="43">
        <v>9</v>
      </c>
      <c r="AP193" s="43">
        <v>10</v>
      </c>
      <c r="AQ193" s="44" t="s">
        <v>50</v>
      </c>
    </row>
    <row r="194" spans="1:49" ht="15.75" x14ac:dyDescent="0.25">
      <c r="A194" s="11"/>
      <c r="B194" s="45">
        <v>2</v>
      </c>
      <c r="C194" s="46" t="s">
        <v>51</v>
      </c>
      <c r="D194" s="47">
        <v>5</v>
      </c>
      <c r="E194" s="45">
        <v>1</v>
      </c>
      <c r="F194" s="46" t="str">
        <f>IF(AK178&gt;1,"v","")</f>
        <v>v</v>
      </c>
      <c r="G194" s="47">
        <v>4</v>
      </c>
      <c r="H194" s="45">
        <v>3</v>
      </c>
      <c r="I194" s="46" t="str">
        <f>IF(AK178&gt;2,"v","")</f>
        <v>v</v>
      </c>
      <c r="J194" s="47">
        <v>5</v>
      </c>
      <c r="K194" s="45">
        <v>2</v>
      </c>
      <c r="L194" s="46" t="str">
        <f>IF(AK178&gt;3,"v","")</f>
        <v>v</v>
      </c>
      <c r="M194" s="47">
        <v>4</v>
      </c>
      <c r="N194" s="45">
        <v>1</v>
      </c>
      <c r="O194" s="46" t="str">
        <f>IF(AK178&gt;4,"v","")</f>
        <v>v</v>
      </c>
      <c r="P194" s="47">
        <v>3</v>
      </c>
      <c r="Q194" s="45">
        <v>4</v>
      </c>
      <c r="R194" s="46" t="str">
        <f>IF(AK178&gt;5,"v","")</f>
        <v>v</v>
      </c>
      <c r="S194" s="47">
        <v>5</v>
      </c>
      <c r="T194" s="45">
        <v>2</v>
      </c>
      <c r="U194" s="46" t="str">
        <f>IF(AK178&gt;6,"v","")</f>
        <v>v</v>
      </c>
      <c r="V194" s="47">
        <v>3</v>
      </c>
      <c r="W194" s="45">
        <v>1</v>
      </c>
      <c r="X194" s="46" t="str">
        <f>IF(AK178&gt;7,"v","")</f>
        <v>v</v>
      </c>
      <c r="Y194" s="47">
        <v>5</v>
      </c>
      <c r="Z194" s="45">
        <v>3</v>
      </c>
      <c r="AA194" s="46" t="str">
        <f>IF(AK178&gt;8,"v","")</f>
        <v>v</v>
      </c>
      <c r="AB194" s="47">
        <v>4</v>
      </c>
      <c r="AC194" s="45">
        <v>1</v>
      </c>
      <c r="AD194" s="46" t="str">
        <f>IF(AK178&gt;9,"v","")</f>
        <v>v</v>
      </c>
      <c r="AE194" s="47">
        <v>2</v>
      </c>
      <c r="AF194" s="42" t="str">
        <f>IF(AK179&gt;0,"Team 1","")</f>
        <v>Team 1</v>
      </c>
      <c r="AG194" s="48" t="str">
        <f>IF(AK179&lt;1,"",IF(AK178&lt;1,"",IF(B194=1,B200-D200,IF(D194=1,D200-B200,""))))</f>
        <v/>
      </c>
      <c r="AH194" s="48">
        <f>IF(AK179&lt;1,"",IF(AK178&lt;2,"",IF(E194=1,E200-G200,IF(G194=1,G200-E200,""))))</f>
        <v>0</v>
      </c>
      <c r="AI194" s="48" t="str">
        <f>IF(AK179&lt;1,"",IF(AK178&lt;3,"",IF(H194=1,H200-J200,IF(J194=1,J200-H200,""))))</f>
        <v/>
      </c>
      <c r="AJ194" s="48" t="str">
        <f>IF(AK179&lt;1,"",IF(AK178&lt;4,"",IF(K194=1,K200-M200,IF(M194=1,M200-K200,""))))</f>
        <v/>
      </c>
      <c r="AK194" s="48">
        <f>IF(AK179&lt;1,"",IF(AK178&lt;5,"",IF(N194=1,N200-P200,IF(P194=1,P200-N200,""))))</f>
        <v>19</v>
      </c>
      <c r="AL194" s="48" t="str">
        <f>IF(AK179&lt;1,"",IF(AK178&lt;6,"",IF(Q194=1,Q200-S200,IF(S194=1,S200-Q200,""))))</f>
        <v/>
      </c>
      <c r="AM194" s="48" t="str">
        <f>IF(AK179&lt;1,"",IF(AK178&lt;7,"",IF(T194=1,T200-V200,IF(V194=1,V200-T200,""))))</f>
        <v/>
      </c>
      <c r="AN194" s="48">
        <f>IF(AK179&lt;1,"",IF(AK178&lt;8,"",IF(W194=1,W200-Y200,IF(Y194=1,Y200-W200,""))))</f>
        <v>11</v>
      </c>
      <c r="AO194" s="48" t="str">
        <f>IF(AK179&lt;1,"",IF(AK178&lt;9,"",IF(Z194=1,Z200-AB200,IF(AB194=1,AB200-Z200,""))))</f>
        <v/>
      </c>
      <c r="AP194" s="48">
        <f>IF(AK179&lt;1,"",IF(AK178&lt;10,"",IF(AC194=1,AC200-AE200,IF(AE194=1,AE200-AC200,""))))</f>
        <v>0</v>
      </c>
      <c r="AQ194" s="44">
        <f>SUM(AG194:AP194)</f>
        <v>30</v>
      </c>
    </row>
    <row r="195" spans="1:49" ht="15" x14ac:dyDescent="0.2">
      <c r="A195" s="4" t="s">
        <v>52</v>
      </c>
      <c r="B195" s="49">
        <v>23</v>
      </c>
      <c r="C195" s="50" t="s">
        <v>53</v>
      </c>
      <c r="D195" s="51">
        <v>25</v>
      </c>
      <c r="E195" s="49">
        <v>23</v>
      </c>
      <c r="F195" s="50" t="str">
        <f>IF(AK178&gt;1,"/","")</f>
        <v>/</v>
      </c>
      <c r="G195" s="51">
        <v>25</v>
      </c>
      <c r="H195" s="49">
        <v>24</v>
      </c>
      <c r="I195" s="50" t="str">
        <f>IF(AK178&gt;2,"/","")</f>
        <v>/</v>
      </c>
      <c r="J195" s="51">
        <v>26</v>
      </c>
      <c r="K195" s="49">
        <v>27</v>
      </c>
      <c r="L195" s="50" t="str">
        <f>IF(AK178&gt;3,"/","")</f>
        <v>/</v>
      </c>
      <c r="M195" s="51">
        <v>26</v>
      </c>
      <c r="N195" s="49">
        <v>25</v>
      </c>
      <c r="O195" s="50" t="str">
        <f>IF(AK178&gt;4,"/","")</f>
        <v>/</v>
      </c>
      <c r="P195" s="51">
        <v>17</v>
      </c>
      <c r="Q195" s="49">
        <v>25</v>
      </c>
      <c r="R195" s="50" t="str">
        <f>IF(AK178&gt;5,"/","")</f>
        <v>/</v>
      </c>
      <c r="S195" s="51">
        <v>21</v>
      </c>
      <c r="T195" s="49">
        <v>25</v>
      </c>
      <c r="U195" s="50" t="str">
        <f>IF(AK178&gt;6,"/","")</f>
        <v>/</v>
      </c>
      <c r="V195" s="51">
        <v>20</v>
      </c>
      <c r="W195" s="49">
        <v>25</v>
      </c>
      <c r="X195" s="50" t="str">
        <f>IF(AK178&gt;7,"/","")</f>
        <v>/</v>
      </c>
      <c r="Y195" s="51">
        <v>16</v>
      </c>
      <c r="Z195" s="49">
        <v>18</v>
      </c>
      <c r="AA195" s="50" t="str">
        <f>IF(AK178&gt;8,"/","")</f>
        <v>/</v>
      </c>
      <c r="AB195" s="51">
        <v>25</v>
      </c>
      <c r="AC195" s="49">
        <v>15</v>
      </c>
      <c r="AD195" s="50" t="str">
        <f>IF(AK178&gt;9,"/","")</f>
        <v>/</v>
      </c>
      <c r="AE195" s="51">
        <v>25</v>
      </c>
      <c r="AF195" s="42" t="str">
        <f>IF(AK179&gt;1,"Team 2","")</f>
        <v>Team 2</v>
      </c>
      <c r="AG195" s="48">
        <f>IF(AK179&lt;2,"",IF(AK178&lt;1,"",IF(B194=2,B200-D200,IF(D194=2,D200-B200,""))))</f>
        <v>12</v>
      </c>
      <c r="AH195" s="48" t="str">
        <f>IF(AK179&lt;2,"",IF(AK178&lt;2,"",IF(E194=2,E200-G200,IF(G194=2,G200-E200,""))))</f>
        <v/>
      </c>
      <c r="AI195" s="48" t="str">
        <f>IF(AK179&lt;2,"",IF(AK178&lt;3,"",IF(H194=2,H200-J200,IF(J194=2,J200-H200,""))))</f>
        <v/>
      </c>
      <c r="AJ195" s="48">
        <f>IF(AK179&lt;2,"",IF(AK178&lt;4,"",IF(K194=2,K200-M200,IF(M194=2,M200-K200,""))))</f>
        <v>4</v>
      </c>
      <c r="AK195" s="48" t="str">
        <f>IF(AK179&lt;2,"",IF(AK178&lt;5,"",IF(N194=2,N200-P200,IF(P194=2,P200-N200,""))))</f>
        <v/>
      </c>
      <c r="AL195" s="48" t="str">
        <f>IF(AK179&lt;2,"",IF(AK178&lt;6,"",IF(Q194=2,Q200-S200,IF(S194=2,S200-Q200,""))))</f>
        <v/>
      </c>
      <c r="AM195" s="48">
        <f>IF(AK179&lt;2,"",IF(AK178&lt;7,"",IF(T194=2,T200-V200,IF(V194=2,V200-T200,""))))</f>
        <v>10</v>
      </c>
      <c r="AN195" s="48" t="str">
        <f>IF(AK179&lt;2,"",IF(AK178&lt;8,"",IF(W194=2,W200-Y200,IF(Y194=2,Y200-W200,""))))</f>
        <v/>
      </c>
      <c r="AO195" s="48" t="str">
        <f>IF(AK179&lt;2,"",IF(AK178&lt;9,"",IF(Z194=2,Z200-AB200,IF(AB194=2,AB200-Z200,""))))</f>
        <v/>
      </c>
      <c r="AP195" s="48">
        <f>IF(AK179&lt;2,"",IF(AK178&lt;10,"",IF(AC194=2,AC200-AE200,IF(AE194=2,AE200-AC200,""))))</f>
        <v>0</v>
      </c>
      <c r="AQ195" s="44">
        <f>SUM(AG195:AP195)</f>
        <v>26</v>
      </c>
    </row>
    <row r="196" spans="1:49" ht="15" x14ac:dyDescent="0.2">
      <c r="A196" s="3" t="str">
        <f>IF(AK177&gt;1,"Game 2","")</f>
        <v>Game 2</v>
      </c>
      <c r="B196" s="49">
        <v>25</v>
      </c>
      <c r="C196" s="50" t="s">
        <v>53</v>
      </c>
      <c r="D196" s="51">
        <v>11</v>
      </c>
      <c r="E196" s="49">
        <v>26</v>
      </c>
      <c r="F196" s="50" t="str">
        <f>IF(AK178&gt;1,IF(AK177&gt;1,"/",""),"")</f>
        <v>/</v>
      </c>
      <c r="G196" s="51">
        <v>24</v>
      </c>
      <c r="H196" s="49">
        <v>25</v>
      </c>
      <c r="I196" s="50" t="str">
        <f>IF(AK178&gt;2,IF(AK177&gt;1,"/",""),"")</f>
        <v>/</v>
      </c>
      <c r="J196" s="51">
        <v>19</v>
      </c>
      <c r="K196" s="49">
        <v>25</v>
      </c>
      <c r="L196" s="50" t="str">
        <f>IF(AK178&gt;3,IF(AK177&gt;1,"/",""),"")</f>
        <v>/</v>
      </c>
      <c r="M196" s="51">
        <v>22</v>
      </c>
      <c r="N196" s="49">
        <v>25</v>
      </c>
      <c r="O196" s="50" t="str">
        <f>IF(AK178&gt;4,IF(AK177&gt;1,"/",""),"")</f>
        <v>/</v>
      </c>
      <c r="P196" s="51">
        <v>14</v>
      </c>
      <c r="Q196" s="49">
        <v>25</v>
      </c>
      <c r="R196" s="50" t="str">
        <f>IF(AK178&gt;5,IF(AK177&gt;1,"/",""),"")</f>
        <v>/</v>
      </c>
      <c r="S196" s="51">
        <v>18</v>
      </c>
      <c r="T196" s="49">
        <v>25</v>
      </c>
      <c r="U196" s="50" t="str">
        <f>IF(AK178&gt;6,IF(AK177&gt;1,"/",""),"")</f>
        <v>/</v>
      </c>
      <c r="V196" s="51">
        <v>20</v>
      </c>
      <c r="W196" s="49">
        <v>27</v>
      </c>
      <c r="X196" s="50" t="str">
        <f>IF(AK178&gt;7,IF(AK177&gt;1,"/",""),"")</f>
        <v>/</v>
      </c>
      <c r="Y196" s="51">
        <v>25</v>
      </c>
      <c r="Z196" s="49">
        <v>25</v>
      </c>
      <c r="AA196" s="50" t="str">
        <f>IF(AK178&gt;8,IF(AK177&gt;1,"/",""),"")</f>
        <v>/</v>
      </c>
      <c r="AB196" s="51">
        <v>21</v>
      </c>
      <c r="AC196" s="49">
        <v>25</v>
      </c>
      <c r="AD196" s="50" t="str">
        <f>IF(AK178&gt;9,IF(AK177&gt;1,"/",""),"")</f>
        <v>/</v>
      </c>
      <c r="AE196" s="51">
        <v>15</v>
      </c>
      <c r="AF196" s="42" t="str">
        <f>IF(AK179&gt;2,"Team 3","")</f>
        <v>Team 3</v>
      </c>
      <c r="AG196" s="48" t="str">
        <f>IF(AK179&lt;3,"",IF(AK178&lt;1,"",IF(B194=3,B200-D200,IF(D194=3,D200-B200,""))))</f>
        <v/>
      </c>
      <c r="AH196" s="48" t="str">
        <f>IF(AK179&lt;3,"",IF(AK178&lt;2,"",IF(E194=3,E200-G200,IF(G194=3,G200-E200,""))))</f>
        <v/>
      </c>
      <c r="AI196" s="48">
        <f>IF(AK179&lt;3,"",IF(AK178&lt;3,"",IF(H194=3,H200-J200,IF(J194=3,J200-H200,""))))</f>
        <v>4</v>
      </c>
      <c r="AJ196" s="48" t="str">
        <f>IF(AK179&lt;3,"",IF(AK178&lt;4,"",IF(K194=3,K200-M200,IF(M194=3,M200-K200,""))))</f>
        <v/>
      </c>
      <c r="AK196" s="48">
        <f>IF(AK179&lt;3,"",IF(AK178&lt;5,"",IF(N194=3,N200-P200,IF(P194=3,P200-N200,""))))</f>
        <v>-19</v>
      </c>
      <c r="AL196" s="48" t="str">
        <f>IF(AK179&lt;3,"",IF(AK178&lt;6,"",IF(Q194=3,Q200-S200,IF(S194=3,S200-Q200,""))))</f>
        <v/>
      </c>
      <c r="AM196" s="48">
        <f>IF(AK179&lt;3,"",IF(AK178&lt;7,"",IF(T194=3,T200-V200,IF(V194=3,V200-T200,""))))</f>
        <v>-10</v>
      </c>
      <c r="AN196" s="48" t="str">
        <f>IF(AK179&lt;3,"",IF(AK178&lt;8,"",IF(W194=3,W200-Y200,IF(Y194=3,Y200-W200,""))))</f>
        <v/>
      </c>
      <c r="AO196" s="48">
        <f>IF(AK179&lt;3,"",IF(AK178&lt;9,"",IF(Z194=3,Z200-AB200,IF(AB194=3,AB200-Z200,""))))</f>
        <v>-3</v>
      </c>
      <c r="AP196" s="48" t="str">
        <f>IF(AK179&lt;3,"",IF(AK178&lt;9,"",IF(AC194=3,AC200-AE200,IF(AE194=3,AE200-AC200,""))))</f>
        <v/>
      </c>
      <c r="AQ196" s="44">
        <f>SUM(AG196:AP196)</f>
        <v>-28</v>
      </c>
    </row>
    <row r="197" spans="1:49" ht="15" x14ac:dyDescent="0.2">
      <c r="A197" s="3" t="str">
        <f>IF(AK177&gt;2,"Game 3","")</f>
        <v/>
      </c>
      <c r="B197" s="49"/>
      <c r="C197" s="50" t="s">
        <v>53</v>
      </c>
      <c r="D197" s="51"/>
      <c r="E197" s="49"/>
      <c r="F197" s="50" t="str">
        <f>IF(AK178&gt;1,IF(AK177&gt;2,"/",""),"")</f>
        <v/>
      </c>
      <c r="G197" s="51"/>
      <c r="H197" s="49"/>
      <c r="I197" s="50" t="str">
        <f>IF(AK178&gt;2,IF(AK177&gt;2,"/",""),"")</f>
        <v/>
      </c>
      <c r="J197" s="51"/>
      <c r="K197" s="49"/>
      <c r="L197" s="50" t="str">
        <f>IF(AK178&gt;3,IF(AK177&gt;2,"/",""),"")</f>
        <v/>
      </c>
      <c r="M197" s="51"/>
      <c r="N197" s="49"/>
      <c r="O197" s="50" t="str">
        <f>IF(AK178&gt;4,IF(AK177&gt;2,"/",""),"")</f>
        <v/>
      </c>
      <c r="P197" s="51"/>
      <c r="Q197" s="49"/>
      <c r="R197" s="50" t="str">
        <f>IF(AK178&gt;5,IF(AK177&gt;2,"/",""),"")</f>
        <v/>
      </c>
      <c r="S197" s="51"/>
      <c r="T197" s="49"/>
      <c r="U197" s="50" t="str">
        <f>IF(AK178&gt;6,IF(AK177&gt;2,"/",""),"")</f>
        <v/>
      </c>
      <c r="V197" s="51"/>
      <c r="W197" s="49"/>
      <c r="X197" s="50" t="str">
        <f>IF(AK178&gt;7,IF(AK177&gt;2,"/",""),"")</f>
        <v/>
      </c>
      <c r="Y197" s="51"/>
      <c r="Z197" s="49"/>
      <c r="AA197" s="50" t="str">
        <f>IF(AK178&gt;8,IF(AK177&gt;2,"/",""),"")</f>
        <v/>
      </c>
      <c r="AB197" s="51"/>
      <c r="AC197" s="49"/>
      <c r="AD197" s="50" t="str">
        <f>IF(AK178&gt;9,IF(AK177&gt;2,"/",""),"")</f>
        <v/>
      </c>
      <c r="AE197" s="51"/>
      <c r="AF197" s="42" t="str">
        <f>IF(AK179&gt;3,"Team 4","")</f>
        <v>Team 4</v>
      </c>
      <c r="AG197" s="48" t="str">
        <f>IF(AK179&lt;4,"",IF(AK178&lt;1,"",IF(B194=4,B200-D200,IF(D194=4,D200-B200,""))))</f>
        <v/>
      </c>
      <c r="AH197" s="48">
        <f>IF(AK179&lt;4,"",IF(AK178&lt;2,"",IF(E194=4,E200-G200,IF(G194=4,G200-E200,""))))</f>
        <v>0</v>
      </c>
      <c r="AI197" s="48" t="str">
        <f>IF(AK179&lt;4,"",IF(AK178&lt;3,"",IF(H194=4,H200-J200,IF(J194=4,J200-H200,""))))</f>
        <v/>
      </c>
      <c r="AJ197" s="48">
        <f>IF(AK179&lt;4,"",IF(AK178&lt;4,"",IF(K194=4,K200-M200,IF(M194=4,M200-K200,""))))</f>
        <v>-4</v>
      </c>
      <c r="AK197" s="48" t="str">
        <f>IF(AK179&lt;4,"",IF(AK178&lt;5,"",IF(N194=4,N200-P200,IF(P194=4,P200-N200,""))))</f>
        <v/>
      </c>
      <c r="AL197" s="48">
        <f>IF(AK179&lt;4,"",IF(AK178&lt;6,"",IF(Q194=4,Q200-S200,IF(S194=4,S200-Q200,""))))</f>
        <v>11</v>
      </c>
      <c r="AM197" s="48" t="str">
        <f>IF(AK179&lt;4,"",IF(AK178&lt;7,"",IF(T194=4,T200-V200,IF(V194=4,V200-T200,""))))</f>
        <v/>
      </c>
      <c r="AN197" s="48" t="str">
        <f>IF(AK179&lt;4,"",IF(AK178&lt;8,"",IF(W194=4,W200-Y200,IF(Y194=4,Y200-W200,""))))</f>
        <v/>
      </c>
      <c r="AO197" s="48">
        <f>IF(AK179&lt;4,"",IF(AK178&lt;9,"",IF(Z194=4,Z200-AB200,IF(AB194=4,AB200-Z200,""))))</f>
        <v>3</v>
      </c>
      <c r="AP197" s="48" t="str">
        <f>IF(AK179&lt;4,"",IF(AK178&lt;10,"",IF(AC194=4,AC200-AE200,IF(AE194=4,AE200-AC200,""))))</f>
        <v/>
      </c>
      <c r="AQ197" s="44">
        <f>SUM(AG197:AP197)</f>
        <v>10</v>
      </c>
    </row>
    <row r="198" spans="1:49" ht="15" x14ac:dyDescent="0.2">
      <c r="A198" s="3" t="str">
        <f>IF(AK177&gt;3,"Game 4","")</f>
        <v/>
      </c>
      <c r="B198" s="49"/>
      <c r="C198" s="50" t="s">
        <v>53</v>
      </c>
      <c r="D198" s="51"/>
      <c r="E198" s="49"/>
      <c r="F198" s="50" t="str">
        <f>IF(AK178&gt;1,IF(AK177&gt;3,"/",""),"")</f>
        <v/>
      </c>
      <c r="G198" s="51"/>
      <c r="H198" s="49"/>
      <c r="I198" s="50" t="str">
        <f>IF(AK178&gt;2,IF(AK177&gt;3,"/",""),"")</f>
        <v/>
      </c>
      <c r="J198" s="51"/>
      <c r="K198" s="49"/>
      <c r="L198" s="50" t="str">
        <f>IF(AK178&gt;3,IF(AK177&gt;3,"/",""),"")</f>
        <v/>
      </c>
      <c r="M198" s="51"/>
      <c r="N198" s="49"/>
      <c r="O198" s="50" t="str">
        <f>IF(AK178&gt;4,IF(AK177&gt;3,"/",""),"")</f>
        <v/>
      </c>
      <c r="P198" s="51"/>
      <c r="Q198" s="49"/>
      <c r="R198" s="50" t="str">
        <f>IF(AK178&gt;5,IF(AK177&gt;3,"/",""),"")</f>
        <v/>
      </c>
      <c r="S198" s="51"/>
      <c r="T198" s="49"/>
      <c r="U198" s="50" t="str">
        <f>IF(AK178&gt;6,IF(AK177&gt;3,"/",""),"")</f>
        <v/>
      </c>
      <c r="V198" s="51"/>
      <c r="W198" s="49"/>
      <c r="X198" s="50" t="str">
        <f>IF(AK178&gt;7,IF(AK177&gt;3,"/",""),"")</f>
        <v/>
      </c>
      <c r="Y198" s="51"/>
      <c r="Z198" s="49"/>
      <c r="AA198" s="50" t="str">
        <f>IF(AK178&gt;8,IF(AK177&gt;3,"/",""),"")</f>
        <v/>
      </c>
      <c r="AB198" s="51"/>
      <c r="AC198" s="49"/>
      <c r="AD198" s="50" t="str">
        <f>IF(AK178&gt;9,IF(AK177&gt;3,"/",""),"")</f>
        <v/>
      </c>
      <c r="AE198" s="51"/>
      <c r="AF198" s="42" t="str">
        <f>IF(AK179&gt;4,"Team 5","")</f>
        <v>Team 5</v>
      </c>
      <c r="AG198" s="52">
        <f>IF(AK179&lt;5,"",IF(AK178&lt;1,"",IF(B194=5,B200-D200,IF(D194=5,D200-B200,""))))</f>
        <v>-12</v>
      </c>
      <c r="AH198" s="48" t="str">
        <f>IF(AK179&lt;5,"",IF(AK178&lt;2,"",IF(E194=5,E200-G200,IF(G194=5,G200-E200,""))))</f>
        <v/>
      </c>
      <c r="AI198" s="48">
        <f>IF(AK179&lt;5,"",IF(AK178&lt;3,"",IF(H194=5,H200-J200,IF(J194=5,J200-H200,""))))</f>
        <v>-4</v>
      </c>
      <c r="AJ198" s="48" t="str">
        <f>IF(AK179&lt;5,"",IF(AK178&lt;4,"",IF(K194=5,K200-M200,IF(M194=5,M200-K200,""))))</f>
        <v/>
      </c>
      <c r="AK198" s="48" t="str">
        <f>IF(AK179&lt;5,"",IF(AK178&lt;5,"",IF(N194=5,N200-P200,IF(P194=5,P200-N200,""))))</f>
        <v/>
      </c>
      <c r="AL198" s="48">
        <f>IF(AK179&lt;5,"",IF(AK178&lt;6,"",IF(Q194=5,Q200-S200,IF(S194=5,S200-Q200,""))))</f>
        <v>-11</v>
      </c>
      <c r="AM198" s="48" t="str">
        <f>IF(AK179&lt;5,"",IF(AK178&lt;7,"",IF(T194=5,T200-V200,IF(V194=5,V200-T200,""))))</f>
        <v/>
      </c>
      <c r="AN198" s="48">
        <f>IF(AK179&lt;5,"",IF(AK178&lt;8,"",IF(W194=5,W200-Y200,IF(Y194=5,Y200-W200,""))))</f>
        <v>-11</v>
      </c>
      <c r="AO198" s="48" t="str">
        <f>IF(AK179&lt;5,"",IF(AK178&lt;9,"",IF(Z194=5,Z200-AB200,IF(AB194=5,AB200-Z200,""))))</f>
        <v/>
      </c>
      <c r="AP198" s="48" t="str">
        <f>IF(AK179&lt;5,"",IF(AK178&lt;10,"",IF(AC194=5,AC200-AE200,IF(AE194=5,AE200-AC200,""))))</f>
        <v/>
      </c>
      <c r="AQ198" s="44">
        <f>SUM(AG198:AP198)</f>
        <v>-38</v>
      </c>
    </row>
    <row r="199" spans="1:49" ht="15" x14ac:dyDescent="0.2">
      <c r="A199" s="3" t="str">
        <f>IF(AK177&gt;4,"Game 5","")</f>
        <v/>
      </c>
      <c r="B199" s="49"/>
      <c r="C199" s="50" t="s">
        <v>53</v>
      </c>
      <c r="D199" s="51"/>
      <c r="E199" s="49"/>
      <c r="F199" s="50" t="str">
        <f>IF(AK178&gt;1,IF(AK177&gt;4,"/",""),"")</f>
        <v/>
      </c>
      <c r="G199" s="51"/>
      <c r="H199" s="49"/>
      <c r="I199" s="50" t="str">
        <f>IF(AK178&gt;2,IF(AK177&gt;4,"/",""),"")</f>
        <v/>
      </c>
      <c r="J199" s="51"/>
      <c r="K199" s="49"/>
      <c r="L199" s="50" t="str">
        <f>IF(AK178&gt;3,IF(AK177&gt;4,"/",""),"")</f>
        <v/>
      </c>
      <c r="M199" s="51"/>
      <c r="N199" s="49"/>
      <c r="O199" s="50" t="str">
        <f>IF(AK178&gt;4,IF(AK177&gt;4,"/",""),"")</f>
        <v/>
      </c>
      <c r="P199" s="51"/>
      <c r="Q199" s="49"/>
      <c r="R199" s="50" t="str">
        <f>IF(AK178&gt;5,IF(AK177&gt;4,"/",""),"")</f>
        <v/>
      </c>
      <c r="S199" s="51"/>
      <c r="T199" s="49"/>
      <c r="U199" s="50" t="str">
        <f>IF(AK178&gt;6,IF(AK177&gt;4,"/",""),"")</f>
        <v/>
      </c>
      <c r="V199" s="51"/>
      <c r="W199" s="49"/>
      <c r="X199" s="50" t="str">
        <f>IF(AK178&gt;7,IF(AK177&gt;4,"/",""),"")</f>
        <v/>
      </c>
      <c r="Y199" s="51"/>
      <c r="Z199" s="49"/>
      <c r="AA199" s="50" t="str">
        <f>IF(AK178&gt;8,IF(AK177&gt;4,"/",""),"")</f>
        <v/>
      </c>
      <c r="AB199" s="51"/>
      <c r="AC199" s="49"/>
      <c r="AD199" s="50" t="str">
        <f>IF(AK178&gt;9,IF(AK177&gt;4,"/",""),"")</f>
        <v/>
      </c>
      <c r="AE199" s="5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</row>
    <row r="200" spans="1:49" hidden="1" x14ac:dyDescent="0.2">
      <c r="A200" s="53"/>
      <c r="B200" s="53">
        <f>IF($AK177=5,SUM(B195:B199),IF($AK177=4,SUM(B195:B198),IF($AK177=3,SUM(B195:B197),IF($AK177=2,SUM(B195:B196),B195))))</f>
        <v>48</v>
      </c>
      <c r="C200" s="53"/>
      <c r="D200" s="53">
        <f>IF($AK177=5,SUM(D195:D199),IF($AK177=4,SUM(D195:D198),IF($AK177=3,SUM(D195:D197),IF($AK177=2,SUM(D195:D196),D195))))</f>
        <v>36</v>
      </c>
      <c r="E200" s="53">
        <f>IF($AK177=5,SUM(E195:E199),IF($AK177=4,SUM(E195:E198),IF($AK177=3,SUM(E195:E197),IF($AK177=2,SUM(E195:E196),E195))))</f>
        <v>49</v>
      </c>
      <c r="F200" s="53"/>
      <c r="G200" s="53">
        <f>IF($AK177=5,SUM(G195:G199),IF($AK177=4,SUM(G195:G198),IF($AK177=3,SUM(G195:G197),IF($AK177=2,SUM(G195:G196),G195))))</f>
        <v>49</v>
      </c>
      <c r="H200" s="53">
        <f>IF($AK177=5,SUM(H195:H199),IF($AK177=4,SUM(H195:H198),IF($AK177=3,SUM(H195:H197),IF($AK177=2,SUM(H195:H196),H195))))</f>
        <v>49</v>
      </c>
      <c r="I200" s="53"/>
      <c r="J200" s="53">
        <f>IF($AK177=5,SUM(J195:J199),IF($AK177=4,SUM(J195:J198),IF($AK177=3,SUM(J195:J197),IF($AK177=2,SUM(J195:J196),J195))))</f>
        <v>45</v>
      </c>
      <c r="K200" s="53">
        <f>IF($AK177=5,SUM(K195:K199),IF($AK177=4,SUM(K195:K198),IF($AK177=3,SUM(K195:K197),IF($AK177=2,SUM(K195:K196),K195))))</f>
        <v>52</v>
      </c>
      <c r="L200" s="53"/>
      <c r="M200" s="53">
        <f>IF($AK177=5,SUM(M195:M199),IF($AK177=4,SUM(M195:M198),IF($AK177=3,SUM(M195:M197),IF($AK177=2,SUM(M195:M196),M195))))</f>
        <v>48</v>
      </c>
      <c r="N200" s="53">
        <f>IF($AK177=5,SUM(N195:N199),IF($AK177=4,SUM(N195:N198),IF($AK177=3,SUM(N195:N197),IF($AK177=2,SUM(N195:N196),N195))))</f>
        <v>50</v>
      </c>
      <c r="O200" s="53"/>
      <c r="P200" s="53">
        <f>IF($AK177=5,SUM(P195:P199),IF($AK177=4,SUM(P195:P198),IF($AK177=3,SUM(P195:P197),IF($AK177=2,SUM(P195:P196),P195))))</f>
        <v>31</v>
      </c>
      <c r="Q200" s="53">
        <f>IF($AK177=5,SUM(Q195:Q199),IF($AK177=4,SUM(Q195:Q198),IF($AK177=3,SUM(Q195:Q197),IF($AK177=2,SUM(Q195:Q196),Q195))))</f>
        <v>50</v>
      </c>
      <c r="R200" s="53"/>
      <c r="S200" s="53">
        <f>IF($AK177=5,SUM(S195:S199),IF($AK177=4,SUM(S195:S198),IF($AK177=3,SUM(S195:S197),IF($AK177=2,SUM(S195:S196),S195))))</f>
        <v>39</v>
      </c>
      <c r="T200" s="53">
        <f>IF($AK177=5,SUM(T195:T199),IF($AK177=4,SUM(T195:T198),IF($AK177=3,SUM(T195:T197),IF($AK177=2,SUM(T195:T196),T195))))</f>
        <v>50</v>
      </c>
      <c r="U200" s="53"/>
      <c r="V200" s="53">
        <f>IF($AK177=5,SUM(V195:V199),IF($AK177=4,SUM(V195:V198),IF($AK177=3,SUM(V195:V197),IF($AK177=2,SUM(V195:V196),V195))))</f>
        <v>40</v>
      </c>
      <c r="W200" s="53">
        <f>IF($AK177=5,SUM(W195:W199),IF($AK177=4,SUM(W195:W198),IF($AK177=3,SUM(W195:W197),IF($AK177=2,SUM(W195:W196),W195))))</f>
        <v>52</v>
      </c>
      <c r="X200" s="53"/>
      <c r="Y200" s="53">
        <f>IF($AK177=5,SUM(Y195:Y199),IF($AK177=4,SUM(Y195:Y198),IF($AK177=3,SUM(Y195:Y197),IF($AK177=2,SUM(Y195:Y196),Y195))))</f>
        <v>41</v>
      </c>
      <c r="Z200" s="53">
        <f>IF($AK177=5,SUM(Z195:Z199),IF($AK177=4,SUM(Z195:Z198),IF($AK177=3,SUM(Z195:Z197),IF($AK177=2,SUM(Z195:Z196),Z195))))</f>
        <v>43</v>
      </c>
      <c r="AA200" s="53"/>
      <c r="AB200" s="53">
        <f>IF($AK177=5,SUM(AB195:AB199),IF($AK177=4,SUM(AB195:AB198),IF($AK177=3,SUM(AB195:AB197),IF($AK177=2,SUM(AB195:AB196),AB195))))</f>
        <v>46</v>
      </c>
      <c r="AC200" s="53">
        <f>IF($AK177=5,SUM(AC195:AC199),IF($AK177=4,SUM(AC195:AC198),IF($AK177=3,SUM(AC195:AC197),IF($AK177=2,SUM(AC195:AC196),AC195))))</f>
        <v>40</v>
      </c>
      <c r="AD200" s="53"/>
      <c r="AE200" s="53">
        <f>IF($AK177=5,SUM(AE195:AE199),IF($AK177=4,SUM(AE195:AE198),IF($AK177=3,SUM(AE195:AE197),IF($AK177=2,SUM(AE195:AE196),AE195))))</f>
        <v>40</v>
      </c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</row>
    <row r="201" spans="1:49" s="54" customFormat="1" ht="12.75" hidden="1" customHeight="1" x14ac:dyDescent="0.2">
      <c r="A201" s="54" t="s">
        <v>54</v>
      </c>
      <c r="B201" s="55">
        <f>IF(AND(B195&gt;D195,$AK178&gt;0,ISNUMBER(B195),ISNUMBER(D195)),1,0)</f>
        <v>0</v>
      </c>
      <c r="C201" s="55"/>
      <c r="D201" s="56">
        <f>IF(AND(D195&gt;B195,$AK178&gt;0,ISNUMBER(B195),ISNUMBER(D195)),1,0)</f>
        <v>1</v>
      </c>
      <c r="E201" s="55">
        <f>IF(AND(E195&gt;G195,$AK178&gt;1,ISNUMBER(E195),ISNUMBER(G195)),1,0)</f>
        <v>0</v>
      </c>
      <c r="F201" s="55"/>
      <c r="G201" s="56">
        <f>IF(AND(G195&gt;E195,$AK178&gt;1,ISNUMBER(E195),ISNUMBER(G195)),1,0)</f>
        <v>1</v>
      </c>
      <c r="H201" s="55">
        <f>IF(AND(H195&gt;J195,$AK178&gt;2,ISNUMBER(H195),ISNUMBER(J195)),1,0)</f>
        <v>0</v>
      </c>
      <c r="I201" s="55"/>
      <c r="J201" s="56">
        <f>IF(AND(J195&gt;H195,$AK178&gt;2,ISNUMBER(H195),ISNUMBER(J195)),1,0)</f>
        <v>1</v>
      </c>
      <c r="K201" s="55">
        <f>IF(AND(K195&gt;M195,$AK178&gt;3,ISNUMBER(K195),ISNUMBER(M195)),1,0)</f>
        <v>1</v>
      </c>
      <c r="L201" s="55"/>
      <c r="M201" s="56">
        <f>IF(AND(M195&gt;K195,$AK178&gt;3,ISNUMBER(K195),ISNUMBER(M195)),1,0)</f>
        <v>0</v>
      </c>
      <c r="N201" s="55">
        <f>IF(AND(N195&gt;P195,$AK178&gt;4,ISNUMBER(N195),ISNUMBER(P195)),1,0)</f>
        <v>1</v>
      </c>
      <c r="O201" s="55"/>
      <c r="P201" s="56">
        <f>IF(AND(P195&gt;N195,$AK178&gt;4,ISNUMBER(N195),ISNUMBER(P195)),1,0)</f>
        <v>0</v>
      </c>
      <c r="Q201" s="55">
        <f>IF(AND(Q195&gt;S195,$AK178&gt;5,ISNUMBER(Q195),ISNUMBER(S195)),1,0)</f>
        <v>1</v>
      </c>
      <c r="R201" s="55"/>
      <c r="S201" s="56">
        <f>IF(AND(S195&gt;Q195,$AK178&gt;5,ISNUMBER(Q195),ISNUMBER(S195)),1,0)</f>
        <v>0</v>
      </c>
      <c r="T201" s="55">
        <f>IF(AND(T195&gt;V195,$AK178&gt;6,ISNUMBER(T195),ISNUMBER(V195)),1,0)</f>
        <v>1</v>
      </c>
      <c r="U201" s="55"/>
      <c r="V201" s="56">
        <f>IF(AND(V195&gt;T195,$AK178&gt;6,ISNUMBER(T195),ISNUMBER(V195)),1,0)</f>
        <v>0</v>
      </c>
      <c r="W201" s="55">
        <f>IF(AND(W195&gt;Y195,$AK178&gt;7,ISNUMBER(W195),ISNUMBER(Y195)),1,0)</f>
        <v>1</v>
      </c>
      <c r="X201" s="55"/>
      <c r="Y201" s="56">
        <f>IF(AND(Y195&gt;W195,$AK178&gt;7,ISNUMBER(W195),ISNUMBER(Y195)),1,0)</f>
        <v>0</v>
      </c>
      <c r="Z201" s="55">
        <f>IF(AND(Z195&gt;AB195,$AK178&gt;8,ISNUMBER(Z195),ISNUMBER(AB195)),1,0)</f>
        <v>0</v>
      </c>
      <c r="AA201" s="55"/>
      <c r="AB201" s="56">
        <f>IF(AND(AB195&gt;Z195,$AK178&gt;8,ISNUMBER(Z195),ISNUMBER(AB195)),1,0)</f>
        <v>1</v>
      </c>
      <c r="AC201" s="55">
        <f>IF(AND(AC195&gt;AE195,$AK178&gt;9,ISNUMBER(AC195),ISNUMBER(AE195)),1,0)</f>
        <v>0</v>
      </c>
      <c r="AD201" s="55"/>
      <c r="AE201" s="56">
        <f>IF(AND(AE195&gt;AC195,$AK178&gt;9,ISNUMBER(AC195),ISNUMBER(AE195)),1,0)</f>
        <v>1</v>
      </c>
      <c r="AW201" s="146"/>
    </row>
    <row r="202" spans="1:49" s="54" customFormat="1" ht="12.75" hidden="1" customHeight="1" x14ac:dyDescent="0.2">
      <c r="A202" s="54" t="s">
        <v>55</v>
      </c>
      <c r="B202" s="55">
        <f>IF(AND(B196&gt;D196,$AK178&gt;0,$AK177&gt;1,ISNUMBER(B196),ISNUMBER(D196)),1,0)</f>
        <v>1</v>
      </c>
      <c r="C202" s="55"/>
      <c r="D202" s="56">
        <f>IF(AND(D196&gt;B196,$AK178&gt;0,$AK177&gt;1,ISNUMBER(B196),ISNUMBER(D196)),1,0)</f>
        <v>0</v>
      </c>
      <c r="E202" s="55">
        <f>IF(AND(E196&gt;G196,$AK178&gt;1,$AK177&gt;1,ISNUMBER(E196),ISNUMBER(G196)),1,0)</f>
        <v>1</v>
      </c>
      <c r="F202" s="55"/>
      <c r="G202" s="56">
        <f>IF(AND(G196&gt;E196,$AK178&gt;1,$AK177&gt;1,ISNUMBER(E196),ISNUMBER(G196)),1,0)</f>
        <v>0</v>
      </c>
      <c r="H202" s="55">
        <f>IF(AND(H196&gt;J196,$AK178&gt;2,$AK177&gt;1,ISNUMBER(H196),ISNUMBER(J196)),1,0)</f>
        <v>1</v>
      </c>
      <c r="I202" s="55"/>
      <c r="J202" s="56">
        <f>IF(AND(J196&gt;H196,$AK178&gt;2,$AK177&gt;1,ISNUMBER(H196),ISNUMBER(J196)),1,0)</f>
        <v>0</v>
      </c>
      <c r="K202" s="55">
        <f>IF(AND(K196&gt;M196,$AK178&gt;3,$AK177&gt;1,ISNUMBER(K196),ISNUMBER(M196)),1,0)</f>
        <v>1</v>
      </c>
      <c r="L202" s="55"/>
      <c r="M202" s="56">
        <f>IF(AND(M196&gt;K196,$AK178&gt;3,$AK177&gt;1,ISNUMBER(K196),ISNUMBER(M196)),1,0)</f>
        <v>0</v>
      </c>
      <c r="N202" s="55">
        <f>IF(AND(N196&gt;P196,$AK178&gt;4,$AK177&gt;1,ISNUMBER(N196),ISNUMBER(P196)),1,0)</f>
        <v>1</v>
      </c>
      <c r="O202" s="55"/>
      <c r="P202" s="56">
        <f>IF(AND(P196&gt;N196,$AK178&gt;4,$AK177&gt;1,ISNUMBER(N196),ISNUMBER(P196)),1,0)</f>
        <v>0</v>
      </c>
      <c r="Q202" s="55">
        <f>IF(AND(Q196&gt;S196,$AK178&gt;5,$AK177&gt;1,ISNUMBER(Q196),ISNUMBER(S196)),1,0)</f>
        <v>1</v>
      </c>
      <c r="R202" s="55"/>
      <c r="S202" s="56">
        <f>IF(AND(S196&gt;Q196,$AK178&gt;5,$AK177&gt;1,ISNUMBER(Q196),ISNUMBER(S196)),1,0)</f>
        <v>0</v>
      </c>
      <c r="T202" s="55">
        <f>IF(AND(T196&gt;V196,$AK178&gt;6,$AK177&gt;1,ISNUMBER(T196),ISNUMBER(V196)),1,0)</f>
        <v>1</v>
      </c>
      <c r="U202" s="55"/>
      <c r="V202" s="56">
        <f>IF(AND(V196&gt;T196,$AK178&gt;6,$AK177&gt;1,ISNUMBER(T196),ISNUMBER(V196)),1,0)</f>
        <v>0</v>
      </c>
      <c r="W202" s="55">
        <f>IF(AND(W196&gt;Y196,$AK178&gt;7,$AK177&gt;1,ISNUMBER(W196),ISNUMBER(Y196)),1,0)</f>
        <v>1</v>
      </c>
      <c r="X202" s="55"/>
      <c r="Y202" s="56">
        <f>IF(AND(Y196&gt;W196,$AK178&gt;7,$AK177&gt;1,ISNUMBER(W196),ISNUMBER(Y196)),1,0)</f>
        <v>0</v>
      </c>
      <c r="Z202" s="55">
        <f>IF(AND(Z196&gt;AB196,$AK178&gt;8,$AK177&gt;1,ISNUMBER(Z196),ISNUMBER(AB196)),1,0)</f>
        <v>1</v>
      </c>
      <c r="AA202" s="55"/>
      <c r="AB202" s="56">
        <f>IF(AND(AB196&gt;Z196,$AK178&gt;8,$AK177&gt;1,ISNUMBER(Z196),ISNUMBER(AB196)),1,0)</f>
        <v>0</v>
      </c>
      <c r="AC202" s="55">
        <f>IF(AND(AC196&gt;AE196,$AK178&gt;9,$AK177&gt;1,ISNUMBER(AC196),ISNUMBER(AE196)),1,0)</f>
        <v>1</v>
      </c>
      <c r="AD202" s="55"/>
      <c r="AE202" s="56">
        <f>IF(AND(AE196&gt;AC196,$AK178&gt;9,$AK177&gt;1,ISNUMBER(AC196),ISNUMBER(AE196)),1,0)</f>
        <v>0</v>
      </c>
      <c r="AW202" s="146"/>
    </row>
    <row r="203" spans="1:49" s="54" customFormat="1" ht="12.75" hidden="1" customHeight="1" x14ac:dyDescent="0.2">
      <c r="A203" s="54" t="s">
        <v>56</v>
      </c>
      <c r="B203" s="55">
        <f>IF(AND(B197&gt;D197,$AK178&gt;0,$AK177&gt;2,ISNUMBER(B197),ISNUMBER(D197)),1,0)</f>
        <v>0</v>
      </c>
      <c r="C203" s="55"/>
      <c r="D203" s="56">
        <f>IF(AND(D197&gt;B197,$AK178&gt;0,$AK177&gt;2,ISNUMBER(B197),ISNUMBER(D197)),1,0)</f>
        <v>0</v>
      </c>
      <c r="E203" s="55">
        <f>IF(AND(E197&gt;G197,$AK178&gt;1,$AK177&gt;2,ISNUMBER(E197),ISNUMBER(G197)),1,0)</f>
        <v>0</v>
      </c>
      <c r="F203" s="55"/>
      <c r="G203" s="56">
        <f>IF(AND(G197&gt;E197,$AK178&gt;1,$AK177&gt;2,ISNUMBER(E197),ISNUMBER(G197)),1,0)</f>
        <v>0</v>
      </c>
      <c r="H203" s="55">
        <f>IF(AND(H197&gt;J197,$AK178&gt;2,$AK177&gt;2,ISNUMBER(H197),ISNUMBER(J197)),1,0)</f>
        <v>0</v>
      </c>
      <c r="I203" s="55"/>
      <c r="J203" s="56">
        <f>IF(AND(J197&gt;H197,$AK178&gt;2,$AK177&gt;2,ISNUMBER(H197),ISNUMBER(J197)),1,0)</f>
        <v>0</v>
      </c>
      <c r="K203" s="55">
        <f>IF(AND(K197&gt;M197,$AK178&gt;3,$AK177&gt;2,ISNUMBER(K197),ISNUMBER(M197)),1,0)</f>
        <v>0</v>
      </c>
      <c r="L203" s="55"/>
      <c r="M203" s="56">
        <f>IF(AND(M197&gt;K197,$AK178&gt;3,$AK177&gt;2,ISNUMBER(K197),ISNUMBER(M197)),1,0)</f>
        <v>0</v>
      </c>
      <c r="N203" s="55">
        <f>IF(AND(N197&gt;P197,$AK178&gt;4,$AK177&gt;2,ISNUMBER(N197),ISNUMBER(P197)),1,0)</f>
        <v>0</v>
      </c>
      <c r="O203" s="55"/>
      <c r="P203" s="56">
        <f>IF(AND(P197&gt;N197,$AK178&gt;4,$AK177&gt;2,ISNUMBER(N197),ISNUMBER(P197)),1,0)</f>
        <v>0</v>
      </c>
      <c r="Q203" s="55">
        <f>IF(AND(Q197&gt;S197,$AK178&gt;5,$AK177&gt;2,ISNUMBER(Q197),ISNUMBER(S197)),1,0)</f>
        <v>0</v>
      </c>
      <c r="R203" s="55"/>
      <c r="S203" s="56">
        <f>IF(AND(S197&gt;Q197,$AK178&gt;5,$AK177&gt;2,ISNUMBER(Q197),ISNUMBER(S197)),1,0)</f>
        <v>0</v>
      </c>
      <c r="T203" s="55">
        <f>IF(AND(T197&gt;V197,$AK178&gt;6,$AK177&gt;2,ISNUMBER(T197),ISNUMBER(V197)),1,0)</f>
        <v>0</v>
      </c>
      <c r="U203" s="55"/>
      <c r="V203" s="56">
        <f>IF(AND(V197&gt;T197,$AK178&gt;6,$AK177&gt;2,ISNUMBER(T197),ISNUMBER(V197)),1,0)</f>
        <v>0</v>
      </c>
      <c r="W203" s="55">
        <f>IF(AND(W197&gt;Y197,$AK178&gt;7,$AK177&gt;2,ISNUMBER(W197),ISNUMBER(Y197)),1,0)</f>
        <v>0</v>
      </c>
      <c r="X203" s="55"/>
      <c r="Y203" s="56">
        <f>IF(AND(Y197&gt;W197,$AK178&gt;7,$AK177&gt;2,ISNUMBER(W197),ISNUMBER(Y197)),1,0)</f>
        <v>0</v>
      </c>
      <c r="Z203" s="55">
        <f>IF(AND(Z197&gt;AB197,$AK178&gt;8,$AK177&gt;2,ISNUMBER(Z197),ISNUMBER(AB197)),1,0)</f>
        <v>0</v>
      </c>
      <c r="AA203" s="55"/>
      <c r="AB203" s="56">
        <f>IF(AND(AB197&gt;Z197,$AK178&gt;8,$AK177&gt;2,ISNUMBER(Z197),ISNUMBER(AB197)),1,0)</f>
        <v>0</v>
      </c>
      <c r="AC203" s="55">
        <f>IF(AND(AC197&gt;AE197,$AK178&gt;9,$AK177&gt;2,ISNUMBER(AC197),ISNUMBER(AE197)),1,0)</f>
        <v>0</v>
      </c>
      <c r="AD203" s="55"/>
      <c r="AE203" s="56">
        <f>IF(AND(AE197&gt;AC197,$AK178&gt;9,$AK177&gt;2,ISNUMBER(AC197),ISNUMBER(AE197)),1,0)</f>
        <v>0</v>
      </c>
      <c r="AW203" s="146"/>
    </row>
    <row r="204" spans="1:49" s="54" customFormat="1" ht="12.75" hidden="1" customHeight="1" x14ac:dyDescent="0.2">
      <c r="A204" s="54" t="s">
        <v>57</v>
      </c>
      <c r="B204" s="55">
        <f>IF(AND(B198&gt;D198,$AK178&gt;0,$AK177&gt;3,ISNUMBER(B198),ISNUMBER(D198)),1,0)</f>
        <v>0</v>
      </c>
      <c r="C204" s="55"/>
      <c r="D204" s="56">
        <f>IF(AND(D198&gt;B198,$AK178&gt;0,$AK177&gt;3,ISNUMBER(B198),ISNUMBER(D198)),1,0)</f>
        <v>0</v>
      </c>
      <c r="E204" s="55">
        <f>IF(AND(E198&gt;G198,$AK178&gt;1,$AK177&gt;3,ISNUMBER(E198),ISNUMBER(G198)),1,0)</f>
        <v>0</v>
      </c>
      <c r="F204" s="55"/>
      <c r="G204" s="56">
        <f>IF(AND(G198&gt;E198,$AK178&gt;1,$AK177&gt;3,ISNUMBER(E198),ISNUMBER(G198)),1,0)</f>
        <v>0</v>
      </c>
      <c r="H204" s="55">
        <f>IF(AND(H198&gt;J198,$AK178&gt;2,$AK177&gt;3,ISNUMBER(H198),ISNUMBER(J198)),1,0)</f>
        <v>0</v>
      </c>
      <c r="I204" s="55"/>
      <c r="J204" s="56">
        <f>IF(AND(J198&gt;H198,$AK178&gt;2,$AK177&gt;3,ISNUMBER(H198),ISNUMBER(J198)),1,0)</f>
        <v>0</v>
      </c>
      <c r="K204" s="55">
        <f>IF(AND(K198&gt;M198,$AK178&gt;3,$AK177&gt;3,ISNUMBER(K198),ISNUMBER(M198)),1,0)</f>
        <v>0</v>
      </c>
      <c r="L204" s="55"/>
      <c r="M204" s="56">
        <f>IF(AND(M198&gt;K198,$AK178&gt;3,$AK177&gt;3,ISNUMBER(K198),ISNUMBER(M198)),1,0)</f>
        <v>0</v>
      </c>
      <c r="N204" s="55">
        <f>IF(AND(N198&gt;P198,$AK178&gt;4,$AK177&gt;3,ISNUMBER(N198),ISNUMBER(P198)),1,0)</f>
        <v>0</v>
      </c>
      <c r="O204" s="55"/>
      <c r="P204" s="56">
        <f>IF(AND(P198&gt;N198,$AK178&gt;4,$AK177&gt;3,ISNUMBER(N198),ISNUMBER(P198)),1,0)</f>
        <v>0</v>
      </c>
      <c r="Q204" s="55">
        <f>IF(AND(Q198&gt;S198,$AK178&gt;5,$AK177&gt;3,ISNUMBER(Q198),ISNUMBER(S198)),1,0)</f>
        <v>0</v>
      </c>
      <c r="R204" s="55"/>
      <c r="S204" s="56">
        <f>IF(AND(S198&gt;Q198,$AK178&gt;5,$AK177&gt;3,ISNUMBER(Q198),ISNUMBER(S198)),1,0)</f>
        <v>0</v>
      </c>
      <c r="T204" s="55">
        <f>IF(AND(T198&gt;V198,$AK178&gt;6,$AK177&gt;3,ISNUMBER(T198),ISNUMBER(V198)),1,0)</f>
        <v>0</v>
      </c>
      <c r="U204" s="55"/>
      <c r="V204" s="56">
        <f>IF(AND(V198&gt;T198,$AK178&gt;6,$AK177&gt;3,ISNUMBER(T198),ISNUMBER(V198)),1,0)</f>
        <v>0</v>
      </c>
      <c r="W204" s="55">
        <f>IF(AND(W198&gt;Y198,$AK178&gt;7,$AK177&gt;3,ISNUMBER(W198),ISNUMBER(Y198)),1,0)</f>
        <v>0</v>
      </c>
      <c r="X204" s="55"/>
      <c r="Y204" s="56">
        <f>IF(AND(Y198&gt;W198,$AK178&gt;7,$AK177&gt;3,ISNUMBER(W198),ISNUMBER(Y198)),1,0)</f>
        <v>0</v>
      </c>
      <c r="Z204" s="55">
        <f>IF(AND(Z198&gt;AB198,$AK178&gt;8,$AK177&gt;3,ISNUMBER(Z198),ISNUMBER(AB198)),1,0)</f>
        <v>0</v>
      </c>
      <c r="AA204" s="55"/>
      <c r="AB204" s="56">
        <f>IF(AND(AB198&gt;Z198,$AK178&gt;8,$AK177&gt;3,ISNUMBER(Z198),ISNUMBER(AB198)),1,0)</f>
        <v>0</v>
      </c>
      <c r="AC204" s="55">
        <f>IF(AND(AC198&gt;AE198,$AK178&gt;9,$AK177&gt;3,ISNUMBER(AC198),ISNUMBER(AE198)),1,0)</f>
        <v>0</v>
      </c>
      <c r="AD204" s="55"/>
      <c r="AE204" s="56">
        <f>IF(AND(AE198&gt;AC198,$AK178&gt;9,$AK177&gt;3,ISNUMBER(AC198),ISNUMBER(AE198)),1,0)</f>
        <v>0</v>
      </c>
      <c r="AW204" s="146"/>
    </row>
    <row r="205" spans="1:49" s="54" customFormat="1" ht="12.75" hidden="1" customHeight="1" x14ac:dyDescent="0.2">
      <c r="A205" s="54" t="s">
        <v>58</v>
      </c>
      <c r="B205" s="55">
        <f>IF(AND(B199&gt;D199,$AK178&gt;0,$AK177&gt;4,ISNUMBER(B199),ISNUMBER(D199)),1,0)</f>
        <v>0</v>
      </c>
      <c r="C205" s="55"/>
      <c r="D205" s="56">
        <f>IF(AND(D199&gt;B199,$AK178&gt;0,$AK177&gt;4,ISNUMBER(B199),ISNUMBER(D199)),1,0)</f>
        <v>0</v>
      </c>
      <c r="E205" s="55">
        <f>IF(AND(E199&gt;G199,$AK178&gt;1,$AK177&gt;4,ISNUMBER(E199),ISNUMBER(G199)),1,0)</f>
        <v>0</v>
      </c>
      <c r="F205" s="55"/>
      <c r="G205" s="56">
        <f>IF(AND(G199&gt;E199,$AK178&gt;1,$AK177&gt;4,ISNUMBER(E199),ISNUMBER(G199)),1,0)</f>
        <v>0</v>
      </c>
      <c r="H205" s="55">
        <f>IF(AND(H199&gt;J199,$AK178&gt;2,$AK177&gt;4,ISNUMBER(H199),ISNUMBER(J199)),1,0)</f>
        <v>0</v>
      </c>
      <c r="I205" s="55"/>
      <c r="J205" s="56">
        <f>IF(AND(J199&gt;H199,$AK178&gt;2,$AK177&gt;4,ISNUMBER(H199),ISNUMBER(J199)),1,0)</f>
        <v>0</v>
      </c>
      <c r="K205" s="55">
        <f>IF(AND(K199&gt;M199,$AK178&gt;3,$AK177&gt;4,ISNUMBER(K199),ISNUMBER(M199)),1,0)</f>
        <v>0</v>
      </c>
      <c r="L205" s="55"/>
      <c r="M205" s="56">
        <f>IF(AND(M199&gt;K199,$AK178&gt;3,$AK177&gt;4,ISNUMBER(K199),ISNUMBER(M199)),1,0)</f>
        <v>0</v>
      </c>
      <c r="N205" s="55">
        <f>IF(AND(N199&gt;P199,$AK178&gt;4,$AK177&gt;4,ISNUMBER(N199),ISNUMBER(P199)),1,0)</f>
        <v>0</v>
      </c>
      <c r="O205" s="55"/>
      <c r="P205" s="56">
        <f>IF(AND(P199&gt;N199,$AK178&gt;4,$AK177&gt;4,ISNUMBER(N199),ISNUMBER(P199)),1,0)</f>
        <v>0</v>
      </c>
      <c r="Q205" s="55">
        <f>IF(AND(Q199&gt;S199,$AK178&gt;5,$AK177&gt;4,ISNUMBER(Q199),ISNUMBER(S199)),1,0)</f>
        <v>0</v>
      </c>
      <c r="R205" s="55"/>
      <c r="S205" s="56">
        <f>IF(AND(S199&gt;Q199,$AK178&gt;5,$AK177&gt;4,ISNUMBER(Q199),ISNUMBER(S199)),1,0)</f>
        <v>0</v>
      </c>
      <c r="T205" s="55">
        <f>IF(AND(T199&gt;V199,$AK178&gt;6,$AK177&gt;4,ISNUMBER(T199),ISNUMBER(V199)),1,0)</f>
        <v>0</v>
      </c>
      <c r="U205" s="55"/>
      <c r="V205" s="56">
        <f>IF(AND(V199&gt;T199,$AK178&gt;6,$AK177&gt;4,ISNUMBER(T199),ISNUMBER(V199)),1,0)</f>
        <v>0</v>
      </c>
      <c r="W205" s="55">
        <f>IF(AND(W199&gt;Y199,$AK178&gt;7,$AK177&gt;4,ISNUMBER(W199),ISNUMBER(Y199)),1,0)</f>
        <v>0</v>
      </c>
      <c r="X205" s="55"/>
      <c r="Y205" s="56">
        <f>IF(AND(Y199&gt;W199,$AK178&gt;7,$AK177&gt;4,ISNUMBER(W199),ISNUMBER(Y199)),1,0)</f>
        <v>0</v>
      </c>
      <c r="Z205" s="55">
        <f>IF(AND(Z199&gt;AB199,$AK178&gt;8,$AK177&gt;4,ISNUMBER(Z199),ISNUMBER(AB199)),1,0)</f>
        <v>0</v>
      </c>
      <c r="AA205" s="55"/>
      <c r="AB205" s="56">
        <f>IF(AND(AB199&gt;Z199,$AK178&gt;8,$AK177&gt;4,ISNUMBER(Z199),ISNUMBER(AB199)),1,0)</f>
        <v>0</v>
      </c>
      <c r="AC205" s="55">
        <f>IF(AND(AC199&gt;AE199,$AK178&gt;9,$AK177&gt;4,ISNUMBER(AC199),ISNUMBER(AE199)),1,0)</f>
        <v>0</v>
      </c>
      <c r="AD205" s="55"/>
      <c r="AE205" s="56">
        <f>IF(AND(AE199&gt;AC199,$AK178&gt;9,$AK177&gt;4,ISNUMBER(AC199),ISNUMBER(AE199)),1,0)</f>
        <v>0</v>
      </c>
      <c r="AW205" s="146"/>
    </row>
    <row r="206" spans="1:49" s="54" customFormat="1" ht="38.25" hidden="1" customHeight="1" x14ac:dyDescent="0.2">
      <c r="A206" s="57" t="s">
        <v>59</v>
      </c>
      <c r="B206" s="54">
        <f>SUM(B201:B205)</f>
        <v>1</v>
      </c>
      <c r="D206" s="58">
        <f>SUM(D201:D205)</f>
        <v>1</v>
      </c>
      <c r="E206" s="54">
        <f>SUM(E201:E205)</f>
        <v>1</v>
      </c>
      <c r="G206" s="58">
        <f>SUM(G201:G205)</f>
        <v>1</v>
      </c>
      <c r="H206" s="54">
        <f>SUM(H201:H205)</f>
        <v>1</v>
      </c>
      <c r="J206" s="58">
        <f>SUM(J201:J205)</f>
        <v>1</v>
      </c>
      <c r="K206" s="54">
        <f>SUM(K201:K205)</f>
        <v>2</v>
      </c>
      <c r="M206" s="58">
        <f>SUM(M201:M205)</f>
        <v>0</v>
      </c>
      <c r="N206" s="54">
        <f>SUM(N201:N205)</f>
        <v>2</v>
      </c>
      <c r="P206" s="58">
        <f>SUM(P201:P205)</f>
        <v>0</v>
      </c>
      <c r="Q206" s="54">
        <f>SUM(Q201:Q205)</f>
        <v>2</v>
      </c>
      <c r="S206" s="58">
        <f>SUM(S201:S205)</f>
        <v>0</v>
      </c>
      <c r="T206" s="54">
        <f>SUM(T201:T205)</f>
        <v>2</v>
      </c>
      <c r="V206" s="58">
        <f>SUM(V201:V205)</f>
        <v>0</v>
      </c>
      <c r="W206" s="54">
        <f>SUM(W201:W205)</f>
        <v>2</v>
      </c>
      <c r="Y206" s="58">
        <f>SUM(Y201:Y205)</f>
        <v>0</v>
      </c>
      <c r="Z206" s="54">
        <f>SUM(Z201:Z205)</f>
        <v>1</v>
      </c>
      <c r="AB206" s="58">
        <f>SUM(AB201:AB205)</f>
        <v>1</v>
      </c>
      <c r="AC206" s="54">
        <f>SUM(AC201:AC205)</f>
        <v>1</v>
      </c>
      <c r="AE206" s="58">
        <f>SUM(AE201:AE205)</f>
        <v>1</v>
      </c>
      <c r="AW206" s="146"/>
    </row>
    <row r="207" spans="1:49" s="54" customFormat="1" ht="25.5" hidden="1" customHeight="1" x14ac:dyDescent="0.2">
      <c r="A207" s="57" t="s">
        <v>60</v>
      </c>
      <c r="B207" s="54">
        <f>IF(B206&gt;D206,IF(C241=AK177,1,IF(C241=AK177-1,1,0)),0)</f>
        <v>0</v>
      </c>
      <c r="C207" s="54">
        <f>B207+D207</f>
        <v>0</v>
      </c>
      <c r="D207" s="58">
        <f>IF(D206&gt;B206,IF(C241=AK177,1,IF(C241=AK177-1,1,0)),0)</f>
        <v>0</v>
      </c>
      <c r="E207" s="54">
        <f>IF(E206&gt;G206,IF(F241=AK177,1,IF(F241=AK177-1,1,0)),0)</f>
        <v>0</v>
      </c>
      <c r="F207" s="54">
        <f>E207+G207</f>
        <v>0</v>
      </c>
      <c r="G207" s="58">
        <f>IF(G206&gt;E206,IF(F241=AK177,1,IF(F241=AK177-1,1,0)),0)</f>
        <v>0</v>
      </c>
      <c r="H207" s="54">
        <f>IF(H206&gt;J206,IF(I241=AK177,1,IF(I241=AK177-1,1,0)),0)</f>
        <v>0</v>
      </c>
      <c r="I207" s="54">
        <f>H207+J207</f>
        <v>0</v>
      </c>
      <c r="J207" s="58">
        <f>IF(J206&gt;H206,IF(I241=AK177,1,IF(I241=AK177-1,1,0)),0)</f>
        <v>0</v>
      </c>
      <c r="K207" s="54">
        <f>IF(K206&gt;M206,IF(L241=AK177,1,IF(L241=AK177-1,1,0)),0)</f>
        <v>1</v>
      </c>
      <c r="L207" s="54">
        <f>K207+M207</f>
        <v>1</v>
      </c>
      <c r="M207" s="58">
        <f>IF(M206&gt;K206,IF(L241=AK177,1,IF(L241=AK177-1,1,0)),0)</f>
        <v>0</v>
      </c>
      <c r="N207" s="54">
        <f>IF(N206&gt;P206,IF(O241=AK177,1,IF(O241=AK177-1,1,0)),0)</f>
        <v>1</v>
      </c>
      <c r="O207" s="54">
        <f>N207+P207</f>
        <v>1</v>
      </c>
      <c r="P207" s="58">
        <f>IF(P206&gt;N206,IF(O241=AK177,1,IF(O241=AK177-1,1,0)),0)</f>
        <v>0</v>
      </c>
      <c r="Q207" s="54">
        <f>IF(Q206&gt;S206,IF(R241=AK177,1,IF(R241=AK177-1,1,0)),0)</f>
        <v>1</v>
      </c>
      <c r="R207" s="54">
        <f>Q207+S207</f>
        <v>1</v>
      </c>
      <c r="S207" s="58">
        <f>IF(S206&gt;Q206,IF(R241=AK177,1,IF(R241=AK177-1,1,0)),0)</f>
        <v>0</v>
      </c>
      <c r="T207" s="54">
        <f>IF(T206&gt;V206,IF(U241=AK177,1,IF(U241=AK177-1,1,0)),0)</f>
        <v>1</v>
      </c>
      <c r="U207" s="54">
        <f>T207+V207</f>
        <v>1</v>
      </c>
      <c r="V207" s="58">
        <f>IF(V206&gt;T206,IF(U241=AK177,1,IF(U241=AK177-1,1,0)),0)</f>
        <v>0</v>
      </c>
      <c r="W207" s="54">
        <f>IF(W206&gt;Y206,IF(X241=AK177,1,IF(X241=AK177-1,1,0)),0)</f>
        <v>1</v>
      </c>
      <c r="X207" s="54">
        <f>W207+Y207</f>
        <v>1</v>
      </c>
      <c r="Y207" s="58">
        <f>IF(Y206&gt;W206,IF(X241=AK177,1,IF(X241=AK177-1,1,0)),0)</f>
        <v>0</v>
      </c>
      <c r="Z207" s="54">
        <f>IF(Z206&gt;AB206,IF(AA241=AK177,1,IF(AA241=AK177-1,1,0)),0)</f>
        <v>0</v>
      </c>
      <c r="AA207" s="54">
        <f>Z207+AB207</f>
        <v>0</v>
      </c>
      <c r="AB207" s="58">
        <f>IF(AB206&gt;Z206,IF(AA241=AK177,1,IF(AA241=AK177-1,1,0)),0)</f>
        <v>0</v>
      </c>
      <c r="AC207" s="54">
        <f>IF(AC206&gt;AE206,IF(AD241=AK177,1,IF(AD241=AK177-1,1,0)),0)</f>
        <v>0</v>
      </c>
      <c r="AD207" s="54">
        <f>AC207+AE207</f>
        <v>0</v>
      </c>
      <c r="AE207" s="58">
        <f>IF(AE206&gt;AC206,IF(AD241=AK177,1,IF(AD241=AK177-1,1,0)),0)</f>
        <v>0</v>
      </c>
      <c r="AW207" s="146"/>
    </row>
    <row r="208" spans="1:49" s="54" customFormat="1" ht="25.5" hidden="1" customHeight="1" x14ac:dyDescent="0.2">
      <c r="A208" s="57"/>
      <c r="D208" s="58"/>
      <c r="G208" s="58"/>
      <c r="J208" s="58"/>
      <c r="M208" s="58"/>
      <c r="P208" s="58"/>
      <c r="S208" s="58"/>
      <c r="V208" s="58"/>
      <c r="Y208" s="58"/>
      <c r="AB208" s="58"/>
      <c r="AE208" s="58"/>
      <c r="AW208" s="146"/>
    </row>
    <row r="209" spans="1:49" s="54" customFormat="1" ht="12.75" hidden="1" customHeight="1" x14ac:dyDescent="0.2">
      <c r="A209" s="54" t="s">
        <v>61</v>
      </c>
      <c r="B209" s="54">
        <f>IF(B201=1,B195,0)</f>
        <v>0</v>
      </c>
      <c r="D209" s="58">
        <f t="shared" ref="D209:E213" si="20">IF(D201=1,D195,0)</f>
        <v>25</v>
      </c>
      <c r="E209" s="54">
        <f t="shared" si="20"/>
        <v>0</v>
      </c>
      <c r="G209" s="58">
        <f t="shared" ref="G209:H213" si="21">IF(G201=1,G195,0)</f>
        <v>25</v>
      </c>
      <c r="H209" s="54">
        <f t="shared" si="21"/>
        <v>0</v>
      </c>
      <c r="J209" s="58">
        <f t="shared" ref="J209:K213" si="22">IF(J201=1,J195,0)</f>
        <v>26</v>
      </c>
      <c r="K209" s="54">
        <f t="shared" si="22"/>
        <v>27</v>
      </c>
      <c r="M209" s="58">
        <f t="shared" ref="M209:N213" si="23">IF(M201=1,M195,0)</f>
        <v>0</v>
      </c>
      <c r="N209" s="54">
        <f t="shared" si="23"/>
        <v>25</v>
      </c>
      <c r="P209" s="58">
        <f t="shared" ref="P209:Q213" si="24">IF(P201=1,P195,0)</f>
        <v>0</v>
      </c>
      <c r="Q209" s="54">
        <f t="shared" si="24"/>
        <v>25</v>
      </c>
      <c r="S209" s="58">
        <f t="shared" ref="S209:T213" si="25">IF(S201=1,S195,0)</f>
        <v>0</v>
      </c>
      <c r="T209" s="54">
        <f t="shared" si="25"/>
        <v>25</v>
      </c>
      <c r="V209" s="58">
        <f t="shared" ref="V209:W213" si="26">IF(V201=1,V195,0)</f>
        <v>0</v>
      </c>
      <c r="W209" s="54">
        <f t="shared" si="26"/>
        <v>25</v>
      </c>
      <c r="Y209" s="58">
        <f t="shared" ref="Y209:Z213" si="27">IF(Y201=1,Y195,0)</f>
        <v>0</v>
      </c>
      <c r="Z209" s="54">
        <f t="shared" si="27"/>
        <v>0</v>
      </c>
      <c r="AB209" s="58">
        <f t="shared" ref="AB209:AC213" si="28">IF(AB201=1,AB195,0)</f>
        <v>25</v>
      </c>
      <c r="AC209" s="54">
        <f t="shared" si="28"/>
        <v>0</v>
      </c>
      <c r="AE209" s="58">
        <f>IF(AE201=1,AE195,0)</f>
        <v>25</v>
      </c>
      <c r="AW209" s="146"/>
    </row>
    <row r="210" spans="1:49" s="54" customFormat="1" ht="12.75" hidden="1" customHeight="1" x14ac:dyDescent="0.2">
      <c r="A210" s="54" t="s">
        <v>62</v>
      </c>
      <c r="B210" s="54">
        <f>IF(B202=1,B196,0)</f>
        <v>25</v>
      </c>
      <c r="D210" s="58">
        <f t="shared" si="20"/>
        <v>0</v>
      </c>
      <c r="E210" s="54">
        <f t="shared" si="20"/>
        <v>26</v>
      </c>
      <c r="G210" s="58">
        <f t="shared" si="21"/>
        <v>0</v>
      </c>
      <c r="H210" s="54">
        <f t="shared" si="21"/>
        <v>25</v>
      </c>
      <c r="J210" s="58">
        <f t="shared" si="22"/>
        <v>0</v>
      </c>
      <c r="K210" s="54">
        <f t="shared" si="22"/>
        <v>25</v>
      </c>
      <c r="M210" s="58">
        <f t="shared" si="23"/>
        <v>0</v>
      </c>
      <c r="N210" s="54">
        <f t="shared" si="23"/>
        <v>25</v>
      </c>
      <c r="P210" s="58">
        <f t="shared" si="24"/>
        <v>0</v>
      </c>
      <c r="Q210" s="54">
        <f t="shared" si="24"/>
        <v>25</v>
      </c>
      <c r="S210" s="58">
        <f t="shared" si="25"/>
        <v>0</v>
      </c>
      <c r="T210" s="54">
        <f t="shared" si="25"/>
        <v>25</v>
      </c>
      <c r="V210" s="58">
        <f t="shared" si="26"/>
        <v>0</v>
      </c>
      <c r="W210" s="54">
        <f t="shared" si="26"/>
        <v>27</v>
      </c>
      <c r="Y210" s="58">
        <f t="shared" si="27"/>
        <v>0</v>
      </c>
      <c r="Z210" s="54">
        <f t="shared" si="27"/>
        <v>25</v>
      </c>
      <c r="AB210" s="58">
        <f t="shared" si="28"/>
        <v>0</v>
      </c>
      <c r="AC210" s="54">
        <f t="shared" si="28"/>
        <v>25</v>
      </c>
      <c r="AE210" s="58">
        <f>IF(AE202=1,AE196,0)</f>
        <v>0</v>
      </c>
      <c r="AW210" s="146"/>
    </row>
    <row r="211" spans="1:49" s="54" customFormat="1" ht="12.75" hidden="1" customHeight="1" x14ac:dyDescent="0.2">
      <c r="A211" s="54" t="s">
        <v>63</v>
      </c>
      <c r="B211" s="54">
        <f>IF(B203=1,B197,0)</f>
        <v>0</v>
      </c>
      <c r="D211" s="58">
        <f t="shared" si="20"/>
        <v>0</v>
      </c>
      <c r="E211" s="54">
        <f t="shared" si="20"/>
        <v>0</v>
      </c>
      <c r="G211" s="58">
        <f t="shared" si="21"/>
        <v>0</v>
      </c>
      <c r="H211" s="54">
        <f t="shared" si="21"/>
        <v>0</v>
      </c>
      <c r="J211" s="58">
        <f t="shared" si="22"/>
        <v>0</v>
      </c>
      <c r="K211" s="54">
        <f t="shared" si="22"/>
        <v>0</v>
      </c>
      <c r="M211" s="58">
        <f t="shared" si="23"/>
        <v>0</v>
      </c>
      <c r="N211" s="54">
        <f t="shared" si="23"/>
        <v>0</v>
      </c>
      <c r="P211" s="58">
        <f t="shared" si="24"/>
        <v>0</v>
      </c>
      <c r="Q211" s="54">
        <f t="shared" si="24"/>
        <v>0</v>
      </c>
      <c r="S211" s="58">
        <f t="shared" si="25"/>
        <v>0</v>
      </c>
      <c r="T211" s="54">
        <f t="shared" si="25"/>
        <v>0</v>
      </c>
      <c r="V211" s="58">
        <f t="shared" si="26"/>
        <v>0</v>
      </c>
      <c r="W211" s="54">
        <f t="shared" si="26"/>
        <v>0</v>
      </c>
      <c r="Y211" s="58">
        <f t="shared" si="27"/>
        <v>0</v>
      </c>
      <c r="Z211" s="54">
        <f t="shared" si="27"/>
        <v>0</v>
      </c>
      <c r="AB211" s="58">
        <f t="shared" si="28"/>
        <v>0</v>
      </c>
      <c r="AC211" s="54">
        <f t="shared" si="28"/>
        <v>0</v>
      </c>
      <c r="AE211" s="58">
        <f>IF(AE203=1,AE197,0)</f>
        <v>0</v>
      </c>
      <c r="AW211" s="146"/>
    </row>
    <row r="212" spans="1:49" s="54" customFormat="1" ht="12.75" hidden="1" customHeight="1" x14ac:dyDescent="0.2">
      <c r="A212" s="54" t="s">
        <v>64</v>
      </c>
      <c r="B212" s="54">
        <f>IF(B204=1,B198,0)</f>
        <v>0</v>
      </c>
      <c r="D212" s="58">
        <f t="shared" si="20"/>
        <v>0</v>
      </c>
      <c r="E212" s="54">
        <f t="shared" si="20"/>
        <v>0</v>
      </c>
      <c r="G212" s="58">
        <f t="shared" si="21"/>
        <v>0</v>
      </c>
      <c r="H212" s="54">
        <f t="shared" si="21"/>
        <v>0</v>
      </c>
      <c r="J212" s="58">
        <f t="shared" si="22"/>
        <v>0</v>
      </c>
      <c r="K212" s="54">
        <f t="shared" si="22"/>
        <v>0</v>
      </c>
      <c r="M212" s="58">
        <f t="shared" si="23"/>
        <v>0</v>
      </c>
      <c r="N212" s="54">
        <f t="shared" si="23"/>
        <v>0</v>
      </c>
      <c r="P212" s="58">
        <f t="shared" si="24"/>
        <v>0</v>
      </c>
      <c r="Q212" s="54">
        <f t="shared" si="24"/>
        <v>0</v>
      </c>
      <c r="S212" s="58">
        <f t="shared" si="25"/>
        <v>0</v>
      </c>
      <c r="T212" s="54">
        <f t="shared" si="25"/>
        <v>0</v>
      </c>
      <c r="V212" s="58">
        <f t="shared" si="26"/>
        <v>0</v>
      </c>
      <c r="W212" s="54">
        <f t="shared" si="26"/>
        <v>0</v>
      </c>
      <c r="Y212" s="58">
        <f t="shared" si="27"/>
        <v>0</v>
      </c>
      <c r="Z212" s="54">
        <f t="shared" si="27"/>
        <v>0</v>
      </c>
      <c r="AB212" s="58">
        <f t="shared" si="28"/>
        <v>0</v>
      </c>
      <c r="AC212" s="54">
        <f t="shared" si="28"/>
        <v>0</v>
      </c>
      <c r="AE212" s="58">
        <f>IF(AE204=1,AE198,0)</f>
        <v>0</v>
      </c>
      <c r="AW212" s="146"/>
    </row>
    <row r="213" spans="1:49" s="54" customFormat="1" ht="12.75" hidden="1" customHeight="1" x14ac:dyDescent="0.2">
      <c r="A213" s="54" t="s">
        <v>65</v>
      </c>
      <c r="B213" s="54">
        <f>IF(B205=1,B199,0)</f>
        <v>0</v>
      </c>
      <c r="D213" s="58">
        <f t="shared" si="20"/>
        <v>0</v>
      </c>
      <c r="E213" s="54">
        <f t="shared" si="20"/>
        <v>0</v>
      </c>
      <c r="G213" s="58">
        <f t="shared" si="21"/>
        <v>0</v>
      </c>
      <c r="H213" s="54">
        <f t="shared" si="21"/>
        <v>0</v>
      </c>
      <c r="J213" s="58">
        <f t="shared" si="22"/>
        <v>0</v>
      </c>
      <c r="K213" s="54">
        <f t="shared" si="22"/>
        <v>0</v>
      </c>
      <c r="M213" s="58">
        <f t="shared" si="23"/>
        <v>0</v>
      </c>
      <c r="N213" s="54">
        <f t="shared" si="23"/>
        <v>0</v>
      </c>
      <c r="P213" s="58">
        <f t="shared" si="24"/>
        <v>0</v>
      </c>
      <c r="Q213" s="54">
        <f t="shared" si="24"/>
        <v>0</v>
      </c>
      <c r="S213" s="58">
        <f t="shared" si="25"/>
        <v>0</v>
      </c>
      <c r="T213" s="54">
        <f t="shared" si="25"/>
        <v>0</v>
      </c>
      <c r="V213" s="58">
        <f t="shared" si="26"/>
        <v>0</v>
      </c>
      <c r="W213" s="54">
        <f t="shared" si="26"/>
        <v>0</v>
      </c>
      <c r="Y213" s="58">
        <f t="shared" si="27"/>
        <v>0</v>
      </c>
      <c r="Z213" s="54">
        <f t="shared" si="27"/>
        <v>0</v>
      </c>
      <c r="AB213" s="58">
        <f t="shared" si="28"/>
        <v>0</v>
      </c>
      <c r="AC213" s="54">
        <f t="shared" si="28"/>
        <v>0</v>
      </c>
      <c r="AE213" s="58">
        <f>IF(AE205=1,AE199,0)</f>
        <v>0</v>
      </c>
      <c r="AW213" s="146"/>
    </row>
    <row r="214" spans="1:49" s="54" customFormat="1" ht="38.25" hidden="1" customHeight="1" x14ac:dyDescent="0.2">
      <c r="A214" s="57" t="s">
        <v>66</v>
      </c>
      <c r="B214" s="54">
        <f>SUM(B209:D213)</f>
        <v>50</v>
      </c>
      <c r="D214" s="58"/>
      <c r="E214" s="54">
        <f>SUM(E209:G213)</f>
        <v>51</v>
      </c>
      <c r="G214" s="58"/>
      <c r="H214" s="54">
        <f>SUM(H209:J213)</f>
        <v>51</v>
      </c>
      <c r="J214" s="58"/>
      <c r="K214" s="54">
        <f>SUM(K209:M213)</f>
        <v>52</v>
      </c>
      <c r="M214" s="58"/>
      <c r="N214" s="54">
        <f>SUM(N209:P213)</f>
        <v>50</v>
      </c>
      <c r="P214" s="58"/>
      <c r="Q214" s="54">
        <f>SUM(Q209:S213)</f>
        <v>50</v>
      </c>
      <c r="S214" s="58"/>
      <c r="T214" s="54">
        <f>SUM(T209:V213)</f>
        <v>50</v>
      </c>
      <c r="V214" s="58"/>
      <c r="W214" s="54">
        <f>SUM(W209:Y213)</f>
        <v>52</v>
      </c>
      <c r="Y214" s="58"/>
      <c r="Z214" s="54">
        <f>SUM(Z209:AB213)</f>
        <v>50</v>
      </c>
      <c r="AB214" s="58"/>
      <c r="AC214" s="54">
        <f>SUM(AC209:AE213)</f>
        <v>50</v>
      </c>
      <c r="AE214" s="58"/>
      <c r="AW214" s="146"/>
    </row>
    <row r="215" spans="1:49" s="54" customFormat="1" ht="38.25" hidden="1" customHeight="1" x14ac:dyDescent="0.2">
      <c r="A215" s="54" t="s">
        <v>67</v>
      </c>
      <c r="D215" s="58"/>
      <c r="G215" s="58"/>
      <c r="J215" s="58"/>
      <c r="M215" s="58"/>
      <c r="P215" s="58"/>
      <c r="S215" s="58"/>
      <c r="V215" s="58"/>
      <c r="Y215" s="58"/>
      <c r="AB215" s="58"/>
      <c r="AE215" s="58"/>
      <c r="AF215" s="57" t="s">
        <v>68</v>
      </c>
      <c r="AG215" s="54" t="s">
        <v>69</v>
      </c>
      <c r="AW215" s="146"/>
    </row>
    <row r="216" spans="1:49" s="54" customFormat="1" ht="12.75" hidden="1" customHeight="1" x14ac:dyDescent="0.2">
      <c r="A216" s="54" t="s">
        <v>70</v>
      </c>
      <c r="B216" s="54">
        <f>IF(B194=1,IF(B207=1,1,0),0)</f>
        <v>0</v>
      </c>
      <c r="D216" s="58">
        <f>IF(D194=1,IF(D207=1,1,0),0)</f>
        <v>0</v>
      </c>
      <c r="E216" s="54">
        <f>IF(E194=1,IF(E207=1,1,0),0)</f>
        <v>0</v>
      </c>
      <c r="G216" s="58">
        <f>IF(G194=1,IF(G207=1,1,0),0)</f>
        <v>0</v>
      </c>
      <c r="H216" s="54">
        <f>IF(H194=1,IF(H207=1,1,0),0)</f>
        <v>0</v>
      </c>
      <c r="J216" s="58">
        <f>IF(J194=1,IF(J207=1,1,0),0)</f>
        <v>0</v>
      </c>
      <c r="K216" s="54">
        <f>IF(K194=1,IF(K207=1,1,0),0)</f>
        <v>0</v>
      </c>
      <c r="M216" s="58">
        <f>IF(M194=1,IF(M207=1,1,0),0)</f>
        <v>0</v>
      </c>
      <c r="N216" s="54">
        <f>IF(N194=1,IF(N207=1,1,0),0)</f>
        <v>1</v>
      </c>
      <c r="P216" s="58">
        <f>IF(P194=1,IF(P207=1,1,0),0)</f>
        <v>0</v>
      </c>
      <c r="Q216" s="54">
        <f>IF(Q194=1,IF(Q207=1,1,0),0)</f>
        <v>0</v>
      </c>
      <c r="S216" s="58">
        <f>IF(S194=1,IF(S207=1,1,0),0)</f>
        <v>0</v>
      </c>
      <c r="T216" s="54">
        <f>IF(T194=1,IF(T207=1,1,0),0)</f>
        <v>0</v>
      </c>
      <c r="V216" s="58">
        <f>IF(V194=1,IF(V207=1,1,0),0)</f>
        <v>0</v>
      </c>
      <c r="W216" s="54">
        <f>IF(W194=1,IF(W207=1,1,0),0)</f>
        <v>1</v>
      </c>
      <c r="Y216" s="58">
        <f>IF(Y194=1,IF(Y207=1,1,0),0)</f>
        <v>0</v>
      </c>
      <c r="Z216" s="54">
        <f>IF(Z194=1,IF(Z207=1,1,0),0)</f>
        <v>0</v>
      </c>
      <c r="AB216" s="58">
        <f>IF(AB194=1,IF(AB207=1,1,0),0)</f>
        <v>0</v>
      </c>
      <c r="AC216" s="54">
        <f>IF(AC194=1,IF(AC207=1,1,0),0)</f>
        <v>0</v>
      </c>
      <c r="AE216" s="58">
        <f>IF(AE194=1,IF(AE207=1,1,0),0)</f>
        <v>0</v>
      </c>
      <c r="AF216" s="54">
        <f>SUM(B216:AE216)</f>
        <v>2</v>
      </c>
      <c r="AG216" s="54">
        <f>AF222-AF216</f>
        <v>0</v>
      </c>
      <c r="AW216" s="146"/>
    </row>
    <row r="217" spans="1:49" s="54" customFormat="1" ht="12.75" hidden="1" customHeight="1" x14ac:dyDescent="0.2">
      <c r="A217" s="54" t="s">
        <v>71</v>
      </c>
      <c r="B217" s="54">
        <f>IF(B194=2,IF(B207=1,1,0),0)</f>
        <v>0</v>
      </c>
      <c r="D217" s="58">
        <f>IF(D194=2,IF(D207=1,1,0),0)</f>
        <v>0</v>
      </c>
      <c r="E217" s="54">
        <f>IF(E194=2,IF(E207=1,1,0),0)</f>
        <v>0</v>
      </c>
      <c r="G217" s="58">
        <f>IF(G194=2,IF(G207=1,1,0),0)</f>
        <v>0</v>
      </c>
      <c r="H217" s="54">
        <f>IF(H194=2,IF(H207=1,1,0),0)</f>
        <v>0</v>
      </c>
      <c r="J217" s="58">
        <f>IF(J194=2,IF(J207=1,1,0),0)</f>
        <v>0</v>
      </c>
      <c r="K217" s="54">
        <f>IF(K194=2,IF(K207=1,1,0),0)</f>
        <v>1</v>
      </c>
      <c r="M217" s="58">
        <f>IF(M194=2,IF(M207=1,1,0),0)</f>
        <v>0</v>
      </c>
      <c r="N217" s="54">
        <f>IF(N194=2,IF(N207=1,1,0),0)</f>
        <v>0</v>
      </c>
      <c r="P217" s="58">
        <f>IF(P194=2,IF(P207=1,1,0),0)</f>
        <v>0</v>
      </c>
      <c r="Q217" s="54">
        <f>IF(Q194=2,IF(Q207=1,1,0),0)</f>
        <v>0</v>
      </c>
      <c r="S217" s="58">
        <f>IF(S194=2,IF(S207=1,1,0),0)</f>
        <v>0</v>
      </c>
      <c r="T217" s="54">
        <f>IF(T194=2,IF(T207=1,1,0),0)</f>
        <v>1</v>
      </c>
      <c r="V217" s="58">
        <f>IF(V194=2,IF(V207=1,1,0),0)</f>
        <v>0</v>
      </c>
      <c r="W217" s="54">
        <f>IF(W194=2,IF(W207=1,1,0),0)</f>
        <v>0</v>
      </c>
      <c r="Y217" s="58">
        <f>IF(Y194=2,IF(Y207=1,1,0),0)</f>
        <v>0</v>
      </c>
      <c r="Z217" s="54">
        <f>IF(Z194=2,IF(Z207=1,1,0),0)</f>
        <v>0</v>
      </c>
      <c r="AB217" s="58">
        <f>IF(AB194=2,IF(AB207=1,1,0),0)</f>
        <v>0</v>
      </c>
      <c r="AC217" s="54">
        <f>IF(AC194=2,IF(AC207=1,1,0),0)</f>
        <v>0</v>
      </c>
      <c r="AE217" s="58">
        <f>IF(AE194=2,IF(AE207=1,1,0),0)</f>
        <v>0</v>
      </c>
      <c r="AF217" s="54">
        <f>SUM(B217:AE217)</f>
        <v>2</v>
      </c>
      <c r="AG217" s="54">
        <f>AF223-AF217</f>
        <v>0</v>
      </c>
      <c r="AW217" s="146"/>
    </row>
    <row r="218" spans="1:49" s="54" customFormat="1" ht="12.75" hidden="1" customHeight="1" x14ac:dyDescent="0.2">
      <c r="A218" s="54" t="s">
        <v>72</v>
      </c>
      <c r="B218" s="54">
        <f>IF(B194=3,IF(B207=1,1,0),0)</f>
        <v>0</v>
      </c>
      <c r="D218" s="58">
        <f>IF(D194=3,IF(D207=1,1,0),0)</f>
        <v>0</v>
      </c>
      <c r="E218" s="54">
        <f>IF(E194=3,IF(E207=1,1,0),0)</f>
        <v>0</v>
      </c>
      <c r="G218" s="58">
        <f>IF(G194=3,IF(G207=1,1,0),0)</f>
        <v>0</v>
      </c>
      <c r="H218" s="54">
        <f>IF(H194=3,IF(H207=1,1,0),0)</f>
        <v>0</v>
      </c>
      <c r="J218" s="58">
        <f>IF(J194=3,IF(J207=1,1,0),0)</f>
        <v>0</v>
      </c>
      <c r="K218" s="54">
        <f>IF(K194=3,IF(K207=1,1,0),0)</f>
        <v>0</v>
      </c>
      <c r="M218" s="58">
        <f>IF(M194=3,IF(M207=1,1,0),0)</f>
        <v>0</v>
      </c>
      <c r="N218" s="54">
        <f>IF(N194=3,IF(N207=1,1,0),0)</f>
        <v>0</v>
      </c>
      <c r="P218" s="58">
        <f>IF(P194=3,IF(P207=1,1,0),0)</f>
        <v>0</v>
      </c>
      <c r="Q218" s="54">
        <f>IF(Q194=3,IF(Q207=1,1,0),0)</f>
        <v>0</v>
      </c>
      <c r="S218" s="58">
        <f>IF(S194=3,IF(S207=1,1,0),0)</f>
        <v>0</v>
      </c>
      <c r="T218" s="54">
        <f>IF(T194=3,IF(T207=1,1,0),0)</f>
        <v>0</v>
      </c>
      <c r="V218" s="58">
        <f>IF(V194=3,IF(V207=1,1,0),0)</f>
        <v>0</v>
      </c>
      <c r="W218" s="54">
        <f>IF(W194=3,IF(W207=1,1,0),0)</f>
        <v>0</v>
      </c>
      <c r="Y218" s="58">
        <f>IF(Y194=3,IF(Y207=1,1,0),0)</f>
        <v>0</v>
      </c>
      <c r="Z218" s="54">
        <f>IF(Z194=3,IF(Z207=1,1,0),0)</f>
        <v>0</v>
      </c>
      <c r="AB218" s="58">
        <f>IF(AB194=3,IF(AB207=1,1,0),0)</f>
        <v>0</v>
      </c>
      <c r="AC218" s="54">
        <f>IF(AC194=3,IF(AC207=1,1,0),0)</f>
        <v>0</v>
      </c>
      <c r="AE218" s="58">
        <f>IF(AE194=3,IF(AE207=1,1,0),0)</f>
        <v>0</v>
      </c>
      <c r="AF218" s="54">
        <f>SUM(B218:AE218)</f>
        <v>0</v>
      </c>
      <c r="AG218" s="54">
        <f>AF224-AF218</f>
        <v>2</v>
      </c>
      <c r="AW218" s="146"/>
    </row>
    <row r="219" spans="1:49" s="54" customFormat="1" ht="12.75" hidden="1" customHeight="1" x14ac:dyDescent="0.2">
      <c r="A219" s="54" t="s">
        <v>73</v>
      </c>
      <c r="B219" s="54">
        <f>IF(B194=4,IF(B207=1,1,0),0)</f>
        <v>0</v>
      </c>
      <c r="D219" s="58">
        <f>IF(D194=4,IF(D207=1,1,0),0)</f>
        <v>0</v>
      </c>
      <c r="E219" s="54">
        <f>IF(E194=4,IF(E207=1,1,0),0)</f>
        <v>0</v>
      </c>
      <c r="G219" s="58">
        <f>IF(G194=4,IF(G207=1,1,0),0)</f>
        <v>0</v>
      </c>
      <c r="H219" s="54">
        <f>IF(H194=4,IF(H207=1,1,0),0)</f>
        <v>0</v>
      </c>
      <c r="J219" s="58">
        <f>IF(J194=4,IF(J207=1,1,0),0)</f>
        <v>0</v>
      </c>
      <c r="K219" s="54">
        <f>IF(K194=4,IF(K207=1,1,0),0)</f>
        <v>0</v>
      </c>
      <c r="M219" s="58">
        <f>IF(M194=4,IF(M207=1,1,0),0)</f>
        <v>0</v>
      </c>
      <c r="N219" s="54">
        <f>IF(N194=4,IF(N207=1,1,0),0)</f>
        <v>0</v>
      </c>
      <c r="P219" s="58">
        <f>IF(P194=4,IF(P207=1,1,0),0)</f>
        <v>0</v>
      </c>
      <c r="Q219" s="54">
        <f>IF(Q194=4,IF(Q207=1,1,0),0)</f>
        <v>1</v>
      </c>
      <c r="S219" s="58">
        <f>IF(S194=4,IF(S207=1,1,0),0)</f>
        <v>0</v>
      </c>
      <c r="T219" s="54">
        <f>IF(T194=4,IF(T207=1,1,0),0)</f>
        <v>0</v>
      </c>
      <c r="V219" s="58">
        <f>IF(V194=4,IF(V207=1,1,0),0)</f>
        <v>0</v>
      </c>
      <c r="W219" s="54">
        <f>IF(W194=4,IF(W207=1,1,0),0)</f>
        <v>0</v>
      </c>
      <c r="Y219" s="58">
        <f>IF(Y194=4,IF(Y207=1,1,0),0)</f>
        <v>0</v>
      </c>
      <c r="Z219" s="54">
        <f>IF(Z194=4,IF(Z207=1,1,0),0)</f>
        <v>0</v>
      </c>
      <c r="AB219" s="58">
        <f>IF(AB194=4,IF(AB207=1,1,0),0)</f>
        <v>0</v>
      </c>
      <c r="AC219" s="54">
        <f>IF(AC194=4,IF(AC207=1,1,0),0)</f>
        <v>0</v>
      </c>
      <c r="AE219" s="58">
        <f>IF(AE194=4,IF(AE207=1,1,0),0)</f>
        <v>0</v>
      </c>
      <c r="AF219" s="54">
        <f>SUM(B219:AE219)</f>
        <v>1</v>
      </c>
      <c r="AG219" s="54">
        <f>AF225-AF219</f>
        <v>1</v>
      </c>
      <c r="AW219" s="146"/>
    </row>
    <row r="220" spans="1:49" s="54" customFormat="1" ht="12.75" hidden="1" customHeight="1" x14ac:dyDescent="0.2">
      <c r="A220" s="54" t="s">
        <v>74</v>
      </c>
      <c r="B220" s="54">
        <f>IF(B194=5,IF(B207=1,1,0),0)</f>
        <v>0</v>
      </c>
      <c r="D220" s="58">
        <f>IF(D194=5,IF(D207=1,1,0),0)</f>
        <v>0</v>
      </c>
      <c r="E220" s="54">
        <f>IF(E194=5,IF(E207=1,1,0),0)</f>
        <v>0</v>
      </c>
      <c r="G220" s="58">
        <f>IF(G194=5,IF(G207=1,1,0),0)</f>
        <v>0</v>
      </c>
      <c r="H220" s="54">
        <f>IF(H194=5,IF(H207=1,1,0),0)</f>
        <v>0</v>
      </c>
      <c r="J220" s="58">
        <f>IF(J194=5,IF(J207=1,1,0),0)</f>
        <v>0</v>
      </c>
      <c r="K220" s="54">
        <f>IF(K194=5,IF(K207=1,1,0),0)</f>
        <v>0</v>
      </c>
      <c r="M220" s="58">
        <f>IF(M194=5,IF(M207=1,1,0),0)</f>
        <v>0</v>
      </c>
      <c r="N220" s="54">
        <f>IF(N194=5,IF(N207=1,1,0),0)</f>
        <v>0</v>
      </c>
      <c r="P220" s="58">
        <f>IF(P194=5,IF(P207=1,1,0),0)</f>
        <v>0</v>
      </c>
      <c r="Q220" s="54">
        <f>IF(Q194=5,IF(Q207=1,1,0),0)</f>
        <v>0</v>
      </c>
      <c r="S220" s="58">
        <f>IF(S194=5,IF(S207=1,1,0),0)</f>
        <v>0</v>
      </c>
      <c r="T220" s="54">
        <f>IF(T194=5,IF(T207=1,1,0),0)</f>
        <v>0</v>
      </c>
      <c r="V220" s="58">
        <f>IF(V194=5,IF(V207=1,1,0),0)</f>
        <v>0</v>
      </c>
      <c r="W220" s="54">
        <f>IF(W194=5,IF(W207=1,1,0),0)</f>
        <v>0</v>
      </c>
      <c r="Y220" s="58">
        <f>IF(Y194=5,IF(Y207=1,1,0),0)</f>
        <v>0</v>
      </c>
      <c r="Z220" s="54">
        <f>IF(Z194=5,IF(Z207=1,1,0),0)</f>
        <v>0</v>
      </c>
      <c r="AB220" s="58">
        <f>IF(AB194=5,IF(AB207=1,1,0),0)</f>
        <v>0</v>
      </c>
      <c r="AC220" s="54">
        <f>IF(AC194=5,IF(AC207=1,1,0),0)</f>
        <v>0</v>
      </c>
      <c r="AE220" s="58">
        <f>IF(AE194=5,IF(AE207=1,1,0),0)</f>
        <v>0</v>
      </c>
      <c r="AF220" s="54">
        <f>SUM(B220:AE220)</f>
        <v>0</v>
      </c>
      <c r="AG220" s="54">
        <f>AF226-AF220</f>
        <v>2</v>
      </c>
      <c r="AW220" s="146"/>
    </row>
    <row r="221" spans="1:49" s="54" customFormat="1" ht="38.25" hidden="1" customHeight="1" x14ac:dyDescent="0.2">
      <c r="A221" s="57"/>
      <c r="D221" s="58"/>
      <c r="G221" s="58"/>
      <c r="J221" s="58"/>
      <c r="M221" s="58"/>
      <c r="P221" s="58"/>
      <c r="S221" s="58"/>
      <c r="V221" s="58"/>
      <c r="Y221" s="58"/>
      <c r="AB221" s="58"/>
      <c r="AE221" s="58"/>
      <c r="AF221" s="57" t="s">
        <v>75</v>
      </c>
      <c r="AW221" s="146"/>
    </row>
    <row r="222" spans="1:49" s="54" customFormat="1" ht="12.75" hidden="1" customHeight="1" x14ac:dyDescent="0.2">
      <c r="A222" s="54" t="s">
        <v>76</v>
      </c>
      <c r="B222" s="54">
        <f>IF(B194=1,IF(C207=1,1,0),0)</f>
        <v>0</v>
      </c>
      <c r="D222" s="58">
        <f>IF(D194=1,IF(C207=1,1,0),0)</f>
        <v>0</v>
      </c>
      <c r="E222" s="54">
        <f>IF(E194=1,IF(F207=1,1,0),0)</f>
        <v>0</v>
      </c>
      <c r="G222" s="58">
        <f>IF(G194=1,IF(F207=1,1,0),0)</f>
        <v>0</v>
      </c>
      <c r="H222" s="54">
        <f>IF(H194=1,IF(I207=1,1,0),0)</f>
        <v>0</v>
      </c>
      <c r="J222" s="58">
        <f>IF(J194=1,IF(I207=1,1,0),0)</f>
        <v>0</v>
      </c>
      <c r="K222" s="54">
        <f>IF(K194=1,IF(L207=1,1,0),0)</f>
        <v>0</v>
      </c>
      <c r="M222" s="58">
        <f>IF(M194=1,IF(L207=1,1,0),0)</f>
        <v>0</v>
      </c>
      <c r="N222" s="54">
        <f>IF(N194=1,IF(O207=1,1,0),0)</f>
        <v>1</v>
      </c>
      <c r="P222" s="58">
        <f>IF(P194=1,IF(O207=1,1,0),0)</f>
        <v>0</v>
      </c>
      <c r="Q222" s="54">
        <f>IF(Q194=1,IF(R207=1,1,0),0)</f>
        <v>0</v>
      </c>
      <c r="S222" s="58">
        <f>IF(S194=1,IF(R207=1,1,0),0)</f>
        <v>0</v>
      </c>
      <c r="T222" s="54">
        <f>IF(T194=1,IF(U207=1,1,0),0)</f>
        <v>0</v>
      </c>
      <c r="V222" s="58">
        <f>IF(V194=1,IF(U207=1,1,0),0)</f>
        <v>0</v>
      </c>
      <c r="W222" s="54">
        <f>IF(W194=1,IF(X207=1,1,0),0)</f>
        <v>1</v>
      </c>
      <c r="Y222" s="58">
        <f>IF(Y194=1,IF(X207=1,1,0),0)</f>
        <v>0</v>
      </c>
      <c r="Z222" s="54">
        <f>IF(Z194=1,IF(AA207=1,1,0),0)</f>
        <v>0</v>
      </c>
      <c r="AB222" s="58">
        <f>IF(AB194=1,IF(AA207=1,1,0),0)</f>
        <v>0</v>
      </c>
      <c r="AC222" s="54">
        <f>IF(AC194=1,IF(AD207=1,1,0),0)</f>
        <v>0</v>
      </c>
      <c r="AE222" s="58">
        <f>IF(AE194=1,IF(AD207=1,1,0),0)</f>
        <v>0</v>
      </c>
      <c r="AF222" s="54">
        <f>SUM(B222:AE222)</f>
        <v>2</v>
      </c>
      <c r="AW222" s="146"/>
    </row>
    <row r="223" spans="1:49" s="54" customFormat="1" ht="12.75" hidden="1" customHeight="1" x14ac:dyDescent="0.2">
      <c r="A223" s="54" t="s">
        <v>77</v>
      </c>
      <c r="B223" s="54">
        <f>IF(B194=2,IF(C207=1,1,0),0)</f>
        <v>0</v>
      </c>
      <c r="D223" s="58">
        <f>IF(D194=2,IF(C207=1,1,0),0)</f>
        <v>0</v>
      </c>
      <c r="E223" s="54">
        <f>IF(E194=2,IF(F207=1,1,0),0)</f>
        <v>0</v>
      </c>
      <c r="G223" s="58">
        <f>IF(G194=2,IF(F207=1,1,0),0)</f>
        <v>0</v>
      </c>
      <c r="H223" s="54">
        <f>IF(H194=2,IF(I207=1,1,0),0)</f>
        <v>0</v>
      </c>
      <c r="J223" s="58">
        <f>IF(J194=2,IF(I207=1,1,0),0)</f>
        <v>0</v>
      </c>
      <c r="K223" s="54">
        <f>IF(K194=2,IF(L207=1,1,0),0)</f>
        <v>1</v>
      </c>
      <c r="M223" s="58">
        <f>IF(M194=2,IF(L207=1,1,0),0)</f>
        <v>0</v>
      </c>
      <c r="N223" s="54">
        <f>IF(N194=2,IF(O207=1,1,0),0)</f>
        <v>0</v>
      </c>
      <c r="P223" s="58">
        <f>IF(P194=2,IF(O207=1,1,0),0)</f>
        <v>0</v>
      </c>
      <c r="Q223" s="54">
        <f>IF(Q194=2,IF(R207=1,1,0),0)</f>
        <v>0</v>
      </c>
      <c r="S223" s="58">
        <f>IF(S194=2,IF(R207=1,1,0),0)</f>
        <v>0</v>
      </c>
      <c r="T223" s="54">
        <f>IF(T194=2,IF(U207=1,1,0),0)</f>
        <v>1</v>
      </c>
      <c r="V223" s="58">
        <f>IF(V194=2,IF(U207=1,1,0),0)</f>
        <v>0</v>
      </c>
      <c r="W223" s="54">
        <f>IF(W194=2,IF(X207=1,1,0),0)</f>
        <v>0</v>
      </c>
      <c r="Y223" s="58">
        <f>IF(Y194=2,IF(X207=1,1,0),0)</f>
        <v>0</v>
      </c>
      <c r="Z223" s="54">
        <f>IF(Z194=2,IF(AA207=1,1,0),0)</f>
        <v>0</v>
      </c>
      <c r="AB223" s="58">
        <f>IF(AB194=2,IF(AA207=1,1,0),0)</f>
        <v>0</v>
      </c>
      <c r="AC223" s="54">
        <f>IF(AC194=2,IF(AD207=1,1,0),0)</f>
        <v>0</v>
      </c>
      <c r="AE223" s="58">
        <f>IF(AE194=2,IF(AD207=1,1,0),0)</f>
        <v>0</v>
      </c>
      <c r="AF223" s="54">
        <f>SUM(B223:AE223)</f>
        <v>2</v>
      </c>
      <c r="AW223" s="146"/>
    </row>
    <row r="224" spans="1:49" s="54" customFormat="1" ht="12.75" hidden="1" customHeight="1" x14ac:dyDescent="0.2">
      <c r="A224" s="54" t="s">
        <v>78</v>
      </c>
      <c r="B224" s="54">
        <f>IF(B194=3,IF(C207=1,1,0),0)</f>
        <v>0</v>
      </c>
      <c r="D224" s="58">
        <f>IF(D194=3,IF(C207=1,1,0),0)</f>
        <v>0</v>
      </c>
      <c r="E224" s="54">
        <f>IF(E194=3,IF(F207=1,1,0),0)</f>
        <v>0</v>
      </c>
      <c r="G224" s="58">
        <f>IF(G194=3,IF(F207=1,1,0),0)</f>
        <v>0</v>
      </c>
      <c r="H224" s="54">
        <f>IF(H194=3,IF(I207=1,1,0),0)</f>
        <v>0</v>
      </c>
      <c r="J224" s="58">
        <f>IF(J194=3,IF(I207=1,1,0),0)</f>
        <v>0</v>
      </c>
      <c r="K224" s="54">
        <f>IF(K194=3,IF(L207=1,1,0),0)</f>
        <v>0</v>
      </c>
      <c r="M224" s="58">
        <f>IF(M194=3,IF(L207=1,1,0),0)</f>
        <v>0</v>
      </c>
      <c r="N224" s="54">
        <f>IF(N194=3,IF(O207=1,1,0),0)</f>
        <v>0</v>
      </c>
      <c r="P224" s="58">
        <f>IF(P194=3,IF(O207=1,1,0),0)</f>
        <v>1</v>
      </c>
      <c r="Q224" s="54">
        <f>IF(Q194=3,IF(R207=1,1,0),0)</f>
        <v>0</v>
      </c>
      <c r="S224" s="58">
        <f>IF(S194=3,IF(R207=1,1,0),0)</f>
        <v>0</v>
      </c>
      <c r="T224" s="54">
        <f>IF(T194=3,IF(U207=1,1,0),0)</f>
        <v>0</v>
      </c>
      <c r="V224" s="58">
        <f>IF(V194=3,IF(U207=1,1,0),0)</f>
        <v>1</v>
      </c>
      <c r="W224" s="54">
        <f>IF(W194=3,IF(X207=1,1,0),0)</f>
        <v>0</v>
      </c>
      <c r="Y224" s="58">
        <f>IF(Y194=3,IF(X207=1,1,0),0)</f>
        <v>0</v>
      </c>
      <c r="Z224" s="54">
        <f>IF(Z194=3,IF(AA207=1,1,0),0)</f>
        <v>0</v>
      </c>
      <c r="AB224" s="58">
        <f>IF(AB194=3,IF(AA207=1,1,0),0)</f>
        <v>0</v>
      </c>
      <c r="AC224" s="54">
        <f>IF(AC194=3,IF(AD207=1,1,0),0)</f>
        <v>0</v>
      </c>
      <c r="AE224" s="58">
        <f>IF(AE194=3,IF(AD207=1,1,0),0)</f>
        <v>0</v>
      </c>
      <c r="AF224" s="54">
        <f>SUM(B224:AE224)</f>
        <v>2</v>
      </c>
      <c r="AW224" s="146"/>
    </row>
    <row r="225" spans="1:49" s="54" customFormat="1" ht="12.75" hidden="1" customHeight="1" x14ac:dyDescent="0.2">
      <c r="A225" s="54" t="s">
        <v>79</v>
      </c>
      <c r="B225" s="54">
        <f>IF(B194=4,IF(C207=1,1,0),0)</f>
        <v>0</v>
      </c>
      <c r="D225" s="58">
        <f>IF(D194=4,IF(C207=1,1,0),0)</f>
        <v>0</v>
      </c>
      <c r="E225" s="54">
        <f>IF(E194=4,IF(F207=1,1,0),0)</f>
        <v>0</v>
      </c>
      <c r="G225" s="58">
        <f>IF(G194=4,IF(F207=1,1,0),0)</f>
        <v>0</v>
      </c>
      <c r="H225" s="54">
        <f>IF(H194=4,IF(I207=1,1,0),0)</f>
        <v>0</v>
      </c>
      <c r="J225" s="58">
        <f>IF(J194=4,IF(I207=1,1,0),0)</f>
        <v>0</v>
      </c>
      <c r="K225" s="54">
        <f>IF(K194=4,IF(L207=1,1,0),0)</f>
        <v>0</v>
      </c>
      <c r="M225" s="58">
        <f>IF(M194=4,IF(L207=1,1,0),0)</f>
        <v>1</v>
      </c>
      <c r="N225" s="54">
        <f>IF(N194=4,IF(O207=1,1,0),0)</f>
        <v>0</v>
      </c>
      <c r="P225" s="58">
        <f>IF(P194=4,IF(O207=1,1,0),0)</f>
        <v>0</v>
      </c>
      <c r="Q225" s="54">
        <f>IF(Q194=4,IF(R207=1,1,0),0)</f>
        <v>1</v>
      </c>
      <c r="S225" s="58">
        <f>IF(S194=4,IF(R207=1,1,0),0)</f>
        <v>0</v>
      </c>
      <c r="T225" s="54">
        <f>IF(T194=4,IF(U207=1,1,0),0)</f>
        <v>0</v>
      </c>
      <c r="V225" s="58">
        <f>IF(V194=4,IF(U207=1,1,0),0)</f>
        <v>0</v>
      </c>
      <c r="W225" s="54">
        <f>IF(W194=4,IF(X207=1,1,0),0)</f>
        <v>0</v>
      </c>
      <c r="Y225" s="58">
        <f>IF(Y194=4,IF(X207=1,1,0),0)</f>
        <v>0</v>
      </c>
      <c r="Z225" s="54">
        <f>IF(Z194=4,IF(AA207=1,1,0),0)</f>
        <v>0</v>
      </c>
      <c r="AB225" s="58">
        <f>IF(AB194=4,IF(AA207=1,1,0),0)</f>
        <v>0</v>
      </c>
      <c r="AC225" s="54">
        <f>IF(AC194=4,IF(AD207=1,1,0),0)</f>
        <v>0</v>
      </c>
      <c r="AE225" s="58">
        <f>IF(AE194=4,IF(AD207=1,1,0),0)</f>
        <v>0</v>
      </c>
      <c r="AF225" s="54">
        <f>SUM(B225:AE225)</f>
        <v>2</v>
      </c>
      <c r="AW225" s="146"/>
    </row>
    <row r="226" spans="1:49" s="54" customFormat="1" ht="12.75" hidden="1" customHeight="1" x14ac:dyDescent="0.2">
      <c r="A226" s="54" t="s">
        <v>80</v>
      </c>
      <c r="B226" s="54">
        <f>IF(B194=5,IF(C207=1,1,0),0)</f>
        <v>0</v>
      </c>
      <c r="D226" s="58">
        <f>IF(D194=5,IF(C207=1,1,0),0)</f>
        <v>0</v>
      </c>
      <c r="E226" s="54">
        <f>IF(E194=5,IF(F207=1,1,0),0)</f>
        <v>0</v>
      </c>
      <c r="G226" s="58">
        <f>IF(G194=5,IF(F207=1,1,0),0)</f>
        <v>0</v>
      </c>
      <c r="H226" s="54">
        <f>IF(H194=5,IF(I207=1,1,0),0)</f>
        <v>0</v>
      </c>
      <c r="J226" s="58">
        <f>IF(J194=5,IF(I207=1,1,0),0)</f>
        <v>0</v>
      </c>
      <c r="K226" s="54">
        <f>IF(K194=5,IF(L207=1,1,0),0)</f>
        <v>0</v>
      </c>
      <c r="M226" s="58">
        <f>IF(M194=5,IF(L207=1,1,0),0)</f>
        <v>0</v>
      </c>
      <c r="N226" s="54">
        <f>IF(N194=5,IF(O207=1,1,0),0)</f>
        <v>0</v>
      </c>
      <c r="P226" s="58">
        <f>IF(P194=5,IF(O207=1,1,0),0)</f>
        <v>0</v>
      </c>
      <c r="Q226" s="54">
        <f>IF(Q194=5,IF(R207=1,1,0),0)</f>
        <v>0</v>
      </c>
      <c r="S226" s="58">
        <f>IF(S194=5,IF(R207=1,1,0),0)</f>
        <v>1</v>
      </c>
      <c r="T226" s="54">
        <f>IF(T194=5,IF(U207=1,1,0),0)</f>
        <v>0</v>
      </c>
      <c r="V226" s="58">
        <f>IF(V194=5,IF(U207=1,1,0),0)</f>
        <v>0</v>
      </c>
      <c r="W226" s="54">
        <f>IF(W194=5,IF(X207=1,1,0),0)</f>
        <v>0</v>
      </c>
      <c r="Y226" s="58">
        <f>IF(Y194=5,IF(X207=1,1,0),0)</f>
        <v>1</v>
      </c>
      <c r="Z226" s="54">
        <f>IF(Z194=5,IF(AA207=1,1,0),0)</f>
        <v>0</v>
      </c>
      <c r="AB226" s="58">
        <f>IF(AB194=5,IF(AA207=1,1,0),0)</f>
        <v>0</v>
      </c>
      <c r="AC226" s="54">
        <f>IF(AC194=5,IF(AD207=1,1,0),0)</f>
        <v>0</v>
      </c>
      <c r="AE226" s="58">
        <f>IF(AE194=5,IF(AD207=1,1,0),0)</f>
        <v>0</v>
      </c>
      <c r="AF226" s="54">
        <f>SUM(B226:AE226)</f>
        <v>2</v>
      </c>
      <c r="AW226" s="146"/>
    </row>
    <row r="227" spans="1:49" s="54" customFormat="1" ht="38.25" hidden="1" customHeight="1" x14ac:dyDescent="0.2">
      <c r="A227" s="57"/>
      <c r="D227" s="58"/>
      <c r="G227" s="58"/>
      <c r="J227" s="58"/>
      <c r="M227" s="58"/>
      <c r="P227" s="58"/>
      <c r="S227" s="58"/>
      <c r="V227" s="58"/>
      <c r="Y227" s="58"/>
      <c r="AB227" s="58"/>
      <c r="AE227" s="58"/>
      <c r="AF227" s="57" t="s">
        <v>81</v>
      </c>
      <c r="AG227" s="789"/>
      <c r="AH227" s="789"/>
      <c r="AI227" s="789"/>
      <c r="AJ227" s="789"/>
      <c r="AK227" s="789"/>
      <c r="AW227" s="146"/>
    </row>
    <row r="228" spans="1:49" s="54" customFormat="1" ht="12.75" hidden="1" customHeight="1" x14ac:dyDescent="0.2">
      <c r="A228" s="54" t="s">
        <v>76</v>
      </c>
      <c r="B228" s="54">
        <f>IF(B194=1,B214,0)</f>
        <v>0</v>
      </c>
      <c r="D228" s="58">
        <f>IF(D194=1,B214,0)</f>
        <v>0</v>
      </c>
      <c r="E228" s="54">
        <f>IF(E194=1,E214,0)</f>
        <v>51</v>
      </c>
      <c r="G228" s="58">
        <f>IF(G194=1,E214,0)</f>
        <v>0</v>
      </c>
      <c r="H228" s="54">
        <f>IF(H194=1,H214,0)</f>
        <v>0</v>
      </c>
      <c r="J228" s="58">
        <f>IF(J194=1,H214,0)</f>
        <v>0</v>
      </c>
      <c r="K228" s="54">
        <f>IF(K194=1,K214,0)</f>
        <v>0</v>
      </c>
      <c r="M228" s="58">
        <f>IF(M194=1,K214,0)</f>
        <v>0</v>
      </c>
      <c r="N228" s="54">
        <f>IF(N194=1,N214,0)</f>
        <v>50</v>
      </c>
      <c r="P228" s="58">
        <f>IF(P194=1,N214,0)</f>
        <v>0</v>
      </c>
      <c r="Q228" s="54">
        <f>IF(Q194=1,Q214,0)</f>
        <v>0</v>
      </c>
      <c r="S228" s="58">
        <f>IF(S194=1,Q214,0)</f>
        <v>0</v>
      </c>
      <c r="T228" s="54">
        <f>IF(T194=1,T214,0)</f>
        <v>0</v>
      </c>
      <c r="V228" s="58">
        <f>IF(V194=1,T214,0)</f>
        <v>0</v>
      </c>
      <c r="W228" s="54">
        <f>IF(W194=1,W214,0)</f>
        <v>52</v>
      </c>
      <c r="Y228" s="58">
        <f>IF(Y194=1,W214,0)</f>
        <v>0</v>
      </c>
      <c r="Z228" s="54">
        <f>IF(Z194=1,Z214,0)</f>
        <v>0</v>
      </c>
      <c r="AB228" s="58">
        <f>IF(AB194=1,Z214,0)</f>
        <v>0</v>
      </c>
      <c r="AC228" s="54">
        <f>IF(AC194=1,AC214,0)</f>
        <v>50</v>
      </c>
      <c r="AE228" s="58">
        <f>IF(AE194=1,AC214,0)</f>
        <v>0</v>
      </c>
      <c r="AF228" s="54">
        <f>SUM(B228:AE228)</f>
        <v>203</v>
      </c>
      <c r="AW228" s="146"/>
    </row>
    <row r="229" spans="1:49" s="54" customFormat="1" ht="12.75" hidden="1" customHeight="1" x14ac:dyDescent="0.2">
      <c r="A229" s="54" t="s">
        <v>77</v>
      </c>
      <c r="B229" s="54">
        <f>IF(B194=2,B214,0)</f>
        <v>50</v>
      </c>
      <c r="D229" s="58">
        <f>IF(D194=2,B214,0)</f>
        <v>0</v>
      </c>
      <c r="E229" s="54">
        <f>IF(E194=2,E214,0)</f>
        <v>0</v>
      </c>
      <c r="G229" s="58">
        <f>IF(G194=2,E214,0)</f>
        <v>0</v>
      </c>
      <c r="H229" s="54">
        <f>IF(H194=2,H214,0)</f>
        <v>0</v>
      </c>
      <c r="J229" s="58">
        <f>IF(J194=2,H214,0)</f>
        <v>0</v>
      </c>
      <c r="K229" s="54">
        <f>IF(K194=2,K214,0)</f>
        <v>52</v>
      </c>
      <c r="M229" s="58">
        <f>IF(M194=2,K214,0)</f>
        <v>0</v>
      </c>
      <c r="N229" s="54">
        <f>IF(N194=2,N214,0)</f>
        <v>0</v>
      </c>
      <c r="P229" s="58">
        <f>IF(P194=2,N214,0)</f>
        <v>0</v>
      </c>
      <c r="Q229" s="54">
        <f>IF(Q194=2,Q214,0)</f>
        <v>0</v>
      </c>
      <c r="S229" s="58">
        <f>IF(S194=2,Q214,0)</f>
        <v>0</v>
      </c>
      <c r="T229" s="54">
        <f>IF(T194=2,T214,0)</f>
        <v>50</v>
      </c>
      <c r="V229" s="58">
        <f>IF(V194=2,T214,0)</f>
        <v>0</v>
      </c>
      <c r="W229" s="54">
        <f>IF(W194=2,W214,0)</f>
        <v>0</v>
      </c>
      <c r="Y229" s="58">
        <f>IF(Y194=2,W214,0)</f>
        <v>0</v>
      </c>
      <c r="Z229" s="54">
        <f>IF(Z194=2,Z214,0)</f>
        <v>0</v>
      </c>
      <c r="AB229" s="58">
        <f>IF(AB194=2,Z214,0)</f>
        <v>0</v>
      </c>
      <c r="AC229" s="54">
        <f>IF(AC194=2,AC214,0)</f>
        <v>0</v>
      </c>
      <c r="AE229" s="58">
        <f>IF(AE194=2,AC214,0)</f>
        <v>50</v>
      </c>
      <c r="AF229" s="54">
        <f>SUM(B229:AE229)</f>
        <v>202</v>
      </c>
      <c r="AW229" s="146"/>
    </row>
    <row r="230" spans="1:49" s="54" customFormat="1" ht="12.75" hidden="1" customHeight="1" x14ac:dyDescent="0.2">
      <c r="A230" s="54" t="s">
        <v>78</v>
      </c>
      <c r="B230" s="54">
        <f>IF(B194=3,B214,0)</f>
        <v>0</v>
      </c>
      <c r="D230" s="58">
        <f>IF(D194=3,B214,0)</f>
        <v>0</v>
      </c>
      <c r="E230" s="54">
        <f>IF(E194=3,E214,0)</f>
        <v>0</v>
      </c>
      <c r="G230" s="58">
        <f>IF(G194=3,E214,0)</f>
        <v>0</v>
      </c>
      <c r="H230" s="54">
        <f>IF(H194=3,H214,0)</f>
        <v>51</v>
      </c>
      <c r="J230" s="58">
        <f>IF(J194=3,H214,0)</f>
        <v>0</v>
      </c>
      <c r="K230" s="54">
        <f>IF(K194=3,K214,0)</f>
        <v>0</v>
      </c>
      <c r="M230" s="58">
        <f>IF(M194=3,K214,0)</f>
        <v>0</v>
      </c>
      <c r="N230" s="54">
        <f>IF(N194=3,N214,0)</f>
        <v>0</v>
      </c>
      <c r="P230" s="58">
        <f>IF(P194=3,N214,0)</f>
        <v>50</v>
      </c>
      <c r="Q230" s="54">
        <f>IF(Q194=3,Q214,0)</f>
        <v>0</v>
      </c>
      <c r="S230" s="58">
        <f>IF(S194=3,Q214,0)</f>
        <v>0</v>
      </c>
      <c r="T230" s="54">
        <f>IF(T194=3,T214,0)</f>
        <v>0</v>
      </c>
      <c r="V230" s="58">
        <f>IF(V194=3,T214,0)</f>
        <v>50</v>
      </c>
      <c r="W230" s="54">
        <f>IF(W194=3,W214,0)</f>
        <v>0</v>
      </c>
      <c r="Y230" s="58">
        <f>IF(Y194=3,W214,0)</f>
        <v>0</v>
      </c>
      <c r="Z230" s="54">
        <f>IF(Z194=3,Z214,0)</f>
        <v>50</v>
      </c>
      <c r="AB230" s="58">
        <f>IF(AB194=3,Z214,0)</f>
        <v>0</v>
      </c>
      <c r="AC230" s="54">
        <f>IF(AC194=3,AC214,0)</f>
        <v>0</v>
      </c>
      <c r="AE230" s="58">
        <f>IF(AE194=3,AC214,0)</f>
        <v>0</v>
      </c>
      <c r="AF230" s="54">
        <f>SUM(B230:AE230)</f>
        <v>201</v>
      </c>
      <c r="AW230" s="146"/>
    </row>
    <row r="231" spans="1:49" s="54" customFormat="1" ht="12.75" hidden="1" customHeight="1" x14ac:dyDescent="0.2">
      <c r="A231" s="54" t="s">
        <v>79</v>
      </c>
      <c r="B231" s="54">
        <f>IF(B194=4,B214,0)</f>
        <v>0</v>
      </c>
      <c r="D231" s="58">
        <f>IF(D194=4,B214,0)</f>
        <v>0</v>
      </c>
      <c r="E231" s="54">
        <f>IF(E194=4,E214,0)</f>
        <v>0</v>
      </c>
      <c r="G231" s="58">
        <f>IF(G194=4,E214,0)</f>
        <v>51</v>
      </c>
      <c r="H231" s="54">
        <f>IF(H194=4,H214,0)</f>
        <v>0</v>
      </c>
      <c r="J231" s="58">
        <f>IF(J194=4,H214,0)</f>
        <v>0</v>
      </c>
      <c r="K231" s="54">
        <f>IF(K194=4,K214,0)</f>
        <v>0</v>
      </c>
      <c r="M231" s="58">
        <f>IF(M194=4,K214,0)</f>
        <v>52</v>
      </c>
      <c r="N231" s="54">
        <f>IF(N194=4,N214,0)</f>
        <v>0</v>
      </c>
      <c r="P231" s="58">
        <f>IF(P194=4,N214,0)</f>
        <v>0</v>
      </c>
      <c r="Q231" s="54">
        <f>IF(Q194=4,Q214,0)</f>
        <v>50</v>
      </c>
      <c r="S231" s="58">
        <f>IF(S194=4,Q214,0)</f>
        <v>0</v>
      </c>
      <c r="T231" s="54">
        <f>IF(T194=4,T214,0)</f>
        <v>0</v>
      </c>
      <c r="V231" s="58">
        <f>IF(V194=4,T214,0)</f>
        <v>0</v>
      </c>
      <c r="W231" s="54">
        <f>IF(W194=4,W214,0)</f>
        <v>0</v>
      </c>
      <c r="Y231" s="58">
        <f>IF(Y194=4,W214,0)</f>
        <v>0</v>
      </c>
      <c r="Z231" s="54">
        <f>IF(Z194=4,Z214,0)</f>
        <v>0</v>
      </c>
      <c r="AB231" s="58">
        <f>IF(AB194=4,Z214,0)</f>
        <v>50</v>
      </c>
      <c r="AC231" s="54">
        <f>IF(AC194=4,AC214,0)</f>
        <v>0</v>
      </c>
      <c r="AE231" s="58">
        <f>IF(AE194=4,AC214,0)</f>
        <v>0</v>
      </c>
      <c r="AF231" s="54">
        <f>SUM(B231:AE231)</f>
        <v>203</v>
      </c>
      <c r="AW231" s="146"/>
    </row>
    <row r="232" spans="1:49" s="54" customFormat="1" ht="12.75" hidden="1" customHeight="1" x14ac:dyDescent="0.2">
      <c r="A232" s="54" t="s">
        <v>80</v>
      </c>
      <c r="B232" s="54">
        <f>IF(B194=5,B214,0)</f>
        <v>0</v>
      </c>
      <c r="D232" s="58">
        <f>IF(D194=5,B214,0)</f>
        <v>50</v>
      </c>
      <c r="E232" s="54">
        <f>IF(E194=5,E214,0)</f>
        <v>0</v>
      </c>
      <c r="G232" s="58">
        <f>IF(G194=5,E214,0)</f>
        <v>0</v>
      </c>
      <c r="H232" s="54">
        <f>IF(H194=5,H214,0)</f>
        <v>0</v>
      </c>
      <c r="J232" s="58">
        <f>IF(J194=5,H214,0)</f>
        <v>51</v>
      </c>
      <c r="K232" s="54">
        <f>IF(K194=5,K214,0)</f>
        <v>0</v>
      </c>
      <c r="M232" s="58">
        <f>IF(M194=5,K214,0)</f>
        <v>0</v>
      </c>
      <c r="N232" s="54">
        <f>IF(N194=5,N214,0)</f>
        <v>0</v>
      </c>
      <c r="P232" s="58">
        <f>IF(P194=5,N214,0)</f>
        <v>0</v>
      </c>
      <c r="Q232" s="54">
        <f>IF(Q194=5,Q214,0)</f>
        <v>0</v>
      </c>
      <c r="S232" s="58">
        <f>IF(S194=5,Q214,0)</f>
        <v>50</v>
      </c>
      <c r="T232" s="54">
        <f>IF(T194=5,T214,0)</f>
        <v>0</v>
      </c>
      <c r="V232" s="58">
        <f>IF(V194=5,T214,0)</f>
        <v>0</v>
      </c>
      <c r="W232" s="54">
        <f>IF(W194=5,W214,0)</f>
        <v>0</v>
      </c>
      <c r="Y232" s="58">
        <f>IF(Y194=5,W214,0)</f>
        <v>52</v>
      </c>
      <c r="Z232" s="54">
        <f>IF(Z194=5,Z214,0)</f>
        <v>0</v>
      </c>
      <c r="AB232" s="58">
        <f>IF(AB194=5,Z214,0)</f>
        <v>0</v>
      </c>
      <c r="AC232" s="54">
        <f>IF(AC194=5,AC214,0)</f>
        <v>0</v>
      </c>
      <c r="AE232" s="58">
        <f>IF(AE194=5,AC214,0)</f>
        <v>0</v>
      </c>
      <c r="AF232" s="54">
        <f>SUM(B232:AE232)</f>
        <v>203</v>
      </c>
      <c r="AW232" s="146"/>
    </row>
    <row r="233" spans="1:49" s="54" customFormat="1" ht="38.25" hidden="1" customHeight="1" x14ac:dyDescent="0.2">
      <c r="A233" s="54" t="s">
        <v>82</v>
      </c>
      <c r="D233" s="58"/>
      <c r="G233" s="58"/>
      <c r="J233" s="58"/>
      <c r="M233" s="58"/>
      <c r="P233" s="58"/>
      <c r="S233" s="58"/>
      <c r="V233" s="58"/>
      <c r="Y233" s="58"/>
      <c r="AB233" s="58"/>
      <c r="AE233" s="58"/>
      <c r="AF233" s="57" t="s">
        <v>83</v>
      </c>
      <c r="AG233" s="54" t="s">
        <v>84</v>
      </c>
      <c r="AW233" s="146"/>
    </row>
    <row r="234" spans="1:49" s="54" customFormat="1" ht="12.75" hidden="1" customHeight="1" x14ac:dyDescent="0.2">
      <c r="A234" s="54" t="s">
        <v>70</v>
      </c>
      <c r="B234" s="54">
        <f>IF(B194=1,SUMIF(B201:B205,"&gt;0"),0)</f>
        <v>0</v>
      </c>
      <c r="D234" s="58">
        <f>IF(D194=1,SUMIF(D201:D205,"&gt;0"),0)</f>
        <v>0</v>
      </c>
      <c r="E234" s="54">
        <f>IF(E194=1,SUMIF(E201:E205,"&gt;0"),0)</f>
        <v>1</v>
      </c>
      <c r="G234" s="58">
        <f>IF(G194=1,SUMIF(G201:G205,"&gt;0"),0)</f>
        <v>0</v>
      </c>
      <c r="H234" s="54">
        <f>IF(H194=1,SUMIF(H201:H205,"&gt;0"),0)</f>
        <v>0</v>
      </c>
      <c r="J234" s="58">
        <f>IF(J194=1,SUMIF(J201:J205,"&gt;0"),0)</f>
        <v>0</v>
      </c>
      <c r="K234" s="54">
        <f>IF(K194=1,SUMIF(K201:K205,"&gt;0"),0)</f>
        <v>0</v>
      </c>
      <c r="M234" s="58">
        <f>IF(M194=1,SUMIF(M201:M205,"&gt;0"),0)</f>
        <v>0</v>
      </c>
      <c r="N234" s="54">
        <f>IF(N194=1,SUMIF(N201:N205,"&gt;0"),0)</f>
        <v>2</v>
      </c>
      <c r="P234" s="58">
        <f>IF(P194=1,SUMIF(P201:P205,"&gt;0"),0)</f>
        <v>0</v>
      </c>
      <c r="Q234" s="54">
        <f>IF(Q194=1,SUMIF(Q201:Q205,"&gt;0"),0)</f>
        <v>0</v>
      </c>
      <c r="S234" s="58">
        <f>IF(S194=1,SUMIF(S201:S205,"&gt;0"),0)</f>
        <v>0</v>
      </c>
      <c r="T234" s="54">
        <f>IF(T194=1,SUMIF(T201:T205,"&gt;0"),0)</f>
        <v>0</v>
      </c>
      <c r="V234" s="58">
        <f>IF(V194=1,SUMIF(V201:V205,"&gt;0"),0)</f>
        <v>0</v>
      </c>
      <c r="W234" s="54">
        <f>IF(W194=1,SUMIF(W201:W205,"&gt;0"),0)</f>
        <v>2</v>
      </c>
      <c r="Y234" s="58">
        <f>IF(Y194=1,SUMIF(Y201:Y205,"&gt;0"),0)</f>
        <v>0</v>
      </c>
      <c r="Z234" s="54">
        <f>IF(Z194=1,SUMIF(Z201:Z205,"&gt;0"),0)</f>
        <v>0</v>
      </c>
      <c r="AB234" s="58">
        <f>IF(AB194=1,SUMIF(AB201:AB205,"&gt;0"),0)</f>
        <v>0</v>
      </c>
      <c r="AC234" s="54">
        <f>IF(AC194=1,SUMIF(AC201:AC205,"&gt;0"),0)</f>
        <v>1</v>
      </c>
      <c r="AE234" s="58">
        <f>IF(AE194=1,SUMIF(AE201:AE205,"&gt;0"),0)</f>
        <v>0</v>
      </c>
      <c r="AF234" s="54">
        <f>SUM(B234:AE234)</f>
        <v>6</v>
      </c>
      <c r="AG234" s="54">
        <f>AF242-AF234</f>
        <v>2</v>
      </c>
      <c r="AW234" s="146"/>
    </row>
    <row r="235" spans="1:49" s="54" customFormat="1" ht="12.75" hidden="1" customHeight="1" x14ac:dyDescent="0.2">
      <c r="A235" s="54" t="s">
        <v>71</v>
      </c>
      <c r="B235" s="54">
        <f>IF(B194=2,SUMIF(B201:B205,"&gt;0"),0)</f>
        <v>1</v>
      </c>
      <c r="D235" s="58">
        <f>IF(D194=2,SUMIF(D201:D205,"&gt;0"),0)</f>
        <v>0</v>
      </c>
      <c r="E235" s="54">
        <f>IF(E194=2,SUMIF(E201:E205,"&gt;0"),0)</f>
        <v>0</v>
      </c>
      <c r="G235" s="58">
        <f>IF(G194=2,SUMIF(G201:G205,"&gt;0"),0)</f>
        <v>0</v>
      </c>
      <c r="H235" s="54">
        <f>IF(H194=2,SUMIF(H201:H205,"&gt;0"),0)</f>
        <v>0</v>
      </c>
      <c r="J235" s="58">
        <f>IF(J194=2,SUMIF(J201:J205,"&gt;0"),0)</f>
        <v>0</v>
      </c>
      <c r="K235" s="54">
        <f>IF(K194=2,SUMIF(K201:K205,"&gt;0"),0)</f>
        <v>2</v>
      </c>
      <c r="M235" s="58">
        <f>IF(M194=2,SUMIF(M201:M205,"&gt;0"),0)</f>
        <v>0</v>
      </c>
      <c r="N235" s="54">
        <f>IF(N194=2,SUMIF(N201:N205,"&gt;0"),0)</f>
        <v>0</v>
      </c>
      <c r="P235" s="58">
        <f>IF(P194=2,SUMIF(P201:P205,"&gt;0"),0)</f>
        <v>0</v>
      </c>
      <c r="Q235" s="54">
        <f>IF(Q194=2,SUMIF(Q201:Q205,"&gt;0"),0)</f>
        <v>0</v>
      </c>
      <c r="S235" s="58">
        <f>IF(S194=2,SUMIF(S201:S205,"&gt;0"),0)</f>
        <v>0</v>
      </c>
      <c r="T235" s="54">
        <f>IF(T194=2,SUMIF(T201:T205,"&gt;0"),0)</f>
        <v>2</v>
      </c>
      <c r="V235" s="58">
        <f>IF(V194=2,SUMIF(V201:V205,"&gt;0"),0)</f>
        <v>0</v>
      </c>
      <c r="W235" s="54">
        <f>IF(W194=2,SUMIF(W201:W205,"&gt;0"),0)</f>
        <v>0</v>
      </c>
      <c r="Y235" s="58">
        <f>IF(Y194=2,SUMIF(Y201:Y205,"&gt;0"),0)</f>
        <v>0</v>
      </c>
      <c r="Z235" s="54">
        <f>IF(Z194=2,SUMIF(Z201:Z205,"&gt;0"),0)</f>
        <v>0</v>
      </c>
      <c r="AB235" s="58">
        <f>IF(AB194=2,SUMIF(AB201:AB205,"&gt;0"),0)</f>
        <v>0</v>
      </c>
      <c r="AC235" s="54">
        <f>IF(AC194=2,SUMIF(AC201:AC205,"&gt;0"),0)</f>
        <v>0</v>
      </c>
      <c r="AE235" s="58">
        <f>IF(AE194=2,SUMIF(AE201:AE205,"&gt;0"),0)</f>
        <v>1</v>
      </c>
      <c r="AF235" s="54">
        <f>SUM(B235:AE235)</f>
        <v>6</v>
      </c>
      <c r="AG235" s="54">
        <f>AF243-AF235</f>
        <v>2</v>
      </c>
      <c r="AW235" s="146"/>
    </row>
    <row r="236" spans="1:49" s="54" customFormat="1" ht="12.75" hidden="1" customHeight="1" x14ac:dyDescent="0.2">
      <c r="A236" s="54" t="s">
        <v>72</v>
      </c>
      <c r="B236" s="54">
        <f>IF(B194=3,SUMIF(B201:B205,"&gt;0"),0)</f>
        <v>0</v>
      </c>
      <c r="D236" s="58">
        <f>IF(D194=3,SUMIF(D201:D205,"&gt;0"),0)</f>
        <v>0</v>
      </c>
      <c r="E236" s="54">
        <f>IF(E194=3,SUMIF(E201:E205,"&gt;0"),0)</f>
        <v>0</v>
      </c>
      <c r="G236" s="58">
        <f>IF(G194=3,SUMIF(G201:G205,"&gt;0"),0)</f>
        <v>0</v>
      </c>
      <c r="H236" s="54">
        <f>IF(H194=3,SUMIF(H201:H205,"&gt;0"),0)</f>
        <v>1</v>
      </c>
      <c r="J236" s="58">
        <f>IF(J194=3,SUMIF(J201:J205,"&gt;0"),0)</f>
        <v>0</v>
      </c>
      <c r="K236" s="54">
        <f>IF(K194=3,SUMIF(K201:K205,"&gt;0"),0)</f>
        <v>0</v>
      </c>
      <c r="M236" s="58">
        <f>IF(M194=3,SUMIF(M201:M205,"&gt;0"),0)</f>
        <v>0</v>
      </c>
      <c r="N236" s="54">
        <f>IF(N194=3,SUMIF(N201:N205,"&gt;0"),0)</f>
        <v>0</v>
      </c>
      <c r="P236" s="58">
        <f>IF(P194=3,SUMIF(P201:P205,"&gt;0"),0)</f>
        <v>0</v>
      </c>
      <c r="Q236" s="54">
        <f>IF(Q194=3,SUMIF(Q201:Q205,"&gt;0"),0)</f>
        <v>0</v>
      </c>
      <c r="S236" s="58">
        <f>IF(S194=3,SUMIF(S201:S205,"&gt;0"),0)</f>
        <v>0</v>
      </c>
      <c r="T236" s="54">
        <f>IF(T194=3,SUMIF(T201:T205,"&gt;0"),0)</f>
        <v>0</v>
      </c>
      <c r="V236" s="58">
        <f>IF(V194=3,SUMIF(V201:V205,"&gt;0"),0)</f>
        <v>0</v>
      </c>
      <c r="W236" s="54">
        <f>IF(W194=3,SUMIF(W201:W205,"&gt;0"),0)</f>
        <v>0</v>
      </c>
      <c r="Y236" s="58">
        <f>IF(Y194=3,SUMIF(Y201:Y205,"&gt;0"),0)</f>
        <v>0</v>
      </c>
      <c r="Z236" s="54">
        <f>IF(Z194=3,SUMIF(Z201:Z205,"&gt;0"),0)</f>
        <v>1</v>
      </c>
      <c r="AB236" s="58">
        <f>IF(AB194=3,SUMIF(AB201:AB205,"&gt;0"),0)</f>
        <v>0</v>
      </c>
      <c r="AC236" s="54">
        <f>IF(AC194=3,SUMIF(AC201:AC205,"&gt;0"),0)</f>
        <v>0</v>
      </c>
      <c r="AE236" s="58">
        <f>IF(AE194=3,SUMIF(AE201:AE205,"&gt;0"),0)</f>
        <v>0</v>
      </c>
      <c r="AF236" s="54">
        <f>SUM(B236:AE236)</f>
        <v>2</v>
      </c>
      <c r="AG236" s="54">
        <f>AF244-AF236</f>
        <v>6</v>
      </c>
      <c r="AW236" s="146"/>
    </row>
    <row r="237" spans="1:49" s="54" customFormat="1" ht="12.75" hidden="1" customHeight="1" x14ac:dyDescent="0.2">
      <c r="A237" s="54" t="s">
        <v>73</v>
      </c>
      <c r="B237" s="54">
        <f>IF(B194=4,SUMIF(B201:B205,"&gt;0"),0)</f>
        <v>0</v>
      </c>
      <c r="D237" s="58">
        <f>IF(D194=4,SUMIF(D201:D205,"&gt;0"),0)</f>
        <v>0</v>
      </c>
      <c r="E237" s="54">
        <f>IF(E194=4,SUMIF(E201:E205,"&gt;0"),0)</f>
        <v>0</v>
      </c>
      <c r="G237" s="58">
        <f>IF(G194=4,SUMIF(G201:G205,"&gt;0"),0)</f>
        <v>1</v>
      </c>
      <c r="H237" s="54">
        <f>IF(H194=4,SUMIF(H201:H205,"&gt;0"),0)</f>
        <v>0</v>
      </c>
      <c r="J237" s="58">
        <f>IF(J194=4,SUMIF(J201:J205,"&gt;0"),0)</f>
        <v>0</v>
      </c>
      <c r="K237" s="54">
        <f>IF(K194=4,SUMIF(K201:K205,"&gt;0"),0)</f>
        <v>0</v>
      </c>
      <c r="M237" s="58">
        <f>IF(M194=4,SUMIF(M201:M205,"&gt;0"),0)</f>
        <v>0</v>
      </c>
      <c r="N237" s="54">
        <f>IF(N194=4,SUMIF(N201:N205,"&gt;0"),0)</f>
        <v>0</v>
      </c>
      <c r="P237" s="58">
        <f>IF(P194=4,SUMIF(P201:P205,"&gt;0"),0)</f>
        <v>0</v>
      </c>
      <c r="Q237" s="54">
        <f>IF(Q194=4,SUMIF(Q201:Q205,"&gt;0"),0)</f>
        <v>2</v>
      </c>
      <c r="S237" s="58">
        <f>IF(S194=4,SUMIF(S201:S205,"&gt;0"),0)</f>
        <v>0</v>
      </c>
      <c r="T237" s="54">
        <f>IF(T194=4,SUMIF(T201:T205,"&gt;0"),0)</f>
        <v>0</v>
      </c>
      <c r="V237" s="58">
        <f>IF(V194=4,SUMIF(V201:V205,"&gt;0"),0)</f>
        <v>0</v>
      </c>
      <c r="W237" s="54">
        <f>IF(W194=4,SUMIF(W201:W205,"&gt;0"),0)</f>
        <v>0</v>
      </c>
      <c r="Y237" s="58">
        <f>IF(Y194=4,SUMIF(Y201:Y205,"&gt;0"),0)</f>
        <v>0</v>
      </c>
      <c r="Z237" s="54">
        <f>IF(Z194=4,SUMIF(Z201:Z205,"&gt;0"),0)</f>
        <v>0</v>
      </c>
      <c r="AB237" s="58">
        <f>IF(AB194=4,SUMIF(AB201:AB205,"&gt;0"),0)</f>
        <v>1</v>
      </c>
      <c r="AC237" s="54">
        <f>IF(AC194=4,SUMIF(AC201:AC205,"&gt;0"),0)</f>
        <v>0</v>
      </c>
      <c r="AE237" s="58">
        <f>IF(AE194=4,SUMIF(AE201:AE205,"&gt;0"),0)</f>
        <v>0</v>
      </c>
      <c r="AF237" s="54">
        <f>SUM(B237:AE237)</f>
        <v>4</v>
      </c>
      <c r="AG237" s="54">
        <f>AF245-AF237</f>
        <v>4</v>
      </c>
      <c r="AW237" s="146"/>
    </row>
    <row r="238" spans="1:49" s="54" customFormat="1" ht="12.75" hidden="1" customHeight="1" x14ac:dyDescent="0.2">
      <c r="A238" s="54" t="s">
        <v>74</v>
      </c>
      <c r="B238" s="54">
        <f>IF(B194=5,SUMIF(B201:B205,"&gt;0"),0)</f>
        <v>0</v>
      </c>
      <c r="D238" s="58">
        <f>IF(D194=5,SUMIF(D201:D205,"&gt;0"),0)</f>
        <v>1</v>
      </c>
      <c r="E238" s="54">
        <f>IF(E194=5,SUMIF(E201:E205,"&gt;0"),0)</f>
        <v>0</v>
      </c>
      <c r="G238" s="58">
        <f>IF(G194=5,SUMIF(G201:G205,"&gt;0"),0)</f>
        <v>0</v>
      </c>
      <c r="H238" s="54">
        <f>IF(H194=5,SUMIF(H201:H205,"&gt;0"),0)</f>
        <v>0</v>
      </c>
      <c r="J238" s="58">
        <f>IF(J194=5,SUMIF(J201:J205,"&gt;0"),0)</f>
        <v>1</v>
      </c>
      <c r="K238" s="54">
        <f>IF(K194=5,SUMIF(K201:K205,"&gt;0"),0)</f>
        <v>0</v>
      </c>
      <c r="M238" s="58">
        <f>IF(M194=5,SUMIF(M201:M205,"&gt;0"),0)</f>
        <v>0</v>
      </c>
      <c r="N238" s="54">
        <f>IF(N194=5,SUMIF(N201:N205,"&gt;0"),0)</f>
        <v>0</v>
      </c>
      <c r="P238" s="58">
        <f>IF(P194=5,SUMIF(P201:P205,"&gt;0"),0)</f>
        <v>0</v>
      </c>
      <c r="Q238" s="54">
        <f>IF(Q194=5,SUMIF(Q201:Q205,"&gt;0"),0)</f>
        <v>0</v>
      </c>
      <c r="S238" s="58">
        <f>IF(S194=5,SUMIF(S201:S205,"&gt;0"),0)</f>
        <v>0</v>
      </c>
      <c r="T238" s="54">
        <f>IF(T194=5,SUMIF(T201:T205,"&gt;0"),0)</f>
        <v>0</v>
      </c>
      <c r="V238" s="58">
        <f>IF(V194=5,SUMIF(V201:V205,"&gt;0"),0)</f>
        <v>0</v>
      </c>
      <c r="W238" s="54">
        <f>IF(W194=5,SUMIF(W201:W205,"&gt;0"),0)</f>
        <v>0</v>
      </c>
      <c r="Y238" s="58">
        <f>IF(Y194=5,SUMIF(Y201:Y205,"&gt;0"),0)</f>
        <v>0</v>
      </c>
      <c r="Z238" s="54">
        <f>IF(Z194=5,SUMIF(Z201:Z205,"&gt;0"),0)</f>
        <v>0</v>
      </c>
      <c r="AB238" s="58">
        <f>IF(AB194=5,SUMIF(AB201:AB205,"&gt;0"),0)</f>
        <v>0</v>
      </c>
      <c r="AC238" s="54">
        <f>IF(AC194=5,SUMIF(AC201:AC205,"&gt;0"),0)</f>
        <v>0</v>
      </c>
      <c r="AE238" s="58">
        <f>IF(AE194=5,SUMIF(AE201:AE205,"&gt;0"),0)</f>
        <v>0</v>
      </c>
      <c r="AF238" s="54">
        <f>SUM(B238:AE238)</f>
        <v>2</v>
      </c>
      <c r="AG238" s="54">
        <f>AF246-AF238</f>
        <v>6</v>
      </c>
      <c r="AW238" s="146"/>
    </row>
    <row r="239" spans="1:49" s="54" customFormat="1" ht="12.75" hidden="1" customHeight="1" x14ac:dyDescent="0.2">
      <c r="D239" s="58"/>
      <c r="G239" s="58"/>
      <c r="J239" s="58"/>
      <c r="M239" s="58"/>
      <c r="P239" s="58"/>
      <c r="S239" s="58"/>
      <c r="V239" s="58"/>
      <c r="Y239" s="58"/>
      <c r="AB239" s="58"/>
      <c r="AE239" s="58"/>
      <c r="AW239" s="146"/>
    </row>
    <row r="240" spans="1:49" s="54" customFormat="1" ht="12.75" hidden="1" customHeight="1" x14ac:dyDescent="0.2">
      <c r="D240" s="58"/>
      <c r="G240" s="58"/>
      <c r="J240" s="58"/>
      <c r="M240" s="58"/>
      <c r="P240" s="58"/>
      <c r="S240" s="58"/>
      <c r="V240" s="58"/>
      <c r="Y240" s="58"/>
      <c r="AB240" s="58"/>
      <c r="AE240" s="58"/>
      <c r="AW240" s="146"/>
    </row>
    <row r="241" spans="1:54" s="54" customFormat="1" ht="51" hidden="1" customHeight="1" x14ac:dyDescent="0.2">
      <c r="A241" s="57" t="s">
        <v>85</v>
      </c>
      <c r="C241" s="54">
        <f>SUMIF(B234:D238,"&gt;0")</f>
        <v>2</v>
      </c>
      <c r="D241" s="58"/>
      <c r="F241" s="54">
        <f>SUMIF(E234:G238,"&gt;0")</f>
        <v>2</v>
      </c>
      <c r="G241" s="58"/>
      <c r="I241" s="54">
        <f>SUMIF(H234:J238,"&gt;0")</f>
        <v>2</v>
      </c>
      <c r="J241" s="58"/>
      <c r="L241" s="54">
        <f>SUMIF(K234:M238,"&gt;0")</f>
        <v>2</v>
      </c>
      <c r="M241" s="58"/>
      <c r="O241" s="54">
        <f>SUMIF(N234:P238,"&gt;0")</f>
        <v>2</v>
      </c>
      <c r="P241" s="58"/>
      <c r="R241" s="54">
        <f>SUMIF(Q234:S238,"&gt;0")</f>
        <v>2</v>
      </c>
      <c r="S241" s="58"/>
      <c r="U241" s="54">
        <f>SUMIF(T234:V238,"&gt;0")</f>
        <v>2</v>
      </c>
      <c r="V241" s="58"/>
      <c r="X241" s="54">
        <f>SUMIF(W234:Y238,"&gt;0")</f>
        <v>2</v>
      </c>
      <c r="Y241" s="58"/>
      <c r="AA241" s="54">
        <f>SUMIF(Z234:AB238,"&gt;0")</f>
        <v>2</v>
      </c>
      <c r="AB241" s="58"/>
      <c r="AD241" s="54">
        <f>SUMIF(AC234:AE238,"&gt;0")</f>
        <v>2</v>
      </c>
      <c r="AE241" s="58"/>
      <c r="AF241" s="57" t="s">
        <v>86</v>
      </c>
      <c r="AW241" s="146"/>
    </row>
    <row r="242" spans="1:54" s="54" customFormat="1" ht="12.75" hidden="1" customHeight="1" x14ac:dyDescent="0.2">
      <c r="A242" s="54" t="s">
        <v>76</v>
      </c>
      <c r="B242" s="54">
        <f>IF(B194=1,C241,0)</f>
        <v>0</v>
      </c>
      <c r="D242" s="58">
        <f>IF(D194=1,C241,0)</f>
        <v>0</v>
      </c>
      <c r="E242" s="54">
        <f>IF(E194=1,F241,0)</f>
        <v>2</v>
      </c>
      <c r="G242" s="58">
        <f>IF(G194=1,F241,0)</f>
        <v>0</v>
      </c>
      <c r="H242" s="54">
        <f>IF(H194=1,I241,0)</f>
        <v>0</v>
      </c>
      <c r="J242" s="58">
        <f>IF(J194=1,I241,0)</f>
        <v>0</v>
      </c>
      <c r="K242" s="54">
        <f>IF(K194=1,L241,0)</f>
        <v>0</v>
      </c>
      <c r="M242" s="58">
        <f>IF(M194=1,L241,0)</f>
        <v>0</v>
      </c>
      <c r="N242" s="54">
        <f>IF(N194=1,O241,0)</f>
        <v>2</v>
      </c>
      <c r="P242" s="58">
        <f>IF(P194=1,O241,0)</f>
        <v>0</v>
      </c>
      <c r="Q242" s="54">
        <f>IF(Q194=1,R241,0)</f>
        <v>0</v>
      </c>
      <c r="S242" s="58">
        <f>IF(S194=1,R241,0)</f>
        <v>0</v>
      </c>
      <c r="T242" s="54">
        <f>IF(T194=1,U241,0)</f>
        <v>0</v>
      </c>
      <c r="V242" s="58">
        <f>IF(V194=1,U241,0)</f>
        <v>0</v>
      </c>
      <c r="W242" s="54">
        <f>IF(W194=1,X241,0)</f>
        <v>2</v>
      </c>
      <c r="Y242" s="58">
        <f>IF(Y194=1,X241,0)</f>
        <v>0</v>
      </c>
      <c r="Z242" s="54">
        <f>IF(Z194=1,AA241,0)</f>
        <v>0</v>
      </c>
      <c r="AB242" s="58">
        <f>IF(AB194=1,AA241,0)</f>
        <v>0</v>
      </c>
      <c r="AC242" s="54">
        <f>IF(AC194=1,AD241,0)</f>
        <v>2</v>
      </c>
      <c r="AE242" s="58">
        <f>IF(AE194=1,AD241,0)</f>
        <v>0</v>
      </c>
      <c r="AF242" s="54">
        <f>SUM(B242:AE242)</f>
        <v>8</v>
      </c>
      <c r="AW242" s="146"/>
    </row>
    <row r="243" spans="1:54" s="54" customFormat="1" ht="12.75" hidden="1" customHeight="1" x14ac:dyDescent="0.2">
      <c r="A243" s="54" t="s">
        <v>77</v>
      </c>
      <c r="B243" s="54">
        <f>IF(B194=2,C241,0)</f>
        <v>2</v>
      </c>
      <c r="D243" s="58">
        <f>IF(D194=2,C241,0)</f>
        <v>0</v>
      </c>
      <c r="E243" s="54">
        <f>IF(E194=2,F241,0)</f>
        <v>0</v>
      </c>
      <c r="G243" s="58">
        <f>IF(G194=2,F241,0)</f>
        <v>0</v>
      </c>
      <c r="H243" s="54">
        <f>IF(H194=2,I241,0)</f>
        <v>0</v>
      </c>
      <c r="J243" s="58">
        <f>IF(J194=2,I241,0)</f>
        <v>0</v>
      </c>
      <c r="K243" s="54">
        <f>IF(K194=2,L241,0)</f>
        <v>2</v>
      </c>
      <c r="M243" s="58">
        <f>IF(M194=2,L241,0)</f>
        <v>0</v>
      </c>
      <c r="N243" s="54">
        <f>IF(N194=2,O241,0)</f>
        <v>0</v>
      </c>
      <c r="P243" s="58">
        <f>IF(P194=2,O241,0)</f>
        <v>0</v>
      </c>
      <c r="Q243" s="54">
        <f>IF(Q194=2,R241,0)</f>
        <v>0</v>
      </c>
      <c r="S243" s="58">
        <f>IF(S194=2,R241,0)</f>
        <v>0</v>
      </c>
      <c r="T243" s="54">
        <f>IF(T194=2,U241,0)</f>
        <v>2</v>
      </c>
      <c r="V243" s="58">
        <f>IF(V194=2,U241,0)</f>
        <v>0</v>
      </c>
      <c r="W243" s="54">
        <f>IF(W194=2,X241,0)</f>
        <v>0</v>
      </c>
      <c r="Y243" s="58">
        <f>IF(Y194=2,X241,0)</f>
        <v>0</v>
      </c>
      <c r="Z243" s="54">
        <f>IF(Z194=2,AA241,0)</f>
        <v>0</v>
      </c>
      <c r="AB243" s="58">
        <f>IF(AB194=2,AA241,0)</f>
        <v>0</v>
      </c>
      <c r="AC243" s="54">
        <f>IF(AC194=2,AD241,0)</f>
        <v>0</v>
      </c>
      <c r="AE243" s="58">
        <f>IF(AE194=2,AD241,0)</f>
        <v>2</v>
      </c>
      <c r="AF243" s="54">
        <f>SUM(B243:AE243)</f>
        <v>8</v>
      </c>
      <c r="AW243" s="146"/>
    </row>
    <row r="244" spans="1:54" s="54" customFormat="1" ht="12.75" hidden="1" customHeight="1" x14ac:dyDescent="0.2">
      <c r="A244" s="54" t="s">
        <v>78</v>
      </c>
      <c r="B244" s="54">
        <f>IF(B194=3,C241,0)</f>
        <v>0</v>
      </c>
      <c r="D244" s="58">
        <f>IF(D194=3,C241,0)</f>
        <v>0</v>
      </c>
      <c r="E244" s="54">
        <f>IF(E194=3,F241,0)</f>
        <v>0</v>
      </c>
      <c r="G244" s="58">
        <f>IF(G194=3,F241,0)</f>
        <v>0</v>
      </c>
      <c r="H244" s="54">
        <f>IF(H194=3,I241,0)</f>
        <v>2</v>
      </c>
      <c r="J244" s="58">
        <f>IF(J194=3,I241,0)</f>
        <v>0</v>
      </c>
      <c r="K244" s="54">
        <f>IF(K194=3,L241,0)</f>
        <v>0</v>
      </c>
      <c r="M244" s="58">
        <f>IF(M194=3,L241,0)</f>
        <v>0</v>
      </c>
      <c r="N244" s="54">
        <f>IF(N194=3,O241,0)</f>
        <v>0</v>
      </c>
      <c r="P244" s="58">
        <f>IF(P194=3,O241,0)</f>
        <v>2</v>
      </c>
      <c r="Q244" s="54">
        <f>IF(Q194=3,R241,0)</f>
        <v>0</v>
      </c>
      <c r="S244" s="58">
        <f>IF(S194=3,R241,0)</f>
        <v>0</v>
      </c>
      <c r="T244" s="54">
        <f>IF(T194=3,U241,0)</f>
        <v>0</v>
      </c>
      <c r="V244" s="58">
        <f>IF(V194=3,U241,0)</f>
        <v>2</v>
      </c>
      <c r="W244" s="54">
        <f>IF(W194=3,X241,0)</f>
        <v>0</v>
      </c>
      <c r="Y244" s="58">
        <f>IF(Y194=3,X241,0)</f>
        <v>0</v>
      </c>
      <c r="Z244" s="54">
        <f>IF(Z194=3,AA241,0)</f>
        <v>2</v>
      </c>
      <c r="AB244" s="58">
        <f>IF(AB194=3,AA241,0)</f>
        <v>0</v>
      </c>
      <c r="AC244" s="54">
        <f>IF(AC194=3,AD241,0)</f>
        <v>0</v>
      </c>
      <c r="AE244" s="58">
        <f>IF(AE194=3,AD241,0)</f>
        <v>0</v>
      </c>
      <c r="AF244" s="54">
        <f>SUM(B244:AE244)</f>
        <v>8</v>
      </c>
      <c r="AW244" s="146"/>
    </row>
    <row r="245" spans="1:54" s="54" customFormat="1" ht="12.75" hidden="1" customHeight="1" x14ac:dyDescent="0.2">
      <c r="A245" s="54" t="s">
        <v>79</v>
      </c>
      <c r="B245" s="54">
        <f>IF(B194=4,C241,0)</f>
        <v>0</v>
      </c>
      <c r="D245" s="58">
        <f>IF(D194=4,C241,0)</f>
        <v>0</v>
      </c>
      <c r="E245" s="54">
        <f>IF(E194=4,F241,0)</f>
        <v>0</v>
      </c>
      <c r="G245" s="58">
        <f>IF(G194=4,F241,0)</f>
        <v>2</v>
      </c>
      <c r="H245" s="54">
        <f>IF(H194=4,I241,0)</f>
        <v>0</v>
      </c>
      <c r="J245" s="58">
        <f>IF(J194=4,I241,0)</f>
        <v>0</v>
      </c>
      <c r="K245" s="54">
        <f>IF(K194=4,L241,0)</f>
        <v>0</v>
      </c>
      <c r="M245" s="58">
        <f>IF(M194=4,L241,0)</f>
        <v>2</v>
      </c>
      <c r="N245" s="54">
        <f>IF(N194=4,O241,0)</f>
        <v>0</v>
      </c>
      <c r="P245" s="58">
        <f>IF(P194=4,O241,0)</f>
        <v>0</v>
      </c>
      <c r="Q245" s="54">
        <f>IF(Q194=4,R241,0)</f>
        <v>2</v>
      </c>
      <c r="S245" s="58">
        <f>IF(S194=4,R241,0)</f>
        <v>0</v>
      </c>
      <c r="T245" s="54">
        <f>IF(T194=4,U241,0)</f>
        <v>0</v>
      </c>
      <c r="V245" s="58">
        <f>IF(V194=4,U241,0)</f>
        <v>0</v>
      </c>
      <c r="W245" s="54">
        <f>IF(W194=4,X241,0)</f>
        <v>0</v>
      </c>
      <c r="Y245" s="58">
        <f>IF(Y194=4,X241,0)</f>
        <v>0</v>
      </c>
      <c r="Z245" s="54">
        <f>IF(Z194=4,AA241,0)</f>
        <v>0</v>
      </c>
      <c r="AB245" s="58">
        <f>IF(AB194=4,AA241,0)</f>
        <v>2</v>
      </c>
      <c r="AC245" s="54">
        <f>IF(AC194=4,AD241,0)</f>
        <v>0</v>
      </c>
      <c r="AE245" s="58">
        <f>IF(AE194=4,AD241,0)</f>
        <v>0</v>
      </c>
      <c r="AF245" s="54">
        <f>SUM(B245:AE245)</f>
        <v>8</v>
      </c>
      <c r="AW245" s="146"/>
    </row>
    <row r="246" spans="1:54" s="54" customFormat="1" ht="12.75" hidden="1" customHeight="1" x14ac:dyDescent="0.2">
      <c r="A246" s="54" t="s">
        <v>80</v>
      </c>
      <c r="B246" s="54">
        <f>IF(B194=5,C241,0)</f>
        <v>0</v>
      </c>
      <c r="D246" s="58">
        <f>IF(D194=5,C241,0)</f>
        <v>2</v>
      </c>
      <c r="E246" s="54">
        <f>IF(E194=5,F241,0)</f>
        <v>0</v>
      </c>
      <c r="G246" s="58">
        <f>IF(G194=5,F241,0)</f>
        <v>0</v>
      </c>
      <c r="H246" s="54">
        <f>IF(H194=5,I241,0)</f>
        <v>0</v>
      </c>
      <c r="J246" s="58">
        <f>IF(J194=5,I241,0)</f>
        <v>2</v>
      </c>
      <c r="K246" s="54">
        <f>IF(K194=5,L241,0)</f>
        <v>0</v>
      </c>
      <c r="M246" s="58">
        <f>IF(M194=5,L241,0)</f>
        <v>0</v>
      </c>
      <c r="N246" s="54">
        <f>IF(N194=5,O241,0)</f>
        <v>0</v>
      </c>
      <c r="P246" s="58">
        <f>IF(P194=5,O241,0)</f>
        <v>0</v>
      </c>
      <c r="Q246" s="54">
        <f>IF(Q194=5,R241,0)</f>
        <v>0</v>
      </c>
      <c r="S246" s="58">
        <f>IF(S194=5,R241,0)</f>
        <v>2</v>
      </c>
      <c r="T246" s="54">
        <f>IF(T194=5,U241,0)</f>
        <v>0</v>
      </c>
      <c r="V246" s="58">
        <f>IF(V194=5,U241,0)</f>
        <v>0</v>
      </c>
      <c r="W246" s="54">
        <f>IF(W194=5,X241,0)</f>
        <v>0</v>
      </c>
      <c r="Y246" s="58">
        <f>IF(Y194=5,X241,0)</f>
        <v>2</v>
      </c>
      <c r="Z246" s="54">
        <f>IF(Z194=5,AA241,0)</f>
        <v>0</v>
      </c>
      <c r="AB246" s="58">
        <f>IF(AB194=5,AA241,0)</f>
        <v>0</v>
      </c>
      <c r="AC246" s="54">
        <f>IF(AC194=5,AD241,0)</f>
        <v>0</v>
      </c>
      <c r="AE246" s="58">
        <f>IF(AE194=5,AD241,0)</f>
        <v>0</v>
      </c>
      <c r="AF246" s="54">
        <f>SUM(B246:AE246)</f>
        <v>8</v>
      </c>
      <c r="AW246" s="146"/>
    </row>
    <row r="247" spans="1:54" hidden="1" x14ac:dyDescent="0.2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60"/>
      <c r="AO247" s="60"/>
      <c r="AP247" s="60"/>
      <c r="AQ247" s="60"/>
      <c r="AR247" s="61"/>
      <c r="AS247" s="61"/>
      <c r="AT247" s="61"/>
      <c r="AU247" s="61"/>
      <c r="AV247" s="61"/>
      <c r="BB247" s="62"/>
    </row>
    <row r="248" spans="1:54" s="61" customFormat="1" hidden="1" x14ac:dyDescent="0.2">
      <c r="A248" s="63"/>
      <c r="B248" s="63"/>
      <c r="C248" s="63" t="s">
        <v>87</v>
      </c>
      <c r="D248" s="63">
        <v>1</v>
      </c>
      <c r="E248" s="63"/>
      <c r="F248" s="63"/>
      <c r="G248" s="63">
        <v>2</v>
      </c>
      <c r="H248" s="63"/>
      <c r="I248" s="63"/>
      <c r="J248" s="63">
        <v>3</v>
      </c>
      <c r="K248" s="63"/>
      <c r="L248" s="63"/>
      <c r="M248" s="63">
        <v>4</v>
      </c>
      <c r="N248" s="63"/>
      <c r="O248" s="63"/>
      <c r="P248" s="63">
        <v>5</v>
      </c>
      <c r="Q248" s="63"/>
      <c r="R248" s="63"/>
      <c r="S248" s="63">
        <v>6</v>
      </c>
      <c r="T248" s="63"/>
      <c r="U248" s="63"/>
      <c r="V248" s="63">
        <v>7</v>
      </c>
      <c r="W248" s="63"/>
      <c r="X248" s="63"/>
      <c r="Y248" s="63">
        <v>8</v>
      </c>
      <c r="Z248" s="63"/>
      <c r="AA248" s="63"/>
      <c r="AB248" s="63">
        <v>9</v>
      </c>
      <c r="AC248" s="63"/>
      <c r="AD248" s="63"/>
      <c r="AE248" s="63">
        <v>10</v>
      </c>
      <c r="AF248" s="4"/>
      <c r="AG248" s="63"/>
      <c r="AI248" s="64"/>
      <c r="AJ248" s="4"/>
      <c r="AK248" s="4"/>
      <c r="AL248" s="4"/>
      <c r="AM248" s="4"/>
      <c r="AN248" s="4"/>
      <c r="AO248" s="4"/>
      <c r="AT248" s="64" t="s">
        <v>88</v>
      </c>
      <c r="AW248" s="65"/>
      <c r="BB248" s="65"/>
    </row>
    <row r="249" spans="1:54" s="61" customFormat="1" hidden="1" x14ac:dyDescent="0.2">
      <c r="A249" s="66">
        <v>1</v>
      </c>
      <c r="B249" s="66" t="str">
        <f>E178</f>
        <v>Agema 16</v>
      </c>
      <c r="C249" s="66">
        <f>VLOOKUP(B249,AU$3:BB$33,3,FALSE)</f>
        <v>2278.1955182796933</v>
      </c>
      <c r="D249" s="66">
        <f>IF(B242,B257,IF(D242,D257,C249))</f>
        <v>2278.1955182796933</v>
      </c>
      <c r="E249" s="66"/>
      <c r="F249" s="66"/>
      <c r="G249" s="66">
        <f>IF(E242,E257,IF(G242,G257,D249))</f>
        <v>2271.6529044401527</v>
      </c>
      <c r="H249" s="66"/>
      <c r="I249" s="66"/>
      <c r="J249" s="66">
        <f>IF(H242,H257,IF(J242,J257,G249))</f>
        <v>2271.6529044401527</v>
      </c>
      <c r="K249" s="66"/>
      <c r="L249" s="66"/>
      <c r="M249" s="66">
        <f>IF(K242,K257,IF(M242,M257,J249))</f>
        <v>2271.6529044401527</v>
      </c>
      <c r="N249" s="66"/>
      <c r="O249" s="66"/>
      <c r="P249" s="66">
        <f>IF(N242,N257,IF(P242,P257,M249))</f>
        <v>2296.543586130987</v>
      </c>
      <c r="Q249" s="66"/>
      <c r="R249" s="66"/>
      <c r="S249" s="66">
        <f>IF(Q242,Q257,IF(S242,S257,P249))</f>
        <v>2296.543586130987</v>
      </c>
      <c r="T249" s="66"/>
      <c r="U249" s="66"/>
      <c r="V249" s="66">
        <f>IF(T242,T257,IF(V242,V257,S249))</f>
        <v>2296.543586130987</v>
      </c>
      <c r="W249" s="66"/>
      <c r="X249" s="66"/>
      <c r="Y249" s="66">
        <f>IF(W242,W257,IF(Y242,Y257,V249))</f>
        <v>2312.4733394896393</v>
      </c>
      <c r="Z249" s="66"/>
      <c r="AA249" s="66"/>
      <c r="AB249" s="66">
        <f>IF(Z242,Z257,IF(AB242,AB257,Y249))</f>
        <v>2312.4733394896393</v>
      </c>
      <c r="AC249" s="66"/>
      <c r="AD249" s="66"/>
      <c r="AE249" s="66">
        <f>IF(AC242,AC257,IF(AE242,AE257,AB249))</f>
        <v>2316.1447875978979</v>
      </c>
      <c r="AF249" s="4"/>
      <c r="AG249" s="4"/>
      <c r="AJ249" s="4"/>
      <c r="AK249" s="4"/>
      <c r="AL249" s="4"/>
      <c r="AM249" s="4"/>
      <c r="AN249" s="4"/>
      <c r="AO249" s="4"/>
      <c r="AT249" s="61" t="str">
        <f>B249</f>
        <v>Agema 16</v>
      </c>
      <c r="AU249" s="61">
        <f>AE249</f>
        <v>2316.1447875978979</v>
      </c>
      <c r="AW249" s="65"/>
      <c r="BB249" s="65"/>
    </row>
    <row r="250" spans="1:54" s="61" customFormat="1" hidden="1" x14ac:dyDescent="0.2">
      <c r="A250" s="66">
        <v>2</v>
      </c>
      <c r="B250" s="66" t="str">
        <f>E180</f>
        <v>SC Midlands 17 Black</v>
      </c>
      <c r="C250" s="66">
        <f>VLOOKUP(B250,AU$3:BB$33,3,FALSE)</f>
        <v>2329.7910227662092</v>
      </c>
      <c r="D250" s="66">
        <f>IF(B243,B257,IF(D243,D257,C250))</f>
        <v>2311.6482919516761</v>
      </c>
      <c r="E250" s="66"/>
      <c r="F250" s="66"/>
      <c r="G250" s="66">
        <f>IF(E243,E257,IF(G243,G257,D250))</f>
        <v>2311.6482919516761</v>
      </c>
      <c r="H250" s="66"/>
      <c r="I250" s="66"/>
      <c r="J250" s="66">
        <f>IF(H243,H257,IF(J243,J257,G250))</f>
        <v>2311.6482919516761</v>
      </c>
      <c r="K250" s="66"/>
      <c r="L250" s="66"/>
      <c r="M250" s="66">
        <f>IF(K243,K257,IF(M243,M257,J250))</f>
        <v>2334.7723829801826</v>
      </c>
      <c r="N250" s="66"/>
      <c r="O250" s="66"/>
      <c r="P250" s="66">
        <f>IF(N243,N257,IF(P243,P257,M250))</f>
        <v>2334.7723829801826</v>
      </c>
      <c r="Q250" s="66"/>
      <c r="R250" s="66"/>
      <c r="S250" s="66">
        <f>IF(Q243,Q257,IF(S243,S257,P250))</f>
        <v>2334.7723829801826</v>
      </c>
      <c r="T250" s="66"/>
      <c r="U250" s="66"/>
      <c r="V250" s="66">
        <f>IF(T243,T257,IF(V243,V257,S250))</f>
        <v>2352.5118856959675</v>
      </c>
      <c r="W250" s="66"/>
      <c r="X250" s="66"/>
      <c r="Y250" s="66">
        <f>IF(W243,W257,IF(Y243,Y257,V250))</f>
        <v>2352.5118856959675</v>
      </c>
      <c r="Z250" s="66"/>
      <c r="AA250" s="66"/>
      <c r="AB250" s="66">
        <f>IF(Z243,Z257,IF(AB243,AB257,Y250))</f>
        <v>2352.5118856959675</v>
      </c>
      <c r="AC250" s="66"/>
      <c r="AD250" s="66"/>
      <c r="AE250" s="66">
        <f>IF(AC243,AC257,IF(AE243,AE257,AB250))</f>
        <v>2348.8404375877089</v>
      </c>
      <c r="AF250" s="4"/>
      <c r="AG250" s="4"/>
      <c r="AJ250" s="4"/>
      <c r="AL250" s="4"/>
      <c r="AM250" s="4"/>
      <c r="AN250" s="4"/>
      <c r="AO250" s="4"/>
      <c r="AT250" s="61" t="str">
        <f>B250</f>
        <v>SC Midlands 17 Black</v>
      </c>
      <c r="AU250" s="61">
        <f>AE250</f>
        <v>2348.8404375877089</v>
      </c>
      <c r="AW250" s="65"/>
      <c r="BB250" s="65"/>
    </row>
    <row r="251" spans="1:54" s="61" customFormat="1" hidden="1" x14ac:dyDescent="0.2">
      <c r="A251" s="66">
        <v>3</v>
      </c>
      <c r="B251" s="66" t="str">
        <f>E182</f>
        <v>MBVC 16</v>
      </c>
      <c r="C251" s="66">
        <f>VLOOKUP(B251,AU$3:BB$33,3,FALSE)</f>
        <v>2200</v>
      </c>
      <c r="D251" s="66">
        <f>IF(B244,B257,IF(D244,D257,C251))</f>
        <v>2200</v>
      </c>
      <c r="E251" s="66"/>
      <c r="F251" s="66"/>
      <c r="G251" s="66">
        <f>IF(E244,E257,IF(G244,G257,D251))</f>
        <v>2200</v>
      </c>
      <c r="H251" s="66"/>
      <c r="I251" s="66"/>
      <c r="J251" s="66">
        <f>IF(H244,H257,IF(J244,J257,G251))</f>
        <v>2193.1555223882374</v>
      </c>
      <c r="K251" s="66"/>
      <c r="L251" s="66"/>
      <c r="M251" s="66">
        <f>IF(K244,K257,IF(M244,M257,J251))</f>
        <v>2193.1555223882374</v>
      </c>
      <c r="N251" s="66"/>
      <c r="O251" s="66"/>
      <c r="P251" s="66">
        <f>IF(N244,N257,IF(P244,P257,M251))</f>
        <v>2168.2648406974031</v>
      </c>
      <c r="Q251" s="66"/>
      <c r="R251" s="66"/>
      <c r="S251" s="66">
        <f>IF(Q244,Q257,IF(S244,S257,P251))</f>
        <v>2168.2648406974031</v>
      </c>
      <c r="T251" s="66"/>
      <c r="U251" s="66"/>
      <c r="V251" s="66">
        <f>IF(T244,T257,IF(V244,V257,S251))</f>
        <v>2150.5253379816181</v>
      </c>
      <c r="W251" s="66"/>
      <c r="X251" s="66"/>
      <c r="Y251" s="66">
        <f>IF(W244,W257,IF(Y244,Y257,V251))</f>
        <v>2150.5253379816181</v>
      </c>
      <c r="Z251" s="66"/>
      <c r="AA251" s="66"/>
      <c r="AB251" s="66">
        <f>IF(Z244,Z257,IF(AB244,AB257,Y251))</f>
        <v>2156.507838112243</v>
      </c>
      <c r="AC251" s="66"/>
      <c r="AD251" s="66"/>
      <c r="AE251" s="66">
        <f>IF(AC244,AC257,IF(AE244,AE257,AB251))</f>
        <v>2156.507838112243</v>
      </c>
      <c r="AF251" s="4"/>
      <c r="AG251" s="4"/>
      <c r="AJ251" s="4"/>
      <c r="AL251" s="4"/>
      <c r="AM251" s="4"/>
      <c r="AN251" s="4"/>
      <c r="AO251" s="4"/>
      <c r="AT251" s="61" t="str">
        <f>B251</f>
        <v>MBVC 16</v>
      </c>
      <c r="AU251" s="61">
        <f>AE251</f>
        <v>2156.507838112243</v>
      </c>
      <c r="AW251" s="65"/>
      <c r="BB251" s="65"/>
    </row>
    <row r="252" spans="1:54" s="61" customFormat="1" hidden="1" x14ac:dyDescent="0.2">
      <c r="A252" s="66">
        <v>4</v>
      </c>
      <c r="B252" s="66" t="str">
        <f>E184</f>
        <v>Extreme 16 Heather</v>
      </c>
      <c r="C252" s="66">
        <f>VLOOKUP(B252,AU$3:BB$33,3,FALSE)</f>
        <v>2206.1445769067795</v>
      </c>
      <c r="D252" s="66">
        <f>IF(B245,B257,IF(D245,D257,C252))</f>
        <v>2206.1445769067795</v>
      </c>
      <c r="E252" s="66"/>
      <c r="F252" s="66"/>
      <c r="G252" s="66">
        <f>IF(E245,E257,IF(G245,G257,D252))</f>
        <v>2212.6871907463201</v>
      </c>
      <c r="H252" s="66"/>
      <c r="I252" s="66"/>
      <c r="J252" s="66">
        <f>IF(H245,H257,IF(J245,J257,G252))</f>
        <v>2212.6871907463201</v>
      </c>
      <c r="K252" s="66"/>
      <c r="L252" s="66"/>
      <c r="M252" s="66">
        <f>IF(K245,K257,IF(M245,M257,J252))</f>
        <v>2189.5630997178137</v>
      </c>
      <c r="N252" s="66"/>
      <c r="O252" s="66"/>
      <c r="P252" s="66">
        <f>IF(N245,N257,IF(P245,P257,M252))</f>
        <v>2189.5630997178137</v>
      </c>
      <c r="Q252" s="66"/>
      <c r="R252" s="66"/>
      <c r="S252" s="66">
        <f>IF(Q245,Q257,IF(S245,S257,P252))</f>
        <v>2216.2525327622766</v>
      </c>
      <c r="T252" s="66"/>
      <c r="U252" s="66"/>
      <c r="V252" s="66">
        <f>IF(T245,T257,IF(V245,V257,S252))</f>
        <v>2216.2525327622766</v>
      </c>
      <c r="W252" s="66"/>
      <c r="X252" s="66"/>
      <c r="Y252" s="66">
        <f>IF(W245,W257,IF(Y245,Y257,V252))</f>
        <v>2216.2525327622766</v>
      </c>
      <c r="Z252" s="66"/>
      <c r="AA252" s="66"/>
      <c r="AB252" s="66">
        <f>IF(Z245,Z257,IF(AB245,AB257,Y252))</f>
        <v>2210.2700326316517</v>
      </c>
      <c r="AC252" s="66"/>
      <c r="AD252" s="66"/>
      <c r="AE252" s="66">
        <f>IF(AC245,AC257,IF(AE245,AE257,AB252))</f>
        <v>2210.2700326316517</v>
      </c>
      <c r="AF252" s="4"/>
      <c r="AG252" s="4"/>
      <c r="AJ252" s="4"/>
      <c r="AL252" s="4"/>
      <c r="AM252" s="4"/>
      <c r="AN252" s="4"/>
      <c r="AO252" s="4"/>
      <c r="AT252" s="61" t="str">
        <f>B252</f>
        <v>Extreme 16 Heather</v>
      </c>
      <c r="AU252" s="61">
        <f>AE252</f>
        <v>2210.2700326316517</v>
      </c>
      <c r="AW252" s="65"/>
      <c r="BB252" s="65"/>
    </row>
    <row r="253" spans="1:54" s="61" customFormat="1" hidden="1" x14ac:dyDescent="0.2">
      <c r="A253" s="66">
        <v>5</v>
      </c>
      <c r="B253" s="66" t="str">
        <f>E186</f>
        <v>Sumter VBC 16 Gwin</v>
      </c>
      <c r="C253" s="66">
        <f>VLOOKUP(B253,AU$3:BB$33,3,FALSE)</f>
        <v>2106.3788912330715</v>
      </c>
      <c r="D253" s="66">
        <f>IF(B246,B257,IF(D246,D257,C253))</f>
        <v>2124.5216220476045</v>
      </c>
      <c r="E253" s="66"/>
      <c r="F253" s="66"/>
      <c r="G253" s="66">
        <f>IF(E246,E257,IF(G246,G257,D253))</f>
        <v>2124.5216220476045</v>
      </c>
      <c r="H253" s="66"/>
      <c r="I253" s="66"/>
      <c r="J253" s="66">
        <f>IF(H246,H257,IF(J246,J257,G253))</f>
        <v>2131.3660996593671</v>
      </c>
      <c r="K253" s="66"/>
      <c r="L253" s="66"/>
      <c r="M253" s="66">
        <f>IF(K246,K257,IF(M246,M257,J253))</f>
        <v>2131.3660996593671</v>
      </c>
      <c r="N253" s="66"/>
      <c r="O253" s="66"/>
      <c r="P253" s="66">
        <f>IF(N246,N257,IF(P246,P257,M253))</f>
        <v>2131.3660996593671</v>
      </c>
      <c r="Q253" s="66"/>
      <c r="R253" s="66"/>
      <c r="S253" s="66">
        <f>IF(Q246,Q257,IF(S246,S257,P253))</f>
        <v>2104.6766666149042</v>
      </c>
      <c r="T253" s="66"/>
      <c r="U253" s="66"/>
      <c r="V253" s="66">
        <f>IF(T246,T257,IF(V246,V257,S253))</f>
        <v>2104.6766666149042</v>
      </c>
      <c r="W253" s="66"/>
      <c r="X253" s="66"/>
      <c r="Y253" s="66">
        <f>IF(W246,W257,IF(Y246,Y257,V253))</f>
        <v>2088.7469132562519</v>
      </c>
      <c r="Z253" s="66"/>
      <c r="AA253" s="66"/>
      <c r="AB253" s="66">
        <f>IF(Z246,Z257,IF(AB246,AB257,Y253))</f>
        <v>2088.7469132562519</v>
      </c>
      <c r="AC253" s="66"/>
      <c r="AD253" s="66"/>
      <c r="AE253" s="66">
        <f>IF(AC246,AC257,IF(AE246,AE257,AB253))</f>
        <v>2088.7469132562519</v>
      </c>
      <c r="AF253" s="4"/>
      <c r="AG253" s="4"/>
      <c r="AJ253" s="4"/>
      <c r="AL253" s="4"/>
      <c r="AM253" s="4"/>
      <c r="AN253" s="4"/>
      <c r="AO253" s="4"/>
      <c r="AT253" s="61" t="str">
        <f>B253</f>
        <v>Sumter VBC 16 Gwin</v>
      </c>
      <c r="AU253" s="61">
        <f>AE253</f>
        <v>2088.7469132562519</v>
      </c>
      <c r="AW253" s="65"/>
      <c r="BB253" s="65"/>
    </row>
    <row r="254" spans="1:54" s="61" customFormat="1" hidden="1" x14ac:dyDescent="0.2">
      <c r="A254" s="66"/>
      <c r="B254" s="66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66"/>
      <c r="AE254" s="66"/>
      <c r="AF254" s="4"/>
      <c r="AG254" s="4"/>
      <c r="AJ254" s="4"/>
      <c r="AL254" s="4"/>
      <c r="AM254" s="4"/>
      <c r="AN254" s="4"/>
      <c r="AO254" s="4"/>
      <c r="AW254" s="65"/>
      <c r="BB254" s="65"/>
    </row>
    <row r="255" spans="1:54" s="61" customFormat="1" hidden="1" x14ac:dyDescent="0.2">
      <c r="A255" s="66" t="s">
        <v>89</v>
      </c>
      <c r="B255" s="66">
        <f>VLOOKUP(B194,$A249:$AE253,3,FALSE)</f>
        <v>2329.7910227662092</v>
      </c>
      <c r="C255" s="66">
        <v>1</v>
      </c>
      <c r="D255" s="66">
        <f>VLOOKUP(D194,$A249:$AE253,3,FALSE)</f>
        <v>2106.3788912330715</v>
      </c>
      <c r="E255" s="66">
        <f>VLOOKUP(E194,$A249:$AE253,4,FALSE)</f>
        <v>2278.1955182796933</v>
      </c>
      <c r="F255" s="66">
        <v>2</v>
      </c>
      <c r="G255" s="66">
        <f>VLOOKUP(G194,$A249:$AE253,4,FALSE)</f>
        <v>2206.1445769067795</v>
      </c>
      <c r="H255" s="66">
        <f>VLOOKUP(H194,$A249:$AE253,7,FALSE)</f>
        <v>2200</v>
      </c>
      <c r="I255" s="66">
        <v>3</v>
      </c>
      <c r="J255" s="66">
        <f>VLOOKUP(J194,$A249:$AE253,7,FALSE)</f>
        <v>2124.5216220476045</v>
      </c>
      <c r="K255" s="66">
        <f>VLOOKUP(K194,$A249:$AE253,10,FALSE)</f>
        <v>2311.6482919516761</v>
      </c>
      <c r="L255" s="66">
        <v>4</v>
      </c>
      <c r="M255" s="66">
        <f>VLOOKUP(M194,$A249:$AE253,10,FALSE)</f>
        <v>2212.6871907463201</v>
      </c>
      <c r="N255" s="66">
        <f>VLOOKUP(N194,$A249:$AE253,13,FALSE)</f>
        <v>2271.6529044401527</v>
      </c>
      <c r="O255" s="66">
        <v>5</v>
      </c>
      <c r="P255" s="66">
        <f>VLOOKUP(P194,$A249:$AE253,13,FALSE)</f>
        <v>2193.1555223882374</v>
      </c>
      <c r="Q255" s="66">
        <f>VLOOKUP(Q194,$A249:$AE253,16,FALSE)</f>
        <v>2189.5630997178137</v>
      </c>
      <c r="R255" s="66">
        <v>6</v>
      </c>
      <c r="S255" s="66">
        <f>VLOOKUP(S194,$A249:$AE253,16,FALSE)</f>
        <v>2131.3660996593671</v>
      </c>
      <c r="T255" s="66">
        <f>VLOOKUP(T194,$A249:$AE253,19,FALSE)</f>
        <v>2334.7723829801826</v>
      </c>
      <c r="U255" s="66">
        <v>7</v>
      </c>
      <c r="V255" s="66">
        <f>VLOOKUP(V194,$A249:$AE253,19,FALSE)</f>
        <v>2168.2648406974031</v>
      </c>
      <c r="W255" s="66">
        <f>VLOOKUP(W194,$A249:$AE253,22,FALSE)</f>
        <v>2296.543586130987</v>
      </c>
      <c r="X255" s="66">
        <v>8</v>
      </c>
      <c r="Y255" s="66">
        <f>VLOOKUP(Y194,$A249:$AE253,22,FALSE)</f>
        <v>2104.6766666149042</v>
      </c>
      <c r="Z255" s="66">
        <f>VLOOKUP(Z194,$A249:$AE253,25,FALSE)</f>
        <v>2150.5253379816181</v>
      </c>
      <c r="AA255" s="66">
        <v>9</v>
      </c>
      <c r="AB255" s="66">
        <f>VLOOKUP(AB194,$A249:$AE253,25,FALSE)</f>
        <v>2216.2525327622766</v>
      </c>
      <c r="AC255" s="66">
        <f>VLOOKUP(AC194,$A249:$AE253,28,FALSE)</f>
        <v>2312.4733394896393</v>
      </c>
      <c r="AD255" s="66">
        <v>10</v>
      </c>
      <c r="AE255" s="66">
        <f>VLOOKUP(AE194,$A249:$AE253,28,FALSE)</f>
        <v>2352.5118856959675</v>
      </c>
      <c r="AF255" s="4"/>
      <c r="AG255" s="59"/>
      <c r="AH255" s="59"/>
      <c r="AI255" s="59"/>
      <c r="AJ255" s="59"/>
      <c r="AK255" s="59"/>
      <c r="AL255" s="59"/>
      <c r="AM255" s="59"/>
      <c r="AN255" s="60"/>
      <c r="AO255" s="60"/>
      <c r="AP255" s="60"/>
      <c r="AQ255" s="60"/>
      <c r="AW255" s="65"/>
      <c r="BB255" s="65"/>
    </row>
    <row r="256" spans="1:54" s="71" customFormat="1" hidden="1" x14ac:dyDescent="0.2">
      <c r="A256" s="67" t="s">
        <v>90</v>
      </c>
      <c r="B256" s="67">
        <f>1/(1+(10^-((B255-D255)/400)))*(B206+D206)</f>
        <v>1.5669603379541539</v>
      </c>
      <c r="C256" s="67"/>
      <c r="D256" s="67">
        <f>1/(1+(10^-((D255-B255)/400)))*(B206+D206)</f>
        <v>0.43303966204584615</v>
      </c>
      <c r="E256" s="67">
        <f>1/(1+(10^-((E255-G255)/400)))*(E206+G206)</f>
        <v>1.2044566824856477</v>
      </c>
      <c r="F256" s="67"/>
      <c r="G256" s="67">
        <f>1/(1+(10^-((G255-E255)/400)))*(E206+G206)</f>
        <v>0.79554331751435237</v>
      </c>
      <c r="H256" s="67">
        <f>1/(1+(10^-((H255-J255)/400)))*(H206+J206)</f>
        <v>1.2138899253675877</v>
      </c>
      <c r="I256" s="67"/>
      <c r="J256" s="67">
        <f>1/(1+(10^-((J255-H255)/400)))*(H206+J206)</f>
        <v>0.78611007463241211</v>
      </c>
      <c r="K256" s="67">
        <f>1/(1+(10^-((K255-M255)/400)))*(K206+M206)</f>
        <v>1.2773721553591788</v>
      </c>
      <c r="L256" s="67"/>
      <c r="M256" s="67">
        <f>1/(1+(10^-((M255-K255)/400)))*(K206+M206)</f>
        <v>0.7226278446408213</v>
      </c>
      <c r="N256" s="67">
        <f>1/(1+(10^-((N255-P255)/400)))*(N206+P206)</f>
        <v>1.222166197161425</v>
      </c>
      <c r="O256" s="67"/>
      <c r="P256" s="67">
        <f>1/(1+(10^-((P255-N255)/400)))*(N206+P206)</f>
        <v>0.77783380283857495</v>
      </c>
      <c r="Q256" s="67">
        <f>1/(1+(10^-((Q255-S255)/400)))*(Q206+S206)</f>
        <v>1.1659552173605336</v>
      </c>
      <c r="R256" s="67"/>
      <c r="S256" s="67">
        <f>1/(1+(10^-((S255-Q255)/400)))*(Q206+S206)</f>
        <v>0.83404478263946646</v>
      </c>
      <c r="T256" s="67">
        <f>1/(1+(10^-((T255-V255)/400)))*(T206+V206)</f>
        <v>1.4456405401317147</v>
      </c>
      <c r="U256" s="67"/>
      <c r="V256" s="67">
        <f>1/(1+(10^-((V255-T255)/400)))*(T206+V206)</f>
        <v>0.55435945986828528</v>
      </c>
      <c r="W256" s="67">
        <f>1/(1+(10^-((W255-Y255)/400)))*(W206+Y206)</f>
        <v>1.5021952075421112</v>
      </c>
      <c r="X256" s="67"/>
      <c r="Y256" s="67">
        <f>1/(1+(10^-((Y255-W255)/400)))*(W206+Y206)</f>
        <v>0.49780479245788883</v>
      </c>
      <c r="Z256" s="67">
        <f>1/(1+(10^-((Z255-AB255)/400)))*(Z206+AB206)</f>
        <v>0.81304687091796846</v>
      </c>
      <c r="AA256" s="67"/>
      <c r="AB256" s="67">
        <f>1/(1+(10^-((AB255-Z255)/400)))*(Z206+AB206)</f>
        <v>1.1869531290820317</v>
      </c>
      <c r="AC256" s="67">
        <f>1/(1+(10^-((AC255-AE255)/400)))*(AC206+AE206)</f>
        <v>0.88526724661692147</v>
      </c>
      <c r="AD256" s="67"/>
      <c r="AE256" s="67">
        <f>1/(1+(10^-((AE255-AC255)/400)))*(AC206+AE206)</f>
        <v>1.1147327533830784</v>
      </c>
      <c r="AF256" s="68"/>
      <c r="AG256" s="69"/>
      <c r="AH256" s="69"/>
      <c r="AI256" s="69"/>
      <c r="AJ256" s="69"/>
      <c r="AK256" s="69"/>
      <c r="AL256" s="69"/>
      <c r="AM256" s="69"/>
      <c r="AN256" s="70"/>
      <c r="AO256" s="70"/>
      <c r="AP256" s="70"/>
      <c r="AQ256" s="70"/>
      <c r="AW256" s="72"/>
      <c r="BB256" s="72"/>
    </row>
    <row r="257" spans="1:54" s="77" customFormat="1" hidden="1" x14ac:dyDescent="0.2">
      <c r="A257" s="73" t="s">
        <v>91</v>
      </c>
      <c r="B257" s="73">
        <f>B255+(B206-B256)*$BA$1</f>
        <v>2311.6482919516761</v>
      </c>
      <c r="C257" s="73"/>
      <c r="D257" s="73">
        <f>D255+(D206-D256)*$BA$1</f>
        <v>2124.5216220476045</v>
      </c>
      <c r="E257" s="73">
        <f>E255+(E206-E256)*$BA$1</f>
        <v>2271.6529044401527</v>
      </c>
      <c r="F257" s="73"/>
      <c r="G257" s="73">
        <f>G255+(G206-G256)*$BA$1</f>
        <v>2212.6871907463201</v>
      </c>
      <c r="H257" s="73">
        <f>H255+(H206-H256)*$BA$1</f>
        <v>2193.1555223882374</v>
      </c>
      <c r="I257" s="73"/>
      <c r="J257" s="73">
        <f>J255+(J206-J256)*$BA$1</f>
        <v>2131.3660996593671</v>
      </c>
      <c r="K257" s="73">
        <f>K255+(K206-K256)*$BA$1</f>
        <v>2334.7723829801826</v>
      </c>
      <c r="L257" s="73"/>
      <c r="M257" s="73">
        <f>M255+(M206-M256)*$BA$1</f>
        <v>2189.5630997178137</v>
      </c>
      <c r="N257" s="73">
        <f>N255+(N206-N256)*$BA$1</f>
        <v>2296.543586130987</v>
      </c>
      <c r="O257" s="73"/>
      <c r="P257" s="73">
        <f>P255+(P206-P256)*$BA$1</f>
        <v>2168.2648406974031</v>
      </c>
      <c r="Q257" s="73">
        <f>Q255+(Q206-Q256)*$BA$1</f>
        <v>2216.2525327622766</v>
      </c>
      <c r="R257" s="73"/>
      <c r="S257" s="73">
        <f>S255+(S206-S256)*$BA$1</f>
        <v>2104.6766666149042</v>
      </c>
      <c r="T257" s="73">
        <f>T255+(T206-T256)*$BA$1</f>
        <v>2352.5118856959675</v>
      </c>
      <c r="U257" s="73"/>
      <c r="V257" s="73">
        <f>V255+(V206-V256)*$BA$1</f>
        <v>2150.5253379816181</v>
      </c>
      <c r="W257" s="73">
        <f>W255+(W206-W256)*$BA$1</f>
        <v>2312.4733394896393</v>
      </c>
      <c r="X257" s="73"/>
      <c r="Y257" s="73">
        <f>Y255+(Y206-Y256)*$BA$1</f>
        <v>2088.7469132562519</v>
      </c>
      <c r="Z257" s="73">
        <f>Z255+(Z206-Z256)*$BA$1</f>
        <v>2156.507838112243</v>
      </c>
      <c r="AA257" s="73"/>
      <c r="AB257" s="73">
        <f>AB255+(AB206-AB256)*$BA$1</f>
        <v>2210.2700326316517</v>
      </c>
      <c r="AC257" s="73">
        <f>AC255+(AC206-AC256)*$BA$1</f>
        <v>2316.1447875978979</v>
      </c>
      <c r="AD257" s="73"/>
      <c r="AE257" s="73">
        <f>AE255+(AE206-AE256)*$BA$1</f>
        <v>2348.8404375877089</v>
      </c>
      <c r="AF257" s="74"/>
      <c r="AG257" s="75"/>
      <c r="AH257" s="75"/>
      <c r="AI257" s="75"/>
      <c r="AJ257" s="75"/>
      <c r="AK257" s="75"/>
      <c r="AL257" s="75"/>
      <c r="AM257" s="75"/>
      <c r="AN257" s="76"/>
      <c r="AO257" s="76"/>
      <c r="AP257" s="76"/>
      <c r="AQ257" s="76"/>
      <c r="AW257" s="78"/>
      <c r="BB257" s="78"/>
    </row>
    <row r="258" spans="1:54" s="77" customFormat="1" hidden="1" x14ac:dyDescent="0.2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  <c r="AD258" s="73"/>
      <c r="AE258" s="73"/>
      <c r="AF258" s="74"/>
      <c r="AG258" s="75"/>
      <c r="AH258" s="75"/>
      <c r="AI258" s="75"/>
      <c r="AJ258" s="75"/>
      <c r="AK258" s="75"/>
      <c r="AL258" s="75"/>
      <c r="AM258" s="75"/>
      <c r="AN258" s="76"/>
      <c r="AO258" s="76"/>
      <c r="AP258" s="76"/>
      <c r="AQ258" s="76"/>
      <c r="AW258" s="78"/>
      <c r="BB258" s="78"/>
    </row>
    <row r="259" spans="1:54" s="61" customFormat="1" x14ac:dyDescent="0.2">
      <c r="A259" s="790" t="str">
        <f>IF($AK180=1,"Pool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259" s="790"/>
      <c r="C259" s="790"/>
      <c r="D259" s="790"/>
      <c r="E259" s="790"/>
      <c r="F259" s="790"/>
      <c r="G259" s="790"/>
      <c r="H259" s="790"/>
      <c r="I259" s="790"/>
      <c r="J259" s="790"/>
      <c r="K259" s="790"/>
      <c r="L259" s="790"/>
      <c r="M259" s="790"/>
      <c r="N259" s="790"/>
      <c r="O259" s="790"/>
      <c r="P259" s="790"/>
      <c r="Q259" s="790"/>
      <c r="R259" s="790"/>
      <c r="S259" s="790"/>
      <c r="T259" s="790"/>
      <c r="U259" s="790"/>
      <c r="V259" s="790"/>
      <c r="W259" s="790"/>
      <c r="X259" s="790"/>
      <c r="Y259" s="790"/>
      <c r="Z259" s="790"/>
      <c r="AA259" s="790"/>
      <c r="AB259" s="790"/>
      <c r="AC259" s="790"/>
      <c r="AD259" s="790"/>
      <c r="AE259" s="790"/>
      <c r="AF259" s="790"/>
      <c r="AG259" s="790"/>
      <c r="AH259" s="790"/>
      <c r="AI259" s="790"/>
      <c r="AJ259" s="790"/>
      <c r="AK259" s="790"/>
      <c r="AL259" s="790"/>
      <c r="AM259" s="790"/>
      <c r="AN259" s="768"/>
      <c r="AO259" s="768"/>
      <c r="AP259" s="768"/>
      <c r="AQ259" s="768"/>
      <c r="AW259" s="65"/>
    </row>
    <row r="260" spans="1:54" s="61" customFormat="1" x14ac:dyDescent="0.2">
      <c r="A260" s="791"/>
      <c r="B260" s="791"/>
      <c r="C260" s="791"/>
      <c r="D260" s="791"/>
      <c r="E260" s="791"/>
      <c r="F260" s="791"/>
      <c r="G260" s="791"/>
      <c r="H260" s="791"/>
      <c r="I260" s="791"/>
      <c r="J260" s="791"/>
      <c r="K260" s="791"/>
      <c r="L260" s="791"/>
      <c r="M260" s="791"/>
      <c r="N260" s="791"/>
      <c r="O260" s="791"/>
      <c r="P260" s="791"/>
      <c r="Q260" s="791"/>
      <c r="R260" s="791"/>
      <c r="S260" s="791"/>
      <c r="T260" s="791"/>
      <c r="U260" s="791"/>
      <c r="V260" s="791"/>
      <c r="W260" s="791"/>
      <c r="X260" s="791"/>
      <c r="Y260" s="791"/>
      <c r="Z260" s="791"/>
      <c r="AA260" s="791"/>
      <c r="AB260" s="791"/>
      <c r="AC260" s="791"/>
      <c r="AD260" s="791"/>
      <c r="AE260" s="791"/>
      <c r="AF260" s="791"/>
      <c r="AG260" s="791"/>
      <c r="AH260" s="791"/>
      <c r="AI260" s="791"/>
      <c r="AJ260" s="791"/>
      <c r="AK260" s="791"/>
      <c r="AL260" s="791"/>
      <c r="AM260" s="791"/>
      <c r="AN260" s="791"/>
      <c r="AO260" s="791"/>
      <c r="AP260" s="791"/>
      <c r="AQ260" s="791"/>
      <c r="AW260" s="65"/>
    </row>
    <row r="261" spans="1:54" ht="21" thickBot="1" x14ac:dyDescent="0.35">
      <c r="A261" s="780" t="s">
        <v>93</v>
      </c>
      <c r="B261" s="780"/>
      <c r="C261" s="780"/>
      <c r="D261" s="780"/>
      <c r="E261" s="780"/>
      <c r="F261" s="780"/>
      <c r="G261" s="780"/>
      <c r="H261" s="780"/>
      <c r="I261" s="780"/>
      <c r="J261" s="780"/>
      <c r="K261" s="780"/>
      <c r="L261" s="780"/>
      <c r="M261" s="780"/>
      <c r="N261" s="780"/>
      <c r="O261" s="780"/>
      <c r="P261" s="780"/>
      <c r="Q261" s="780"/>
      <c r="R261" s="780"/>
      <c r="S261" s="780"/>
      <c r="T261" s="780"/>
      <c r="U261" s="780"/>
      <c r="V261" s="780"/>
      <c r="W261" s="780"/>
      <c r="X261" s="780"/>
      <c r="Y261" s="780"/>
      <c r="Z261" s="780"/>
      <c r="AA261" s="780"/>
      <c r="AB261" s="780"/>
      <c r="AC261" s="780"/>
      <c r="AD261" s="780"/>
      <c r="AE261" s="780"/>
      <c r="AF261" s="780"/>
      <c r="AG261" s="780"/>
      <c r="AH261" s="780"/>
      <c r="AI261" s="780"/>
      <c r="AJ261" s="780"/>
      <c r="AK261" s="780"/>
      <c r="AL261" s="780"/>
      <c r="AM261" s="780"/>
      <c r="AN261" s="780"/>
      <c r="AO261" s="780"/>
      <c r="AP261" s="780"/>
      <c r="AQ261" s="780"/>
    </row>
    <row r="262" spans="1:54" ht="13.5" thickBot="1" x14ac:dyDescent="0.25">
      <c r="A262" s="781" t="s">
        <v>94</v>
      </c>
      <c r="B262" s="1021" t="s">
        <v>95</v>
      </c>
      <c r="C262" s="1022"/>
      <c r="D262" s="1022"/>
      <c r="E262" s="1022"/>
      <c r="F262" s="1022"/>
      <c r="G262" s="1022"/>
      <c r="H262" s="1022"/>
      <c r="I262" s="1022"/>
      <c r="J262" s="1022"/>
      <c r="K262" s="1022"/>
      <c r="L262" s="1023"/>
      <c r="M262" s="1021" t="s">
        <v>96</v>
      </c>
      <c r="N262" s="1022"/>
      <c r="O262" s="1022"/>
      <c r="P262" s="1022"/>
      <c r="Q262" s="1022"/>
      <c r="R262" s="1022"/>
      <c r="S262" s="1022"/>
      <c r="T262" s="1022"/>
      <c r="U262" s="1022"/>
      <c r="V262" s="1022"/>
      <c r="W262" s="1023"/>
      <c r="X262" s="783" t="s">
        <v>97</v>
      </c>
      <c r="Y262" s="784"/>
      <c r="Z262" s="784"/>
      <c r="AA262" s="784"/>
      <c r="AB262" s="784"/>
      <c r="AC262" s="784"/>
      <c r="AD262" s="784"/>
      <c r="AE262" s="784"/>
      <c r="AF262" s="784"/>
      <c r="AG262" s="785"/>
      <c r="AH262" s="783" t="s">
        <v>98</v>
      </c>
      <c r="AI262" s="784"/>
      <c r="AJ262" s="784"/>
      <c r="AK262" s="784"/>
      <c r="AL262" s="784"/>
      <c r="AM262" s="784"/>
      <c r="AN262" s="784"/>
      <c r="AO262" s="784"/>
      <c r="AP262" s="785"/>
    </row>
    <row r="263" spans="1:54" ht="13.5" thickBot="1" x14ac:dyDescent="0.25">
      <c r="A263" s="1020"/>
      <c r="B263" s="1019" t="s">
        <v>7</v>
      </c>
      <c r="C263" s="1013"/>
      <c r="D263" s="1013"/>
      <c r="E263" s="1013"/>
      <c r="F263" s="1013" t="s">
        <v>99</v>
      </c>
      <c r="G263" s="1013"/>
      <c r="H263" s="1013"/>
      <c r="I263" s="1013"/>
      <c r="J263" s="1013" t="s">
        <v>143</v>
      </c>
      <c r="K263" s="1013"/>
      <c r="L263" s="172" t="s">
        <v>6</v>
      </c>
      <c r="M263" s="1019" t="s">
        <v>7</v>
      </c>
      <c r="N263" s="1013"/>
      <c r="O263" s="1013"/>
      <c r="P263" s="1013"/>
      <c r="Q263" s="1013"/>
      <c r="R263" s="1013" t="s">
        <v>99</v>
      </c>
      <c r="S263" s="1013"/>
      <c r="T263" s="1013"/>
      <c r="U263" s="1013" t="s">
        <v>143</v>
      </c>
      <c r="V263" s="1013"/>
      <c r="W263" s="173" t="s">
        <v>6</v>
      </c>
      <c r="X263" s="1019" t="s">
        <v>7</v>
      </c>
      <c r="Y263" s="1013"/>
      <c r="Z263" s="1013"/>
      <c r="AA263" s="1013"/>
      <c r="AB263" s="1013"/>
      <c r="AC263" s="1013" t="s">
        <v>99</v>
      </c>
      <c r="AD263" s="1013"/>
      <c r="AE263" s="1013"/>
      <c r="AF263" s="171" t="s">
        <v>143</v>
      </c>
      <c r="AG263" s="173" t="s">
        <v>6</v>
      </c>
      <c r="AH263" s="1019" t="s">
        <v>7</v>
      </c>
      <c r="AI263" s="1013"/>
      <c r="AJ263" s="1013"/>
      <c r="AK263" s="1013" t="s">
        <v>99</v>
      </c>
      <c r="AL263" s="1013"/>
      <c r="AM263" s="1013"/>
      <c r="AN263" s="1013" t="s">
        <v>143</v>
      </c>
      <c r="AO263" s="1013"/>
      <c r="AP263" s="173" t="s">
        <v>6</v>
      </c>
    </row>
    <row r="264" spans="1:54" x14ac:dyDescent="0.2">
      <c r="A264" s="157" t="s">
        <v>100</v>
      </c>
      <c r="B264" s="1014" t="str">
        <f>IF($AF$8=1,$E$8,IF($AF$10=1,$E$10,IF($AF$12=1,$E$12,IF($AF$14=1,$E$14,IF($AF$16=1,$E$16,"1st Place "&amp;$A264)))))</f>
        <v>KVC16-1</v>
      </c>
      <c r="C264" s="1015"/>
      <c r="D264" s="1015"/>
      <c r="E264" s="1015"/>
      <c r="F264" s="1011" t="str">
        <f>IF($AF$8=1,$E$9,IF($AF$10=1,$E$11,IF($AF$12=1,$E$13,IF($AF$14=1,$E$15,IF($AF$16=1,$E$17,"1st Place "&amp;$A264)))))</f>
        <v>fj6kvctn1so</v>
      </c>
      <c r="G264" s="1011"/>
      <c r="H264" s="1011"/>
      <c r="I264" s="1011"/>
      <c r="J264" s="1012">
        <f>IF($AF$8=1,$Z$8,IF($AF$10=1,$Z$10,IF($AF$12=1,$Z$12,IF($AF$14=1,$Z$14,IF($AF$16=1,$Z$16,0)))))</f>
        <v>0.41499999999999998</v>
      </c>
      <c r="K264" s="1012"/>
      <c r="L264" s="174">
        <f>IF(AND(J264=0,J265=0,J266=0),0,IF(OR(AND(J264&gt;J265,J264&gt;J266),AND(J264=J265,J264=J266),AND(J264=J265,J264&gt;J266),AND(J264=J266,J264&gt;J265)),1,IF(OR(J264&gt;J265,J264&gt;J266,J264=J265,J264=J266),2,3)))</f>
        <v>1</v>
      </c>
      <c r="M264" s="1014" t="str">
        <f>IF($AF$8=2,$E$8,IF($AF$10=2,$E$10,IF($AF$12=2,$E$12,IF($AF$14=2,$E$14,IF($AF$16=2,$E$16,"2nd Place "&amp;$A264)))))</f>
        <v>Sumter VBC 16 Heath</v>
      </c>
      <c r="N264" s="1015"/>
      <c r="O264" s="1015"/>
      <c r="P264" s="1015"/>
      <c r="Q264" s="1015"/>
      <c r="R264" s="1011" t="str">
        <f>IF($AF$8=2,$E$9,IF($AF$10=2,$E$11,IF($AF$12=2,$E$13,IF($AF$14=2,$E$15,IF($AF$16=2,$E$17,"2nd Place "&amp;$A264)))))</f>
        <v>fj6sumtr1pm</v>
      </c>
      <c r="S264" s="1011"/>
      <c r="T264" s="1011"/>
      <c r="U264" s="1012">
        <f>IF($AF$8=2,$Z$8,IF($AF$10=2,$Z$10,IF($AF$12=2,$Z$12,IF($AF$14=2,$Z$14,IF($AF$16=2,$Z$16,0)))))</f>
        <v>0.115</v>
      </c>
      <c r="V264" s="1012"/>
      <c r="W264" s="175">
        <f>IF(AND(J264=0,J265=0,J266=0),0,IF(OR(AND(U264&gt;U265,U264&gt;U266),AND(U264=U265,U264=U266),AND(U264=U265,U264&gt;U266),AND(U264=U266,U264&gt;U265)),1,IF(OR(U264&gt;U265,U264&gt;U266,U264=U265,U264=U266),2,3)))</f>
        <v>2</v>
      </c>
      <c r="X264" s="1016" t="str">
        <f>IF($AF$8=3,$E$8,IF($AF$10=3,$E$10,IF($AF$12=3,$E$12,IF($AF$14=3,$E$14,IF($AF$16=3,$E$16,"3rd Place "&amp;$A264)))))</f>
        <v>SC Midlands 16 Black</v>
      </c>
      <c r="Y264" s="1017"/>
      <c r="Z264" s="1017"/>
      <c r="AA264" s="1017"/>
      <c r="AB264" s="1017"/>
      <c r="AC264" s="1018" t="str">
        <f>IF($AF$8=3,$E$9,IF($AF$10=3,$E$11,IF($AF$12=3,$E$13,IF($AF$14=3,$E$15,IF($AF$16=3,$E$17,"3rd Place "&amp;$A264)))))</f>
        <v>fj6scmid3pm</v>
      </c>
      <c r="AD264" s="1018"/>
      <c r="AE264" s="1018"/>
      <c r="AF264" s="176">
        <f>IF($AF$8=3,$Z$8,IF($AF$10=3,$Z$10,IF($AF$12=3,$Z$12,IF($AF$14=3,$Z$14,IF($AF$16=3,$Z$16,0)))))</f>
        <v>-5.5E-2</v>
      </c>
      <c r="AG264" s="175">
        <f>IF(AND(J264=0,J265=0,J266=0),0,IF(OR(AND(AF264&gt;AF265,AF264&gt;AF266),AND(AF264=AF265,AF264=AF266),AND(AF264=AF265,AF264&gt;AF266),AND(AF264=AF266,AF264&gt;AF265)),1,IF(OR(AF264&gt;AF265,AF264&gt;AF266,AF264=AF265,AF264=AF266),2,3)))</f>
        <v>3</v>
      </c>
      <c r="AH264" s="1014" t="str">
        <f>IF($AF$8=4,$E$8,IF($AF$10=4,$E$10,IF($AF$12=4,$E$12,IF($AF$14=4,$E$14,IF($AF$16=4,$E$16,"4th Place "&amp;$A264)))))</f>
        <v>Vision 16 Regional</v>
      </c>
      <c r="AI264" s="1015"/>
      <c r="AJ264" s="1015"/>
      <c r="AK264" s="1011" t="str">
        <f>IF($AF$8=4,$E$9,IF($AF$10=4,$E$11,IF($AF$12=4,$E$13,IF($AF$14=4,$E$15,IF($AF$16=4,$E$17,"4th Place "&amp;$A264)))))</f>
        <v>fj6vison2pm</v>
      </c>
      <c r="AL264" s="1011"/>
      <c r="AM264" s="1011"/>
      <c r="AN264" s="1012">
        <f>IF($AF$8=4,$Z$8,IF($AF$10=4,$Z$10,IF($AF$12=4,$Z$12,IF($AF$14=4,$Z$14,IF($AF$16=4,$Z$16,0)))))</f>
        <v>-0.21</v>
      </c>
      <c r="AO264" s="1012"/>
      <c r="AP264" s="175">
        <f>IF(AND(J264=0,J265=0,J266=0),0,IF(OR(AND(AN264&gt;AN265,AN264&gt;AN266),AND(AN264=AN265,AN264=AN266),AND(AN264=AN265,AN264&gt;AN266),AND(AN264=AN266,AN264&gt;AN265)),1,IF(OR(AN264&gt;AN265,AN264&gt;AN266,AN264=AN265,AN264=AN266),2,3)))</f>
        <v>3</v>
      </c>
    </row>
    <row r="265" spans="1:54" x14ac:dyDescent="0.2">
      <c r="A265" s="157" t="s">
        <v>101</v>
      </c>
      <c r="B265" s="1007" t="str">
        <f>IF($AF$93=1,$E$93,IF($AF$95=1,$E$95,IF($AF$97=1,$E$97,IF($AF$99=1,$E$99,IF($AF$101=1,$E$101,"1st Place "&amp;$A265)))))</f>
        <v>KVC16-2</v>
      </c>
      <c r="C265" s="1008"/>
      <c r="D265" s="1008"/>
      <c r="E265" s="1008"/>
      <c r="F265" s="1009" t="str">
        <f>IF($AF$93=1,$E$94,IF($AF$95=1,$E$96,IF($AF$97=1,$E$98,IF($AF$99=1,$E$100,IF($AF$101=1,$E$102,"1st Place "&amp;$A265)))))</f>
        <v>fj6kvctn2so</v>
      </c>
      <c r="G265" s="1009"/>
      <c r="H265" s="1009"/>
      <c r="I265" s="1009"/>
      <c r="J265" s="1010">
        <f>IF($AF$93=1,$Z$93,IF($AF$95=1,$Z$95,IF($AF$97=1,$Z$97,IF($AF$99=1,$Z$99,IF($AF$101=1,$Z$101,0)))))</f>
        <v>0.22500000000000001</v>
      </c>
      <c r="K265" s="1010"/>
      <c r="L265" s="178">
        <f>IF(AND(J264=0,J265=0,J266=0),0,IF(OR(AND(J265&gt;J264,J265&gt;J266),AND(J265=J266,J265&gt;J264)),1,IF(OR(J265&gt;J264,J265&gt;J266,AND(J265=J264,J265=J266),J265=J266),2,3)))</f>
        <v>2</v>
      </c>
      <c r="M265" s="1007" t="str">
        <f>IF($AF$93=2,$E$93,IF($AF$95=2,$E$95,IF($AF$97=2,$E$97,IF($AF$99=2,$E$99,IF($AF$101=2,$E$101,"2nd Place "&amp;$A265)))))</f>
        <v>NETVC 16</v>
      </c>
      <c r="N265" s="1008"/>
      <c r="O265" s="1008"/>
      <c r="P265" s="1008"/>
      <c r="Q265" s="1008"/>
      <c r="R265" s="1009" t="str">
        <f>IF($AF$93=2,$E$94,IF($AF$95=2,$E$96,IF($AF$97=2,$E$98,IF($AF$99=2,$E$100,IF($AF$101=2,$E$102,"2nd Place "&amp;$A265)))))</f>
        <v>fj6netvc1so</v>
      </c>
      <c r="S265" s="1009"/>
      <c r="T265" s="1009"/>
      <c r="U265" s="1010">
        <f>IF($AF$93=2,$Z$93,IF($AF$95=2,$Z$95,IF($AF$97=2,$Z$97,IF($AF$99=2,$Z$99,IF($AF$101=2,$Z$101,0)))))</f>
        <v>0.09</v>
      </c>
      <c r="V265" s="1010"/>
      <c r="W265" s="179">
        <f>IF(AND(J264=0,J265=0,J266=0),0,IF(OR(AND(U265&gt;U264,U265&gt;U266),AND(U265=U266,U265&gt;U264)),1,IF(OR(U265&gt;U264,U265&gt;U266,AND(U265=U264,U265=U266),U265=U266),2,3)))</f>
        <v>3</v>
      </c>
      <c r="X265" s="1007" t="str">
        <f>IF($AF$93=3,$E$93,IF($AF$95=3,$E$95,IF($AF$97=3,$E$97,IF($AF$99=3,$E$99,IF($AF$101=3,$E$101,"3rd Place "&amp;$A265)))))</f>
        <v>Sumter VBC 17</v>
      </c>
      <c r="Y265" s="1008"/>
      <c r="Z265" s="1008"/>
      <c r="AA265" s="1008"/>
      <c r="AB265" s="1008"/>
      <c r="AC265" s="1009" t="str">
        <f>IF($AF$93=3,$E$94,IF($AF$95=3,$E$96,IF($AF$97=3,$E$98,IF($AF$99=3,$E$100,IF($AF$101=3,$E$102,"3rd Place "&amp;$A265)))))</f>
        <v>fj7sumtr1pm</v>
      </c>
      <c r="AD265" s="1009"/>
      <c r="AE265" s="1009"/>
      <c r="AF265" s="177">
        <f>IF($AF$93=3,$Z$93,IF($AF$95=3,$Z$95,IF($AF$97=3,$Z$97,IF($AF$99=3,$Z$99,IF($AF$101=3,$Z$101,0)))))</f>
        <v>-0.03</v>
      </c>
      <c r="AG265" s="179">
        <f>IF(AND(J264=0,J265=0,J266=0),0,IF(OR(AND(AF265&gt;AF264,AF265&gt;AF266),AND(AF265=AF266,AF265&gt;AF264)),1,IF(OR(AF265&gt;AF264,AF265&gt;AF266,AND(AF265=AF264,AF265=AF266),AF265=AF266),2,3)))</f>
        <v>2</v>
      </c>
      <c r="AH265" s="1007" t="str">
        <f>IF($AF$93=4,$E$93,IF($AF$95=4,$E$95,IF($AF$97=4,$E$97,IF($AF$99=4,$E$99,IF($AF$101=4,$E$101,"4th Place "&amp;$A265)))))</f>
        <v>CSRA Heat 16 Black</v>
      </c>
      <c r="AI265" s="1008"/>
      <c r="AJ265" s="1008"/>
      <c r="AK265" s="1009" t="str">
        <f>IF($AF$93=4,$E$94,IF($AF$95=4,$E$96,IF($AF$97=4,$E$98,IF($AF$99=4,$E$100,IF($AF$101=4,$E$102,"4th Place "&amp;$A265)))))</f>
        <v>fj6csrah2pm</v>
      </c>
      <c r="AL265" s="1009"/>
      <c r="AM265" s="1009"/>
      <c r="AN265" s="1010">
        <f>IF($AF$93=4,$Z$93,IF($AF$95=4,$Z$95,IF($AF$97=4,$Z$97,IF($AF$99=4,$Z$99,IF($AF$101=4,$Z$101,0)))))</f>
        <v>-0.14000000000000001</v>
      </c>
      <c r="AO265" s="1010"/>
      <c r="AP265" s="179">
        <f>IF(AND(J264=0,J265=0,J266=0),0,IF(OR(AND(AN265&gt;AN264,AN265&gt;AN266),AND(AN265=AN266,AN265&gt;AN264)),1,IF(OR(AN265&gt;AN264,AN265&gt;AN266,AND(AN265=AN264,AN265=AN266),AN265=AN266),2,3)))</f>
        <v>2</v>
      </c>
    </row>
    <row r="266" spans="1:54" ht="13.5" thickBot="1" x14ac:dyDescent="0.25">
      <c r="A266" s="79" t="s">
        <v>144</v>
      </c>
      <c r="B266" s="999" t="str">
        <f>IF($AF$178=1,$E$178,IF($AF$180=1,$E$180,IF($AF$182=1,$E$182,IF($AF$184=1,$E$184,IF($AF$186=1,$E$186,"1st Place "&amp;$A266)))))</f>
        <v>Agema 16</v>
      </c>
      <c r="C266" s="1000"/>
      <c r="D266" s="1000"/>
      <c r="E266" s="1000"/>
      <c r="F266" s="998" t="str">
        <f>IF($AF$178=1,$E$179,IF($AF$180=1,$E$181,IF($AF$182=1,$E$183,IF($AF$184=1,$E$185,IF($AF$186=1,$E$187,"1st Place "&amp;$A266)))))</f>
        <v>fj6agema1pm</v>
      </c>
      <c r="G266" s="998"/>
      <c r="H266" s="998"/>
      <c r="I266" s="998"/>
      <c r="J266" s="1001">
        <f>IF($AF$178=1,$Z$178,IF($AF$180=1,$Z$180,IF($AF$182=1,$Z$182,IF($AF$184=1,$Z$184,IF($AF$186=1,$Z$186,0)))))</f>
        <v>0.14778325123152711</v>
      </c>
      <c r="K266" s="1001"/>
      <c r="L266" s="181">
        <f>IF(AND(J264=0,J265=0,J266=0),0,IF(AND(J266&gt;J264,J266&gt;J265),1,IF(OR(J266&gt;J264,J266&gt;J265),2,3)))</f>
        <v>3</v>
      </c>
      <c r="M266" s="999" t="str">
        <f>IF($AF$178=2,$E$178,IF($AF$180=2,$E$180,IF($AF$182=2,$E$182,IF($AF$184=2,$E$184,IF($AF$186=2,$E$186,"2nd Place "&amp;$A266)))))</f>
        <v>SC Midlands 17 Black</v>
      </c>
      <c r="N266" s="1000"/>
      <c r="O266" s="1000"/>
      <c r="P266" s="1000"/>
      <c r="Q266" s="1000"/>
      <c r="R266" s="998" t="str">
        <f>IF($AF$178=2,$E$179,IF($AF$180=2,$E$181,IF($AF$182=2,$E$183,IF($AF$184=2,$E$185,IF($AF$186=2,$E$187,"2nd Place "&amp;$A266)))))</f>
        <v>fj7scmid2pm</v>
      </c>
      <c r="S266" s="998"/>
      <c r="T266" s="998"/>
      <c r="U266" s="1001">
        <f>IF($AF$178=2,$Z$178,IF($AF$180=2,$Z$180,IF($AF$182=2,$Z$182,IF($AF$184=2,$Z$184,IF($AF$186=2,$Z$186,0)))))</f>
        <v>0.12871287128712872</v>
      </c>
      <c r="V266" s="1001"/>
      <c r="W266" s="182">
        <f>IF(AND(J264=0,J265=0,J266=0),0,IF(AND(U266&gt;U264,U266&gt;U265),1,IF(OR(U266&gt;U264,U266&gt;U265),2,3)))</f>
        <v>1</v>
      </c>
      <c r="X266" s="999" t="str">
        <f>IF($AF$178=3,$E$178,IF($AF$180=3,$E$180,IF($AF$182=3,$E$182,IF($AF$184=3,$E$184,IF($AF$186=3,$E$186,"3rd Place "&amp;$A266)))))</f>
        <v>Extreme 16 Heather</v>
      </c>
      <c r="Y266" s="1000"/>
      <c r="Z266" s="1000"/>
      <c r="AA266" s="1000"/>
      <c r="AB266" s="1000"/>
      <c r="AC266" s="998" t="str">
        <f>IF($AF$178=3,$E$179,IF($AF$180=3,$E$181,IF($AF$182=3,$E$183,IF($AF$184=3,$E$185,IF($AF$186=3,$E$187,"3rd Place "&amp;$A266)))))</f>
        <v>fj6triex5so</v>
      </c>
      <c r="AD266" s="998"/>
      <c r="AE266" s="998"/>
      <c r="AF266" s="180">
        <f>IF($AF$178=3,$Z$178,IF($AF$180=3,$Z$180,IF($AF$182=3,$Z$182,IF($AF$184=3,$Z$184,IF($AF$186=3,$Z$186,0)))))</f>
        <v>4.9261083743842367E-2</v>
      </c>
      <c r="AG266" s="182">
        <f>IF(AND(J264=0,J265=0,J266=0),0,IF(AND(AF266&gt;AF264,AF266&gt;AF265),1,IF(OR(AF266&gt;AF264,AF266&gt;AF265),2,3)))</f>
        <v>1</v>
      </c>
      <c r="AH266" s="999" t="str">
        <f>IF($AF$178=4,$E$178,IF($AF$180=4,$E$180,IF($AF$182=4,$E$182,IF($AF$184=4,$E$184,IF($AF$186=4,$E$186,"4th Place "&amp;$A266)))))</f>
        <v>MBVC 16</v>
      </c>
      <c r="AI266" s="1000"/>
      <c r="AJ266" s="1000"/>
      <c r="AK266" s="998" t="str">
        <f>IF($AF$178=4,$E$179,IF($AF$180=4,$E$181,IF($AF$182=4,$E$183,IF($AF$184=4,$E$185,IF($AF$186=4,$E$187,"4th Place "&amp;$A266)))))</f>
        <v>fj6mbeac1pm</v>
      </c>
      <c r="AL266" s="998"/>
      <c r="AM266" s="998"/>
      <c r="AN266" s="1001">
        <f>IF($AF$178=4,$Z$178,IF($AF$180=4,$Z$180,IF($AF$182=4,$Z$182,IF($AF$184=4,$Z$184,IF($AF$186=4,$Z$186,0)))))</f>
        <v>-0.13930348258706468</v>
      </c>
      <c r="AO266" s="1001"/>
      <c r="AP266" s="182">
        <f>IF(AND(J264=0,J265=0,J266=0),0,IF(AND(AN266&gt;AN264,AN266&gt;AN265),1,IF(OR(AN266&gt;AN264,AN266&gt;AN265),2,3)))</f>
        <v>1</v>
      </c>
    </row>
    <row r="267" spans="1:54" ht="13.5" thickBot="1" x14ac:dyDescent="0.25">
      <c r="A267" s="1002" t="s">
        <v>145</v>
      </c>
      <c r="B267" s="1004" t="s">
        <v>146</v>
      </c>
      <c r="C267" s="1005"/>
      <c r="D267" s="1005"/>
      <c r="E267" s="1005"/>
      <c r="F267" s="1005"/>
      <c r="G267" s="1005"/>
      <c r="H267" s="1005"/>
      <c r="I267" s="1005"/>
      <c r="J267" s="1005"/>
      <c r="K267" s="1005"/>
      <c r="L267" s="1006"/>
      <c r="M267" s="783" t="s">
        <v>147</v>
      </c>
      <c r="N267" s="784"/>
      <c r="O267" s="784"/>
      <c r="P267" s="784"/>
      <c r="Q267" s="784"/>
      <c r="R267" s="784"/>
      <c r="S267" s="784"/>
      <c r="T267" s="784"/>
      <c r="U267" s="784"/>
      <c r="V267" s="784"/>
      <c r="W267" s="785"/>
      <c r="X267" s="783" t="s">
        <v>148</v>
      </c>
      <c r="Y267" s="784"/>
      <c r="Z267" s="784"/>
      <c r="AA267" s="784"/>
      <c r="AB267" s="784"/>
      <c r="AC267" s="784"/>
      <c r="AD267" s="784"/>
      <c r="AE267" s="784"/>
      <c r="AF267" s="784"/>
      <c r="AG267" s="785"/>
      <c r="AH267" s="783" t="s">
        <v>149</v>
      </c>
      <c r="AI267" s="784"/>
      <c r="AJ267" s="784"/>
      <c r="AK267" s="784"/>
      <c r="AL267" s="784"/>
      <c r="AM267" s="784"/>
      <c r="AN267" s="784"/>
      <c r="AO267" s="784"/>
      <c r="AP267" s="785"/>
    </row>
    <row r="268" spans="1:54" ht="13.5" thickBot="1" x14ac:dyDescent="0.25">
      <c r="A268" s="1003"/>
      <c r="B268" s="995" t="s">
        <v>7</v>
      </c>
      <c r="C268" s="996"/>
      <c r="D268" s="996"/>
      <c r="E268" s="996"/>
      <c r="F268" s="996"/>
      <c r="G268" s="996"/>
      <c r="H268" s="997"/>
      <c r="I268" s="995" t="s">
        <v>8</v>
      </c>
      <c r="J268" s="996"/>
      <c r="K268" s="996"/>
      <c r="L268" s="997"/>
      <c r="M268" s="777" t="s">
        <v>7</v>
      </c>
      <c r="N268" s="778"/>
      <c r="O268" s="778"/>
      <c r="P268" s="778"/>
      <c r="Q268" s="778"/>
      <c r="R268" s="778"/>
      <c r="S268" s="779"/>
      <c r="T268" s="777" t="s">
        <v>8</v>
      </c>
      <c r="U268" s="778"/>
      <c r="V268" s="778"/>
      <c r="W268" s="779"/>
      <c r="X268" s="777" t="s">
        <v>7</v>
      </c>
      <c r="Y268" s="778"/>
      <c r="Z268" s="778"/>
      <c r="AA268" s="778"/>
      <c r="AB268" s="778"/>
      <c r="AC268" s="778"/>
      <c r="AD268" s="778"/>
      <c r="AE268" s="779"/>
      <c r="AF268" s="777" t="s">
        <v>8</v>
      </c>
      <c r="AG268" s="779"/>
      <c r="AH268" s="778" t="s">
        <v>7</v>
      </c>
      <c r="AI268" s="778"/>
      <c r="AJ268" s="778"/>
      <c r="AK268" s="778"/>
      <c r="AL268" s="778"/>
      <c r="AM268" s="779"/>
      <c r="AN268" s="777" t="s">
        <v>8</v>
      </c>
      <c r="AO268" s="778"/>
      <c r="AP268" s="779"/>
    </row>
    <row r="269" spans="1:54" x14ac:dyDescent="0.2">
      <c r="A269" s="106" t="s">
        <v>150</v>
      </c>
      <c r="B269" s="986" t="str">
        <f>IF(L264=1,B264,IF(L265=1,B265,IF(L266=1,B266,"#1 1st Place")))</f>
        <v>KVC16-1</v>
      </c>
      <c r="C269" s="987"/>
      <c r="D269" s="987"/>
      <c r="E269" s="987"/>
      <c r="F269" s="987"/>
      <c r="G269" s="987"/>
      <c r="H269" s="987"/>
      <c r="I269" s="988" t="str">
        <f>IF(L264=1,F264,IF(L265=1,F265,IF(L266=1,F266,"#1 1st Place")))</f>
        <v>fj6kvctn1so</v>
      </c>
      <c r="J269" s="988"/>
      <c r="K269" s="988"/>
      <c r="L269" s="989"/>
      <c r="M269" s="990" t="str">
        <f>IF(W264=1,M264,IF(W265=1,M265,IF(W266=1,M266,"#1 2nd Place")))</f>
        <v>SC Midlands 17 Black</v>
      </c>
      <c r="N269" s="991"/>
      <c r="O269" s="991"/>
      <c r="P269" s="991"/>
      <c r="Q269" s="991"/>
      <c r="R269" s="991"/>
      <c r="S269" s="991"/>
      <c r="T269" s="992" t="str">
        <f>IF(W264=1,R264,IF(W265=1,R265,IF(W266=1,R266,"#1 2nd Place")))</f>
        <v>fj7scmid2pm</v>
      </c>
      <c r="U269" s="992"/>
      <c r="V269" s="992"/>
      <c r="W269" s="993"/>
      <c r="X269" s="990" t="str">
        <f>IF(AG264=1,X264,IF(AG265=1,X265,IF(AG266=1,X266,"#1 3rd Place")))</f>
        <v>Extreme 16 Heather</v>
      </c>
      <c r="Y269" s="991"/>
      <c r="Z269" s="991"/>
      <c r="AA269" s="991"/>
      <c r="AB269" s="991"/>
      <c r="AC269" s="991"/>
      <c r="AD269" s="991"/>
      <c r="AE269" s="991"/>
      <c r="AF269" s="992" t="str">
        <f>IF(AG264=1,AC264,IF(AG265=1,AC265,IF(AG266=1,AC266,"#1 3rd Place")))</f>
        <v>fj6triex5so</v>
      </c>
      <c r="AG269" s="993"/>
      <c r="AH269" s="994" t="str">
        <f>IF(AP264=1,AH264,IF(AP265=1,AH265,IF(AP266=1,AH266,"#1 4th Place")))</f>
        <v>MBVC 16</v>
      </c>
      <c r="AI269" s="991"/>
      <c r="AJ269" s="991"/>
      <c r="AK269" s="991"/>
      <c r="AL269" s="991"/>
      <c r="AM269" s="991"/>
      <c r="AN269" s="992" t="str">
        <f>IF(AP264=1,AK264,IF(AP265=1,AK265,IF(AP266=1,AK266,"#1 4th Place")))</f>
        <v>fj6mbeac1pm</v>
      </c>
      <c r="AO269" s="992"/>
      <c r="AP269" s="993"/>
    </row>
    <row r="270" spans="1:54" x14ac:dyDescent="0.2">
      <c r="A270" s="106" t="s">
        <v>151</v>
      </c>
      <c r="B270" s="934" t="str">
        <f>IF(L264=2,B264,IF(L265=2,B265,IF(L266=2,B266,"#2 1st Place")))</f>
        <v>KVC16-2</v>
      </c>
      <c r="C270" s="935"/>
      <c r="D270" s="935"/>
      <c r="E270" s="935"/>
      <c r="F270" s="935"/>
      <c r="G270" s="935"/>
      <c r="H270" s="935"/>
      <c r="I270" s="936" t="str">
        <f>IF(L264=2,F264,IF(L265=2,F265,IF(L266=2,F266,"#2 1st Place")))</f>
        <v>fj6kvctn2so</v>
      </c>
      <c r="J270" s="936"/>
      <c r="K270" s="936"/>
      <c r="L270" s="937"/>
      <c r="M270" s="985" t="str">
        <f>IF(W264=2,M264,IF(W265=2,M265,IF(W266=2,M266,"#2 2nd Place")))</f>
        <v>Sumter VBC 16 Heath</v>
      </c>
      <c r="N270" s="981"/>
      <c r="O270" s="981"/>
      <c r="P270" s="981"/>
      <c r="Q270" s="981"/>
      <c r="R270" s="981"/>
      <c r="S270" s="981"/>
      <c r="T270" s="982" t="str">
        <f>IF(W264=2,R264,IF(W265=2,R265,IF(W266=2,R266,"#2 2nd Place")))</f>
        <v>fj6sumtr1pm</v>
      </c>
      <c r="U270" s="982"/>
      <c r="V270" s="982"/>
      <c r="W270" s="983"/>
      <c r="X270" s="985" t="str">
        <f>IF(AG264=2,X264,IF(AG265=2,X265,IF(AG266=2,X266,"#2 3rd Place")))</f>
        <v>Sumter VBC 17</v>
      </c>
      <c r="Y270" s="981"/>
      <c r="Z270" s="981"/>
      <c r="AA270" s="981"/>
      <c r="AB270" s="981"/>
      <c r="AC270" s="981"/>
      <c r="AD270" s="981"/>
      <c r="AE270" s="981"/>
      <c r="AF270" s="982" t="str">
        <f>IF(AG264=2,AC264,IF(AG265=2,AC265,IF(AG266=2,AC266,"#2 3rd Place")))</f>
        <v>fj7sumtr1pm</v>
      </c>
      <c r="AG270" s="983"/>
      <c r="AH270" s="980" t="str">
        <f>IF(AP264=2,AH264,IF(AP265=2,AH265,IF(AP266=2,AH266,"#2 4th Place")))</f>
        <v>CSRA Heat 16 Black</v>
      </c>
      <c r="AI270" s="981"/>
      <c r="AJ270" s="981"/>
      <c r="AK270" s="981"/>
      <c r="AL270" s="981"/>
      <c r="AM270" s="981"/>
      <c r="AN270" s="982" t="str">
        <f>IF(AP264=2,AK264,IF(AP265=2,AK265,IF(AP266=2,AK266,"#2 4th Place")))</f>
        <v>fj6csrah2pm</v>
      </c>
      <c r="AO270" s="982"/>
      <c r="AP270" s="983"/>
    </row>
    <row r="271" spans="1:54" s="3" customFormat="1" ht="13.5" thickBot="1" x14ac:dyDescent="0.25">
      <c r="A271" s="168" t="s">
        <v>152</v>
      </c>
      <c r="B271" s="773" t="str">
        <f>IF(L264=3,B264,IF(L265=3,B265,IF(L266=3,B266,"#3 1st Place")))</f>
        <v>Agema 16</v>
      </c>
      <c r="C271" s="774"/>
      <c r="D271" s="774"/>
      <c r="E271" s="774"/>
      <c r="F271" s="774"/>
      <c r="G271" s="774"/>
      <c r="H271" s="774"/>
      <c r="I271" s="775" t="str">
        <f>IF(L264=3,F264,IF(L265=3,F265,IF(L266=3,F266,"#3 1st Place")))</f>
        <v>fj6agema1pm</v>
      </c>
      <c r="J271" s="775"/>
      <c r="K271" s="775"/>
      <c r="L271" s="776"/>
      <c r="M271" s="773" t="str">
        <f>IF(W264=3,M264,IF(W265=3,M265,IF(W266=3,M266,"#3 2nd Place")))</f>
        <v>NETVC 16</v>
      </c>
      <c r="N271" s="774"/>
      <c r="O271" s="774"/>
      <c r="P271" s="774"/>
      <c r="Q271" s="774"/>
      <c r="R271" s="774"/>
      <c r="S271" s="774"/>
      <c r="T271" s="775" t="str">
        <f>IF(W264=3,R264,IF(W265=3,R265,IF(W266=3,R266,"#3 2nd Place")))</f>
        <v>fj6netvc1so</v>
      </c>
      <c r="U271" s="775"/>
      <c r="V271" s="775"/>
      <c r="W271" s="776"/>
      <c r="X271" s="773" t="str">
        <f>IF(AG264=3,X264,IF(AG265=3,X265,IF(AG266=3,X266,"#3 3rd Place")))</f>
        <v>SC Midlands 16 Black</v>
      </c>
      <c r="Y271" s="774"/>
      <c r="Z271" s="774"/>
      <c r="AA271" s="774"/>
      <c r="AB271" s="774"/>
      <c r="AC271" s="774"/>
      <c r="AD271" s="774"/>
      <c r="AE271" s="774"/>
      <c r="AF271" s="775" t="str">
        <f>IF(AG264=3,AC264,IF(AG265=3,AC265,IF(AG266=3,AC266,"#3 3rd Place")))</f>
        <v>fj6scmid3pm</v>
      </c>
      <c r="AG271" s="776"/>
      <c r="AH271" s="984" t="str">
        <f>IF(AP264=3,AH264,IF(AP265=3,AH265,IF(AP266=3,AH266,"#3 4th Place")))</f>
        <v>Vision 16 Regional</v>
      </c>
      <c r="AI271" s="774"/>
      <c r="AJ271" s="774"/>
      <c r="AK271" s="774"/>
      <c r="AL271" s="774"/>
      <c r="AM271" s="774"/>
      <c r="AN271" s="775" t="str">
        <f>IF(AP264=3,AK264,IF(AP265=3,AK265,IF(AP266=3,AK266,"#3 4th Place")))</f>
        <v>fj6vison2pm</v>
      </c>
      <c r="AO271" s="775"/>
      <c r="AP271" s="776"/>
      <c r="AW271" s="62"/>
      <c r="AX271" s="4"/>
      <c r="AY271" s="4"/>
      <c r="AZ271" s="4"/>
      <c r="BA271" s="4"/>
    </row>
    <row r="272" spans="1:54" s="3" customFormat="1" x14ac:dyDescent="0.2">
      <c r="A272" s="35"/>
      <c r="B272" s="81"/>
      <c r="C272" s="81"/>
      <c r="D272" s="81"/>
      <c r="E272" s="81"/>
      <c r="F272" s="81"/>
      <c r="G272" s="81"/>
      <c r="H272" s="81"/>
      <c r="I272" s="81"/>
      <c r="J272" s="81"/>
      <c r="K272" s="81"/>
      <c r="L272" s="81"/>
      <c r="M272" s="183"/>
      <c r="N272" s="183"/>
      <c r="O272" s="183"/>
      <c r="P272" s="183"/>
      <c r="Q272" s="183"/>
      <c r="R272" s="183"/>
      <c r="S272" s="183"/>
      <c r="T272" s="183"/>
      <c r="U272" s="183"/>
      <c r="V272" s="183"/>
      <c r="W272" s="183"/>
      <c r="AW272" s="62"/>
      <c r="AX272" s="4"/>
      <c r="AY272" s="4"/>
      <c r="AZ272" s="4"/>
      <c r="BA272" s="4"/>
    </row>
    <row r="273" spans="1:56" ht="15.75" x14ac:dyDescent="0.25">
      <c r="A273" s="763" t="s">
        <v>102</v>
      </c>
      <c r="B273" s="763"/>
      <c r="C273" s="763"/>
      <c r="D273" s="763"/>
      <c r="E273" s="763"/>
      <c r="F273" s="763"/>
      <c r="G273" s="763"/>
      <c r="H273" s="763"/>
      <c r="I273" s="763"/>
      <c r="J273" s="763"/>
      <c r="K273" s="763"/>
      <c r="L273" s="763"/>
      <c r="M273" s="763"/>
      <c r="N273" s="763"/>
      <c r="O273" s="763"/>
      <c r="P273" s="763"/>
      <c r="Q273" s="763"/>
      <c r="R273" s="763"/>
      <c r="S273" s="763"/>
      <c r="T273" s="763"/>
      <c r="U273" s="763"/>
      <c r="V273" s="763"/>
      <c r="W273" s="763"/>
      <c r="X273" s="763"/>
      <c r="Y273" s="763"/>
      <c r="Z273" s="763"/>
      <c r="AA273" s="763"/>
      <c r="AB273" s="763"/>
      <c r="AC273" s="763"/>
      <c r="AD273" s="763"/>
      <c r="AE273" s="763"/>
      <c r="AF273" s="763"/>
      <c r="AG273" s="763"/>
      <c r="AH273" s="763"/>
      <c r="AI273" s="763"/>
      <c r="AJ273" s="763"/>
      <c r="AK273" s="763"/>
      <c r="AL273" s="763"/>
      <c r="AM273" s="763"/>
      <c r="AN273" s="763"/>
      <c r="AO273" s="763"/>
      <c r="AP273" s="763"/>
      <c r="AQ273" s="763"/>
      <c r="AT273" s="83"/>
      <c r="AU273" s="83"/>
      <c r="AV273" s="83"/>
    </row>
    <row r="274" spans="1:56" ht="36" customHeight="1" x14ac:dyDescent="0.25">
      <c r="A274" s="764" t="s">
        <v>350</v>
      </c>
      <c r="B274" s="765"/>
      <c r="C274" s="765"/>
      <c r="D274" s="765"/>
      <c r="E274" s="765"/>
      <c r="F274" s="765"/>
      <c r="G274" s="765"/>
      <c r="H274" s="765"/>
      <c r="I274" s="765"/>
      <c r="J274" s="765"/>
      <c r="K274" s="765"/>
      <c r="L274" s="765"/>
      <c r="M274" s="765"/>
      <c r="N274" s="765"/>
      <c r="O274" s="765"/>
      <c r="P274" s="765"/>
      <c r="Q274" s="765"/>
      <c r="R274" s="765"/>
      <c r="S274" s="765"/>
      <c r="T274" s="765"/>
      <c r="U274" s="765"/>
      <c r="V274" s="765"/>
      <c r="W274" s="765"/>
      <c r="X274" s="765"/>
      <c r="Y274" s="765"/>
      <c r="Z274" s="765"/>
      <c r="AA274" s="765"/>
      <c r="AB274" s="765"/>
      <c r="AC274" s="765"/>
      <c r="AD274" s="765"/>
      <c r="AE274" s="765"/>
      <c r="AF274" s="765"/>
      <c r="AG274" s="765"/>
      <c r="AH274" s="765"/>
      <c r="AI274" s="765"/>
      <c r="AJ274" s="765"/>
      <c r="AK274" s="765"/>
      <c r="AL274" s="765"/>
      <c r="AM274" s="765"/>
      <c r="AN274" s="765"/>
      <c r="AO274" s="765"/>
      <c r="AP274" s="765"/>
      <c r="AQ274" s="765"/>
    </row>
    <row r="275" spans="1:56" x14ac:dyDescent="0.2">
      <c r="A275" s="766" t="s">
        <v>170</v>
      </c>
      <c r="B275" s="766"/>
      <c r="C275" s="766"/>
      <c r="D275" s="766"/>
      <c r="E275" s="766"/>
      <c r="F275" s="766"/>
      <c r="G275" s="766"/>
      <c r="H275" s="766"/>
      <c r="I275" s="766"/>
      <c r="J275" s="766"/>
      <c r="K275" s="766"/>
      <c r="L275" s="766"/>
      <c r="M275" s="766"/>
      <c r="N275" s="766"/>
      <c r="O275" s="766"/>
      <c r="P275" s="766"/>
      <c r="Q275" s="766"/>
      <c r="R275" s="766"/>
      <c r="S275" s="766"/>
      <c r="T275" s="766"/>
      <c r="U275" s="766"/>
      <c r="V275" s="766"/>
      <c r="W275" s="766"/>
      <c r="X275" s="766"/>
      <c r="Y275" s="766"/>
      <c r="Z275" s="766"/>
      <c r="AA275" s="766"/>
      <c r="AB275" s="766"/>
      <c r="AC275" s="766"/>
      <c r="AD275" s="766"/>
      <c r="AE275" s="766"/>
      <c r="AF275" s="766"/>
      <c r="AG275" s="766"/>
      <c r="AH275" s="766"/>
      <c r="AI275" s="766"/>
      <c r="AJ275" s="766"/>
      <c r="AK275" s="766"/>
      <c r="AL275" s="766"/>
      <c r="AM275" s="766"/>
      <c r="AN275" s="766"/>
      <c r="AO275" s="766"/>
      <c r="AP275" s="766"/>
      <c r="AQ275" s="766"/>
    </row>
    <row r="276" spans="1:56" x14ac:dyDescent="0.2">
      <c r="A276" s="766" t="s">
        <v>153</v>
      </c>
      <c r="B276" s="766"/>
      <c r="C276" s="766"/>
      <c r="D276" s="766"/>
      <c r="E276" s="766"/>
      <c r="F276" s="766"/>
      <c r="G276" s="766"/>
      <c r="H276" s="766"/>
      <c r="I276" s="766"/>
      <c r="J276" s="766"/>
      <c r="K276" s="766"/>
      <c r="L276" s="766"/>
      <c r="M276" s="766"/>
      <c r="N276" s="766"/>
      <c r="O276" s="766"/>
      <c r="P276" s="766"/>
      <c r="Q276" s="766"/>
      <c r="R276" s="766"/>
      <c r="S276" s="766"/>
      <c r="T276" s="766"/>
      <c r="U276" s="766"/>
      <c r="V276" s="766"/>
      <c r="W276" s="766"/>
      <c r="X276" s="766"/>
      <c r="Y276" s="766"/>
      <c r="Z276" s="766"/>
      <c r="AA276" s="766"/>
      <c r="AB276" s="766"/>
      <c r="AC276" s="766"/>
      <c r="AD276" s="766"/>
      <c r="AE276" s="766"/>
      <c r="AF276" s="766"/>
      <c r="AG276" s="766"/>
      <c r="AH276" s="766"/>
      <c r="AI276" s="766"/>
      <c r="AJ276" s="766"/>
      <c r="AK276" s="766"/>
      <c r="AL276" s="766"/>
      <c r="AM276" s="766"/>
      <c r="AN276" s="766"/>
      <c r="AO276" s="766"/>
      <c r="AP276" s="766"/>
      <c r="AQ276" s="766"/>
    </row>
    <row r="277" spans="1:56" x14ac:dyDescent="0.2">
      <c r="A277" s="767" t="s">
        <v>104</v>
      </c>
      <c r="B277" s="767"/>
      <c r="C277" s="767"/>
      <c r="D277" s="767"/>
      <c r="E277" s="767"/>
      <c r="F277" s="767"/>
      <c r="G277" s="767"/>
      <c r="H277" s="767"/>
      <c r="I277" s="767"/>
      <c r="J277" s="767"/>
      <c r="K277" s="767"/>
      <c r="L277" s="84"/>
    </row>
    <row r="278" spans="1:56" x14ac:dyDescent="0.2">
      <c r="C278" s="3"/>
      <c r="D278" s="3"/>
      <c r="E278" s="3"/>
      <c r="L278" s="84"/>
    </row>
    <row r="279" spans="1:56" x14ac:dyDescent="0.2">
      <c r="A279" s="768" t="s">
        <v>105</v>
      </c>
      <c r="B279" s="768"/>
      <c r="C279" s="768"/>
      <c r="D279" s="768"/>
      <c r="E279" s="768"/>
      <c r="F279" s="768"/>
      <c r="G279" s="768"/>
      <c r="H279" s="768"/>
      <c r="I279" s="768"/>
      <c r="J279" s="768"/>
      <c r="K279" s="768"/>
      <c r="L279" s="768"/>
      <c r="M279" s="768"/>
      <c r="N279" s="768"/>
      <c r="O279" s="768"/>
      <c r="P279" s="768"/>
      <c r="Q279" s="62"/>
      <c r="S279" s="768" t="s">
        <v>106</v>
      </c>
      <c r="T279" s="768"/>
      <c r="U279" s="768"/>
      <c r="V279" s="768"/>
      <c r="W279" s="768"/>
      <c r="X279" s="768"/>
      <c r="Y279" s="768"/>
      <c r="Z279" s="768"/>
      <c r="AA279" s="768"/>
      <c r="AB279" s="768"/>
      <c r="AC279" s="768"/>
      <c r="AD279" s="768"/>
      <c r="AE279" s="768"/>
      <c r="AF279" s="768"/>
      <c r="AG279" s="768"/>
    </row>
    <row r="281" spans="1:56" ht="13.5" thickBot="1" x14ac:dyDescent="0.25">
      <c r="A281" s="736" t="str">
        <f>IF(B309=1,B301,IF(B309=2,B302,IF(B309=3,B303,IF(B309=4,B304,IF(OR(B309="B",B309="b"),"BYE","invalid")))))</f>
        <v>KVC16-1</v>
      </c>
      <c r="B281" s="736"/>
      <c r="C281" s="736"/>
      <c r="D281" s="736"/>
      <c r="E281" s="736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T281" s="89"/>
      <c r="U281" s="89"/>
      <c r="V281" s="736" t="str">
        <f>IF(W309=1,X301,IF(W309=2,X302,IF(W309=3,X303,IF(W309=4,X304,IF(OR(W309="B",W309="b"),"BYE","invalid")))))</f>
        <v>Sumter VBC 16 Heath</v>
      </c>
      <c r="W281" s="736"/>
      <c r="X281" s="736"/>
      <c r="Y281" s="736"/>
      <c r="Z281" s="736"/>
      <c r="AA281" s="736"/>
      <c r="AB281" s="736"/>
      <c r="AC281" s="88"/>
      <c r="AD281" s="88"/>
      <c r="AE281" s="88"/>
      <c r="AF281" s="88"/>
    </row>
    <row r="282" spans="1:56" x14ac:dyDescent="0.2">
      <c r="A282" s="738" t="s">
        <v>107</v>
      </c>
      <c r="B282" s="738"/>
      <c r="C282" s="738"/>
      <c r="D282" s="738"/>
      <c r="E282" s="738"/>
      <c r="F282" s="91"/>
      <c r="G282" s="88"/>
      <c r="H282" s="88"/>
      <c r="I282" s="88"/>
      <c r="J282" s="88"/>
      <c r="K282" s="88"/>
      <c r="L282" s="88"/>
      <c r="M282" s="88"/>
      <c r="N282" s="88"/>
      <c r="O282" s="88"/>
      <c r="T282" s="92"/>
      <c r="U282" s="92"/>
      <c r="V282" s="739" t="s">
        <v>154</v>
      </c>
      <c r="W282" s="739"/>
      <c r="X282" s="739"/>
      <c r="Y282" s="739"/>
      <c r="Z282" s="739"/>
      <c r="AA282" s="739"/>
      <c r="AB282" s="752"/>
      <c r="AC282" s="88"/>
      <c r="AD282" s="88"/>
      <c r="AE282" s="88"/>
      <c r="AF282" s="88"/>
    </row>
    <row r="283" spans="1:56" x14ac:dyDescent="0.2">
      <c r="A283" s="88"/>
      <c r="B283" s="88"/>
      <c r="C283" s="88"/>
      <c r="D283" s="88"/>
      <c r="E283" s="88"/>
      <c r="F283" s="91"/>
      <c r="G283" s="88"/>
      <c r="H283" s="88"/>
      <c r="I283" s="88"/>
      <c r="J283" s="88"/>
      <c r="K283" s="88"/>
      <c r="L283" s="88"/>
      <c r="M283" s="88"/>
      <c r="N283" s="88"/>
      <c r="O283" s="88"/>
      <c r="S283" s="88"/>
      <c r="T283" s="88"/>
      <c r="U283" s="88"/>
      <c r="V283" s="88"/>
      <c r="W283" s="88"/>
      <c r="X283" s="88"/>
      <c r="Y283" s="88"/>
      <c r="Z283" s="88"/>
      <c r="AA283" s="88"/>
      <c r="AB283" s="165"/>
      <c r="AC283" s="88"/>
      <c r="AD283" s="88"/>
      <c r="AE283" s="88"/>
      <c r="AF283" s="88"/>
    </row>
    <row r="284" spans="1:56" ht="13.5" thickBot="1" x14ac:dyDescent="0.25">
      <c r="A284" s="739" t="str">
        <f>B303&amp;" ref"</f>
        <v>Agema 16 ref</v>
      </c>
      <c r="B284" s="739"/>
      <c r="C284" s="739"/>
      <c r="D284" s="739"/>
      <c r="E284" s="752"/>
      <c r="F284" s="748" t="str">
        <f>IF(H309=1,B301,IF(H309=2,B302,IF(H309=3,B303,IF(H309=4,B304,"Winner Match 1"))))</f>
        <v>KVC16-1</v>
      </c>
      <c r="G284" s="749"/>
      <c r="H284" s="749"/>
      <c r="I284" s="749"/>
      <c r="J284" s="749"/>
      <c r="K284" s="749"/>
      <c r="L284" s="749"/>
      <c r="M284" s="749"/>
      <c r="N284" s="749"/>
      <c r="O284" s="88"/>
      <c r="Q284" s="96"/>
      <c r="R284" s="96"/>
      <c r="S284" s="96"/>
      <c r="T284" s="96"/>
      <c r="U284" s="739" t="str">
        <f>X303&amp;" ref"</f>
        <v>Extreme 16 Heather ref</v>
      </c>
      <c r="V284" s="739"/>
      <c r="W284" s="739"/>
      <c r="X284" s="739"/>
      <c r="Y284" s="739"/>
      <c r="Z284" s="739"/>
      <c r="AA284" s="739"/>
      <c r="AB284" s="752"/>
      <c r="AC284" s="748" t="str">
        <f>IF(AC309=1,X301,IF(AC309=2,X302,IF(AC309=3,X303,IF(AC309=4,X304,"Winner Match 1"))))</f>
        <v>Sumter VBC 16 Heath</v>
      </c>
      <c r="AD284" s="749"/>
      <c r="AE284" s="749"/>
      <c r="AF284" s="749"/>
      <c r="AG284" s="749"/>
      <c r="AH284" s="749"/>
      <c r="AI284" s="749"/>
    </row>
    <row r="285" spans="1:56" x14ac:dyDescent="0.2">
      <c r="A285" s="746" t="s">
        <v>109</v>
      </c>
      <c r="B285" s="746"/>
      <c r="C285" s="746"/>
      <c r="D285" s="746"/>
      <c r="E285" s="746"/>
      <c r="F285" s="759"/>
      <c r="G285" s="760"/>
      <c r="H285" s="760"/>
      <c r="I285" s="761"/>
      <c r="J285" s="744"/>
      <c r="K285" s="745"/>
      <c r="L285" s="745"/>
      <c r="M285" s="745"/>
      <c r="N285" s="745"/>
      <c r="O285" s="88"/>
      <c r="P285" s="88"/>
      <c r="Q285" s="95"/>
      <c r="R285" s="10"/>
      <c r="S285" s="102"/>
      <c r="T285" s="102"/>
      <c r="U285" s="762" t="s">
        <v>110</v>
      </c>
      <c r="V285" s="762"/>
      <c r="W285" s="762"/>
      <c r="X285" s="762"/>
      <c r="Y285" s="762"/>
      <c r="Z285" s="762"/>
      <c r="AA285" s="762"/>
      <c r="AB285" s="165"/>
      <c r="AC285" s="759"/>
      <c r="AD285" s="760"/>
      <c r="AE285" s="760"/>
      <c r="AF285" s="761"/>
      <c r="AG285" s="744"/>
      <c r="AH285" s="745"/>
      <c r="AI285" s="745"/>
    </row>
    <row r="286" spans="1:56" ht="13.5" thickBot="1" x14ac:dyDescent="0.25">
      <c r="A286" s="736" t="str">
        <f>IF(D309=1,B301,IF(D309=2,B302,IF(D309=3,B303,IF(D309=4,B304,IF(OR(D309="B",D309="b"),"BYE","invalid")))))</f>
        <v>SC Midlands 17 Black</v>
      </c>
      <c r="B286" s="736"/>
      <c r="C286" s="736"/>
      <c r="D286" s="736"/>
      <c r="E286" s="737"/>
      <c r="F286" s="91"/>
      <c r="G286" s="88"/>
      <c r="H286" s="88"/>
      <c r="I286" s="88"/>
      <c r="J286" s="91"/>
      <c r="K286" s="88"/>
      <c r="L286" s="88"/>
      <c r="M286" s="88"/>
      <c r="N286" s="88"/>
      <c r="O286" s="88"/>
      <c r="P286" s="88"/>
      <c r="Q286" s="88"/>
      <c r="U286" s="88"/>
      <c r="V286" s="736" t="str">
        <f>IF(Y309=1,X301,IF(Y309=2,X302,IF(Y309=3,X303,IF(Y309=4,X304,IF(OR(Y309="B",Y309="b"),"BYE","invalid")))))</f>
        <v>Sumter VBC 17</v>
      </c>
      <c r="W286" s="736"/>
      <c r="X286" s="736"/>
      <c r="Y286" s="736"/>
      <c r="Z286" s="736"/>
      <c r="AA286" s="736"/>
      <c r="AB286" s="737"/>
      <c r="AC286" s="88"/>
      <c r="AD286" s="88"/>
      <c r="AE286" s="88"/>
      <c r="AF286" s="165"/>
      <c r="AG286" s="88"/>
      <c r="AH286" s="88"/>
      <c r="AW286" s="146"/>
      <c r="AX286" s="54"/>
      <c r="AY286" s="54"/>
      <c r="AZ286" s="54"/>
      <c r="BA286" s="54"/>
    </row>
    <row r="287" spans="1:56" x14ac:dyDescent="0.2">
      <c r="A287" s="738" t="s">
        <v>155</v>
      </c>
      <c r="B287" s="738"/>
      <c r="C287" s="738"/>
      <c r="D287" s="738"/>
      <c r="E287" s="738"/>
      <c r="F287" s="88"/>
      <c r="G287" s="88"/>
      <c r="H287" s="88"/>
      <c r="I287" s="88"/>
      <c r="J287" s="91"/>
      <c r="K287" s="88"/>
      <c r="L287" s="88"/>
      <c r="M287" s="88"/>
      <c r="N287" s="88"/>
      <c r="O287" s="88"/>
      <c r="P287" s="88"/>
      <c r="Q287" s="88"/>
      <c r="V287" s="757" t="s">
        <v>156</v>
      </c>
      <c r="W287" s="757"/>
      <c r="X287" s="757"/>
      <c r="Y287" s="757"/>
      <c r="Z287" s="757"/>
      <c r="AA287" s="757"/>
      <c r="AB287" s="757"/>
      <c r="AC287" s="88"/>
      <c r="AD287" s="88"/>
      <c r="AE287" s="88"/>
      <c r="AF287" s="165"/>
      <c r="AG287" s="88"/>
      <c r="AH287" s="88"/>
      <c r="AR287" s="104"/>
      <c r="AS287" s="104"/>
      <c r="AW287" s="146"/>
      <c r="AX287" s="54"/>
      <c r="AY287" s="54"/>
      <c r="AZ287" s="54"/>
      <c r="BA287" s="54"/>
      <c r="BB287" s="104"/>
      <c r="BC287" s="104"/>
      <c r="BD287" s="104"/>
    </row>
    <row r="288" spans="1:56" x14ac:dyDescent="0.2">
      <c r="A288" s="88"/>
      <c r="B288" s="88"/>
      <c r="C288" s="88"/>
      <c r="D288" s="88"/>
      <c r="E288" s="88"/>
      <c r="F288" s="751" t="s">
        <v>113</v>
      </c>
      <c r="G288" s="751"/>
      <c r="H288" s="751"/>
      <c r="I288" s="758"/>
      <c r="J288" s="91"/>
      <c r="K288" s="88"/>
      <c r="L288" s="88"/>
      <c r="M288" s="88"/>
      <c r="N288" s="88"/>
      <c r="O288" s="88"/>
      <c r="P288" s="88"/>
      <c r="Q288" s="88"/>
      <c r="S288" s="88"/>
      <c r="T288" s="88"/>
      <c r="U288" s="88"/>
      <c r="V288" s="88"/>
      <c r="W288" s="88"/>
      <c r="X288" s="96"/>
      <c r="Y288" s="96"/>
      <c r="Z288" s="96"/>
      <c r="AB288" s="96"/>
      <c r="AC288" s="751" t="s">
        <v>113</v>
      </c>
      <c r="AD288" s="751"/>
      <c r="AE288" s="751"/>
      <c r="AF288" s="758"/>
      <c r="AG288" s="88"/>
      <c r="AH288" s="88"/>
      <c r="AW288" s="146"/>
      <c r="AX288" s="54"/>
      <c r="AY288" s="54"/>
      <c r="AZ288" s="54"/>
      <c r="BA288" s="54"/>
    </row>
    <row r="289" spans="1:53" ht="13.5" thickBot="1" x14ac:dyDescent="0.25">
      <c r="A289" s="88"/>
      <c r="B289" s="88"/>
      <c r="C289" s="88"/>
      <c r="D289" s="88"/>
      <c r="E289" s="88"/>
      <c r="F289" s="88"/>
      <c r="G289" s="88"/>
      <c r="H289" s="88"/>
      <c r="I289" s="88"/>
      <c r="J289" s="978" t="str">
        <f>IF(K314=1,B301,IF(K314=2,B302,IF(K314=3,B303,IF(K314=4,B304,"Division Winner"))))</f>
        <v>KVC16-1</v>
      </c>
      <c r="K289" s="979"/>
      <c r="L289" s="979"/>
      <c r="M289" s="979"/>
      <c r="N289" s="979"/>
      <c r="O289" s="979"/>
      <c r="P289" s="979"/>
      <c r="Q289" s="979"/>
      <c r="R289" s="89"/>
      <c r="S289" s="88"/>
      <c r="T289" s="88"/>
      <c r="U289" s="88"/>
      <c r="V289" s="88"/>
      <c r="W289" s="88"/>
      <c r="X289" s="88"/>
      <c r="Y289" s="88"/>
      <c r="Z289" s="88"/>
      <c r="AA289" s="88"/>
      <c r="AB289" s="107"/>
      <c r="AC289" s="107"/>
      <c r="AD289" s="107"/>
      <c r="AE289" s="107"/>
      <c r="AF289" s="166"/>
      <c r="AG289" s="978" t="str">
        <f>IF(AF314=1,X301,IF(AF314=2,X302,IF(AF314=3,X303,IF(AF314=4,X304,"Division Winner"))))</f>
        <v>Sumter VBC 16 Heath</v>
      </c>
      <c r="AH289" s="979"/>
      <c r="AI289" s="979"/>
      <c r="AJ289" s="979"/>
      <c r="AK289" s="979"/>
      <c r="AL289" s="979"/>
      <c r="AW289" s="146"/>
      <c r="AX289" s="54"/>
      <c r="AY289" s="54"/>
      <c r="AZ289" s="54"/>
      <c r="BA289" s="54"/>
    </row>
    <row r="290" spans="1:53" ht="13.5" thickBot="1" x14ac:dyDescent="0.25">
      <c r="A290" s="736" t="str">
        <f>IF(E309=1,B301,IF(E309=2,B302,IF(E309=3,B303,IF(E309=4,B304,IF(OR(E309="B",E309="b"),"BYE","invalid")))))</f>
        <v>KVC16-2</v>
      </c>
      <c r="B290" s="736"/>
      <c r="C290" s="736"/>
      <c r="D290" s="736"/>
      <c r="E290" s="736"/>
      <c r="F290" s="746" t="s">
        <v>114</v>
      </c>
      <c r="G290" s="746"/>
      <c r="H290" s="746"/>
      <c r="I290" s="746"/>
      <c r="J290" s="750" t="s">
        <v>115</v>
      </c>
      <c r="K290" s="751"/>
      <c r="L290" s="751"/>
      <c r="M290" s="751"/>
      <c r="N290" s="751"/>
      <c r="O290" s="751"/>
      <c r="P290" s="751"/>
      <c r="Q290" s="751"/>
      <c r="S290" s="107"/>
      <c r="T290" s="107"/>
      <c r="U290" s="107"/>
      <c r="V290" s="736" t="str">
        <f>IF(Z309=1,X301,IF(Z309=2,X302,IF(Z309=3,X303,IF(Z309=4,X304,IF(OR(Z309="B",Z309="b"),"BYE","invalid")))))</f>
        <v>NETVC 16</v>
      </c>
      <c r="W290" s="736"/>
      <c r="X290" s="736"/>
      <c r="Y290" s="736"/>
      <c r="Z290" s="736"/>
      <c r="AA290" s="736"/>
      <c r="AB290" s="736"/>
      <c r="AC290" s="746" t="s">
        <v>116</v>
      </c>
      <c r="AD290" s="746"/>
      <c r="AE290" s="746"/>
      <c r="AF290" s="747"/>
      <c r="AG290" s="750" t="s">
        <v>117</v>
      </c>
      <c r="AH290" s="751"/>
      <c r="AI290" s="751"/>
      <c r="AJ290" s="751"/>
      <c r="AK290" s="751"/>
      <c r="AL290" s="751"/>
      <c r="AW290" s="146"/>
      <c r="AX290" s="54"/>
      <c r="AY290" s="54"/>
      <c r="AZ290" s="54"/>
      <c r="BA290" s="54"/>
    </row>
    <row r="291" spans="1:53" x14ac:dyDescent="0.2">
      <c r="A291" s="738" t="s">
        <v>118</v>
      </c>
      <c r="B291" s="738"/>
      <c r="C291" s="738"/>
      <c r="D291" s="738"/>
      <c r="E291" s="738"/>
      <c r="F291" s="91"/>
      <c r="G291" s="88"/>
      <c r="H291" s="88"/>
      <c r="I291" s="88"/>
      <c r="J291" s="750"/>
      <c r="K291" s="751"/>
      <c r="L291" s="751"/>
      <c r="M291" s="751"/>
      <c r="N291" s="751"/>
      <c r="O291" s="751"/>
      <c r="P291" s="751"/>
      <c r="Q291" s="751"/>
      <c r="R291" s="88"/>
      <c r="S291" s="104"/>
      <c r="T291" s="104"/>
      <c r="U291" s="104"/>
      <c r="V291" s="739" t="s">
        <v>157</v>
      </c>
      <c r="W291" s="739"/>
      <c r="X291" s="739"/>
      <c r="Y291" s="739"/>
      <c r="Z291" s="739"/>
      <c r="AA291" s="739"/>
      <c r="AB291" s="752"/>
      <c r="AC291" s="88"/>
      <c r="AD291" s="88"/>
      <c r="AE291" s="88"/>
      <c r="AF291" s="165"/>
      <c r="AG291" s="88"/>
      <c r="AH291" s="88"/>
      <c r="AW291" s="146"/>
      <c r="AX291" s="54"/>
      <c r="AY291" s="54"/>
      <c r="AZ291" s="54"/>
      <c r="BA291" s="54"/>
    </row>
    <row r="292" spans="1:53" x14ac:dyDescent="0.2">
      <c r="A292" s="88"/>
      <c r="B292" s="88"/>
      <c r="C292" s="88"/>
      <c r="D292" s="88"/>
      <c r="E292" s="88"/>
      <c r="F292" s="91"/>
      <c r="G292" s="88"/>
      <c r="H292" s="88"/>
      <c r="I292" s="88"/>
      <c r="J292" s="91"/>
      <c r="K292" s="88"/>
      <c r="L292" s="88"/>
      <c r="M292" s="88"/>
      <c r="N292" s="88"/>
      <c r="O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  <c r="AA292" s="88"/>
      <c r="AB292" s="165"/>
      <c r="AC292" s="91"/>
      <c r="AD292" s="88"/>
      <c r="AE292" s="88"/>
      <c r="AF292" s="165"/>
      <c r="AG292" s="88"/>
      <c r="AH292" s="88"/>
      <c r="AW292" s="146"/>
      <c r="AX292" s="54"/>
      <c r="AY292" s="54"/>
      <c r="AZ292" s="54"/>
      <c r="BA292" s="54"/>
    </row>
    <row r="293" spans="1:53" ht="13.5" thickBot="1" x14ac:dyDescent="0.25">
      <c r="A293" s="751" t="s">
        <v>120</v>
      </c>
      <c r="B293" s="751"/>
      <c r="C293" s="751"/>
      <c r="D293" s="751"/>
      <c r="E293" s="95"/>
      <c r="F293" s="973"/>
      <c r="G293" s="974"/>
      <c r="H293" s="974"/>
      <c r="I293" s="975"/>
      <c r="J293" s="976"/>
      <c r="K293" s="977"/>
      <c r="L293" s="977"/>
      <c r="M293" s="977"/>
      <c r="N293" s="977"/>
      <c r="O293" s="88"/>
      <c r="R293" s="96"/>
      <c r="S293" s="96"/>
      <c r="T293" s="96"/>
      <c r="U293" s="751" t="s">
        <v>120</v>
      </c>
      <c r="V293" s="751"/>
      <c r="W293" s="751"/>
      <c r="X293" s="751"/>
      <c r="Y293" s="751"/>
      <c r="Z293" s="751"/>
      <c r="AA293" s="751"/>
      <c r="AB293" s="88"/>
      <c r="AC293" s="741"/>
      <c r="AD293" s="742"/>
      <c r="AE293" s="742"/>
      <c r="AF293" s="743"/>
      <c r="AG293" s="744"/>
      <c r="AH293" s="745"/>
      <c r="AI293" s="745"/>
      <c r="AW293" s="146"/>
      <c r="AX293" s="54"/>
      <c r="AY293" s="54"/>
      <c r="AZ293" s="54"/>
      <c r="BA293" s="54"/>
    </row>
    <row r="294" spans="1:53" x14ac:dyDescent="0.2">
      <c r="A294" s="746" t="s">
        <v>109</v>
      </c>
      <c r="B294" s="746"/>
      <c r="C294" s="746"/>
      <c r="D294" s="746"/>
      <c r="E294" s="747"/>
      <c r="F294" s="748" t="str">
        <f>IF(J309=1,B301,IF(J309=2,B302,IF(J309=3,B303,IF(J309=4,B304,"Winner Match 2"))))</f>
        <v>KVC16-2</v>
      </c>
      <c r="G294" s="749"/>
      <c r="H294" s="749"/>
      <c r="I294" s="749"/>
      <c r="J294" s="749"/>
      <c r="K294" s="749"/>
      <c r="L294" s="749"/>
      <c r="M294" s="749"/>
      <c r="N294" s="749"/>
      <c r="O294" s="88"/>
      <c r="Q294" s="95"/>
      <c r="R294" s="95"/>
      <c r="T294" s="102"/>
      <c r="U294" s="746" t="s">
        <v>110</v>
      </c>
      <c r="V294" s="746"/>
      <c r="W294" s="746"/>
      <c r="X294" s="746"/>
      <c r="Y294" s="746"/>
      <c r="Z294" s="746"/>
      <c r="AA294" s="746"/>
      <c r="AB294" s="165"/>
      <c r="AC294" s="748" t="str">
        <f>IF(AE309=1,X301,IF(AE309=2,X302,IF(AE309=3,X303,IF(AE309=4,X304,"Winner Match 2"))))</f>
        <v>NETVC 16</v>
      </c>
      <c r="AD294" s="749"/>
      <c r="AE294" s="749"/>
      <c r="AF294" s="749"/>
      <c r="AG294" s="749"/>
      <c r="AH294" s="749"/>
      <c r="AI294" s="749"/>
      <c r="AW294" s="146"/>
      <c r="AX294" s="54"/>
      <c r="AY294" s="54"/>
      <c r="AZ294" s="54"/>
      <c r="BA294" s="54"/>
    </row>
    <row r="295" spans="1:53" ht="13.5" thickBot="1" x14ac:dyDescent="0.25">
      <c r="A295" s="736" t="str">
        <f>IF(G309=1,B301,IF(G309=2,B302,IF(G309=3,B303,IF(G309=4,B304,IF(OR(G309="B",G309="b"),"BYE","invalid")))))</f>
        <v>Agema 16</v>
      </c>
      <c r="B295" s="736"/>
      <c r="C295" s="736"/>
      <c r="D295" s="736"/>
      <c r="E295" s="737"/>
      <c r="F295" s="91"/>
      <c r="G295" s="88"/>
      <c r="H295" s="88"/>
      <c r="I295" s="88"/>
      <c r="J295" s="184"/>
      <c r="K295" s="88"/>
      <c r="L295" s="88"/>
      <c r="M295" s="88"/>
      <c r="N295" s="88"/>
      <c r="O295" s="88"/>
      <c r="Q295" s="88"/>
      <c r="R295" s="88"/>
      <c r="S295" s="88"/>
      <c r="T295" s="107"/>
      <c r="U295" s="107"/>
      <c r="V295" s="736" t="str">
        <f>IF(AB309=1,X301,IF(AB309=2,X302,IF(AB309=3,X303,IF(AB309=4,X304,IF(OR(AB309="B",AB309="b"),"BYE","invalid")))))</f>
        <v>Extreme 16 Heather</v>
      </c>
      <c r="W295" s="736"/>
      <c r="X295" s="736"/>
      <c r="Y295" s="736"/>
      <c r="Z295" s="736"/>
      <c r="AA295" s="736"/>
      <c r="AB295" s="737"/>
      <c r="AC295" s="88"/>
      <c r="AD295" s="88"/>
      <c r="AE295" s="88"/>
      <c r="AF295" s="88"/>
      <c r="AW295" s="146"/>
      <c r="AX295" s="54"/>
      <c r="AY295" s="54"/>
      <c r="AZ295" s="54"/>
      <c r="BA295" s="54"/>
    </row>
    <row r="296" spans="1:53" x14ac:dyDescent="0.2">
      <c r="A296" s="738" t="s">
        <v>158</v>
      </c>
      <c r="B296" s="738"/>
      <c r="C296" s="738"/>
      <c r="D296" s="738"/>
      <c r="E296" s="738"/>
      <c r="T296" s="104"/>
      <c r="U296" s="104"/>
      <c r="V296" s="739" t="s">
        <v>159</v>
      </c>
      <c r="W296" s="739"/>
      <c r="X296" s="739"/>
      <c r="Y296" s="739"/>
      <c r="Z296" s="739"/>
      <c r="AA296" s="739"/>
      <c r="AB296" s="739"/>
      <c r="AW296" s="146"/>
      <c r="AX296" s="54"/>
      <c r="AY296" s="54"/>
      <c r="AZ296" s="54"/>
      <c r="BA296" s="54"/>
    </row>
    <row r="297" spans="1:53" x14ac:dyDescent="0.2">
      <c r="AT297" s="54"/>
      <c r="AU297" s="54"/>
      <c r="AV297" s="54"/>
      <c r="AW297" s="146"/>
      <c r="AX297" s="54"/>
      <c r="AY297" s="54"/>
      <c r="AZ297" s="54"/>
      <c r="BA297" s="54"/>
    </row>
    <row r="298" spans="1:53" x14ac:dyDescent="0.2">
      <c r="AT298" s="54"/>
      <c r="AU298" s="54"/>
      <c r="AV298" s="54"/>
      <c r="AW298" s="146"/>
      <c r="AX298" s="54"/>
      <c r="AY298" s="54"/>
      <c r="AZ298" s="54"/>
      <c r="BA298" s="54"/>
    </row>
    <row r="299" spans="1:53" ht="16.5" thickBot="1" x14ac:dyDescent="0.3">
      <c r="A299" s="740" t="s">
        <v>123</v>
      </c>
      <c r="B299" s="740"/>
      <c r="C299" s="740"/>
      <c r="D299" s="740"/>
      <c r="E299" s="740"/>
      <c r="F299" s="740"/>
      <c r="G299" s="740"/>
      <c r="H299" s="740"/>
      <c r="I299" s="740"/>
      <c r="J299" s="740"/>
      <c r="K299" s="169"/>
      <c r="R299" s="82"/>
      <c r="S299" s="82"/>
      <c r="T299" s="82"/>
      <c r="U299" s="740" t="s">
        <v>124</v>
      </c>
      <c r="V299" s="740"/>
      <c r="W299" s="740"/>
      <c r="X299" s="740"/>
      <c r="Y299" s="740"/>
      <c r="Z299" s="740"/>
      <c r="AA299" s="740"/>
      <c r="AB299" s="740"/>
      <c r="AC299" s="740"/>
      <c r="AD299" s="740"/>
      <c r="AE299" s="740"/>
      <c r="AF299" s="740"/>
      <c r="AT299" s="54"/>
      <c r="AU299" s="54"/>
      <c r="AV299" s="54"/>
      <c r="AW299" s="146"/>
      <c r="AX299" s="54"/>
      <c r="AY299" s="54"/>
      <c r="AZ299" s="54"/>
      <c r="BA299" s="54"/>
    </row>
    <row r="300" spans="1:53" ht="13.5" thickBot="1" x14ac:dyDescent="0.25">
      <c r="A300" s="113" t="s">
        <v>125</v>
      </c>
      <c r="B300" s="730" t="s">
        <v>126</v>
      </c>
      <c r="C300" s="731"/>
      <c r="D300" s="731"/>
      <c r="E300" s="731"/>
      <c r="F300" s="731"/>
      <c r="G300" s="731"/>
      <c r="H300" s="731"/>
      <c r="I300" s="731"/>
      <c r="J300" s="732"/>
      <c r="K300" s="733" t="s">
        <v>127</v>
      </c>
      <c r="L300" s="734"/>
      <c r="M300" s="734"/>
      <c r="N300" s="734"/>
      <c r="O300" s="734"/>
      <c r="P300" s="734"/>
      <c r="Q300" s="735"/>
      <c r="R300" s="88"/>
      <c r="U300" s="718" t="s">
        <v>125</v>
      </c>
      <c r="V300" s="719"/>
      <c r="W300" s="720"/>
      <c r="X300" s="730" t="s">
        <v>126</v>
      </c>
      <c r="Y300" s="731"/>
      <c r="Z300" s="731"/>
      <c r="AA300" s="731"/>
      <c r="AB300" s="731"/>
      <c r="AC300" s="731"/>
      <c r="AD300" s="731"/>
      <c r="AE300" s="731"/>
      <c r="AF300" s="732"/>
      <c r="AG300" s="733" t="s">
        <v>127</v>
      </c>
      <c r="AH300" s="734"/>
      <c r="AI300" s="734"/>
      <c r="AJ300" s="734"/>
      <c r="AK300" s="734"/>
      <c r="AL300" s="734"/>
      <c r="AM300" s="735"/>
      <c r="AT300" s="54"/>
      <c r="AU300" s="54"/>
      <c r="AV300" s="54"/>
      <c r="AW300" s="146"/>
      <c r="AX300" s="54"/>
      <c r="AY300" s="54"/>
      <c r="AZ300" s="54"/>
      <c r="BA300" s="54"/>
    </row>
    <row r="301" spans="1:53" ht="13.5" thickBot="1" x14ac:dyDescent="0.25">
      <c r="A301" s="113">
        <v>1</v>
      </c>
      <c r="B301" s="712" t="str">
        <f>B264</f>
        <v>KVC16-1</v>
      </c>
      <c r="C301" s="713"/>
      <c r="D301" s="713"/>
      <c r="E301" s="713"/>
      <c r="F301" s="713"/>
      <c r="G301" s="713"/>
      <c r="H301" s="713"/>
      <c r="I301" s="713"/>
      <c r="J301" s="714"/>
      <c r="K301" s="715" t="str">
        <f>F264</f>
        <v>fj6kvctn1so</v>
      </c>
      <c r="L301" s="716"/>
      <c r="M301" s="716"/>
      <c r="N301" s="716"/>
      <c r="O301" s="716"/>
      <c r="P301" s="716"/>
      <c r="Q301" s="717"/>
      <c r="R301" s="88"/>
      <c r="U301" s="718">
        <v>1</v>
      </c>
      <c r="V301" s="719"/>
      <c r="W301" s="720"/>
      <c r="X301" s="712" t="str">
        <f>M270</f>
        <v>Sumter VBC 16 Heath</v>
      </c>
      <c r="Y301" s="713"/>
      <c r="Z301" s="713"/>
      <c r="AA301" s="713"/>
      <c r="AB301" s="713"/>
      <c r="AC301" s="713"/>
      <c r="AD301" s="713"/>
      <c r="AE301" s="713"/>
      <c r="AF301" s="714"/>
      <c r="AG301" s="715" t="str">
        <f>T270</f>
        <v>fj6sumtr1pm</v>
      </c>
      <c r="AH301" s="716"/>
      <c r="AI301" s="716"/>
      <c r="AJ301" s="716"/>
      <c r="AK301" s="716"/>
      <c r="AL301" s="716"/>
      <c r="AM301" s="717"/>
      <c r="AT301" s="54"/>
      <c r="AU301" s="54"/>
      <c r="AV301" s="54"/>
      <c r="AW301" s="146"/>
      <c r="AX301" s="54"/>
      <c r="AY301" s="54"/>
      <c r="AZ301" s="54"/>
      <c r="BA301" s="54"/>
    </row>
    <row r="302" spans="1:53" ht="13.5" thickBot="1" x14ac:dyDescent="0.25">
      <c r="A302" s="113">
        <v>2</v>
      </c>
      <c r="B302" s="712" t="str">
        <f>B265</f>
        <v>KVC16-2</v>
      </c>
      <c r="C302" s="713"/>
      <c r="D302" s="713"/>
      <c r="E302" s="713"/>
      <c r="F302" s="713"/>
      <c r="G302" s="713"/>
      <c r="H302" s="713"/>
      <c r="I302" s="713"/>
      <c r="J302" s="714"/>
      <c r="K302" s="715" t="str">
        <f>F265</f>
        <v>fj6kvctn2so</v>
      </c>
      <c r="L302" s="716"/>
      <c r="M302" s="716"/>
      <c r="N302" s="716"/>
      <c r="O302" s="716"/>
      <c r="P302" s="716"/>
      <c r="Q302" s="717"/>
      <c r="R302" s="88"/>
      <c r="U302" s="718">
        <v>2</v>
      </c>
      <c r="V302" s="719"/>
      <c r="W302" s="720"/>
      <c r="X302" s="712" t="str">
        <f>M271</f>
        <v>NETVC 16</v>
      </c>
      <c r="Y302" s="713"/>
      <c r="Z302" s="713"/>
      <c r="AA302" s="713"/>
      <c r="AB302" s="713"/>
      <c r="AC302" s="713"/>
      <c r="AD302" s="713"/>
      <c r="AE302" s="713"/>
      <c r="AF302" s="714"/>
      <c r="AG302" s="715" t="str">
        <f>T271</f>
        <v>fj6netvc1so</v>
      </c>
      <c r="AH302" s="716"/>
      <c r="AI302" s="716"/>
      <c r="AJ302" s="716"/>
      <c r="AK302" s="716"/>
      <c r="AL302" s="716"/>
      <c r="AM302" s="717"/>
      <c r="AT302" s="54"/>
      <c r="AU302" s="54"/>
      <c r="AV302" s="54"/>
      <c r="AW302" s="146"/>
      <c r="AX302" s="54"/>
      <c r="AY302" s="54"/>
      <c r="AZ302" s="54"/>
      <c r="BA302" s="54"/>
    </row>
    <row r="303" spans="1:53" ht="13.5" thickBot="1" x14ac:dyDescent="0.25">
      <c r="A303" s="113">
        <v>3</v>
      </c>
      <c r="B303" s="712" t="str">
        <f>B266</f>
        <v>Agema 16</v>
      </c>
      <c r="C303" s="713"/>
      <c r="D303" s="713"/>
      <c r="E303" s="713"/>
      <c r="F303" s="713"/>
      <c r="G303" s="713"/>
      <c r="H303" s="713"/>
      <c r="I303" s="713"/>
      <c r="J303" s="714"/>
      <c r="K303" s="715" t="str">
        <f>F266</f>
        <v>fj6agema1pm</v>
      </c>
      <c r="L303" s="716"/>
      <c r="M303" s="716"/>
      <c r="N303" s="716"/>
      <c r="O303" s="716"/>
      <c r="P303" s="716"/>
      <c r="Q303" s="717"/>
      <c r="R303" s="88"/>
      <c r="U303" s="718">
        <v>3</v>
      </c>
      <c r="V303" s="719"/>
      <c r="W303" s="720"/>
      <c r="X303" s="712" t="str">
        <f>X269</f>
        <v>Extreme 16 Heather</v>
      </c>
      <c r="Y303" s="713"/>
      <c r="Z303" s="713"/>
      <c r="AA303" s="713"/>
      <c r="AB303" s="713"/>
      <c r="AC303" s="713"/>
      <c r="AD303" s="713"/>
      <c r="AE303" s="713"/>
      <c r="AF303" s="714"/>
      <c r="AG303" s="715" t="str">
        <f>AF269</f>
        <v>fj6triex5so</v>
      </c>
      <c r="AH303" s="716"/>
      <c r="AI303" s="716"/>
      <c r="AJ303" s="716"/>
      <c r="AK303" s="716"/>
      <c r="AL303" s="716"/>
      <c r="AM303" s="717"/>
      <c r="AT303" s="54"/>
      <c r="AU303" s="54"/>
      <c r="AV303" s="54"/>
      <c r="AW303" s="146"/>
      <c r="AX303" s="54"/>
      <c r="AY303" s="54"/>
      <c r="AZ303" s="54"/>
      <c r="BA303" s="54"/>
    </row>
    <row r="304" spans="1:53" ht="13.5" thickBot="1" x14ac:dyDescent="0.25">
      <c r="A304" s="113">
        <v>4</v>
      </c>
      <c r="B304" s="970" t="str">
        <f>M269</f>
        <v>SC Midlands 17 Black</v>
      </c>
      <c r="C304" s="971"/>
      <c r="D304" s="971"/>
      <c r="E304" s="971"/>
      <c r="F304" s="971"/>
      <c r="G304" s="971"/>
      <c r="H304" s="971"/>
      <c r="I304" s="971"/>
      <c r="J304" s="972"/>
      <c r="K304" s="715" t="str">
        <f>T269</f>
        <v>fj7scmid2pm</v>
      </c>
      <c r="L304" s="716"/>
      <c r="M304" s="716"/>
      <c r="N304" s="716"/>
      <c r="O304" s="716"/>
      <c r="P304" s="716"/>
      <c r="Q304" s="717"/>
      <c r="R304" s="88"/>
      <c r="U304" s="718">
        <v>4</v>
      </c>
      <c r="V304" s="719"/>
      <c r="W304" s="720"/>
      <c r="X304" s="712" t="str">
        <f>X270</f>
        <v>Sumter VBC 17</v>
      </c>
      <c r="Y304" s="713"/>
      <c r="Z304" s="713"/>
      <c r="AA304" s="713"/>
      <c r="AB304" s="713"/>
      <c r="AC304" s="713"/>
      <c r="AD304" s="713"/>
      <c r="AE304" s="713"/>
      <c r="AF304" s="714"/>
      <c r="AG304" s="715" t="str">
        <f>AF270</f>
        <v>fj7sumtr1pm</v>
      </c>
      <c r="AH304" s="716"/>
      <c r="AI304" s="716"/>
      <c r="AJ304" s="716"/>
      <c r="AK304" s="716"/>
      <c r="AL304" s="716"/>
      <c r="AM304" s="717"/>
      <c r="AT304" s="54"/>
      <c r="AU304" s="54"/>
      <c r="AV304" s="54"/>
      <c r="AW304" s="146"/>
      <c r="AX304" s="54"/>
      <c r="AY304" s="54"/>
      <c r="AZ304" s="54"/>
      <c r="BA304" s="54"/>
    </row>
    <row r="305" spans="1:68" ht="13.5" thickBot="1" x14ac:dyDescent="0.25">
      <c r="AT305" s="54"/>
      <c r="AU305" s="54"/>
      <c r="AV305" s="54"/>
      <c r="AW305" s="146"/>
      <c r="AX305" s="54"/>
      <c r="AY305" s="54"/>
      <c r="AZ305" s="54"/>
      <c r="BA305" s="54"/>
    </row>
    <row r="306" spans="1:68" x14ac:dyDescent="0.2">
      <c r="B306" s="721" t="s">
        <v>128</v>
      </c>
      <c r="C306" s="693"/>
      <c r="D306" s="694"/>
      <c r="E306" s="692" t="s">
        <v>128</v>
      </c>
      <c r="F306" s="693"/>
      <c r="G306" s="694"/>
      <c r="H306" s="692" t="s">
        <v>11</v>
      </c>
      <c r="I306" s="693"/>
      <c r="J306" s="695"/>
      <c r="K306" s="696" t="s">
        <v>129</v>
      </c>
      <c r="L306" s="722"/>
      <c r="M306" s="722"/>
      <c r="N306" s="722"/>
      <c r="O306" s="722"/>
      <c r="P306" s="722"/>
      <c r="Q306" s="723"/>
      <c r="R306" s="85"/>
      <c r="S306" s="85"/>
      <c r="T306" s="85"/>
      <c r="U306" s="85"/>
      <c r="W306" s="721" t="s">
        <v>128</v>
      </c>
      <c r="X306" s="693"/>
      <c r="Y306" s="694"/>
      <c r="Z306" s="692" t="s">
        <v>128</v>
      </c>
      <c r="AA306" s="693"/>
      <c r="AB306" s="694"/>
      <c r="AC306" s="692" t="s">
        <v>11</v>
      </c>
      <c r="AD306" s="693"/>
      <c r="AE306" s="695"/>
      <c r="AF306" s="696" t="s">
        <v>129</v>
      </c>
      <c r="AG306" s="697"/>
      <c r="AH306" s="697"/>
      <c r="AI306" s="697"/>
      <c r="AJ306" s="698"/>
      <c r="AW306" s="146"/>
      <c r="AX306" s="54"/>
      <c r="AY306" s="54"/>
      <c r="AZ306" s="54"/>
      <c r="BA306" s="54"/>
    </row>
    <row r="307" spans="1:68" x14ac:dyDescent="0.2">
      <c r="A307" s="41" t="s">
        <v>130</v>
      </c>
      <c r="B307" s="705">
        <v>3</v>
      </c>
      <c r="C307" s="706"/>
      <c r="D307" s="707"/>
      <c r="E307" s="708" t="s">
        <v>131</v>
      </c>
      <c r="F307" s="706"/>
      <c r="G307" s="707"/>
      <c r="H307" s="708" t="s">
        <v>132</v>
      </c>
      <c r="I307" s="706"/>
      <c r="J307" s="709"/>
      <c r="K307" s="724"/>
      <c r="L307" s="725"/>
      <c r="M307" s="725"/>
      <c r="N307" s="725"/>
      <c r="O307" s="725"/>
      <c r="P307" s="725"/>
      <c r="Q307" s="726"/>
      <c r="R307" s="85"/>
      <c r="S307" s="85"/>
      <c r="T307" s="710" t="s">
        <v>130</v>
      </c>
      <c r="U307" s="710"/>
      <c r="V307" s="711"/>
      <c r="W307" s="705">
        <v>3</v>
      </c>
      <c r="X307" s="706"/>
      <c r="Y307" s="707"/>
      <c r="Z307" s="708" t="s">
        <v>131</v>
      </c>
      <c r="AA307" s="706"/>
      <c r="AB307" s="707"/>
      <c r="AC307" s="708" t="s">
        <v>132</v>
      </c>
      <c r="AD307" s="706"/>
      <c r="AE307" s="709"/>
      <c r="AF307" s="699"/>
      <c r="AG307" s="700"/>
      <c r="AH307" s="700"/>
      <c r="AI307" s="700"/>
      <c r="AJ307" s="701"/>
      <c r="AW307" s="146"/>
      <c r="AX307" s="54"/>
      <c r="AY307" s="54"/>
      <c r="AZ307" s="54"/>
      <c r="BA307" s="54"/>
    </row>
    <row r="308" spans="1:68" ht="13.5" thickBot="1" x14ac:dyDescent="0.25">
      <c r="A308" s="11"/>
      <c r="B308" s="690" t="s">
        <v>43</v>
      </c>
      <c r="C308" s="685"/>
      <c r="D308" s="691"/>
      <c r="E308" s="684" t="s">
        <v>133</v>
      </c>
      <c r="F308" s="685"/>
      <c r="G308" s="691"/>
      <c r="H308" s="684" t="s">
        <v>134</v>
      </c>
      <c r="I308" s="685"/>
      <c r="J308" s="686"/>
      <c r="K308" s="727"/>
      <c r="L308" s="728"/>
      <c r="M308" s="728"/>
      <c r="N308" s="728"/>
      <c r="O308" s="728"/>
      <c r="P308" s="728"/>
      <c r="Q308" s="729"/>
      <c r="R308" s="85"/>
      <c r="S308" s="85"/>
      <c r="T308" s="671"/>
      <c r="U308" s="671"/>
      <c r="V308" s="672"/>
      <c r="W308" s="690" t="s">
        <v>43</v>
      </c>
      <c r="X308" s="685"/>
      <c r="Y308" s="691"/>
      <c r="Z308" s="684" t="s">
        <v>133</v>
      </c>
      <c r="AA308" s="685"/>
      <c r="AB308" s="691"/>
      <c r="AC308" s="684" t="s">
        <v>134</v>
      </c>
      <c r="AD308" s="685"/>
      <c r="AE308" s="686"/>
      <c r="AF308" s="702"/>
      <c r="AG308" s="703"/>
      <c r="AH308" s="703"/>
      <c r="AI308" s="703"/>
      <c r="AJ308" s="704"/>
      <c r="AW308" s="146"/>
      <c r="AX308" s="54"/>
      <c r="AY308" s="54"/>
      <c r="AZ308" s="54"/>
      <c r="BA308" s="54"/>
    </row>
    <row r="309" spans="1:68" ht="13.5" thickBot="1" x14ac:dyDescent="0.25">
      <c r="A309" s="11"/>
      <c r="B309" s="117">
        <v>1</v>
      </c>
      <c r="C309" s="118" t="s">
        <v>51</v>
      </c>
      <c r="D309" s="119">
        <v>4</v>
      </c>
      <c r="E309" s="120">
        <v>2</v>
      </c>
      <c r="F309" s="118" t="s">
        <v>51</v>
      </c>
      <c r="G309" s="119">
        <v>3</v>
      </c>
      <c r="H309" s="121">
        <f>IF(OR(AND(OR(B313&gt;0,D313&gt;0),B313&gt;D313),OR(D309="b",D309="B")),B309,IF(OR(AND(OR(B313&gt;0,D313&gt;0),D313&gt;B313),OR(B309="b",B309="B")),D309,"W1"))</f>
        <v>1</v>
      </c>
      <c r="I309" s="122" t="s">
        <v>51</v>
      </c>
      <c r="J309" s="123">
        <f>IF(OR(AND(OR(E313&gt;0,G313&gt;0),E313&gt;G313),OR(G309="b",G309="B")),E309,IF(OR(AND(OR(E313&gt;0,G313&gt;0),G313&gt;E313),OR(E309="b",E309="B")),G309,"W2"))</f>
        <v>2</v>
      </c>
      <c r="K309" s="687" t="s">
        <v>135</v>
      </c>
      <c r="L309" s="688"/>
      <c r="M309" s="688"/>
      <c r="N309" s="689"/>
      <c r="R309" s="85"/>
      <c r="S309" s="85"/>
      <c r="T309" s="671"/>
      <c r="U309" s="671"/>
      <c r="V309" s="672"/>
      <c r="W309" s="117">
        <v>1</v>
      </c>
      <c r="X309" s="118" t="s">
        <v>51</v>
      </c>
      <c r="Y309" s="119">
        <v>4</v>
      </c>
      <c r="Z309" s="120">
        <v>2</v>
      </c>
      <c r="AA309" s="118" t="s">
        <v>51</v>
      </c>
      <c r="AB309" s="119">
        <v>3</v>
      </c>
      <c r="AC309" s="121">
        <f>IF(OR(AND(OR(W313&gt;0,Y313&gt;0),W313&gt;Y313),OR(Y309="b",Y309="B")),W309,IF(OR(AND(OR(W313&gt;0,Y313&gt;0),Y313&gt;W313),OR(W309="b",W309="B")),Y309,"W1"))</f>
        <v>1</v>
      </c>
      <c r="AD309" s="122" t="s">
        <v>51</v>
      </c>
      <c r="AE309" s="123">
        <f>IF(OR(AND(OR(Z313&gt;0,AB313&gt;0),Z313&gt;AB313),OR(AB313="b",AB313="B")),Z309,IF(OR(AND(OR(Z313&gt;0,AB313&gt;0),AB313&gt;Z313),OR(Z313="b",Z313="B")),AB309,"W2"))</f>
        <v>2</v>
      </c>
      <c r="AF309" s="687" t="s">
        <v>135</v>
      </c>
      <c r="AG309" s="689"/>
      <c r="AH309" s="85"/>
      <c r="AI309" s="85"/>
      <c r="AJ309" s="85"/>
      <c r="AW309" s="146"/>
      <c r="AX309" s="54"/>
      <c r="AY309" s="54"/>
      <c r="AZ309" s="54"/>
      <c r="BA309" s="54"/>
    </row>
    <row r="310" spans="1:68" ht="13.5" hidden="1" customHeight="1" x14ac:dyDescent="0.2">
      <c r="A310" s="11"/>
      <c r="B310" s="129">
        <f>IF(B314&gt;D314,1,0)</f>
        <v>1</v>
      </c>
      <c r="C310" s="130"/>
      <c r="D310" s="131">
        <f>IF(D314&gt;B314,1,0)</f>
        <v>0</v>
      </c>
      <c r="E310" s="129">
        <f>IF(E314&gt;G314,1,0)</f>
        <v>1</v>
      </c>
      <c r="F310" s="130"/>
      <c r="G310" s="131">
        <f>IF(G314&gt;E314,1,0)</f>
        <v>0</v>
      </c>
      <c r="H310" s="129">
        <f>IF(H314&gt;J314,1,0)</f>
        <v>1</v>
      </c>
      <c r="I310" s="130"/>
      <c r="J310" s="131">
        <f>IF(J314&gt;H314,1,0)</f>
        <v>0</v>
      </c>
      <c r="K310" s="132"/>
      <c r="L310" s="133"/>
      <c r="M310" s="133"/>
      <c r="N310" s="134"/>
      <c r="R310" s="85"/>
      <c r="S310" s="85"/>
      <c r="T310" s="671"/>
      <c r="U310" s="671"/>
      <c r="V310" s="672"/>
      <c r="W310" s="129">
        <f>IF(W314&gt;Y314,1,0)</f>
        <v>1</v>
      </c>
      <c r="X310" s="130"/>
      <c r="Y310" s="131">
        <f>IF(Y314&gt;W314,1,0)</f>
        <v>0</v>
      </c>
      <c r="Z310" s="129">
        <f>IF(Z314&gt;AB314,1,0)</f>
        <v>1</v>
      </c>
      <c r="AA310" s="130"/>
      <c r="AB310" s="131">
        <f>IF(AB314&gt;Z314,1,0)</f>
        <v>0</v>
      </c>
      <c r="AC310" s="129">
        <f>IF(AC314&gt;AE314,1,0)</f>
        <v>0</v>
      </c>
      <c r="AD310" s="130"/>
      <c r="AE310" s="131">
        <f>IF(AE314&gt;AC314,1,0)</f>
        <v>1</v>
      </c>
      <c r="AF310" s="124"/>
      <c r="AG310" s="125"/>
      <c r="AH310" s="85"/>
      <c r="AI310" s="85"/>
      <c r="AJ310" s="85"/>
      <c r="AW310" s="146"/>
      <c r="AX310" s="54"/>
      <c r="AY310" s="54"/>
      <c r="AZ310" s="54"/>
      <c r="BA310" s="54"/>
    </row>
    <row r="311" spans="1:68" ht="13.5" hidden="1" customHeight="1" x14ac:dyDescent="0.2">
      <c r="A311" s="11"/>
      <c r="B311" s="129">
        <f>IF(B315&gt;D315,1,0)</f>
        <v>0</v>
      </c>
      <c r="C311" s="130"/>
      <c r="D311" s="131">
        <f>IF(D315&gt;B315,1,0)</f>
        <v>0</v>
      </c>
      <c r="E311" s="129">
        <f>IF(E315&gt;G315,1,0)</f>
        <v>0</v>
      </c>
      <c r="F311" s="130"/>
      <c r="G311" s="131">
        <f>IF(G315&gt;E315,1,0)</f>
        <v>0</v>
      </c>
      <c r="H311" s="129">
        <f>IF(H315&gt;J315,1,0)</f>
        <v>1</v>
      </c>
      <c r="I311" s="130"/>
      <c r="J311" s="131">
        <f>IF(J315&gt;H315,1,0)</f>
        <v>0</v>
      </c>
      <c r="K311" s="132"/>
      <c r="L311" s="133"/>
      <c r="M311" s="133"/>
      <c r="N311" s="134"/>
      <c r="R311" s="85"/>
      <c r="S311" s="85"/>
      <c r="T311" s="671"/>
      <c r="U311" s="671"/>
      <c r="V311" s="672"/>
      <c r="W311" s="129">
        <f>IF(W315&gt;Y315,1,0)</f>
        <v>0</v>
      </c>
      <c r="X311" s="130"/>
      <c r="Y311" s="131">
        <f>IF(Y315&gt;W315,1,0)</f>
        <v>0</v>
      </c>
      <c r="Z311" s="129">
        <f>IF(Z315&gt;AB315,1,0)</f>
        <v>0</v>
      </c>
      <c r="AA311" s="130"/>
      <c r="AB311" s="131">
        <f>IF(AB315&gt;Z315,1,0)</f>
        <v>0</v>
      </c>
      <c r="AC311" s="129">
        <f>IF(AC315&gt;AE315,1,0)</f>
        <v>1</v>
      </c>
      <c r="AD311" s="130"/>
      <c r="AE311" s="131">
        <f>IF(AE315&gt;AC315,1,0)</f>
        <v>0</v>
      </c>
      <c r="AF311" s="124"/>
      <c r="AG311" s="125"/>
      <c r="AH311" s="85"/>
      <c r="AI311" s="85"/>
      <c r="AJ311" s="85"/>
      <c r="AW311" s="146"/>
      <c r="AX311" s="54"/>
      <c r="AY311" s="54"/>
      <c r="AZ311" s="54"/>
      <c r="BA311" s="54"/>
    </row>
    <row r="312" spans="1:68" ht="13.5" hidden="1" customHeight="1" thickBot="1" x14ac:dyDescent="0.25">
      <c r="A312" s="11"/>
      <c r="B312" s="129">
        <f>IF(B316&gt;D316,1,0)</f>
        <v>0</v>
      </c>
      <c r="C312" s="130"/>
      <c r="D312" s="131">
        <f>IF(D316&gt;B316,1,0)</f>
        <v>0</v>
      </c>
      <c r="E312" s="129">
        <f>IF(E316&gt;G316,1,0)</f>
        <v>0</v>
      </c>
      <c r="F312" s="130"/>
      <c r="G312" s="131">
        <f>IF(G316&gt;E316,1,0)</f>
        <v>0</v>
      </c>
      <c r="H312" s="129">
        <f>IF(H316&gt;J316,1,0)</f>
        <v>0</v>
      </c>
      <c r="I312" s="130"/>
      <c r="J312" s="131">
        <f>IF(J316&gt;H316,1,0)</f>
        <v>0</v>
      </c>
      <c r="K312" s="132"/>
      <c r="L312" s="133"/>
      <c r="M312" s="133"/>
      <c r="N312" s="134"/>
      <c r="R312" s="85"/>
      <c r="S312" s="85"/>
      <c r="T312" s="671"/>
      <c r="U312" s="671"/>
      <c r="V312" s="672"/>
      <c r="W312" s="129">
        <f>IF(W316&gt;Y316,1,0)</f>
        <v>0</v>
      </c>
      <c r="X312" s="130"/>
      <c r="Y312" s="131">
        <f>IF(Y316&gt;W316,1,0)</f>
        <v>0</v>
      </c>
      <c r="Z312" s="129">
        <f>IF(Z316&gt;AB316,1,0)</f>
        <v>0</v>
      </c>
      <c r="AA312" s="130"/>
      <c r="AB312" s="131">
        <f>IF(AB316&gt;Z316,1,0)</f>
        <v>0</v>
      </c>
      <c r="AC312" s="129">
        <f>IF(AC316&gt;AE316,1,0)</f>
        <v>1</v>
      </c>
      <c r="AD312" s="130"/>
      <c r="AE312" s="131">
        <f>IF(AE316&gt;AC316,1,0)</f>
        <v>0</v>
      </c>
      <c r="AF312" s="124"/>
      <c r="AG312" s="125"/>
      <c r="AH312" s="85"/>
      <c r="AI312" s="85"/>
      <c r="AJ312" s="85"/>
      <c r="AW312" s="146"/>
      <c r="AX312" s="54"/>
      <c r="AY312" s="54"/>
      <c r="AZ312" s="54"/>
      <c r="BA312" s="54"/>
    </row>
    <row r="313" spans="1:68" ht="13.5" hidden="1" customHeight="1" x14ac:dyDescent="0.2">
      <c r="A313" s="11"/>
      <c r="B313" s="129">
        <f>SUM(B310:B312)</f>
        <v>1</v>
      </c>
      <c r="C313" s="130"/>
      <c r="D313" s="129">
        <f>SUM(D310:D312)</f>
        <v>0</v>
      </c>
      <c r="E313" s="129">
        <f>SUM(E310:E312)</f>
        <v>1</v>
      </c>
      <c r="F313" s="130"/>
      <c r="G313" s="129">
        <f>SUM(G310:G312)</f>
        <v>0</v>
      </c>
      <c r="H313" s="129">
        <f>SUM(H310:H312)</f>
        <v>2</v>
      </c>
      <c r="I313" s="130"/>
      <c r="J313" s="129">
        <f>SUM(J310:J312)</f>
        <v>0</v>
      </c>
      <c r="K313" s="132"/>
      <c r="L313" s="133"/>
      <c r="M313" s="133"/>
      <c r="N313" s="134"/>
      <c r="R313" s="85"/>
      <c r="S313" s="85"/>
      <c r="T313" s="671"/>
      <c r="U313" s="671"/>
      <c r="V313" s="672"/>
      <c r="W313" s="129">
        <f>SUM(W310:W312)</f>
        <v>1</v>
      </c>
      <c r="X313" s="130"/>
      <c r="Y313" s="129">
        <f>SUM(Y310:Y312)</f>
        <v>0</v>
      </c>
      <c r="Z313" s="129">
        <f>SUM(Z310:Z312)</f>
        <v>1</v>
      </c>
      <c r="AA313" s="130"/>
      <c r="AB313" s="129">
        <f>SUM(AB310:AB312)</f>
        <v>0</v>
      </c>
      <c r="AC313" s="129">
        <f>SUM(AC310:AC312)</f>
        <v>2</v>
      </c>
      <c r="AD313" s="130"/>
      <c r="AE313" s="129">
        <f>SUM(AE310:AE312)</f>
        <v>1</v>
      </c>
      <c r="AF313" s="124"/>
      <c r="AG313" s="125"/>
      <c r="AH313" s="85"/>
      <c r="AI313" s="85"/>
      <c r="AJ313" s="85"/>
      <c r="AW313" s="146"/>
      <c r="AX313" s="54"/>
      <c r="AY313" s="54"/>
      <c r="AZ313" s="54"/>
      <c r="BA313" s="54"/>
    </row>
    <row r="314" spans="1:68" ht="12.75" customHeight="1" x14ac:dyDescent="0.2">
      <c r="A314" s="9" t="s">
        <v>52</v>
      </c>
      <c r="B314" s="135">
        <v>25</v>
      </c>
      <c r="C314" s="50" t="s">
        <v>53</v>
      </c>
      <c r="D314" s="136">
        <v>15</v>
      </c>
      <c r="E314" s="137">
        <v>25</v>
      </c>
      <c r="F314" s="50" t="s">
        <v>53</v>
      </c>
      <c r="G314" s="136">
        <v>16</v>
      </c>
      <c r="H314" s="137">
        <v>25</v>
      </c>
      <c r="I314" s="50" t="s">
        <v>53</v>
      </c>
      <c r="J314" s="138">
        <v>19</v>
      </c>
      <c r="K314" s="673">
        <f>IF(AND(OR(H313&gt;0,J313&gt;0),AND(1&lt;=H309,H309&lt;=4),AND(1&lt;=J309,J309&lt;=4)),IF(H313&gt;J313,H309,IF(J313&gt;H313,J309,"")),"")</f>
        <v>1</v>
      </c>
      <c r="L314" s="674"/>
      <c r="M314" s="674"/>
      <c r="N314" s="675"/>
      <c r="R314" s="85"/>
      <c r="S314" s="85"/>
      <c r="T314" s="86"/>
      <c r="U314" s="86"/>
      <c r="V314" s="9" t="s">
        <v>52</v>
      </c>
      <c r="W314" s="135">
        <v>25</v>
      </c>
      <c r="X314" s="50" t="s">
        <v>53</v>
      </c>
      <c r="Y314" s="136">
        <v>14</v>
      </c>
      <c r="Z314" s="137">
        <v>25</v>
      </c>
      <c r="AA314" s="50" t="s">
        <v>53</v>
      </c>
      <c r="AB314" s="136">
        <v>16</v>
      </c>
      <c r="AC314" s="137">
        <v>21</v>
      </c>
      <c r="AD314" s="50" t="s">
        <v>53</v>
      </c>
      <c r="AE314" s="138">
        <v>25</v>
      </c>
      <c r="AF314" s="673">
        <f>IF(AND(OR(AC313&gt;0,AE313&gt;0),AND(1&lt;=AC309,AC309&lt;=4),AND(1&lt;=AE309,AE309&lt;=4)),IF(AC313&gt;AE313,AC309,IF(AE313&gt;AC313,AE309,"")),"")</f>
        <v>1</v>
      </c>
      <c r="AG314" s="675"/>
      <c r="AH314" s="85"/>
      <c r="AI314" s="85"/>
      <c r="AJ314" s="85"/>
      <c r="AW314" s="146"/>
      <c r="AX314" s="54"/>
      <c r="AY314" s="54"/>
      <c r="AZ314" s="54"/>
      <c r="BA314" s="54"/>
    </row>
    <row r="315" spans="1:68" ht="12.75" customHeight="1" x14ac:dyDescent="0.2">
      <c r="A315" s="9" t="s">
        <v>136</v>
      </c>
      <c r="B315" s="135"/>
      <c r="C315" s="50" t="s">
        <v>53</v>
      </c>
      <c r="D315" s="136"/>
      <c r="E315" s="137"/>
      <c r="F315" s="50" t="s">
        <v>53</v>
      </c>
      <c r="G315" s="136"/>
      <c r="H315" s="137">
        <v>25</v>
      </c>
      <c r="I315" s="50" t="s">
        <v>53</v>
      </c>
      <c r="J315" s="138">
        <v>22</v>
      </c>
      <c r="K315" s="676"/>
      <c r="L315" s="677"/>
      <c r="M315" s="677"/>
      <c r="N315" s="678"/>
      <c r="R315" s="85"/>
      <c r="S315" s="85"/>
      <c r="T315" s="86"/>
      <c r="U315" s="86"/>
      <c r="V315" s="9" t="s">
        <v>136</v>
      </c>
      <c r="W315" s="135"/>
      <c r="X315" s="50" t="s">
        <v>53</v>
      </c>
      <c r="Y315" s="136"/>
      <c r="Z315" s="137"/>
      <c r="AA315" s="50" t="s">
        <v>53</v>
      </c>
      <c r="AB315" s="136"/>
      <c r="AC315" s="137">
        <v>25</v>
      </c>
      <c r="AD315" s="50" t="s">
        <v>53</v>
      </c>
      <c r="AE315" s="138">
        <v>19</v>
      </c>
      <c r="AF315" s="676"/>
      <c r="AG315" s="678"/>
      <c r="AH315" s="85"/>
      <c r="AI315" s="85"/>
      <c r="AJ315" s="85"/>
      <c r="AW315" s="146"/>
      <c r="AX315" s="54"/>
      <c r="AY315" s="54"/>
      <c r="AZ315" s="54"/>
      <c r="BA315" s="54"/>
    </row>
    <row r="316" spans="1:68" ht="13.5" customHeight="1" thickBot="1" x14ac:dyDescent="0.25">
      <c r="A316" s="9" t="s">
        <v>137</v>
      </c>
      <c r="B316" s="141"/>
      <c r="C316" s="142" t="s">
        <v>53</v>
      </c>
      <c r="D316" s="143"/>
      <c r="E316" s="144"/>
      <c r="F316" s="142" t="s">
        <v>53</v>
      </c>
      <c r="G316" s="143"/>
      <c r="H316" s="144"/>
      <c r="I316" s="142" t="s">
        <v>53</v>
      </c>
      <c r="J316" s="145"/>
      <c r="K316" s="679"/>
      <c r="L316" s="680"/>
      <c r="M316" s="680"/>
      <c r="N316" s="681"/>
      <c r="R316" s="85"/>
      <c r="S316" s="85"/>
      <c r="T316" s="86"/>
      <c r="U316" s="86"/>
      <c r="V316" s="9" t="s">
        <v>137</v>
      </c>
      <c r="W316" s="141"/>
      <c r="X316" s="142" t="s">
        <v>53</v>
      </c>
      <c r="Y316" s="143"/>
      <c r="Z316" s="144"/>
      <c r="AA316" s="142" t="s">
        <v>53</v>
      </c>
      <c r="AB316" s="143"/>
      <c r="AC316" s="144">
        <v>16</v>
      </c>
      <c r="AD316" s="142" t="s">
        <v>53</v>
      </c>
      <c r="AE316" s="145">
        <v>14</v>
      </c>
      <c r="AF316" s="679"/>
      <c r="AG316" s="681"/>
      <c r="AH316" s="85"/>
      <c r="AI316" s="85"/>
      <c r="AJ316" s="85"/>
      <c r="AW316" s="146"/>
      <c r="AX316" s="54"/>
      <c r="AY316" s="54"/>
      <c r="AZ316" s="54"/>
      <c r="BA316" s="54"/>
    </row>
    <row r="317" spans="1:68" hidden="1" x14ac:dyDescent="0.2">
      <c r="B317" s="3"/>
      <c r="C317" s="90" t="s">
        <v>87</v>
      </c>
      <c r="D317" s="3" t="s">
        <v>138</v>
      </c>
      <c r="E317" s="3"/>
      <c r="F317" s="90"/>
      <c r="G317" s="4" t="s">
        <v>139</v>
      </c>
      <c r="J317" s="4" t="s">
        <v>140</v>
      </c>
      <c r="W317" s="3"/>
      <c r="X317" s="90" t="s">
        <v>87</v>
      </c>
      <c r="Y317" s="3" t="s">
        <v>138</v>
      </c>
      <c r="Z317" s="3"/>
      <c r="AA317" s="90"/>
      <c r="AB317" s="4" t="s">
        <v>139</v>
      </c>
      <c r="AE317" s="4" t="s">
        <v>140</v>
      </c>
      <c r="AT317" s="4" t="str">
        <f>B318</f>
        <v>KVC16-1</v>
      </c>
      <c r="AU317" s="4">
        <f>J318</f>
        <v>2643.0336908916624</v>
      </c>
      <c r="AW317" s="146"/>
      <c r="AX317" s="54"/>
      <c r="AY317" s="54"/>
      <c r="AZ317" s="54"/>
      <c r="BA317" s="54"/>
      <c r="BB317" s="146"/>
      <c r="BC317" s="54"/>
      <c r="BD317" s="54"/>
      <c r="BE317" s="146"/>
      <c r="BF317" s="54"/>
      <c r="BG317" s="54"/>
      <c r="BH317" s="146"/>
      <c r="BI317" s="54"/>
      <c r="BJ317" s="54"/>
      <c r="BK317" s="146"/>
      <c r="BL317" s="54"/>
      <c r="BM317" s="54"/>
      <c r="BN317" s="146"/>
      <c r="BO317" s="54"/>
      <c r="BP317" s="54"/>
    </row>
    <row r="318" spans="1:68" hidden="1" x14ac:dyDescent="0.2">
      <c r="A318" s="4">
        <v>1</v>
      </c>
      <c r="B318" s="4" t="str">
        <f>B301</f>
        <v>KVC16-1</v>
      </c>
      <c r="C318" s="4">
        <f>VLOOKUP(B318,AU$2:AY$22,4,FALSE)</f>
        <v>2630.0702149015451</v>
      </c>
      <c r="D318" s="4">
        <f>IF(A318=B309,B324,IF(A318=D309,D324,C318))</f>
        <v>2632.7159458551728</v>
      </c>
      <c r="G318" s="4">
        <f>IF(A318=E309,E324,IF(A318=G309,G324,D318))</f>
        <v>2632.7159458551728</v>
      </c>
      <c r="J318" s="4">
        <f>IF(A318=H309,H324,IF(A318=J309,J324,G318))</f>
        <v>2643.0336908916624</v>
      </c>
      <c r="U318" s="164"/>
      <c r="V318" s="164">
        <v>1</v>
      </c>
      <c r="W318" s="4" t="str">
        <f>X301</f>
        <v>Sumter VBC 16 Heath</v>
      </c>
      <c r="X318" s="4">
        <f>VLOOKUP(W318,AU$2:AY$22,4,FALSE)</f>
        <v>2425.9374584524344</v>
      </c>
      <c r="Y318" s="4">
        <f>IF(V318=W309,W324,IF(V318=Y309,Y324,X318))</f>
        <v>2432.8366328545503</v>
      </c>
      <c r="AB318" s="4">
        <f>IF(V318=Z309,Z324,IF(V318=AB309,AB324,Y318))</f>
        <v>2432.8366328545503</v>
      </c>
      <c r="AE318" s="4">
        <f>IF(V318=AC309,AC324,IF(V318=AE309,AE324,AB318))</f>
        <v>2439.2272007225151</v>
      </c>
      <c r="AT318" s="4" t="str">
        <f>B319</f>
        <v>KVC16-2</v>
      </c>
      <c r="AU318" s="4">
        <f>J319</f>
        <v>2493.3903387088394</v>
      </c>
      <c r="AW318" s="146"/>
      <c r="AX318" s="54"/>
      <c r="AY318" s="54"/>
      <c r="AZ318" s="54"/>
      <c r="BA318" s="54"/>
      <c r="BB318" s="146"/>
      <c r="BC318" s="54"/>
      <c r="BD318" s="54"/>
      <c r="BE318" s="146"/>
      <c r="BF318" s="54"/>
      <c r="BG318" s="54"/>
      <c r="BH318" s="146"/>
      <c r="BI318" s="54"/>
      <c r="BJ318" s="54"/>
      <c r="BK318" s="146"/>
      <c r="BL318" s="54"/>
      <c r="BM318" s="54"/>
      <c r="BN318" s="146"/>
      <c r="BO318" s="54"/>
      <c r="BP318" s="54"/>
    </row>
    <row r="319" spans="1:68" hidden="1" x14ac:dyDescent="0.2">
      <c r="A319" s="4">
        <v>2</v>
      </c>
      <c r="B319" s="4" t="str">
        <f>B302</f>
        <v>KVC16-2</v>
      </c>
      <c r="C319" s="4">
        <f>VLOOKUP(B319,AU$2:AY$22,4,FALSE)</f>
        <v>2499.5786767285817</v>
      </c>
      <c r="D319" s="4">
        <f>IF(A319=B309,B324,IF(A319=D309,D324,C319))</f>
        <v>2499.5786767285817</v>
      </c>
      <c r="G319" s="4">
        <f>IF(A319=E309,E324,IF(A319=G309,G324,D319))</f>
        <v>2503.7080837453291</v>
      </c>
      <c r="J319" s="4">
        <f>IF(A319=H309,H324,IF(A319=J309,J324,G319))</f>
        <v>2493.3903387088394</v>
      </c>
      <c r="U319" s="164"/>
      <c r="V319" s="164">
        <v>2</v>
      </c>
      <c r="W319" s="4" t="str">
        <f>X302</f>
        <v>NETVC 16</v>
      </c>
      <c r="X319" s="4">
        <f>VLOOKUP(W319,AU$2:AY$22,4,FALSE)</f>
        <v>2405.5792348047203</v>
      </c>
      <c r="Y319" s="4">
        <f>IF(V319=W309,W324,IF(V319=Y309,Y324,X319))</f>
        <v>2405.5792348047203</v>
      </c>
      <c r="AB319" s="4">
        <f>IF(V319=Z309,Z324,IF(V319=AB309,AB324,Y319))</f>
        <v>2409.502696778361</v>
      </c>
      <c r="AE319" s="4">
        <f>IF(V319=AC309,AC324,IF(V319=AE309,AE324,AB319))</f>
        <v>2403.1121289103962</v>
      </c>
      <c r="AT319" s="4" t="str">
        <f>B320</f>
        <v>Agema 16</v>
      </c>
      <c r="AU319" s="4">
        <f>J320</f>
        <v>2312.0153805811506</v>
      </c>
      <c r="AW319" s="146"/>
      <c r="AX319" s="54"/>
      <c r="AY319" s="54"/>
      <c r="AZ319" s="54"/>
      <c r="BA319" s="54"/>
      <c r="BB319" s="146"/>
      <c r="BC319" s="54"/>
      <c r="BD319" s="54"/>
      <c r="BE319" s="146"/>
      <c r="BF319" s="54"/>
      <c r="BG319" s="54"/>
      <c r="BH319" s="146"/>
      <c r="BI319" s="54"/>
      <c r="BJ319" s="54"/>
      <c r="BK319" s="146"/>
      <c r="BL319" s="54"/>
      <c r="BM319" s="54"/>
      <c r="BN319" s="146"/>
      <c r="BO319" s="54"/>
      <c r="BP319" s="54"/>
    </row>
    <row r="320" spans="1:68" hidden="1" x14ac:dyDescent="0.2">
      <c r="A320" s="4">
        <v>3</v>
      </c>
      <c r="B320" s="4" t="str">
        <f>B303</f>
        <v>Agema 16</v>
      </c>
      <c r="C320" s="4">
        <f>VLOOKUP(B320,AU$2:AY$22,4,FALSE)</f>
        <v>2316.1447875978979</v>
      </c>
      <c r="D320" s="4">
        <f>IF(A320=B309,B324,IF(A320=D309,D324,C320))</f>
        <v>2316.1447875978979</v>
      </c>
      <c r="G320" s="4">
        <f>IF(A320=E309,E324,IF(A320=G309,G324,D320))</f>
        <v>2312.0153805811506</v>
      </c>
      <c r="J320" s="4">
        <f>IF(A320=H309,H324,IF(A320=J309,J324,G320))</f>
        <v>2312.0153805811506</v>
      </c>
      <c r="U320" s="164"/>
      <c r="V320" s="164">
        <v>3</v>
      </c>
      <c r="W320" s="4" t="str">
        <f>X303</f>
        <v>Extreme 16 Heather</v>
      </c>
      <c r="X320" s="4">
        <f>VLOOKUP(W320,AU$2:AY$22,4,FALSE)</f>
        <v>2210.2700326316517</v>
      </c>
      <c r="Y320" s="4">
        <f>IF(V320=W309,W324,IF(V320=Y309,Y324,X320))</f>
        <v>2210.2700326316517</v>
      </c>
      <c r="AB320" s="4">
        <f>IF(V320=Z309,Z324,IF(V320=AB309,AB324,Y320))</f>
        <v>2206.3465706580109</v>
      </c>
      <c r="AE320" s="4">
        <f>IF(V320=AC309,AC324,IF(V320=AE309,AE324,AB320))</f>
        <v>2206.3465706580109</v>
      </c>
      <c r="AT320" s="4" t="str">
        <f>B321</f>
        <v>SC Midlands 17 Black</v>
      </c>
      <c r="AU320" s="4">
        <f>J321</f>
        <v>2346.1947066340813</v>
      </c>
      <c r="AW320" s="146"/>
      <c r="AX320" s="54"/>
      <c r="AY320" s="54"/>
      <c r="AZ320" s="54"/>
      <c r="BA320" s="54"/>
      <c r="BB320" s="146"/>
      <c r="BC320" s="54"/>
      <c r="BD320" s="54"/>
      <c r="BE320" s="146"/>
      <c r="BF320" s="54"/>
      <c r="BG320" s="54"/>
      <c r="BH320" s="146"/>
      <c r="BI320" s="54"/>
      <c r="BJ320" s="54"/>
      <c r="BK320" s="146"/>
      <c r="BL320" s="54"/>
      <c r="BM320" s="54"/>
      <c r="BN320" s="146"/>
      <c r="BO320" s="54"/>
      <c r="BP320" s="54"/>
    </row>
    <row r="321" spans="1:68" hidden="1" x14ac:dyDescent="0.2">
      <c r="A321" s="4">
        <v>4</v>
      </c>
      <c r="B321" s="4" t="str">
        <f>B304</f>
        <v>SC Midlands 17 Black</v>
      </c>
      <c r="C321" s="4">
        <f>VLOOKUP(B321,AU$2:AY$22,4,FALSE)</f>
        <v>2348.8404375877089</v>
      </c>
      <c r="D321" s="4">
        <f>IF(A321=B309,B324,IF(A321=D309,D324,C321))</f>
        <v>2346.1947066340813</v>
      </c>
      <c r="G321" s="4">
        <f>IF(A321=E309,E324,IF(A321=G309,G324,D321))</f>
        <v>2346.1947066340813</v>
      </c>
      <c r="J321" s="4">
        <f>IF(A321=H309,H324,IF(A321=J309,J324,G321))</f>
        <v>2346.1947066340813</v>
      </c>
      <c r="U321" s="164"/>
      <c r="V321" s="164">
        <v>4</v>
      </c>
      <c r="W321" s="4" t="str">
        <f>X304</f>
        <v>Sumter VBC 17</v>
      </c>
      <c r="X321" s="4">
        <f>VLOOKUP(W321,AU$2:AY$22,4,FALSE)</f>
        <v>2377.8239910778102</v>
      </c>
      <c r="Y321" s="4">
        <f>IF(V321=W309,W324,IF(V321=Y309,Y324,X321))</f>
        <v>2370.9248166756943</v>
      </c>
      <c r="AB321" s="4">
        <f>IF(V321=Z309,Z324,IF(V321=AB309,AB324,Y321))</f>
        <v>2370.9248166756943</v>
      </c>
      <c r="AE321" s="4">
        <f>IF(V321=AC309,AC324,IF(V321=AE309,AE324,AB321))</f>
        <v>2370.9248166756943</v>
      </c>
      <c r="AT321" s="4" t="str">
        <f>W318</f>
        <v>Sumter VBC 16 Heath</v>
      </c>
      <c r="AU321" s="4">
        <f>AE318</f>
        <v>2439.2272007225151</v>
      </c>
      <c r="AW321" s="146"/>
      <c r="AX321" s="54"/>
      <c r="AY321" s="54"/>
      <c r="AZ321" s="54"/>
      <c r="BA321" s="54"/>
      <c r="BB321" s="146"/>
      <c r="BC321" s="54"/>
      <c r="BD321" s="54"/>
      <c r="BE321" s="146"/>
      <c r="BF321" s="54"/>
      <c r="BG321" s="54"/>
      <c r="BH321" s="146"/>
      <c r="BI321" s="54"/>
      <c r="BJ321" s="54"/>
      <c r="BK321" s="146"/>
      <c r="BL321" s="54"/>
      <c r="BM321" s="54"/>
      <c r="BN321" s="146"/>
      <c r="BO321" s="54"/>
      <c r="BP321" s="54"/>
    </row>
    <row r="322" spans="1:68" hidden="1" x14ac:dyDescent="0.2">
      <c r="A322" s="4" t="s">
        <v>89</v>
      </c>
      <c r="B322" s="4">
        <f>VLOOKUP(B309,$A318:$J321,3,FALSE)</f>
        <v>2630.0702149015451</v>
      </c>
      <c r="D322" s="4">
        <f>VLOOKUP(D309,$A318:$J321,3,FALSE)</f>
        <v>2348.8404375877089</v>
      </c>
      <c r="E322" s="4">
        <f>VLOOKUP(E309,$A318:$J321,4,FALSE)</f>
        <v>2499.5786767285817</v>
      </c>
      <c r="G322" s="4">
        <f>VLOOKUP(G309,$A318:$J321,4,FALSE)</f>
        <v>2316.1447875978979</v>
      </c>
      <c r="H322" s="4">
        <f>VLOOKUP(H309,$A318:$J321,7,FALSE)</f>
        <v>2632.7159458551728</v>
      </c>
      <c r="J322" s="4">
        <f>VLOOKUP(J309,$A318:$J321,7,FALSE)</f>
        <v>2503.7080837453291</v>
      </c>
      <c r="T322" s="682" t="s">
        <v>89</v>
      </c>
      <c r="U322" s="682"/>
      <c r="V322" s="682"/>
      <c r="W322" s="4">
        <f>VLOOKUP(W309,$V318:$AE321,3,FALSE)</f>
        <v>2425.9374584524344</v>
      </c>
      <c r="Y322" s="4">
        <f>VLOOKUP(Y309,$V318:$AE321,3,FALSE)</f>
        <v>2377.8239910778102</v>
      </c>
      <c r="Z322" s="4">
        <f>VLOOKUP(Z309,$V318:$AE321,4,FALSE)</f>
        <v>2405.5792348047203</v>
      </c>
      <c r="AB322" s="4">
        <f>VLOOKUP(AB309,$V318:$AE321,4,FALSE)</f>
        <v>2210.2700326316517</v>
      </c>
      <c r="AC322" s="4">
        <f>VLOOKUP(AC309,$V318:$AE321,7,FALSE)</f>
        <v>2432.8366328545503</v>
      </c>
      <c r="AE322" s="4">
        <f>VLOOKUP(AE309,$V318:$AE321,7,FALSE)</f>
        <v>2409.502696778361</v>
      </c>
      <c r="AT322" s="4" t="str">
        <f>W319</f>
        <v>NETVC 16</v>
      </c>
      <c r="AU322" s="4">
        <f>AE319</f>
        <v>2403.1121289103962</v>
      </c>
      <c r="AW322" s="146"/>
      <c r="AX322" s="54"/>
      <c r="AY322" s="54"/>
      <c r="AZ322" s="54"/>
      <c r="BA322" s="54"/>
      <c r="BB322" s="146"/>
      <c r="BC322" s="54"/>
      <c r="BD322" s="54"/>
      <c r="BE322" s="146"/>
      <c r="BF322" s="54"/>
      <c r="BG322" s="54"/>
      <c r="BH322" s="146"/>
      <c r="BI322" s="54"/>
      <c r="BJ322" s="54"/>
      <c r="BK322" s="146"/>
      <c r="BL322" s="54"/>
      <c r="BM322" s="54"/>
      <c r="BN322" s="146"/>
      <c r="BO322" s="54"/>
      <c r="BP322" s="54"/>
    </row>
    <row r="323" spans="1:68" hidden="1" x14ac:dyDescent="0.2">
      <c r="A323" s="68" t="s">
        <v>90</v>
      </c>
      <c r="B323" s="68">
        <f>1/(1+(10^-((B322-D322)/400)))*(B313+D313)</f>
        <v>0.83464181539825844</v>
      </c>
      <c r="C323" s="68"/>
      <c r="D323" s="68">
        <f>1/(1+(10^-((D322-B322)/400)))*(B313+D313)</f>
        <v>0.16535818460174165</v>
      </c>
      <c r="E323" s="68">
        <f>1/(1+(10^-((E322-G322)/400)))*(E313+G313)</f>
        <v>0.74191206145330035</v>
      </c>
      <c r="G323" s="68">
        <f>1/(1+(10^-((G322-E322)/400)))*(E313+G313)</f>
        <v>0.25808793854669965</v>
      </c>
      <c r="H323" s="68">
        <f>1/(1+(10^-((H322-J322)/400)))*(H313+J313)</f>
        <v>1.3551409352193915</v>
      </c>
      <c r="J323" s="68">
        <f>1/(1+(10^-((J322-H322)/400)))*(H313+J313)</f>
        <v>0.64485906478060862</v>
      </c>
      <c r="T323" s="683" t="s">
        <v>90</v>
      </c>
      <c r="U323" s="683"/>
      <c r="V323" s="683"/>
      <c r="W323" s="68">
        <f>1/(1+(10^-((W322-Y322)/400)))*(W313+Y313)</f>
        <v>0.5688015998677598</v>
      </c>
      <c r="X323" s="68"/>
      <c r="Y323" s="68">
        <f>1/(1+(10^-((Y322-W322)/400)))*(W313+Y313)</f>
        <v>0.43119840013224031</v>
      </c>
      <c r="Z323" s="68">
        <f>1/(1+(10^-((Z322-AB322)/400)))*(Z313+AB313)</f>
        <v>0.7547836266474498</v>
      </c>
      <c r="AB323" s="68">
        <f>1/(1+(10^-((AB322-Z322)/400)))*(Z313+AB313)</f>
        <v>0.24521637335255012</v>
      </c>
      <c r="AC323" s="68">
        <f>1/(1+(10^-((AC322-AE322)/400)))*(AC313+AE313)</f>
        <v>1.600589508252203</v>
      </c>
      <c r="AE323" s="68">
        <f>1/(1+(10^-((AE322-AC322)/400)))*(AC313+AE313)</f>
        <v>1.3994104917477967</v>
      </c>
      <c r="AT323" s="4" t="str">
        <f>W320</f>
        <v>Extreme 16 Heather</v>
      </c>
      <c r="AU323" s="4">
        <f>AE320</f>
        <v>2206.3465706580109</v>
      </c>
      <c r="AW323" s="146"/>
      <c r="AX323" s="54"/>
      <c r="AY323" s="54"/>
      <c r="AZ323" s="54"/>
      <c r="BA323" s="54"/>
      <c r="BB323" s="146"/>
      <c r="BC323" s="54"/>
      <c r="BD323" s="54"/>
      <c r="BE323" s="146"/>
      <c r="BF323" s="54"/>
      <c r="BG323" s="54"/>
      <c r="BH323" s="146"/>
      <c r="BI323" s="54"/>
      <c r="BJ323" s="54"/>
      <c r="BK323" s="146"/>
      <c r="BL323" s="54"/>
      <c r="BM323" s="54"/>
      <c r="BN323" s="146"/>
      <c r="BO323" s="54"/>
      <c r="BP323" s="54"/>
    </row>
    <row r="324" spans="1:68" hidden="1" x14ac:dyDescent="0.2">
      <c r="A324" s="74" t="s">
        <v>91</v>
      </c>
      <c r="B324" s="74">
        <f>B322+(B313-B323)*$BA$2</f>
        <v>2632.7159458551728</v>
      </c>
      <c r="C324" s="74"/>
      <c r="D324" s="74">
        <f>D322+(D313-D323)*$BA$2</f>
        <v>2346.1947066340813</v>
      </c>
      <c r="E324" s="74">
        <f>E322+(E313-E323)*$BA$2</f>
        <v>2503.7080837453291</v>
      </c>
      <c r="G324" s="74">
        <f>G322+(G313-G323)*$BA$2</f>
        <v>2312.0153805811506</v>
      </c>
      <c r="H324" s="74">
        <f>H322+(H313-H323)*$BA$2</f>
        <v>2643.0336908916624</v>
      </c>
      <c r="J324" s="74">
        <f>J322+(J313-J323)*$BA$2</f>
        <v>2493.3903387088394</v>
      </c>
      <c r="T324" s="669" t="s">
        <v>91</v>
      </c>
      <c r="U324" s="669"/>
      <c r="V324" s="669"/>
      <c r="W324" s="74">
        <f>W322+(W313-W323)*$BA$2</f>
        <v>2432.8366328545503</v>
      </c>
      <c r="X324" s="74"/>
      <c r="Y324" s="74">
        <f>Y322+(Y313-Y323)*$BA$2</f>
        <v>2370.9248166756943</v>
      </c>
      <c r="Z324" s="74">
        <f>Z322+(Z313-Z323)*$BA$2</f>
        <v>2409.502696778361</v>
      </c>
      <c r="AB324" s="74">
        <f>AB322+(AB313-AB323)*$BA$2</f>
        <v>2206.3465706580109</v>
      </c>
      <c r="AC324" s="74">
        <f>AC322+(AC313-AC323)*$BA$2</f>
        <v>2439.2272007225151</v>
      </c>
      <c r="AE324" s="74">
        <f>AE322+(AE313-AE323)*$BA$2</f>
        <v>2403.1121289103962</v>
      </c>
      <c r="AT324" s="4" t="str">
        <f>W321</f>
        <v>Sumter VBC 17</v>
      </c>
      <c r="AU324" s="4">
        <f>AE321</f>
        <v>2370.9248166756943</v>
      </c>
      <c r="AW324" s="146"/>
      <c r="AX324" s="54"/>
      <c r="AY324" s="54"/>
      <c r="AZ324" s="54"/>
      <c r="BA324" s="54"/>
      <c r="BB324" s="146"/>
      <c r="BC324" s="54"/>
      <c r="BD324" s="54"/>
      <c r="BE324" s="146"/>
      <c r="BF324" s="54"/>
      <c r="BG324" s="54"/>
      <c r="BH324" s="146"/>
      <c r="BI324" s="54"/>
      <c r="BJ324" s="54"/>
      <c r="BK324" s="146"/>
      <c r="BL324" s="54"/>
      <c r="BM324" s="54"/>
      <c r="BN324" s="146"/>
      <c r="BO324" s="54"/>
      <c r="BP324" s="54"/>
    </row>
    <row r="325" spans="1:68" x14ac:dyDescent="0.2">
      <c r="A325" s="670" t="s">
        <v>141</v>
      </c>
      <c r="B325" s="670"/>
      <c r="C325" s="670"/>
      <c r="D325" s="670"/>
      <c r="E325" s="670"/>
      <c r="F325" s="670"/>
      <c r="G325" s="670"/>
      <c r="H325" s="670"/>
      <c r="I325" s="670"/>
      <c r="J325" s="670"/>
      <c r="K325" s="670"/>
      <c r="L325" s="670"/>
      <c r="M325" s="670"/>
      <c r="R325" s="85"/>
      <c r="S325" s="85"/>
      <c r="T325" s="86"/>
      <c r="U325" s="86"/>
      <c r="V325" s="670" t="s">
        <v>141</v>
      </c>
      <c r="W325" s="670"/>
      <c r="X325" s="670"/>
      <c r="Y325" s="670"/>
      <c r="Z325" s="670"/>
      <c r="AA325" s="670"/>
      <c r="AB325" s="670"/>
      <c r="AC325" s="670"/>
      <c r="AD325" s="670"/>
      <c r="AE325" s="670"/>
      <c r="AF325" s="670"/>
      <c r="AG325" s="670"/>
      <c r="AH325" s="85"/>
      <c r="AI325" s="85"/>
      <c r="AJ325" s="85"/>
      <c r="AW325" s="146"/>
      <c r="AX325" s="54"/>
      <c r="AY325" s="54"/>
      <c r="AZ325" s="54"/>
      <c r="BA325" s="54"/>
    </row>
    <row r="326" spans="1:68" x14ac:dyDescent="0.2">
      <c r="AT326" s="54"/>
      <c r="AU326" s="54"/>
      <c r="AV326" s="54"/>
      <c r="AW326" s="146"/>
      <c r="AX326" s="54"/>
      <c r="AY326" s="54"/>
      <c r="AZ326" s="54"/>
      <c r="BA326" s="54"/>
    </row>
    <row r="327" spans="1:68" x14ac:dyDescent="0.2">
      <c r="A327" s="768" t="s">
        <v>160</v>
      </c>
      <c r="B327" s="768"/>
      <c r="C327" s="768"/>
      <c r="D327" s="768"/>
      <c r="E327" s="768"/>
      <c r="F327" s="768"/>
      <c r="G327" s="768"/>
      <c r="H327" s="768"/>
      <c r="I327" s="768"/>
      <c r="J327" s="768"/>
      <c r="K327" s="768"/>
      <c r="L327" s="768"/>
      <c r="M327" s="768"/>
      <c r="N327" s="768"/>
      <c r="O327" s="768"/>
      <c r="P327" s="768"/>
      <c r="Q327" s="62"/>
      <c r="S327" s="87"/>
      <c r="T327" s="87"/>
      <c r="U327" s="87"/>
      <c r="V327" s="87"/>
      <c r="W327" s="87"/>
      <c r="X327" s="87"/>
      <c r="Y327" s="87"/>
      <c r="Z327" s="87"/>
      <c r="AA327" s="87"/>
      <c r="AB327" s="87"/>
      <c r="AC327" s="87"/>
      <c r="AD327" s="87"/>
      <c r="AE327" s="87"/>
      <c r="AF327" s="87"/>
      <c r="AG327" s="87"/>
      <c r="AH327" s="85"/>
      <c r="AI327" s="85"/>
      <c r="AJ327" s="85"/>
      <c r="AK327" s="85"/>
      <c r="AL327" s="85"/>
      <c r="AM327" s="85"/>
      <c r="AT327" s="54"/>
      <c r="AU327" s="54"/>
      <c r="AV327" s="54"/>
      <c r="AW327" s="146"/>
      <c r="AX327" s="54"/>
      <c r="AY327" s="54"/>
      <c r="AZ327" s="54"/>
      <c r="BA327" s="54"/>
    </row>
    <row r="328" spans="1:68" x14ac:dyDescent="0.2">
      <c r="S328" s="85"/>
      <c r="T328" s="85"/>
      <c r="U328" s="85"/>
      <c r="V328" s="85"/>
      <c r="W328" s="85"/>
      <c r="X328" s="85"/>
      <c r="Y328" s="85"/>
      <c r="Z328" s="85"/>
      <c r="AA328" s="85"/>
      <c r="AB328" s="85"/>
      <c r="AC328" s="85"/>
      <c r="AD328" s="85"/>
      <c r="AE328" s="85"/>
      <c r="AF328" s="85"/>
      <c r="AG328" s="85"/>
      <c r="AH328" s="85"/>
      <c r="AI328" s="85"/>
      <c r="AJ328" s="85"/>
      <c r="AK328" s="85"/>
      <c r="AL328" s="85"/>
      <c r="AM328" s="85"/>
      <c r="AT328" s="54"/>
      <c r="AU328" s="54"/>
      <c r="AV328" s="54"/>
      <c r="AW328" s="146"/>
      <c r="AX328" s="54"/>
      <c r="AY328" s="54"/>
      <c r="AZ328" s="54"/>
      <c r="BA328" s="54"/>
    </row>
    <row r="329" spans="1:68" ht="13.5" thickBot="1" x14ac:dyDescent="0.25">
      <c r="A329" s="736" t="str">
        <f>IF(B357=1,B349,IF(B357=2,B350,IF(B357=3,B351,IF(B357=4,B352,IF(OR(B357="B",B357="b"),"BYE","invalid")))))</f>
        <v>SC Midlands 16 Black</v>
      </c>
      <c r="B329" s="736"/>
      <c r="C329" s="736"/>
      <c r="D329" s="736"/>
      <c r="E329" s="736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S329" s="85"/>
      <c r="T329" s="90"/>
      <c r="U329" s="90"/>
      <c r="V329" s="86"/>
      <c r="W329" s="86"/>
      <c r="X329" s="86"/>
      <c r="Y329" s="86"/>
      <c r="Z329" s="86"/>
      <c r="AA329" s="86"/>
      <c r="AB329" s="86"/>
      <c r="AC329" s="85"/>
      <c r="AD329" s="85"/>
      <c r="AE329" s="85"/>
      <c r="AF329" s="85"/>
      <c r="AG329" s="85"/>
      <c r="AH329" s="85"/>
      <c r="AI329" s="85"/>
      <c r="AJ329" s="85"/>
      <c r="AK329" s="85"/>
      <c r="AL329" s="85"/>
      <c r="AM329" s="85"/>
      <c r="AT329" s="54"/>
      <c r="AU329" s="54"/>
      <c r="AV329" s="54"/>
      <c r="AW329" s="146"/>
      <c r="AX329" s="54"/>
      <c r="AY329" s="54"/>
      <c r="AZ329" s="54"/>
      <c r="BA329" s="54"/>
    </row>
    <row r="330" spans="1:68" x14ac:dyDescent="0.2">
      <c r="A330" s="738" t="s">
        <v>161</v>
      </c>
      <c r="B330" s="738"/>
      <c r="C330" s="738"/>
      <c r="D330" s="738"/>
      <c r="E330" s="738"/>
      <c r="F330" s="91"/>
      <c r="G330" s="88"/>
      <c r="H330" s="88"/>
      <c r="I330" s="88"/>
      <c r="J330" s="88"/>
      <c r="K330" s="88"/>
      <c r="L330" s="88"/>
      <c r="M330" s="88"/>
      <c r="N330" s="88"/>
      <c r="O330" s="88"/>
      <c r="S330" s="85"/>
      <c r="T330" s="93"/>
      <c r="U330" s="93"/>
      <c r="V330" s="94"/>
      <c r="W330" s="94"/>
      <c r="X330" s="94"/>
      <c r="Y330" s="94"/>
      <c r="Z330" s="94"/>
      <c r="AA330" s="94"/>
      <c r="AB330" s="94"/>
      <c r="AC330" s="85"/>
      <c r="AD330" s="85"/>
      <c r="AE330" s="85"/>
      <c r="AF330" s="85"/>
      <c r="AG330" s="85"/>
      <c r="AH330" s="85"/>
      <c r="AI330" s="85"/>
      <c r="AJ330" s="85"/>
      <c r="AK330" s="85"/>
      <c r="AL330" s="85"/>
      <c r="AM330" s="85"/>
      <c r="AT330" s="54"/>
      <c r="AU330" s="54"/>
      <c r="AV330" s="54"/>
      <c r="AW330" s="146"/>
      <c r="AX330" s="54"/>
      <c r="AY330" s="54"/>
      <c r="AZ330" s="54"/>
      <c r="BA330" s="54"/>
    </row>
    <row r="331" spans="1:68" x14ac:dyDescent="0.2">
      <c r="A331" s="88"/>
      <c r="B331" s="88"/>
      <c r="C331" s="88"/>
      <c r="D331" s="88"/>
      <c r="E331" s="88"/>
      <c r="F331" s="91"/>
      <c r="G331" s="88"/>
      <c r="H331" s="88"/>
      <c r="I331" s="88"/>
      <c r="J331" s="88"/>
      <c r="K331" s="88"/>
      <c r="L331" s="88"/>
      <c r="M331" s="88"/>
      <c r="N331" s="88"/>
      <c r="O331" s="88"/>
      <c r="S331" s="85"/>
      <c r="T331" s="85"/>
      <c r="U331" s="85"/>
      <c r="V331" s="85"/>
      <c r="W331" s="85"/>
      <c r="X331" s="85"/>
      <c r="Y331" s="85"/>
      <c r="Z331" s="85"/>
      <c r="AA331" s="85"/>
      <c r="AB331" s="85"/>
      <c r="AC331" s="85"/>
      <c r="AD331" s="85"/>
      <c r="AE331" s="85"/>
      <c r="AF331" s="85"/>
      <c r="AG331" s="85"/>
      <c r="AH331" s="85"/>
      <c r="AI331" s="85"/>
      <c r="AJ331" s="85"/>
      <c r="AK331" s="85"/>
      <c r="AL331" s="85"/>
      <c r="AM331" s="85"/>
      <c r="AT331" s="54"/>
      <c r="AU331" s="54"/>
      <c r="AV331" s="54"/>
      <c r="AW331" s="146"/>
      <c r="AX331" s="54"/>
      <c r="AY331" s="54"/>
      <c r="AZ331" s="54"/>
      <c r="BA331" s="54"/>
    </row>
    <row r="332" spans="1:68" ht="13.5" thickBot="1" x14ac:dyDescent="0.25">
      <c r="A332" s="739" t="str">
        <f>B351&amp;" ref"</f>
        <v>CSRA Heat 16 Black ref</v>
      </c>
      <c r="B332" s="739"/>
      <c r="C332" s="739"/>
      <c r="D332" s="739"/>
      <c r="E332" s="752"/>
      <c r="F332" s="748" t="str">
        <f>IF(H357=1,B349,IF(H357=2,B350,IF(H357=3,B351,IF(H357=4,B352,"Winner Match 1"))))</f>
        <v>SC Midlands 16 Black</v>
      </c>
      <c r="G332" s="749"/>
      <c r="H332" s="749"/>
      <c r="I332" s="749"/>
      <c r="J332" s="749"/>
      <c r="K332" s="749"/>
      <c r="L332" s="749"/>
      <c r="M332" s="749"/>
      <c r="N332" s="749"/>
      <c r="O332" s="88"/>
      <c r="Q332" s="96"/>
      <c r="R332" s="96"/>
      <c r="S332" s="87"/>
      <c r="T332" s="87"/>
      <c r="U332" s="87"/>
      <c r="V332" s="87"/>
      <c r="W332" s="87"/>
      <c r="X332" s="87"/>
      <c r="Y332" s="87"/>
      <c r="Z332" s="87"/>
      <c r="AA332" s="87"/>
      <c r="AB332" s="85"/>
      <c r="AC332" s="86"/>
      <c r="AD332" s="86"/>
      <c r="AE332" s="86"/>
      <c r="AF332" s="86"/>
      <c r="AG332" s="86"/>
      <c r="AH332" s="86"/>
      <c r="AI332" s="86"/>
      <c r="AJ332" s="85"/>
      <c r="AK332" s="85"/>
      <c r="AL332" s="85"/>
      <c r="AM332" s="85"/>
      <c r="AT332" s="54"/>
      <c r="AU332" s="54"/>
      <c r="AV332" s="54"/>
    </row>
    <row r="333" spans="1:68" x14ac:dyDescent="0.2">
      <c r="A333" s="746" t="s">
        <v>165</v>
      </c>
      <c r="B333" s="746"/>
      <c r="C333" s="746"/>
      <c r="D333" s="746"/>
      <c r="E333" s="746"/>
      <c r="F333" s="759"/>
      <c r="G333" s="760"/>
      <c r="H333" s="760"/>
      <c r="I333" s="761"/>
      <c r="J333" s="744"/>
      <c r="K333" s="745"/>
      <c r="L333" s="745"/>
      <c r="M333" s="745"/>
      <c r="N333" s="745"/>
      <c r="O333" s="88"/>
      <c r="P333" s="88"/>
      <c r="Q333" s="95"/>
      <c r="R333" s="10"/>
      <c r="S333" s="108"/>
      <c r="T333" s="108"/>
      <c r="U333" s="103"/>
      <c r="V333" s="103"/>
      <c r="W333" s="103"/>
      <c r="X333" s="103"/>
      <c r="Y333" s="103"/>
      <c r="Z333" s="103"/>
      <c r="AA333" s="103"/>
      <c r="AB333" s="85"/>
      <c r="AC333" s="87"/>
      <c r="AD333" s="87"/>
      <c r="AE333" s="87"/>
      <c r="AF333" s="87"/>
      <c r="AG333" s="87"/>
      <c r="AH333" s="87"/>
      <c r="AI333" s="87"/>
      <c r="AJ333" s="85"/>
      <c r="AK333" s="85"/>
      <c r="AL333" s="85"/>
      <c r="AM333" s="85"/>
      <c r="AT333" s="54"/>
      <c r="AU333" s="54"/>
      <c r="AV333" s="54"/>
      <c r="AW333" s="65"/>
      <c r="AX333" s="61"/>
      <c r="AY333" s="61"/>
      <c r="AZ333" s="61"/>
      <c r="BA333" s="61"/>
    </row>
    <row r="334" spans="1:68" ht="13.5" thickBot="1" x14ac:dyDescent="0.25">
      <c r="A334" s="736" t="str">
        <f>IF(D357=1,B349,IF(D357=2,B350,IF(D357=3,B351,IF(D357=4,B352,IF(OR(D357="B",D357="b"),"BYE","invalid")))))</f>
        <v>MBVC 16</v>
      </c>
      <c r="B334" s="736"/>
      <c r="C334" s="736"/>
      <c r="D334" s="736"/>
      <c r="E334" s="737"/>
      <c r="F334" s="91"/>
      <c r="G334" s="88"/>
      <c r="H334" s="88"/>
      <c r="I334" s="88"/>
      <c r="J334" s="91"/>
      <c r="K334" s="88"/>
      <c r="L334" s="88"/>
      <c r="M334" s="88"/>
      <c r="N334" s="88"/>
      <c r="O334" s="88"/>
      <c r="P334" s="88"/>
      <c r="Q334" s="88"/>
      <c r="S334" s="85"/>
      <c r="T334" s="85"/>
      <c r="U334" s="85"/>
      <c r="V334" s="86"/>
      <c r="W334" s="86"/>
      <c r="X334" s="86"/>
      <c r="Y334" s="86"/>
      <c r="Z334" s="86"/>
      <c r="AA334" s="86"/>
      <c r="AB334" s="86"/>
      <c r="AC334" s="85"/>
      <c r="AD334" s="85"/>
      <c r="AE334" s="85"/>
      <c r="AF334" s="85"/>
      <c r="AG334" s="85"/>
      <c r="AH334" s="85"/>
      <c r="AI334" s="85"/>
      <c r="AJ334" s="85"/>
      <c r="AK334" s="85"/>
      <c r="AL334" s="85"/>
      <c r="AM334" s="85"/>
      <c r="AT334" s="54"/>
      <c r="AU334" s="54"/>
      <c r="AV334" s="54"/>
      <c r="AW334" s="65"/>
      <c r="AX334" s="61"/>
      <c r="AY334" s="61"/>
      <c r="AZ334" s="61"/>
      <c r="BA334" s="61"/>
    </row>
    <row r="335" spans="1:68" x14ac:dyDescent="0.2">
      <c r="A335" s="738" t="s">
        <v>169</v>
      </c>
      <c r="B335" s="738"/>
      <c r="C335" s="738"/>
      <c r="D335" s="738"/>
      <c r="E335" s="738"/>
      <c r="F335" s="88"/>
      <c r="G335" s="88"/>
      <c r="H335" s="88"/>
      <c r="I335" s="88"/>
      <c r="J335" s="91"/>
      <c r="K335" s="88"/>
      <c r="L335" s="88"/>
      <c r="M335" s="88"/>
      <c r="N335" s="88"/>
      <c r="O335" s="88"/>
      <c r="P335" s="88"/>
      <c r="Q335" s="88"/>
      <c r="S335" s="85"/>
      <c r="T335" s="85"/>
      <c r="U335" s="85"/>
      <c r="V335" s="94"/>
      <c r="W335" s="94"/>
      <c r="X335" s="94"/>
      <c r="Y335" s="94"/>
      <c r="Z335" s="94"/>
      <c r="AA335" s="94"/>
      <c r="AB335" s="94"/>
      <c r="AC335" s="85"/>
      <c r="AD335" s="85"/>
      <c r="AE335" s="85"/>
      <c r="AF335" s="85"/>
      <c r="AG335" s="85"/>
      <c r="AH335" s="85"/>
      <c r="AI335" s="85"/>
      <c r="AJ335" s="85"/>
      <c r="AK335" s="85"/>
      <c r="AL335" s="85"/>
      <c r="AM335" s="85"/>
      <c r="AR335" s="104"/>
      <c r="AS335" s="104"/>
      <c r="AT335" s="54"/>
      <c r="AU335" s="54"/>
      <c r="AV335" s="54"/>
      <c r="AW335" s="65"/>
      <c r="AX335" s="61"/>
      <c r="AY335" s="61"/>
      <c r="AZ335" s="61"/>
      <c r="BA335" s="61"/>
      <c r="BB335" s="104"/>
      <c r="BC335" s="104"/>
      <c r="BD335" s="104"/>
    </row>
    <row r="336" spans="1:68" x14ac:dyDescent="0.2">
      <c r="A336" s="88"/>
      <c r="B336" s="88"/>
      <c r="C336" s="88"/>
      <c r="D336" s="88"/>
      <c r="E336" s="88"/>
      <c r="F336" s="751" t="s">
        <v>113</v>
      </c>
      <c r="G336" s="751"/>
      <c r="H336" s="751"/>
      <c r="I336" s="758"/>
      <c r="J336" s="91"/>
      <c r="K336" s="88"/>
      <c r="L336" s="88"/>
      <c r="M336" s="88"/>
      <c r="N336" s="88"/>
      <c r="O336" s="88"/>
      <c r="P336" s="88"/>
      <c r="Q336" s="88"/>
      <c r="S336" s="85"/>
      <c r="T336" s="85"/>
      <c r="U336" s="85"/>
      <c r="V336" s="85"/>
      <c r="W336" s="85"/>
      <c r="X336" s="87"/>
      <c r="Y336" s="87"/>
      <c r="Z336" s="87"/>
      <c r="AA336" s="85"/>
      <c r="AB336" s="87"/>
      <c r="AC336" s="87"/>
      <c r="AD336" s="87"/>
      <c r="AE336" s="87"/>
      <c r="AF336" s="87"/>
      <c r="AG336" s="85"/>
      <c r="AH336" s="85"/>
      <c r="AI336" s="85"/>
      <c r="AJ336" s="85"/>
      <c r="AK336" s="85"/>
      <c r="AL336" s="85"/>
      <c r="AM336" s="85"/>
      <c r="AT336" s="54"/>
      <c r="AU336" s="54"/>
      <c r="AV336" s="54"/>
      <c r="AW336" s="65"/>
      <c r="AX336" s="61"/>
      <c r="AY336" s="61"/>
      <c r="AZ336" s="61"/>
      <c r="BA336" s="61"/>
    </row>
    <row r="337" spans="1:53" ht="13.5" thickBot="1" x14ac:dyDescent="0.25">
      <c r="A337" s="88"/>
      <c r="B337" s="88"/>
      <c r="C337" s="88"/>
      <c r="D337" s="88"/>
      <c r="E337" s="88"/>
      <c r="F337" s="88"/>
      <c r="G337" s="88"/>
      <c r="H337" s="88"/>
      <c r="I337" s="88"/>
      <c r="J337" s="753" t="str">
        <f>IF(K362=1,B349,IF(K362=2,B350,IF(K362=3,B351,IF(K362=4,B352,"Division Winner"))))</f>
        <v>SC Midlands 16 Black</v>
      </c>
      <c r="K337" s="754"/>
      <c r="L337" s="754"/>
      <c r="M337" s="754"/>
      <c r="N337" s="754"/>
      <c r="O337" s="754"/>
      <c r="P337" s="754"/>
      <c r="Q337" s="754"/>
      <c r="R337" s="89"/>
      <c r="S337" s="85"/>
      <c r="T337" s="85"/>
      <c r="U337" s="85"/>
      <c r="V337" s="85"/>
      <c r="W337" s="85"/>
      <c r="X337" s="85"/>
      <c r="Y337" s="85"/>
      <c r="Z337" s="85"/>
      <c r="AA337" s="85"/>
      <c r="AB337" s="86"/>
      <c r="AC337" s="86"/>
      <c r="AD337" s="86"/>
      <c r="AE337" s="86"/>
      <c r="AF337" s="86"/>
      <c r="AG337" s="105"/>
      <c r="AH337" s="105"/>
      <c r="AI337" s="105"/>
      <c r="AJ337" s="105"/>
      <c r="AK337" s="105"/>
      <c r="AL337" s="86"/>
      <c r="AM337" s="85"/>
      <c r="AT337" s="54"/>
      <c r="AU337" s="54"/>
      <c r="AV337" s="54"/>
      <c r="AW337" s="65"/>
      <c r="AX337" s="61"/>
      <c r="AY337" s="61"/>
      <c r="AZ337" s="61"/>
      <c r="BA337" s="61"/>
    </row>
    <row r="338" spans="1:53" ht="13.5" thickBot="1" x14ac:dyDescent="0.25">
      <c r="A338" s="736" t="str">
        <f>IF(E357=1,B349,IF(E357=2,B350,IF(E357=3,B351,IF(E357=4,B352,IF(OR(E357="B",E357="b"),"BYE","invalid")))))</f>
        <v>Vision 16 Regional</v>
      </c>
      <c r="B338" s="736"/>
      <c r="C338" s="736"/>
      <c r="D338" s="736"/>
      <c r="E338" s="736"/>
      <c r="F338" s="746" t="s">
        <v>162</v>
      </c>
      <c r="G338" s="746"/>
      <c r="H338" s="746"/>
      <c r="I338" s="746"/>
      <c r="J338" s="750" t="s">
        <v>163</v>
      </c>
      <c r="K338" s="751"/>
      <c r="L338" s="751"/>
      <c r="M338" s="751"/>
      <c r="N338" s="751"/>
      <c r="O338" s="751"/>
      <c r="P338" s="751"/>
      <c r="Q338" s="751"/>
      <c r="S338" s="86"/>
      <c r="T338" s="86"/>
      <c r="U338" s="86"/>
      <c r="V338" s="86"/>
      <c r="W338" s="86"/>
      <c r="X338" s="86"/>
      <c r="Y338" s="86"/>
      <c r="Z338" s="86"/>
      <c r="AA338" s="86"/>
      <c r="AB338" s="86"/>
      <c r="AC338" s="108"/>
      <c r="AD338" s="108"/>
      <c r="AE338" s="108"/>
      <c r="AF338" s="108"/>
      <c r="AG338" s="87"/>
      <c r="AH338" s="87"/>
      <c r="AI338" s="87"/>
      <c r="AJ338" s="87"/>
      <c r="AK338" s="87"/>
      <c r="AL338" s="85"/>
      <c r="AM338" s="85"/>
      <c r="AT338" s="54"/>
      <c r="AU338" s="54"/>
      <c r="AV338" s="54"/>
      <c r="AW338" s="65"/>
      <c r="AX338" s="61"/>
      <c r="AY338" s="61"/>
      <c r="AZ338" s="61"/>
      <c r="BA338" s="61"/>
    </row>
    <row r="339" spans="1:53" x14ac:dyDescent="0.2">
      <c r="A339" s="738" t="s">
        <v>164</v>
      </c>
      <c r="B339" s="738"/>
      <c r="C339" s="738"/>
      <c r="D339" s="738"/>
      <c r="E339" s="738"/>
      <c r="F339" s="91"/>
      <c r="G339" s="88"/>
      <c r="H339" s="88"/>
      <c r="I339" s="88"/>
      <c r="J339" s="750"/>
      <c r="K339" s="751"/>
      <c r="L339" s="751"/>
      <c r="M339" s="751"/>
      <c r="N339" s="751"/>
      <c r="O339" s="751"/>
      <c r="P339" s="751"/>
      <c r="Q339" s="751"/>
      <c r="R339" s="88"/>
      <c r="S339" s="94"/>
      <c r="T339" s="94"/>
      <c r="U339" s="94"/>
      <c r="V339" s="94"/>
      <c r="W339" s="94"/>
      <c r="X339" s="94"/>
      <c r="Y339" s="94"/>
      <c r="Z339" s="94"/>
      <c r="AA339" s="94"/>
      <c r="AB339" s="94"/>
      <c r="AC339" s="85"/>
      <c r="AD339" s="85"/>
      <c r="AE339" s="85"/>
      <c r="AF339" s="85"/>
      <c r="AG339" s="85"/>
      <c r="AH339" s="85"/>
      <c r="AI339" s="85"/>
      <c r="AJ339" s="85"/>
      <c r="AK339" s="85"/>
      <c r="AL339" s="85"/>
      <c r="AM339" s="85"/>
      <c r="AT339" s="54"/>
      <c r="AU339" s="54"/>
      <c r="AV339" s="54"/>
      <c r="AW339" s="65"/>
      <c r="AX339" s="61"/>
      <c r="AY339" s="61"/>
      <c r="AZ339" s="61"/>
      <c r="BA339" s="61"/>
    </row>
    <row r="340" spans="1:53" x14ac:dyDescent="0.2">
      <c r="A340" s="88"/>
      <c r="B340" s="88"/>
      <c r="C340" s="88"/>
      <c r="D340" s="88"/>
      <c r="E340" s="88"/>
      <c r="F340" s="91"/>
      <c r="G340" s="88"/>
      <c r="H340" s="88"/>
      <c r="I340" s="88"/>
      <c r="J340" s="91"/>
      <c r="K340" s="88"/>
      <c r="L340" s="88"/>
      <c r="M340" s="88"/>
      <c r="N340" s="88"/>
      <c r="O340" s="88"/>
      <c r="Q340" s="88"/>
      <c r="R340" s="88"/>
      <c r="S340" s="85"/>
      <c r="T340" s="85"/>
      <c r="U340" s="85"/>
      <c r="V340" s="85"/>
      <c r="W340" s="85"/>
      <c r="X340" s="85"/>
      <c r="Y340" s="85"/>
      <c r="Z340" s="85"/>
      <c r="AA340" s="85"/>
      <c r="AB340" s="85"/>
      <c r="AC340" s="85"/>
      <c r="AD340" s="85"/>
      <c r="AE340" s="85"/>
      <c r="AF340" s="85"/>
      <c r="AG340" s="85"/>
      <c r="AH340" s="85"/>
      <c r="AI340" s="85"/>
      <c r="AJ340" s="85"/>
      <c r="AK340" s="85"/>
      <c r="AL340" s="85"/>
      <c r="AM340" s="85"/>
      <c r="AT340" s="54"/>
      <c r="AU340" s="54"/>
      <c r="AV340" s="54"/>
      <c r="AW340" s="65"/>
      <c r="AX340" s="61"/>
      <c r="AY340" s="61"/>
      <c r="AZ340" s="61"/>
      <c r="BA340" s="61"/>
    </row>
    <row r="341" spans="1:53" ht="13.5" thickBot="1" x14ac:dyDescent="0.25">
      <c r="A341" s="751" t="s">
        <v>120</v>
      </c>
      <c r="B341" s="751"/>
      <c r="C341" s="751"/>
      <c r="D341" s="751"/>
      <c r="E341" s="95"/>
      <c r="F341" s="741"/>
      <c r="G341" s="742"/>
      <c r="H341" s="742"/>
      <c r="I341" s="743"/>
      <c r="J341" s="744"/>
      <c r="K341" s="745"/>
      <c r="L341" s="745"/>
      <c r="M341" s="745"/>
      <c r="N341" s="745"/>
      <c r="O341" s="88"/>
      <c r="R341" s="96"/>
      <c r="S341" s="87"/>
      <c r="T341" s="87"/>
      <c r="U341" s="87"/>
      <c r="V341" s="87"/>
      <c r="W341" s="87"/>
      <c r="X341" s="87"/>
      <c r="Y341" s="87"/>
      <c r="Z341" s="87"/>
      <c r="AA341" s="87"/>
      <c r="AB341" s="85"/>
      <c r="AC341" s="87"/>
      <c r="AD341" s="87"/>
      <c r="AE341" s="87"/>
      <c r="AF341" s="87"/>
      <c r="AG341" s="87"/>
      <c r="AH341" s="87"/>
      <c r="AI341" s="87"/>
      <c r="AJ341" s="85"/>
      <c r="AK341" s="85"/>
      <c r="AL341" s="85"/>
      <c r="AM341" s="85"/>
      <c r="AT341" s="54"/>
      <c r="AU341" s="54"/>
      <c r="AV341" s="54"/>
      <c r="AW341" s="72"/>
      <c r="AX341" s="71"/>
      <c r="AY341" s="71"/>
      <c r="AZ341" s="71"/>
      <c r="BA341" s="71"/>
    </row>
    <row r="342" spans="1:53" x14ac:dyDescent="0.2">
      <c r="A342" s="746" t="s">
        <v>165</v>
      </c>
      <c r="B342" s="746"/>
      <c r="C342" s="746"/>
      <c r="D342" s="746"/>
      <c r="E342" s="747"/>
      <c r="F342" s="748" t="str">
        <f>IF(J357=1,B349,IF(J357=2,B350,IF(J357=3,B351,IF(J357=4,B352,"Winner Match 2"))))</f>
        <v>CSRA Heat 16 Black</v>
      </c>
      <c r="G342" s="749"/>
      <c r="H342" s="749"/>
      <c r="I342" s="749"/>
      <c r="J342" s="749"/>
      <c r="K342" s="749"/>
      <c r="L342" s="749"/>
      <c r="M342" s="749"/>
      <c r="N342" s="749"/>
      <c r="O342" s="88"/>
      <c r="Q342" s="95"/>
      <c r="R342" s="95"/>
      <c r="S342" s="85"/>
      <c r="T342" s="108"/>
      <c r="U342" s="108"/>
      <c r="V342" s="108"/>
      <c r="W342" s="108"/>
      <c r="X342" s="108"/>
      <c r="Y342" s="108"/>
      <c r="Z342" s="108"/>
      <c r="AA342" s="108"/>
      <c r="AB342" s="85"/>
      <c r="AC342" s="86"/>
      <c r="AD342" s="86"/>
      <c r="AE342" s="86"/>
      <c r="AF342" s="86"/>
      <c r="AG342" s="86"/>
      <c r="AH342" s="86"/>
      <c r="AI342" s="86"/>
      <c r="AJ342" s="85"/>
      <c r="AK342" s="85"/>
      <c r="AL342" s="85"/>
      <c r="AM342" s="85"/>
      <c r="AT342" s="54"/>
      <c r="AU342" s="54"/>
      <c r="AV342" s="54"/>
      <c r="AW342" s="78"/>
      <c r="AX342" s="77"/>
      <c r="AY342" s="77"/>
      <c r="AZ342" s="77"/>
      <c r="BA342" s="77"/>
    </row>
    <row r="343" spans="1:53" ht="13.5" thickBot="1" x14ac:dyDescent="0.25">
      <c r="A343" s="736" t="str">
        <f>IF(G357=1,B349,IF(G357=2,B350,IF(G357=3,B351,IF(G357=4,B352,IF(OR(G357="B",G357="b"),"BYE","invalid")))))</f>
        <v>CSRA Heat 16 Black</v>
      </c>
      <c r="B343" s="736"/>
      <c r="C343" s="736"/>
      <c r="D343" s="736"/>
      <c r="E343" s="737"/>
      <c r="F343" s="91"/>
      <c r="G343" s="88"/>
      <c r="H343" s="88"/>
      <c r="I343" s="88"/>
      <c r="J343" s="184"/>
      <c r="K343" s="88"/>
      <c r="L343" s="88"/>
      <c r="M343" s="88"/>
      <c r="N343" s="88"/>
      <c r="O343" s="88"/>
      <c r="Q343" s="88"/>
      <c r="R343" s="88"/>
      <c r="S343" s="85"/>
      <c r="T343" s="86"/>
      <c r="U343" s="86"/>
      <c r="V343" s="86"/>
      <c r="W343" s="86"/>
      <c r="X343" s="86"/>
      <c r="Y343" s="86"/>
      <c r="Z343" s="86"/>
      <c r="AA343" s="86"/>
      <c r="AB343" s="86"/>
      <c r="AC343" s="85"/>
      <c r="AD343" s="85"/>
      <c r="AE343" s="85"/>
      <c r="AF343" s="85"/>
      <c r="AG343" s="85"/>
      <c r="AH343" s="85"/>
      <c r="AI343" s="85"/>
      <c r="AJ343" s="85"/>
      <c r="AK343" s="85"/>
      <c r="AL343" s="85"/>
      <c r="AM343" s="85"/>
      <c r="AT343" s="54"/>
      <c r="AU343" s="54"/>
      <c r="AV343" s="54"/>
      <c r="AW343" s="78"/>
      <c r="AX343" s="77"/>
      <c r="AY343" s="77"/>
      <c r="AZ343" s="77"/>
      <c r="BA343" s="77"/>
    </row>
    <row r="344" spans="1:53" x14ac:dyDescent="0.2">
      <c r="A344" s="738" t="s">
        <v>166</v>
      </c>
      <c r="B344" s="738"/>
      <c r="C344" s="738"/>
      <c r="D344" s="738"/>
      <c r="E344" s="738"/>
      <c r="S344" s="85"/>
      <c r="T344" s="94"/>
      <c r="U344" s="94"/>
      <c r="V344" s="94"/>
      <c r="W344" s="94"/>
      <c r="X344" s="94"/>
      <c r="Y344" s="94"/>
      <c r="Z344" s="94"/>
      <c r="AA344" s="94"/>
      <c r="AB344" s="94"/>
      <c r="AC344" s="85"/>
      <c r="AD344" s="85"/>
      <c r="AE344" s="85"/>
      <c r="AF344" s="85"/>
      <c r="AG344" s="85"/>
      <c r="AH344" s="85"/>
      <c r="AI344" s="85"/>
      <c r="AJ344" s="85"/>
      <c r="AK344" s="85"/>
      <c r="AL344" s="85"/>
      <c r="AM344" s="85"/>
      <c r="AT344" s="54"/>
      <c r="AU344" s="54"/>
      <c r="AV344" s="54"/>
      <c r="AW344" s="65"/>
      <c r="AX344" s="61"/>
      <c r="AY344" s="61"/>
      <c r="AZ344" s="61"/>
      <c r="BA344" s="61"/>
    </row>
    <row r="345" spans="1:53" x14ac:dyDescent="0.2">
      <c r="S345" s="85"/>
      <c r="T345" s="85"/>
      <c r="U345" s="85"/>
      <c r="V345" s="85"/>
      <c r="W345" s="85"/>
      <c r="X345" s="85"/>
      <c r="Y345" s="85"/>
      <c r="Z345" s="85"/>
      <c r="AA345" s="85"/>
      <c r="AB345" s="85"/>
      <c r="AC345" s="85"/>
      <c r="AD345" s="85"/>
      <c r="AE345" s="85"/>
      <c r="AF345" s="85"/>
      <c r="AG345" s="85"/>
      <c r="AH345" s="85"/>
      <c r="AI345" s="85"/>
      <c r="AJ345" s="85"/>
      <c r="AK345" s="85"/>
      <c r="AL345" s="85"/>
      <c r="AM345" s="85"/>
      <c r="AT345" s="54"/>
      <c r="AU345" s="54"/>
      <c r="AV345" s="54"/>
      <c r="AW345" s="65"/>
      <c r="AX345" s="61"/>
      <c r="AY345" s="61"/>
      <c r="AZ345" s="61"/>
      <c r="BA345" s="61"/>
    </row>
    <row r="346" spans="1:53" x14ac:dyDescent="0.2">
      <c r="S346" s="85"/>
      <c r="T346" s="85"/>
      <c r="U346" s="85"/>
      <c r="V346" s="85"/>
      <c r="W346" s="85"/>
      <c r="X346" s="85"/>
      <c r="Y346" s="85"/>
      <c r="Z346" s="85"/>
      <c r="AA346" s="85"/>
      <c r="AB346" s="85"/>
      <c r="AC346" s="85"/>
      <c r="AD346" s="85"/>
      <c r="AE346" s="85"/>
      <c r="AF346" s="85"/>
      <c r="AG346" s="85"/>
      <c r="AH346" s="85"/>
      <c r="AI346" s="85"/>
      <c r="AJ346" s="85"/>
      <c r="AK346" s="85"/>
      <c r="AL346" s="85"/>
      <c r="AM346" s="85"/>
      <c r="AT346" s="54"/>
      <c r="AU346" s="54"/>
      <c r="AV346" s="54"/>
    </row>
    <row r="347" spans="1:53" ht="16.5" thickBot="1" x14ac:dyDescent="0.3">
      <c r="A347" s="740" t="s">
        <v>167</v>
      </c>
      <c r="B347" s="740"/>
      <c r="C347" s="740"/>
      <c r="D347" s="740"/>
      <c r="E347" s="740"/>
      <c r="F347" s="740"/>
      <c r="G347" s="740"/>
      <c r="H347" s="740"/>
      <c r="I347" s="740"/>
      <c r="J347" s="740"/>
      <c r="K347" s="169"/>
      <c r="R347" s="82"/>
      <c r="S347" s="147"/>
      <c r="T347" s="147"/>
      <c r="U347" s="112"/>
      <c r="V347" s="112"/>
      <c r="W347" s="112"/>
      <c r="X347" s="112"/>
      <c r="Y347" s="112"/>
      <c r="Z347" s="112"/>
      <c r="AA347" s="112"/>
      <c r="AB347" s="112"/>
      <c r="AC347" s="112"/>
      <c r="AD347" s="112"/>
      <c r="AE347" s="112"/>
      <c r="AF347" s="112"/>
      <c r="AG347" s="85"/>
      <c r="AH347" s="85"/>
      <c r="AI347" s="85"/>
      <c r="AJ347" s="85"/>
      <c r="AK347" s="85"/>
      <c r="AL347" s="85"/>
      <c r="AM347" s="85"/>
      <c r="AT347" s="54"/>
      <c r="AU347" s="54"/>
      <c r="AV347" s="54"/>
    </row>
    <row r="348" spans="1:53" ht="13.5" thickBot="1" x14ac:dyDescent="0.25">
      <c r="A348" s="113" t="s">
        <v>125</v>
      </c>
      <c r="B348" s="730" t="s">
        <v>126</v>
      </c>
      <c r="C348" s="731"/>
      <c r="D348" s="731"/>
      <c r="E348" s="731"/>
      <c r="F348" s="731"/>
      <c r="G348" s="731"/>
      <c r="H348" s="731"/>
      <c r="I348" s="731"/>
      <c r="J348" s="732"/>
      <c r="K348" s="733" t="s">
        <v>127</v>
      </c>
      <c r="L348" s="734"/>
      <c r="M348" s="734"/>
      <c r="N348" s="734"/>
      <c r="O348" s="734"/>
      <c r="P348" s="734"/>
      <c r="Q348" s="735"/>
      <c r="R348" s="88"/>
      <c r="S348" s="85"/>
      <c r="T348" s="85"/>
      <c r="U348" s="86"/>
      <c r="V348" s="86"/>
      <c r="W348" s="86"/>
      <c r="X348" s="86"/>
      <c r="Y348" s="85"/>
      <c r="Z348" s="85"/>
      <c r="AA348" s="85"/>
      <c r="AB348" s="85"/>
      <c r="AC348" s="85"/>
      <c r="AD348" s="85"/>
      <c r="AE348" s="85"/>
      <c r="AF348" s="85"/>
      <c r="AG348" s="85"/>
      <c r="AH348" s="85"/>
      <c r="AI348" s="85"/>
      <c r="AJ348" s="85"/>
      <c r="AK348" s="85"/>
      <c r="AL348" s="85"/>
      <c r="AM348" s="85"/>
      <c r="AT348" s="54"/>
      <c r="AU348" s="54"/>
      <c r="AV348" s="54"/>
    </row>
    <row r="349" spans="1:53" ht="13.5" thickBot="1" x14ac:dyDescent="0.25">
      <c r="A349" s="113">
        <v>1</v>
      </c>
      <c r="B349" s="712" t="str">
        <f>X271</f>
        <v>SC Midlands 16 Black</v>
      </c>
      <c r="C349" s="713"/>
      <c r="D349" s="713"/>
      <c r="E349" s="713"/>
      <c r="F349" s="713"/>
      <c r="G349" s="713"/>
      <c r="H349" s="713"/>
      <c r="I349" s="713"/>
      <c r="J349" s="714"/>
      <c r="K349" s="715" t="str">
        <f>AF271</f>
        <v>fj6scmid3pm</v>
      </c>
      <c r="L349" s="716"/>
      <c r="M349" s="716"/>
      <c r="N349" s="716"/>
      <c r="O349" s="716"/>
      <c r="P349" s="716"/>
      <c r="Q349" s="717"/>
      <c r="R349" s="88"/>
      <c r="S349" s="85"/>
      <c r="T349" s="85"/>
      <c r="U349" s="86"/>
      <c r="V349" s="86"/>
      <c r="W349" s="86"/>
      <c r="X349" s="87"/>
      <c r="Y349" s="87"/>
      <c r="Z349" s="87"/>
      <c r="AA349" s="87"/>
      <c r="AB349" s="87"/>
      <c r="AC349" s="87"/>
      <c r="AD349" s="87"/>
      <c r="AE349" s="87"/>
      <c r="AF349" s="87"/>
      <c r="AG349" s="85"/>
      <c r="AH349" s="85"/>
      <c r="AI349" s="85"/>
      <c r="AJ349" s="85"/>
      <c r="AK349" s="85"/>
      <c r="AL349" s="85"/>
      <c r="AM349" s="85"/>
      <c r="AT349" s="54"/>
      <c r="AU349" s="54"/>
      <c r="AV349" s="54"/>
    </row>
    <row r="350" spans="1:53" ht="13.5" thickBot="1" x14ac:dyDescent="0.25">
      <c r="A350" s="113">
        <v>2</v>
      </c>
      <c r="B350" s="712" t="str">
        <f>AH264</f>
        <v>Vision 16 Regional</v>
      </c>
      <c r="C350" s="713"/>
      <c r="D350" s="713"/>
      <c r="E350" s="713"/>
      <c r="F350" s="713"/>
      <c r="G350" s="713"/>
      <c r="H350" s="713"/>
      <c r="I350" s="713"/>
      <c r="J350" s="714"/>
      <c r="K350" s="715" t="str">
        <f>AK264</f>
        <v>fj6vison2pm</v>
      </c>
      <c r="L350" s="716"/>
      <c r="M350" s="716"/>
      <c r="N350" s="716"/>
      <c r="O350" s="716"/>
      <c r="P350" s="716"/>
      <c r="Q350" s="717"/>
      <c r="R350" s="88"/>
      <c r="S350" s="85"/>
      <c r="T350" s="85"/>
      <c r="U350" s="86"/>
      <c r="V350" s="86"/>
      <c r="W350" s="86"/>
      <c r="X350" s="87"/>
      <c r="Y350" s="87"/>
      <c r="Z350" s="87"/>
      <c r="AA350" s="87"/>
      <c r="AB350" s="87"/>
      <c r="AC350" s="87"/>
      <c r="AD350" s="87"/>
      <c r="AE350" s="87"/>
      <c r="AF350" s="87"/>
      <c r="AG350" s="85"/>
      <c r="AH350" s="85"/>
      <c r="AI350" s="85"/>
      <c r="AJ350" s="85"/>
      <c r="AK350" s="85"/>
      <c r="AL350" s="85"/>
      <c r="AM350" s="85"/>
      <c r="AT350" s="54"/>
      <c r="AU350" s="54"/>
      <c r="AV350" s="54"/>
    </row>
    <row r="351" spans="1:53" ht="13.5" thickBot="1" x14ac:dyDescent="0.25">
      <c r="A351" s="113">
        <v>3</v>
      </c>
      <c r="B351" s="712" t="str">
        <f>AH265</f>
        <v>CSRA Heat 16 Black</v>
      </c>
      <c r="C351" s="713"/>
      <c r="D351" s="713"/>
      <c r="E351" s="713"/>
      <c r="F351" s="713"/>
      <c r="G351" s="713"/>
      <c r="H351" s="713"/>
      <c r="I351" s="713"/>
      <c r="J351" s="714"/>
      <c r="K351" s="715" t="str">
        <f>AK265</f>
        <v>fj6csrah2pm</v>
      </c>
      <c r="L351" s="716"/>
      <c r="M351" s="716"/>
      <c r="N351" s="716"/>
      <c r="O351" s="716"/>
      <c r="P351" s="716"/>
      <c r="Q351" s="717"/>
      <c r="R351" s="88"/>
      <c r="S351" s="85"/>
      <c r="T351" s="85"/>
      <c r="U351" s="86"/>
      <c r="V351" s="86"/>
      <c r="W351" s="86"/>
      <c r="X351" s="87"/>
      <c r="Y351" s="87"/>
      <c r="Z351" s="87"/>
      <c r="AA351" s="87"/>
      <c r="AB351" s="87"/>
      <c r="AC351" s="87"/>
      <c r="AD351" s="87"/>
      <c r="AE351" s="87"/>
      <c r="AF351" s="87"/>
      <c r="AG351" s="85"/>
      <c r="AH351" s="85"/>
      <c r="AI351" s="85"/>
      <c r="AJ351" s="85"/>
      <c r="AK351" s="85"/>
      <c r="AL351" s="85"/>
      <c r="AM351" s="85"/>
      <c r="AT351" s="54"/>
      <c r="AU351" s="54"/>
      <c r="AV351" s="54"/>
    </row>
    <row r="352" spans="1:53" ht="13.5" thickBot="1" x14ac:dyDescent="0.25">
      <c r="A352" s="113">
        <v>4</v>
      </c>
      <c r="B352" s="712" t="str">
        <f>AH266</f>
        <v>MBVC 16</v>
      </c>
      <c r="C352" s="713"/>
      <c r="D352" s="713"/>
      <c r="E352" s="713"/>
      <c r="F352" s="713"/>
      <c r="G352" s="713"/>
      <c r="H352" s="713"/>
      <c r="I352" s="713"/>
      <c r="J352" s="714"/>
      <c r="K352" s="715" t="str">
        <f>AK266</f>
        <v>fj6mbeac1pm</v>
      </c>
      <c r="L352" s="716"/>
      <c r="M352" s="716"/>
      <c r="N352" s="716"/>
      <c r="O352" s="716"/>
      <c r="P352" s="716"/>
      <c r="Q352" s="717"/>
      <c r="R352" s="88"/>
      <c r="S352" s="85"/>
      <c r="T352" s="85"/>
      <c r="U352" s="86"/>
      <c r="V352" s="86"/>
      <c r="W352" s="86"/>
      <c r="X352" s="87"/>
      <c r="Y352" s="87"/>
      <c r="Z352" s="87"/>
      <c r="AA352" s="87"/>
      <c r="AB352" s="87"/>
      <c r="AC352" s="87"/>
      <c r="AD352" s="87"/>
      <c r="AE352" s="87"/>
      <c r="AF352" s="87"/>
      <c r="AG352" s="85"/>
      <c r="AH352" s="85"/>
      <c r="AI352" s="85"/>
      <c r="AJ352" s="85"/>
      <c r="AK352" s="85"/>
      <c r="AL352" s="85"/>
      <c r="AM352" s="85"/>
      <c r="AT352" s="54"/>
      <c r="AU352" s="54"/>
      <c r="AV352" s="54"/>
    </row>
    <row r="353" spans="1:68" ht="13.5" thickBot="1" x14ac:dyDescent="0.25">
      <c r="S353" s="85"/>
      <c r="T353" s="85"/>
      <c r="U353" s="85"/>
      <c r="V353" s="85"/>
      <c r="W353" s="85"/>
      <c r="X353" s="85"/>
      <c r="Y353" s="85"/>
      <c r="Z353" s="85"/>
      <c r="AA353" s="85"/>
      <c r="AB353" s="85"/>
      <c r="AC353" s="85"/>
      <c r="AD353" s="85"/>
      <c r="AE353" s="85"/>
      <c r="AF353" s="85"/>
      <c r="AG353" s="85"/>
      <c r="AH353" s="85"/>
      <c r="AI353" s="85"/>
      <c r="AJ353" s="85"/>
      <c r="AK353" s="85"/>
      <c r="AL353" s="85"/>
      <c r="AM353" s="85"/>
      <c r="AT353" s="54"/>
      <c r="AU353" s="54"/>
      <c r="AV353" s="54"/>
    </row>
    <row r="354" spans="1:68" x14ac:dyDescent="0.2">
      <c r="B354" s="721" t="s">
        <v>128</v>
      </c>
      <c r="C354" s="693"/>
      <c r="D354" s="694"/>
      <c r="E354" s="692" t="s">
        <v>128</v>
      </c>
      <c r="F354" s="693"/>
      <c r="G354" s="694"/>
      <c r="H354" s="692" t="s">
        <v>11</v>
      </c>
      <c r="I354" s="693"/>
      <c r="J354" s="695"/>
      <c r="K354" s="696" t="s">
        <v>129</v>
      </c>
      <c r="L354" s="722"/>
      <c r="M354" s="722"/>
      <c r="N354" s="722"/>
      <c r="O354" s="722"/>
      <c r="P354" s="722"/>
      <c r="Q354" s="723"/>
      <c r="S354" s="85"/>
      <c r="T354" s="85"/>
      <c r="U354" s="85"/>
      <c r="V354" s="85"/>
      <c r="W354" s="85"/>
      <c r="X354" s="114"/>
      <c r="Y354" s="114"/>
      <c r="Z354" s="114"/>
      <c r="AA354" s="114"/>
      <c r="AB354" s="114"/>
      <c r="AC354" s="114"/>
      <c r="AD354" s="114"/>
      <c r="AE354" s="114"/>
      <c r="AF354" s="114"/>
      <c r="AG354" s="85"/>
      <c r="AH354" s="85"/>
      <c r="AI354" s="85"/>
      <c r="AJ354" s="85"/>
      <c r="AK354" s="85"/>
      <c r="AL354" s="85"/>
      <c r="AM354" s="85"/>
      <c r="AT354" s="54"/>
      <c r="AU354" s="54"/>
      <c r="AV354" s="54"/>
    </row>
    <row r="355" spans="1:68" x14ac:dyDescent="0.2">
      <c r="A355" s="41" t="s">
        <v>130</v>
      </c>
      <c r="B355" s="705">
        <v>3</v>
      </c>
      <c r="C355" s="706"/>
      <c r="D355" s="707"/>
      <c r="E355" s="708" t="s">
        <v>131</v>
      </c>
      <c r="F355" s="706"/>
      <c r="G355" s="707"/>
      <c r="H355" s="708" t="s">
        <v>132</v>
      </c>
      <c r="I355" s="706"/>
      <c r="J355" s="709"/>
      <c r="K355" s="724"/>
      <c r="L355" s="725"/>
      <c r="M355" s="725"/>
      <c r="N355" s="725"/>
      <c r="O355" s="725"/>
      <c r="P355" s="725"/>
      <c r="Q355" s="726"/>
      <c r="S355" s="85"/>
      <c r="T355" s="85"/>
      <c r="U355" s="85"/>
      <c r="V355" s="85"/>
      <c r="W355" s="185"/>
      <c r="X355" s="115"/>
      <c r="Y355" s="115"/>
      <c r="Z355" s="115"/>
      <c r="AA355" s="115"/>
      <c r="AB355" s="115"/>
      <c r="AC355" s="115"/>
      <c r="AD355" s="115"/>
      <c r="AE355" s="115"/>
      <c r="AF355" s="115"/>
      <c r="AG355" s="85"/>
      <c r="AH355" s="85"/>
      <c r="AI355" s="85"/>
      <c r="AJ355" s="85"/>
      <c r="AK355" s="85"/>
      <c r="AL355" s="85"/>
      <c r="AM355" s="85"/>
      <c r="AT355" s="61"/>
      <c r="AU355" s="61"/>
      <c r="AV355" s="61"/>
    </row>
    <row r="356" spans="1:68" ht="13.5" thickBot="1" x14ac:dyDescent="0.25">
      <c r="A356" s="11"/>
      <c r="B356" s="690" t="s">
        <v>43</v>
      </c>
      <c r="C356" s="685"/>
      <c r="D356" s="691"/>
      <c r="E356" s="684" t="s">
        <v>133</v>
      </c>
      <c r="F356" s="685"/>
      <c r="G356" s="691"/>
      <c r="H356" s="684" t="s">
        <v>134</v>
      </c>
      <c r="I356" s="685"/>
      <c r="J356" s="686"/>
      <c r="K356" s="727"/>
      <c r="L356" s="728"/>
      <c r="M356" s="728"/>
      <c r="N356" s="728"/>
      <c r="O356" s="728"/>
      <c r="P356" s="728"/>
      <c r="Q356" s="729"/>
      <c r="S356" s="85"/>
      <c r="T356" s="85"/>
      <c r="U356" s="86"/>
      <c r="V356" s="86"/>
      <c r="W356" s="86"/>
      <c r="X356" s="116"/>
      <c r="Y356" s="116"/>
      <c r="Z356" s="116"/>
      <c r="AA356" s="116"/>
      <c r="AB356" s="116"/>
      <c r="AC356" s="116"/>
      <c r="AD356" s="116"/>
      <c r="AE356" s="116"/>
      <c r="AF356" s="116"/>
      <c r="AG356" s="85"/>
      <c r="AH356" s="85"/>
      <c r="AI356" s="85"/>
      <c r="AJ356" s="85"/>
      <c r="AK356" s="85"/>
      <c r="AL356" s="85"/>
      <c r="AM356" s="85"/>
      <c r="AT356" s="61"/>
      <c r="AU356" s="61"/>
      <c r="AV356" s="61"/>
    </row>
    <row r="357" spans="1:68" ht="13.5" thickBot="1" x14ac:dyDescent="0.25">
      <c r="A357" s="11"/>
      <c r="B357" s="117">
        <v>1</v>
      </c>
      <c r="C357" s="118" t="s">
        <v>51</v>
      </c>
      <c r="D357" s="119">
        <v>4</v>
      </c>
      <c r="E357" s="120">
        <v>2</v>
      </c>
      <c r="F357" s="118" t="s">
        <v>51</v>
      </c>
      <c r="G357" s="119">
        <v>3</v>
      </c>
      <c r="H357" s="121">
        <f>IF(OR(AND(OR(B361&gt;0,D361&gt;0),B361&gt;D361),OR(D357="b",D357="B")),B357,IF(OR(AND(OR(B361&gt;0,D361&gt;0),D361&gt;B361),OR(B357="b",B357="B")),D357,"W1"))</f>
        <v>1</v>
      </c>
      <c r="I357" s="122" t="s">
        <v>51</v>
      </c>
      <c r="J357" s="123">
        <f>IF(OR(AND(OR(E361&gt;0,G361&gt;0),E361&gt;G361),OR(G357="b",G357="B")),E357,IF(OR(AND(OR(E361&gt;0,G361&gt;0),G361&gt;E361),OR(E357="b",E357="B")),G357,"W2"))</f>
        <v>3</v>
      </c>
      <c r="K357" s="687" t="s">
        <v>135</v>
      </c>
      <c r="L357" s="688"/>
      <c r="M357" s="688"/>
      <c r="N357" s="689"/>
      <c r="S357" s="85"/>
      <c r="T357" s="85"/>
      <c r="U357" s="86"/>
      <c r="V357" s="86"/>
      <c r="W357" s="86"/>
      <c r="X357" s="128"/>
      <c r="Y357" s="126"/>
      <c r="Z357" s="127"/>
      <c r="AA357" s="128"/>
      <c r="AB357" s="126"/>
      <c r="AC357" s="127"/>
      <c r="AD357" s="128"/>
      <c r="AE357" s="126"/>
      <c r="AF357" s="127"/>
      <c r="AG357" s="116"/>
      <c r="AH357" s="116"/>
      <c r="AI357" s="85"/>
      <c r="AJ357" s="85"/>
      <c r="AK357" s="85"/>
      <c r="AL357" s="85"/>
      <c r="AM357" s="85"/>
    </row>
    <row r="358" spans="1:68" ht="12.75" hidden="1" customHeight="1" thickBot="1" x14ac:dyDescent="0.25">
      <c r="A358" s="11"/>
      <c r="B358" s="129">
        <f>IF(B362&gt;D362,1,0)</f>
        <v>1</v>
      </c>
      <c r="C358" s="130"/>
      <c r="D358" s="131">
        <f>IF(D362&gt;B362,1,0)</f>
        <v>0</v>
      </c>
      <c r="E358" s="129">
        <f>IF(E362&gt;G362,1,0)</f>
        <v>0</v>
      </c>
      <c r="F358" s="130"/>
      <c r="G358" s="131">
        <f>IF(G362&gt;E362,1,0)</f>
        <v>1</v>
      </c>
      <c r="H358" s="129">
        <f>IF(H362&gt;J362,1,0)</f>
        <v>1</v>
      </c>
      <c r="I358" s="130"/>
      <c r="J358" s="131">
        <f>IF(J362&gt;H362,1,0)</f>
        <v>0</v>
      </c>
      <c r="K358" s="132"/>
      <c r="L358" s="133"/>
      <c r="M358" s="133"/>
      <c r="N358" s="134"/>
      <c r="S358" s="85"/>
      <c r="T358" s="85"/>
      <c r="U358" s="86"/>
      <c r="V358" s="86"/>
      <c r="W358" s="86"/>
      <c r="X358" s="139"/>
      <c r="Y358" s="90"/>
      <c r="Z358" s="140"/>
      <c r="AA358" s="139"/>
      <c r="AB358" s="90"/>
      <c r="AC358" s="140"/>
      <c r="AD358" s="139"/>
      <c r="AE358" s="90"/>
      <c r="AF358" s="140"/>
      <c r="AG358" s="186"/>
      <c r="AH358" s="186"/>
      <c r="AI358" s="85"/>
      <c r="AJ358" s="85"/>
      <c r="AK358" s="85"/>
      <c r="AL358" s="85"/>
      <c r="AM358" s="85"/>
    </row>
    <row r="359" spans="1:68" ht="12.75" hidden="1" customHeight="1" thickBot="1" x14ac:dyDescent="0.25">
      <c r="A359" s="11"/>
      <c r="B359" s="129">
        <f>IF(B363&gt;D363,1,0)</f>
        <v>0</v>
      </c>
      <c r="C359" s="130"/>
      <c r="D359" s="131">
        <f>IF(D363&gt;B363,1,0)</f>
        <v>0</v>
      </c>
      <c r="E359" s="129">
        <f>IF(E363&gt;G363,1,0)</f>
        <v>0</v>
      </c>
      <c r="F359" s="130"/>
      <c r="G359" s="131">
        <f>IF(G363&gt;E363,1,0)</f>
        <v>0</v>
      </c>
      <c r="H359" s="129">
        <f>IF(H363&gt;J363,1,0)</f>
        <v>1</v>
      </c>
      <c r="I359" s="130"/>
      <c r="J359" s="131">
        <f>IF(J363&gt;H363,1,0)</f>
        <v>0</v>
      </c>
      <c r="K359" s="132"/>
      <c r="L359" s="133"/>
      <c r="M359" s="133"/>
      <c r="N359" s="134"/>
      <c r="S359" s="85"/>
      <c r="T359" s="85"/>
      <c r="U359" s="86"/>
      <c r="V359" s="86"/>
      <c r="W359" s="86"/>
      <c r="X359" s="139"/>
      <c r="Y359" s="90"/>
      <c r="Z359" s="140"/>
      <c r="AA359" s="139"/>
      <c r="AB359" s="90"/>
      <c r="AC359" s="140"/>
      <c r="AD359" s="139"/>
      <c r="AE359" s="90"/>
      <c r="AF359" s="140"/>
      <c r="AG359" s="186"/>
      <c r="AH359" s="186"/>
      <c r="AI359" s="85"/>
      <c r="AJ359" s="85"/>
      <c r="AK359" s="85"/>
      <c r="AL359" s="85"/>
      <c r="AM359" s="85"/>
    </row>
    <row r="360" spans="1:68" ht="13.5" hidden="1" customHeight="1" thickBot="1" x14ac:dyDescent="0.25">
      <c r="A360" s="11"/>
      <c r="B360" s="129">
        <f>IF(B364&gt;D364,1,0)</f>
        <v>0</v>
      </c>
      <c r="C360" s="130"/>
      <c r="D360" s="131">
        <f>IF(D364&gt;B364,1,0)</f>
        <v>0</v>
      </c>
      <c r="E360" s="129">
        <f>IF(E364&gt;G364,1,0)</f>
        <v>0</v>
      </c>
      <c r="F360" s="130"/>
      <c r="G360" s="131">
        <f>IF(G364&gt;E364,1,0)</f>
        <v>0</v>
      </c>
      <c r="H360" s="129">
        <f>IF(H364&gt;J364,1,0)</f>
        <v>0</v>
      </c>
      <c r="I360" s="130"/>
      <c r="J360" s="131">
        <f>IF(J364&gt;H364,1,0)</f>
        <v>0</v>
      </c>
      <c r="K360" s="132"/>
      <c r="L360" s="133"/>
      <c r="M360" s="133"/>
      <c r="N360" s="134"/>
      <c r="S360" s="85"/>
      <c r="T360" s="85"/>
      <c r="U360" s="86"/>
      <c r="V360" s="86"/>
      <c r="W360" s="86"/>
      <c r="X360" s="139"/>
      <c r="Y360" s="90"/>
      <c r="Z360" s="140"/>
      <c r="AA360" s="139"/>
      <c r="AB360" s="90"/>
      <c r="AC360" s="140"/>
      <c r="AD360" s="139"/>
      <c r="AE360" s="90"/>
      <c r="AF360" s="140"/>
      <c r="AG360" s="186"/>
      <c r="AH360" s="186"/>
      <c r="AI360" s="85"/>
      <c r="AJ360" s="85"/>
      <c r="AK360" s="85"/>
      <c r="AL360" s="85"/>
      <c r="AM360" s="85"/>
    </row>
    <row r="361" spans="1:68" ht="13.5" hidden="1" thickBot="1" x14ac:dyDescent="0.25">
      <c r="A361" s="11"/>
      <c r="B361" s="129">
        <f>SUM(B358:B360)</f>
        <v>1</v>
      </c>
      <c r="C361" s="130"/>
      <c r="D361" s="129">
        <f>SUM(D358:D360)</f>
        <v>0</v>
      </c>
      <c r="E361" s="129">
        <f>SUM(E358:E360)</f>
        <v>0</v>
      </c>
      <c r="F361" s="130"/>
      <c r="G361" s="129">
        <f>SUM(G358:G360)</f>
        <v>1</v>
      </c>
      <c r="H361" s="129">
        <f>SUM(H358:H360)</f>
        <v>2</v>
      </c>
      <c r="I361" s="130"/>
      <c r="J361" s="129">
        <f>SUM(J358:J360)</f>
        <v>0</v>
      </c>
      <c r="K361" s="132"/>
      <c r="L361" s="133"/>
      <c r="M361" s="133"/>
      <c r="N361" s="134"/>
      <c r="S361" s="85"/>
      <c r="T361" s="85"/>
      <c r="U361" s="86"/>
      <c r="V361" s="86"/>
      <c r="W361" s="86"/>
      <c r="X361" s="86"/>
      <c r="Y361" s="86"/>
      <c r="Z361" s="86"/>
      <c r="AA361" s="86"/>
      <c r="AB361" s="86"/>
      <c r="AC361" s="86"/>
      <c r="AD361" s="86"/>
      <c r="AE361" s="86"/>
      <c r="AF361" s="86"/>
      <c r="AG361" s="86"/>
      <c r="AH361" s="86"/>
      <c r="AI361" s="85"/>
      <c r="AJ361" s="85"/>
      <c r="AK361" s="85"/>
      <c r="AL361" s="85"/>
      <c r="AM361" s="85"/>
    </row>
    <row r="362" spans="1:68" x14ac:dyDescent="0.2">
      <c r="A362" s="9" t="s">
        <v>52</v>
      </c>
      <c r="B362" s="135">
        <v>25</v>
      </c>
      <c r="C362" s="50" t="s">
        <v>53</v>
      </c>
      <c r="D362" s="136">
        <v>21</v>
      </c>
      <c r="E362" s="137">
        <v>13</v>
      </c>
      <c r="F362" s="50" t="s">
        <v>53</v>
      </c>
      <c r="G362" s="136">
        <v>25</v>
      </c>
      <c r="H362" s="137">
        <v>25</v>
      </c>
      <c r="I362" s="50" t="s">
        <v>53</v>
      </c>
      <c r="J362" s="138">
        <v>22</v>
      </c>
      <c r="K362" s="673">
        <f>IF(AND(OR(H361&gt;0,J361&gt;0),AND(1&lt;=H357,H357&lt;=4),AND(1&lt;=J357,J357&lt;=4)),IF(H361&gt;J361,H357,IF(J361&gt;H361,J357,"")),"")</f>
        <v>1</v>
      </c>
      <c r="L362" s="674"/>
      <c r="M362" s="674"/>
      <c r="N362" s="675"/>
    </row>
    <row r="363" spans="1:68" x14ac:dyDescent="0.2">
      <c r="A363" s="9" t="s">
        <v>136</v>
      </c>
      <c r="B363" s="135"/>
      <c r="C363" s="50" t="s">
        <v>53</v>
      </c>
      <c r="D363" s="136"/>
      <c r="E363" s="137"/>
      <c r="F363" s="50" t="s">
        <v>53</v>
      </c>
      <c r="G363" s="136"/>
      <c r="H363" s="137">
        <v>25</v>
      </c>
      <c r="I363" s="50" t="s">
        <v>53</v>
      </c>
      <c r="J363" s="138">
        <v>19</v>
      </c>
      <c r="K363" s="676"/>
      <c r="L363" s="677"/>
      <c r="M363" s="677"/>
      <c r="N363" s="678"/>
    </row>
    <row r="364" spans="1:68" ht="13.5" thickBot="1" x14ac:dyDescent="0.25">
      <c r="A364" s="9" t="s">
        <v>137</v>
      </c>
      <c r="B364" s="141"/>
      <c r="C364" s="142" t="s">
        <v>53</v>
      </c>
      <c r="D364" s="143"/>
      <c r="E364" s="144"/>
      <c r="F364" s="142" t="s">
        <v>53</v>
      </c>
      <c r="G364" s="143"/>
      <c r="H364" s="144"/>
      <c r="I364" s="142" t="s">
        <v>53</v>
      </c>
      <c r="J364" s="145"/>
      <c r="K364" s="679"/>
      <c r="L364" s="680"/>
      <c r="M364" s="680"/>
      <c r="N364" s="681"/>
    </row>
    <row r="365" spans="1:68" hidden="1" x14ac:dyDescent="0.2">
      <c r="B365" s="3"/>
      <c r="C365" s="90" t="s">
        <v>87</v>
      </c>
      <c r="D365" s="3" t="s">
        <v>138</v>
      </c>
      <c r="E365" s="3"/>
      <c r="F365" s="90"/>
      <c r="G365" s="4" t="s">
        <v>139</v>
      </c>
      <c r="J365" s="4" t="s">
        <v>140</v>
      </c>
      <c r="AT365" s="4" t="str">
        <f>B366</f>
        <v>SC Midlands 16 Black</v>
      </c>
      <c r="AU365" s="4">
        <f>J366</f>
        <v>2237.1722859639631</v>
      </c>
      <c r="BB365" s="62"/>
      <c r="BE365" s="146"/>
      <c r="BF365" s="54"/>
      <c r="BG365" s="54"/>
      <c r="BH365" s="146"/>
      <c r="BI365" s="54"/>
      <c r="BJ365" s="54"/>
      <c r="BK365" s="146"/>
      <c r="BL365" s="54"/>
      <c r="BM365" s="54"/>
      <c r="BN365" s="146"/>
      <c r="BO365" s="54"/>
      <c r="BP365" s="54"/>
    </row>
    <row r="366" spans="1:68" hidden="1" x14ac:dyDescent="0.2">
      <c r="A366" s="4">
        <v>1</v>
      </c>
      <c r="B366" s="4" t="str">
        <f>B349</f>
        <v>SC Midlands 16 Black</v>
      </c>
      <c r="C366" s="4">
        <f>VLOOKUP(B366,AU$2:AY$22,4,FALSE)</f>
        <v>2211.8662291865039</v>
      </c>
      <c r="D366" s="4">
        <f>IF(A366=B357,B372,IF(A366=D357,D372,C366))</f>
        <v>2218.6022335887578</v>
      </c>
      <c r="G366" s="4">
        <f>IF(A366=E357,E372,IF(A366=G357,G372,D366))</f>
        <v>2218.6022335887578</v>
      </c>
      <c r="J366" s="4">
        <f>IF(A366=H357,H372,IF(A366=J357,J372,G366))</f>
        <v>2237.1722859639631</v>
      </c>
      <c r="AT366" s="4" t="str">
        <f>B367</f>
        <v>Vision 16 Regional</v>
      </c>
      <c r="AU366" s="4">
        <f>J367</f>
        <v>2128.9839191079691</v>
      </c>
      <c r="BB366" s="62"/>
      <c r="BE366" s="146"/>
      <c r="BF366" s="54"/>
      <c r="BG366" s="54"/>
      <c r="BH366" s="146"/>
      <c r="BI366" s="54"/>
      <c r="BJ366" s="54"/>
      <c r="BK366" s="146"/>
      <c r="BL366" s="54"/>
      <c r="BM366" s="54"/>
      <c r="BN366" s="146"/>
      <c r="BO366" s="54"/>
      <c r="BP366" s="54"/>
    </row>
    <row r="367" spans="1:68" hidden="1" x14ac:dyDescent="0.2">
      <c r="A367" s="4">
        <v>2</v>
      </c>
      <c r="B367" s="4" t="str">
        <f>B350</f>
        <v>Vision 16 Regional</v>
      </c>
      <c r="C367" s="4">
        <f>VLOOKUP(B367,AU$2:AY$22,4,FALSE)</f>
        <v>2134.0056871375905</v>
      </c>
      <c r="D367" s="4">
        <f>IF(A367=B357,B372,IF(A367=D357,D372,C367))</f>
        <v>2134.0056871375905</v>
      </c>
      <c r="G367" s="4">
        <f>IF(A367=E357,E372,IF(A367=G357,G372,D367))</f>
        <v>2128.9839191079691</v>
      </c>
      <c r="J367" s="4">
        <f>IF(A367=H357,H372,IF(A367=J357,J372,G367))</f>
        <v>2128.9839191079691</v>
      </c>
      <c r="AT367" s="4" t="str">
        <f>B368</f>
        <v>CSRA Heat 16 Black</v>
      </c>
      <c r="AU367" s="4">
        <f>J368</f>
        <v>2256.3277050759757</v>
      </c>
      <c r="BB367" s="62"/>
      <c r="BE367" s="146"/>
      <c r="BF367" s="54"/>
      <c r="BG367" s="54"/>
      <c r="BH367" s="146"/>
      <c r="BI367" s="54"/>
      <c r="BJ367" s="54"/>
      <c r="BK367" s="146"/>
      <c r="BL367" s="54"/>
      <c r="BM367" s="54"/>
      <c r="BN367" s="146"/>
      <c r="BO367" s="54"/>
      <c r="BP367" s="54"/>
    </row>
    <row r="368" spans="1:68" hidden="1" x14ac:dyDescent="0.2">
      <c r="A368" s="4">
        <v>3</v>
      </c>
      <c r="B368" s="4" t="str">
        <f>B351</f>
        <v>CSRA Heat 16 Black</v>
      </c>
      <c r="C368" s="4">
        <f>VLOOKUP(B368,AU$2:AY$22,4,FALSE)</f>
        <v>2269.8759894215596</v>
      </c>
      <c r="D368" s="4">
        <f>IF(A368=B357,B372,IF(A368=D357,D372,C368))</f>
        <v>2269.8759894215596</v>
      </c>
      <c r="G368" s="4">
        <f>IF(A368=E357,E372,IF(A368=G357,G372,D368))</f>
        <v>2274.897757451181</v>
      </c>
      <c r="J368" s="4">
        <f>IF(A368=H357,H372,IF(A368=J357,J372,G368))</f>
        <v>2256.3277050759757</v>
      </c>
      <c r="AT368" s="4" t="str">
        <f>B369</f>
        <v>MBVC 16</v>
      </c>
      <c r="AU368" s="4">
        <f>J369</f>
        <v>2149.7718337099891</v>
      </c>
      <c r="BB368" s="62"/>
      <c r="BE368" s="146"/>
      <c r="BF368" s="54"/>
      <c r="BG368" s="54"/>
      <c r="BH368" s="146"/>
      <c r="BI368" s="54"/>
      <c r="BJ368" s="54"/>
      <c r="BK368" s="146"/>
      <c r="BL368" s="54"/>
      <c r="BM368" s="54"/>
      <c r="BN368" s="146"/>
      <c r="BO368" s="54"/>
      <c r="BP368" s="54"/>
    </row>
    <row r="369" spans="1:68" hidden="1" x14ac:dyDescent="0.2">
      <c r="A369" s="4">
        <v>4</v>
      </c>
      <c r="B369" s="4" t="str">
        <f>B352</f>
        <v>MBVC 16</v>
      </c>
      <c r="C369" s="4">
        <f>VLOOKUP(B369,AU$2:AY$22,4,FALSE)</f>
        <v>2156.507838112243</v>
      </c>
      <c r="D369" s="4">
        <f>IF(A369=B357,B372,IF(A369=D357,D372,C369))</f>
        <v>2149.7718337099891</v>
      </c>
      <c r="G369" s="4">
        <f>IF(A369=E357,E372,IF(A369=G357,G372,D369))</f>
        <v>2149.7718337099891</v>
      </c>
      <c r="J369" s="4">
        <f>IF(A369=H357,H372,IF(A369=J357,J372,G369))</f>
        <v>2149.7718337099891</v>
      </c>
      <c r="AT369" s="4">
        <f>W366</f>
        <v>0</v>
      </c>
      <c r="AU369" s="4">
        <f>AE366</f>
        <v>0</v>
      </c>
      <c r="BB369" s="62"/>
      <c r="BE369" s="146"/>
      <c r="BF369" s="54"/>
      <c r="BG369" s="54"/>
      <c r="BH369" s="146"/>
      <c r="BI369" s="54"/>
      <c r="BJ369" s="54"/>
      <c r="BK369" s="146"/>
      <c r="BL369" s="54"/>
      <c r="BM369" s="54"/>
      <c r="BN369" s="146"/>
      <c r="BO369" s="54"/>
      <c r="BP369" s="54"/>
    </row>
    <row r="370" spans="1:68" hidden="1" x14ac:dyDescent="0.2">
      <c r="A370" s="4" t="s">
        <v>89</v>
      </c>
      <c r="B370" s="4">
        <f>VLOOKUP(B357,$A366:$J369,3,FALSE)</f>
        <v>2211.8662291865039</v>
      </c>
      <c r="D370" s="4">
        <f>VLOOKUP(D357,$A366:$J369,3,FALSE)</f>
        <v>2156.507838112243</v>
      </c>
      <c r="E370" s="4">
        <f>VLOOKUP(E357,$A366:$J369,4,FALSE)</f>
        <v>2134.0056871375905</v>
      </c>
      <c r="G370" s="4">
        <f>VLOOKUP(G357,$A366:$J369,4,FALSE)</f>
        <v>2269.8759894215596</v>
      </c>
      <c r="H370" s="4">
        <f>VLOOKUP(H357,$A366:$J369,7,FALSE)</f>
        <v>2218.6022335887578</v>
      </c>
      <c r="J370" s="4">
        <f>VLOOKUP(J357,$A366:$J369,7,FALSE)</f>
        <v>2274.897757451181</v>
      </c>
      <c r="AT370" s="4">
        <f>W367</f>
        <v>0</v>
      </c>
      <c r="AU370" s="4">
        <f>AE367</f>
        <v>0</v>
      </c>
      <c r="BB370" s="62"/>
      <c r="BE370" s="146"/>
      <c r="BF370" s="54"/>
      <c r="BG370" s="54"/>
      <c r="BH370" s="146"/>
      <c r="BI370" s="54"/>
      <c r="BJ370" s="54"/>
      <c r="BK370" s="146"/>
      <c r="BL370" s="54"/>
      <c r="BM370" s="54"/>
      <c r="BN370" s="146"/>
      <c r="BO370" s="54"/>
      <c r="BP370" s="54"/>
    </row>
    <row r="371" spans="1:68" hidden="1" x14ac:dyDescent="0.2">
      <c r="A371" s="68" t="s">
        <v>90</v>
      </c>
      <c r="B371" s="68">
        <f>1/(1+(10^-((B370-D370)/400)))*(B361+D361)</f>
        <v>0.57899972485912632</v>
      </c>
      <c r="C371" s="68"/>
      <c r="D371" s="68">
        <f>1/(1+(10^-((D370-B370)/400)))*(B361+D361)</f>
        <v>0.42100027514087374</v>
      </c>
      <c r="E371" s="68">
        <f>1/(1+(10^-((E370-G370)/400)))*(E361+G361)</f>
        <v>0.31386050185133008</v>
      </c>
      <c r="G371" s="68">
        <f>1/(1+(10^-((G370-E370)/400)))*(E361+G361)</f>
        <v>0.68613949814866992</v>
      </c>
      <c r="H371" s="68">
        <f>1/(1+(10^-((H370-J370)/400)))*(H361+J361)</f>
        <v>0.83937172654967562</v>
      </c>
      <c r="J371" s="68">
        <f>1/(1+(10^-((J370-H370)/400)))*(H361+J361)</f>
        <v>1.1606282734503244</v>
      </c>
      <c r="AT371" s="4">
        <f>W368</f>
        <v>0</v>
      </c>
      <c r="AU371" s="4">
        <f>AE368</f>
        <v>0</v>
      </c>
      <c r="AW371" s="146"/>
      <c r="AX371" s="54"/>
      <c r="AY371" s="54"/>
      <c r="AZ371" s="54"/>
      <c r="BA371" s="54"/>
      <c r="BB371" s="62"/>
      <c r="BE371" s="146"/>
      <c r="BF371" s="54"/>
      <c r="BG371" s="54"/>
      <c r="BH371" s="146"/>
      <c r="BI371" s="54"/>
      <c r="BJ371" s="54"/>
      <c r="BK371" s="146"/>
      <c r="BL371" s="54"/>
      <c r="BM371" s="54"/>
      <c r="BN371" s="146"/>
      <c r="BO371" s="54"/>
      <c r="BP371" s="54"/>
    </row>
    <row r="372" spans="1:68" hidden="1" x14ac:dyDescent="0.2">
      <c r="A372" s="74" t="s">
        <v>91</v>
      </c>
      <c r="B372" s="74">
        <f>B370+(B361-B371)*$BA$2</f>
        <v>2218.6022335887578</v>
      </c>
      <c r="C372" s="74"/>
      <c r="D372" s="74">
        <f>D370+(D361-D371)*$BA$2</f>
        <v>2149.7718337099891</v>
      </c>
      <c r="E372" s="74">
        <f>E370+(E361-E371)*$BA$2</f>
        <v>2128.9839191079691</v>
      </c>
      <c r="G372" s="74">
        <f>G370+(G361-G371)*$BA$2</f>
        <v>2274.897757451181</v>
      </c>
      <c r="H372" s="74">
        <f>H370+(H361-H371)*$BA$2</f>
        <v>2237.1722859639631</v>
      </c>
      <c r="J372" s="74">
        <f>J370+(J361-J371)*$BA$2</f>
        <v>2256.3277050759757</v>
      </c>
      <c r="AT372" s="4">
        <f>W369</f>
        <v>0</v>
      </c>
      <c r="AU372" s="4">
        <f>AE369</f>
        <v>0</v>
      </c>
      <c r="AW372" s="146"/>
      <c r="AX372" s="54"/>
      <c r="AY372" s="54"/>
      <c r="AZ372" s="54"/>
      <c r="BA372" s="54"/>
      <c r="BB372" s="62"/>
      <c r="BE372" s="146"/>
      <c r="BF372" s="54"/>
      <c r="BG372" s="54"/>
      <c r="BH372" s="146"/>
      <c r="BI372" s="54"/>
      <c r="BJ372" s="54"/>
      <c r="BK372" s="146"/>
      <c r="BL372" s="54"/>
      <c r="BM372" s="54"/>
      <c r="BN372" s="146"/>
      <c r="BO372" s="54"/>
      <c r="BP372" s="54"/>
    </row>
    <row r="373" spans="1:68" x14ac:dyDescent="0.2">
      <c r="A373" s="670" t="s">
        <v>141</v>
      </c>
      <c r="B373" s="670"/>
      <c r="C373" s="670"/>
      <c r="D373" s="670"/>
      <c r="E373" s="670"/>
      <c r="F373" s="670"/>
      <c r="G373" s="670"/>
      <c r="H373" s="670"/>
      <c r="I373" s="670"/>
      <c r="J373" s="670"/>
      <c r="K373" s="670"/>
      <c r="L373" s="670"/>
      <c r="M373" s="670"/>
      <c r="AW373" s="146"/>
      <c r="AX373" s="54"/>
      <c r="AY373" s="54"/>
      <c r="AZ373" s="54"/>
      <c r="BA373" s="54"/>
    </row>
    <row r="374" spans="1:68" x14ac:dyDescent="0.2">
      <c r="AW374" s="146"/>
      <c r="AX374" s="54"/>
      <c r="AY374" s="54"/>
      <c r="AZ374" s="54"/>
      <c r="BA374" s="54"/>
    </row>
    <row r="375" spans="1:68" x14ac:dyDescent="0.2">
      <c r="AW375" s="146"/>
      <c r="AX375" s="54"/>
      <c r="AY375" s="54"/>
      <c r="AZ375" s="54"/>
      <c r="BA375" s="54"/>
    </row>
    <row r="376" spans="1:68" x14ac:dyDescent="0.2">
      <c r="AW376" s="146"/>
      <c r="AX376" s="54"/>
      <c r="AY376" s="54"/>
      <c r="AZ376" s="54"/>
      <c r="BA376" s="54"/>
    </row>
    <row r="377" spans="1:68" x14ac:dyDescent="0.2">
      <c r="AW377" s="146"/>
      <c r="AX377" s="54"/>
      <c r="AY377" s="54"/>
      <c r="AZ377" s="54"/>
      <c r="BA377" s="54"/>
    </row>
    <row r="378" spans="1:68" x14ac:dyDescent="0.2">
      <c r="AW378" s="146"/>
      <c r="AX378" s="54"/>
      <c r="AY378" s="54"/>
      <c r="AZ378" s="54"/>
      <c r="BA378" s="54"/>
    </row>
    <row r="379" spans="1:68" x14ac:dyDescent="0.2">
      <c r="AT379" s="104"/>
      <c r="AU379" s="104"/>
      <c r="AW379" s="146"/>
      <c r="AX379" s="54"/>
      <c r="AY379" s="54"/>
      <c r="AZ379" s="54"/>
      <c r="BA379" s="54"/>
    </row>
    <row r="380" spans="1:68" x14ac:dyDescent="0.2">
      <c r="AW380" s="146"/>
      <c r="AX380" s="54"/>
      <c r="AY380" s="54"/>
      <c r="AZ380" s="54"/>
      <c r="BA380" s="54"/>
    </row>
    <row r="381" spans="1:68" x14ac:dyDescent="0.2">
      <c r="AW381" s="146"/>
      <c r="AX381" s="54"/>
      <c r="AY381" s="54"/>
      <c r="AZ381" s="54"/>
      <c r="BA381" s="54"/>
    </row>
    <row r="382" spans="1:68" x14ac:dyDescent="0.2">
      <c r="AW382" s="146"/>
      <c r="AX382" s="54"/>
      <c r="AY382" s="54"/>
      <c r="AZ382" s="54"/>
      <c r="BA382" s="54"/>
    </row>
    <row r="383" spans="1:68" x14ac:dyDescent="0.2">
      <c r="AW383" s="146"/>
      <c r="AX383" s="54"/>
      <c r="AY383" s="54"/>
      <c r="AZ383" s="54"/>
      <c r="BA383" s="54"/>
    </row>
    <row r="384" spans="1:68" x14ac:dyDescent="0.2">
      <c r="AW384" s="146"/>
      <c r="AX384" s="54"/>
      <c r="AY384" s="54"/>
      <c r="AZ384" s="54"/>
      <c r="BA384" s="54"/>
    </row>
    <row r="385" spans="49:53" x14ac:dyDescent="0.2">
      <c r="AW385" s="146"/>
      <c r="AX385" s="54"/>
      <c r="AY385" s="54"/>
      <c r="AZ385" s="54"/>
      <c r="BA385" s="54"/>
    </row>
    <row r="386" spans="49:53" x14ac:dyDescent="0.2">
      <c r="AW386" s="146"/>
      <c r="AX386" s="54"/>
      <c r="AY386" s="54"/>
      <c r="AZ386" s="54"/>
      <c r="BA386" s="54"/>
    </row>
    <row r="387" spans="49:53" x14ac:dyDescent="0.2">
      <c r="AW387" s="146"/>
      <c r="AX387" s="54"/>
      <c r="AY387" s="54"/>
      <c r="AZ387" s="54"/>
      <c r="BA387" s="54"/>
    </row>
    <row r="388" spans="49:53" x14ac:dyDescent="0.2">
      <c r="AW388" s="146"/>
      <c r="AX388" s="54"/>
      <c r="AY388" s="54"/>
      <c r="AZ388" s="54"/>
      <c r="BA388" s="54"/>
    </row>
    <row r="389" spans="49:53" x14ac:dyDescent="0.2">
      <c r="AW389" s="146"/>
      <c r="AX389" s="54"/>
      <c r="AY389" s="54"/>
      <c r="AZ389" s="54"/>
      <c r="BA389" s="54"/>
    </row>
    <row r="390" spans="49:53" x14ac:dyDescent="0.2">
      <c r="AW390" s="146"/>
      <c r="AX390" s="54"/>
      <c r="AY390" s="54"/>
      <c r="AZ390" s="54"/>
      <c r="BA390" s="54"/>
    </row>
    <row r="391" spans="49:53" x14ac:dyDescent="0.2">
      <c r="AW391" s="146"/>
      <c r="AX391" s="54"/>
      <c r="AY391" s="54"/>
      <c r="AZ391" s="54"/>
      <c r="BA391" s="54"/>
    </row>
    <row r="392" spans="49:53" x14ac:dyDescent="0.2">
      <c r="AW392" s="146"/>
      <c r="AX392" s="54"/>
      <c r="AY392" s="54"/>
      <c r="AZ392" s="54"/>
      <c r="BA392" s="54"/>
    </row>
    <row r="393" spans="49:53" x14ac:dyDescent="0.2">
      <c r="AW393" s="146"/>
      <c r="AX393" s="54"/>
      <c r="AY393" s="54"/>
      <c r="AZ393" s="54"/>
      <c r="BA393" s="54"/>
    </row>
    <row r="394" spans="49:53" x14ac:dyDescent="0.2">
      <c r="AW394" s="146"/>
      <c r="AX394" s="54"/>
      <c r="AY394" s="54"/>
      <c r="AZ394" s="54"/>
      <c r="BA394" s="54"/>
    </row>
    <row r="395" spans="49:53" x14ac:dyDescent="0.2">
      <c r="AW395" s="146"/>
      <c r="AX395" s="54"/>
      <c r="AY395" s="54"/>
      <c r="AZ395" s="54"/>
      <c r="BA395" s="54"/>
    </row>
    <row r="396" spans="49:53" x14ac:dyDescent="0.2">
      <c r="AW396" s="146"/>
      <c r="AX396" s="54"/>
      <c r="AY396" s="54"/>
      <c r="AZ396" s="54"/>
      <c r="BA396" s="54"/>
    </row>
    <row r="397" spans="49:53" x14ac:dyDescent="0.2">
      <c r="AW397" s="146"/>
      <c r="AX397" s="54"/>
      <c r="AY397" s="54"/>
      <c r="AZ397" s="54"/>
      <c r="BA397" s="54"/>
    </row>
    <row r="398" spans="49:53" x14ac:dyDescent="0.2">
      <c r="AW398" s="146"/>
      <c r="AX398" s="54"/>
      <c r="AY398" s="54"/>
      <c r="AZ398" s="54"/>
      <c r="BA398" s="54"/>
    </row>
    <row r="399" spans="49:53" x14ac:dyDescent="0.2">
      <c r="AW399" s="146"/>
      <c r="AX399" s="54"/>
      <c r="AY399" s="54"/>
      <c r="AZ399" s="54"/>
      <c r="BA399" s="54"/>
    </row>
    <row r="400" spans="49:53" x14ac:dyDescent="0.2">
      <c r="AW400" s="146"/>
      <c r="AX400" s="54"/>
      <c r="AY400" s="54"/>
      <c r="AZ400" s="54"/>
      <c r="BA400" s="54"/>
    </row>
    <row r="401" spans="46:53" x14ac:dyDescent="0.2">
      <c r="AW401" s="146"/>
      <c r="AX401" s="54"/>
      <c r="AY401" s="54"/>
      <c r="AZ401" s="54"/>
      <c r="BA401" s="54"/>
    </row>
    <row r="402" spans="46:53" x14ac:dyDescent="0.2">
      <c r="AW402" s="146"/>
      <c r="AX402" s="54"/>
      <c r="AY402" s="54"/>
      <c r="AZ402" s="54"/>
      <c r="BA402" s="54"/>
    </row>
    <row r="403" spans="46:53" x14ac:dyDescent="0.2">
      <c r="AW403" s="146"/>
      <c r="AX403" s="54"/>
      <c r="AY403" s="54"/>
      <c r="AZ403" s="54"/>
      <c r="BA403" s="54"/>
    </row>
    <row r="404" spans="46:53" x14ac:dyDescent="0.2">
      <c r="AW404" s="146"/>
      <c r="AX404" s="54"/>
      <c r="AY404" s="54"/>
      <c r="AZ404" s="54"/>
      <c r="BA404" s="54"/>
    </row>
    <row r="405" spans="46:53" x14ac:dyDescent="0.2">
      <c r="AW405" s="146"/>
      <c r="AX405" s="54"/>
      <c r="AY405" s="54"/>
      <c r="AZ405" s="54"/>
      <c r="BA405" s="54"/>
    </row>
    <row r="406" spans="46:53" x14ac:dyDescent="0.2">
      <c r="AW406" s="146"/>
      <c r="AX406" s="54"/>
      <c r="AY406" s="54"/>
      <c r="AZ406" s="54"/>
      <c r="BA406" s="54"/>
    </row>
    <row r="407" spans="46:53" x14ac:dyDescent="0.2">
      <c r="AW407" s="146"/>
      <c r="AX407" s="54"/>
      <c r="AY407" s="54"/>
      <c r="AZ407" s="54"/>
      <c r="BA407" s="54"/>
    </row>
    <row r="408" spans="46:53" x14ac:dyDescent="0.2">
      <c r="AW408" s="146"/>
      <c r="AX408" s="54"/>
      <c r="AY408" s="54"/>
      <c r="AZ408" s="54"/>
      <c r="BA408" s="54"/>
    </row>
    <row r="409" spans="46:53" x14ac:dyDescent="0.2">
      <c r="AW409" s="146"/>
      <c r="AX409" s="54"/>
      <c r="AY409" s="54"/>
      <c r="AZ409" s="54"/>
      <c r="BA409" s="54"/>
    </row>
    <row r="410" spans="46:53" x14ac:dyDescent="0.2">
      <c r="AW410" s="146"/>
      <c r="AX410" s="54"/>
      <c r="AY410" s="54"/>
      <c r="AZ410" s="54"/>
      <c r="BA410" s="54"/>
    </row>
    <row r="411" spans="46:53" x14ac:dyDescent="0.2">
      <c r="AW411" s="146"/>
      <c r="AX411" s="54"/>
      <c r="AY411" s="54"/>
      <c r="AZ411" s="54"/>
      <c r="BA411" s="54"/>
    </row>
    <row r="412" spans="46:53" x14ac:dyDescent="0.2">
      <c r="AW412" s="146"/>
      <c r="AX412" s="54"/>
      <c r="AY412" s="54"/>
      <c r="AZ412" s="54"/>
      <c r="BA412" s="54"/>
    </row>
    <row r="413" spans="46:53" x14ac:dyDescent="0.2">
      <c r="AW413" s="146"/>
      <c r="AX413" s="54"/>
      <c r="AY413" s="54"/>
      <c r="AZ413" s="54"/>
      <c r="BA413" s="54"/>
    </row>
    <row r="414" spans="46:53" x14ac:dyDescent="0.2">
      <c r="AW414" s="146"/>
      <c r="AX414" s="54"/>
      <c r="AY414" s="54"/>
      <c r="AZ414" s="54"/>
      <c r="BA414" s="54"/>
    </row>
    <row r="415" spans="46:53" x14ac:dyDescent="0.2">
      <c r="AT415" s="104"/>
      <c r="AU415" s="104"/>
      <c r="AW415" s="146"/>
      <c r="AX415" s="54"/>
      <c r="AY415" s="54"/>
      <c r="AZ415" s="54"/>
      <c r="BA415" s="54"/>
    </row>
    <row r="416" spans="46:53" x14ac:dyDescent="0.2">
      <c r="AW416" s="146"/>
      <c r="AX416" s="54"/>
      <c r="AY416" s="54"/>
      <c r="AZ416" s="54"/>
      <c r="BA416" s="54"/>
    </row>
    <row r="418" spans="49:53" x14ac:dyDescent="0.2">
      <c r="AW418" s="65"/>
      <c r="AX418" s="61"/>
      <c r="AY418" s="61"/>
      <c r="AZ418" s="61"/>
      <c r="BA418" s="61"/>
    </row>
    <row r="419" spans="49:53" x14ac:dyDescent="0.2">
      <c r="AW419" s="65"/>
      <c r="AX419" s="61"/>
      <c r="AY419" s="61"/>
      <c r="AZ419" s="61"/>
      <c r="BA419" s="61"/>
    </row>
    <row r="420" spans="49:53" x14ac:dyDescent="0.2">
      <c r="AW420" s="65"/>
      <c r="AX420" s="61"/>
      <c r="AY420" s="61"/>
      <c r="AZ420" s="61"/>
      <c r="BA420" s="61"/>
    </row>
    <row r="421" spans="49:53" x14ac:dyDescent="0.2">
      <c r="AW421" s="65"/>
      <c r="AX421" s="61"/>
      <c r="AY421" s="61"/>
      <c r="AZ421" s="61"/>
      <c r="BA421" s="61"/>
    </row>
    <row r="422" spans="49:53" x14ac:dyDescent="0.2">
      <c r="AW422" s="65"/>
      <c r="AX422" s="61"/>
      <c r="AY422" s="61"/>
      <c r="AZ422" s="61"/>
      <c r="BA422" s="61"/>
    </row>
    <row r="423" spans="49:53" x14ac:dyDescent="0.2">
      <c r="AW423" s="65"/>
      <c r="AX423" s="61"/>
      <c r="AY423" s="61"/>
      <c r="AZ423" s="61"/>
      <c r="BA423" s="61"/>
    </row>
    <row r="424" spans="49:53" x14ac:dyDescent="0.2">
      <c r="AW424" s="65"/>
      <c r="AX424" s="61"/>
      <c r="AY424" s="61"/>
      <c r="AZ424" s="61"/>
      <c r="BA424" s="61"/>
    </row>
    <row r="425" spans="49:53" x14ac:dyDescent="0.2">
      <c r="AW425" s="65"/>
      <c r="AX425" s="61"/>
      <c r="AY425" s="61"/>
      <c r="AZ425" s="61"/>
      <c r="BA425" s="61"/>
    </row>
    <row r="426" spans="49:53" x14ac:dyDescent="0.2">
      <c r="AW426" s="72"/>
      <c r="AX426" s="71"/>
      <c r="AY426" s="71"/>
      <c r="AZ426" s="71"/>
      <c r="BA426" s="71"/>
    </row>
    <row r="427" spans="49:53" x14ac:dyDescent="0.2">
      <c r="AW427" s="78"/>
      <c r="AX427" s="77"/>
      <c r="AY427" s="77"/>
      <c r="AZ427" s="77"/>
      <c r="BA427" s="77"/>
    </row>
    <row r="428" spans="49:53" x14ac:dyDescent="0.2">
      <c r="AW428" s="78"/>
      <c r="AX428" s="77"/>
      <c r="AY428" s="77"/>
      <c r="AZ428" s="77"/>
      <c r="BA428" s="77"/>
    </row>
    <row r="429" spans="49:53" x14ac:dyDescent="0.2">
      <c r="AW429" s="65"/>
      <c r="AX429" s="61"/>
      <c r="AY429" s="61"/>
      <c r="AZ429" s="61"/>
      <c r="BA429" s="61"/>
    </row>
    <row r="430" spans="49:53" x14ac:dyDescent="0.2">
      <c r="AW430" s="65"/>
      <c r="AX430" s="61"/>
      <c r="AY430" s="61"/>
      <c r="AZ430" s="61"/>
      <c r="BA430" s="61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CalcPr fullCalcOnLoad="1"/>
  <sheetProtection formatCells="0" selectLockedCells="1"/>
  <mergeCells count="668">
    <mergeCell ref="A1:AI1"/>
    <mergeCell ref="AT1:AW1"/>
    <mergeCell ref="AX1:AY1"/>
    <mergeCell ref="A2:I2"/>
    <mergeCell ref="J2:X2"/>
    <mergeCell ref="Y2:AC2"/>
    <mergeCell ref="AD2:AI2"/>
    <mergeCell ref="B3:O3"/>
    <mergeCell ref="P3:R3"/>
    <mergeCell ref="S3:X3"/>
    <mergeCell ref="Y3:AD3"/>
    <mergeCell ref="AE3:AF3"/>
    <mergeCell ref="AG3:AI3"/>
    <mergeCell ref="A4:D4"/>
    <mergeCell ref="E4:M4"/>
    <mergeCell ref="N4:Q4"/>
    <mergeCell ref="R4:AA4"/>
    <mergeCell ref="AB4:AE4"/>
    <mergeCell ref="AF4:AI4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AC8:AE9"/>
    <mergeCell ref="AF8:AF9"/>
    <mergeCell ref="AG8:AG9"/>
    <mergeCell ref="AH8:AI9"/>
    <mergeCell ref="B9:D9"/>
    <mergeCell ref="E9:K9"/>
    <mergeCell ref="A10:A11"/>
    <mergeCell ref="B10:D10"/>
    <mergeCell ref="E10:K10"/>
    <mergeCell ref="L10:P11"/>
    <mergeCell ref="R10:V11"/>
    <mergeCell ref="W10:Y11"/>
    <mergeCell ref="Z10:AB11"/>
    <mergeCell ref="AC10:AE11"/>
    <mergeCell ref="AF10:AF11"/>
    <mergeCell ref="AG10:AG11"/>
    <mergeCell ref="AH10:AI11"/>
    <mergeCell ref="B11:D11"/>
    <mergeCell ref="E11:K11"/>
    <mergeCell ref="A12:A13"/>
    <mergeCell ref="B12:D12"/>
    <mergeCell ref="E12:K12"/>
    <mergeCell ref="L12:P13"/>
    <mergeCell ref="R12:V13"/>
    <mergeCell ref="W12:Y13"/>
    <mergeCell ref="Z12:AB13"/>
    <mergeCell ref="AC12:AE13"/>
    <mergeCell ref="AF12:AF13"/>
    <mergeCell ref="AG12:AG13"/>
    <mergeCell ref="AH12:AI13"/>
    <mergeCell ref="B13:D13"/>
    <mergeCell ref="E13:K13"/>
    <mergeCell ref="A14:A15"/>
    <mergeCell ref="B14:D14"/>
    <mergeCell ref="E14:K14"/>
    <mergeCell ref="L14:P15"/>
    <mergeCell ref="R14:V15"/>
    <mergeCell ref="W14:Y15"/>
    <mergeCell ref="Z14:AB15"/>
    <mergeCell ref="AC14:AE15"/>
    <mergeCell ref="AF14:AF15"/>
    <mergeCell ref="AG14:AG15"/>
    <mergeCell ref="AH14:AI15"/>
    <mergeCell ref="B15:D15"/>
    <mergeCell ref="E15:K15"/>
    <mergeCell ref="A16:A17"/>
    <mergeCell ref="B16:D16"/>
    <mergeCell ref="E16:K16"/>
    <mergeCell ref="L16:P17"/>
    <mergeCell ref="R16:V17"/>
    <mergeCell ref="W16:Y17"/>
    <mergeCell ref="Z16:AB17"/>
    <mergeCell ref="AC16:AE17"/>
    <mergeCell ref="AF16:AF17"/>
    <mergeCell ref="AG16:AG17"/>
    <mergeCell ref="AH16:AI17"/>
    <mergeCell ref="B17:D17"/>
    <mergeCell ref="E17:K17"/>
    <mergeCell ref="B18:AI18"/>
    <mergeCell ref="AT18:AY19"/>
    <mergeCell ref="B19:D19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2:Y22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3:Y23"/>
    <mergeCell ref="Z23:AB23"/>
    <mergeCell ref="AC23:AE23"/>
    <mergeCell ref="AG57:AK57"/>
    <mergeCell ref="A89:AM89"/>
    <mergeCell ref="AN89:AQ89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F93:AF94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W95:Y96"/>
    <mergeCell ref="Z95:AB96"/>
    <mergeCell ref="AC95:AE96"/>
    <mergeCell ref="AF95:AF96"/>
    <mergeCell ref="AG95:AG96"/>
    <mergeCell ref="AH95:AI96"/>
    <mergeCell ref="B96:D96"/>
    <mergeCell ref="E96:K96"/>
    <mergeCell ref="A97:A98"/>
    <mergeCell ref="B97:D97"/>
    <mergeCell ref="E97:K97"/>
    <mergeCell ref="L97:P98"/>
    <mergeCell ref="R97:V98"/>
    <mergeCell ref="W97:Y98"/>
    <mergeCell ref="Z97:AB98"/>
    <mergeCell ref="AC97:AE98"/>
    <mergeCell ref="AF97:AF98"/>
    <mergeCell ref="AG97:AG98"/>
    <mergeCell ref="AH97:AI98"/>
    <mergeCell ref="B98:D98"/>
    <mergeCell ref="E98:K98"/>
    <mergeCell ref="A99:A100"/>
    <mergeCell ref="B99:D99"/>
    <mergeCell ref="E99:K99"/>
    <mergeCell ref="L99:P100"/>
    <mergeCell ref="R99:V100"/>
    <mergeCell ref="W99:Y100"/>
    <mergeCell ref="Z99:AB100"/>
    <mergeCell ref="AC99:AE100"/>
    <mergeCell ref="AF99:AF100"/>
    <mergeCell ref="AG99:AG100"/>
    <mergeCell ref="AH99:AI100"/>
    <mergeCell ref="B100:D100"/>
    <mergeCell ref="E100:K100"/>
    <mergeCell ref="A101:A102"/>
    <mergeCell ref="B101:D101"/>
    <mergeCell ref="E101:K101"/>
    <mergeCell ref="L101:P102"/>
    <mergeCell ref="R101:V102"/>
    <mergeCell ref="W101:Y102"/>
    <mergeCell ref="Z101:AB102"/>
    <mergeCell ref="AC101:AE102"/>
    <mergeCell ref="AF101:AF102"/>
    <mergeCell ref="AG101:AG102"/>
    <mergeCell ref="AH101:AI102"/>
    <mergeCell ref="B102:D102"/>
    <mergeCell ref="E102:K102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8:AB108"/>
    <mergeCell ref="AC108:AE108"/>
    <mergeCell ref="AG142:AK142"/>
    <mergeCell ref="A174:AM174"/>
    <mergeCell ref="AN174:AQ174"/>
    <mergeCell ref="A175:AQ175"/>
    <mergeCell ref="C176:H176"/>
    <mergeCell ref="I176:J176"/>
    <mergeCell ref="K176:AI176"/>
    <mergeCell ref="B177:K177"/>
    <mergeCell ref="L177:P177"/>
    <mergeCell ref="Q177:Q187"/>
    <mergeCell ref="R177:V177"/>
    <mergeCell ref="W177:Y177"/>
    <mergeCell ref="Z177:AB177"/>
    <mergeCell ref="AC177:AE177"/>
    <mergeCell ref="AH177:AI177"/>
    <mergeCell ref="A178:A179"/>
    <mergeCell ref="B178:D178"/>
    <mergeCell ref="E178:K178"/>
    <mergeCell ref="L178:P179"/>
    <mergeCell ref="R178:V179"/>
    <mergeCell ref="W178:Y179"/>
    <mergeCell ref="Z178:AB179"/>
    <mergeCell ref="AC178:AE179"/>
    <mergeCell ref="AF178:AF179"/>
    <mergeCell ref="AG178:AG179"/>
    <mergeCell ref="AH178:AI179"/>
    <mergeCell ref="B179:D179"/>
    <mergeCell ref="E179:K179"/>
    <mergeCell ref="A180:A181"/>
    <mergeCell ref="B180:D180"/>
    <mergeCell ref="E180:K180"/>
    <mergeCell ref="L180:P181"/>
    <mergeCell ref="R180:V181"/>
    <mergeCell ref="W180:Y181"/>
    <mergeCell ref="Z180:AB181"/>
    <mergeCell ref="AC180:AE181"/>
    <mergeCell ref="AF180:AF181"/>
    <mergeCell ref="AG180:AG181"/>
    <mergeCell ref="AH180:AI181"/>
    <mergeCell ref="B181:D181"/>
    <mergeCell ref="E181:K181"/>
    <mergeCell ref="A182:A183"/>
    <mergeCell ref="B182:D182"/>
    <mergeCell ref="E182:K182"/>
    <mergeCell ref="L182:P183"/>
    <mergeCell ref="R182:V183"/>
    <mergeCell ref="W182:Y183"/>
    <mergeCell ref="Z182:AB183"/>
    <mergeCell ref="AC182:AE183"/>
    <mergeCell ref="AF182:AF183"/>
    <mergeCell ref="AG182:AG183"/>
    <mergeCell ref="AH182:AI183"/>
    <mergeCell ref="B183:D183"/>
    <mergeCell ref="E183:K183"/>
    <mergeCell ref="A184:A185"/>
    <mergeCell ref="B184:D184"/>
    <mergeCell ref="E184:K184"/>
    <mergeCell ref="L184:P185"/>
    <mergeCell ref="R184:V185"/>
    <mergeCell ref="W184:Y185"/>
    <mergeCell ref="Z184:AB185"/>
    <mergeCell ref="AC184:AE185"/>
    <mergeCell ref="AF184:AF185"/>
    <mergeCell ref="AG184:AG185"/>
    <mergeCell ref="AH184:AI185"/>
    <mergeCell ref="B185:D185"/>
    <mergeCell ref="E185:K185"/>
    <mergeCell ref="A186:A187"/>
    <mergeCell ref="B186:D186"/>
    <mergeCell ref="E186:K186"/>
    <mergeCell ref="L186:P187"/>
    <mergeCell ref="R186:V187"/>
    <mergeCell ref="W186:Y187"/>
    <mergeCell ref="Z186:AB187"/>
    <mergeCell ref="AC186:AE187"/>
    <mergeCell ref="AF186:AF187"/>
    <mergeCell ref="AG186:AG187"/>
    <mergeCell ref="AH186:AI187"/>
    <mergeCell ref="B187:D187"/>
    <mergeCell ref="E187:K187"/>
    <mergeCell ref="B188:AI188"/>
    <mergeCell ref="B189:D189"/>
    <mergeCell ref="E189:G189"/>
    <mergeCell ref="H189:J189"/>
    <mergeCell ref="K189:M189"/>
    <mergeCell ref="N189:P189"/>
    <mergeCell ref="Q189:S189"/>
    <mergeCell ref="T189:V189"/>
    <mergeCell ref="W189:Y189"/>
    <mergeCell ref="Z189:AB189"/>
    <mergeCell ref="AC189:AE189"/>
    <mergeCell ref="AF189:AQ192"/>
    <mergeCell ref="B190:D190"/>
    <mergeCell ref="E190:G190"/>
    <mergeCell ref="H190:J190"/>
    <mergeCell ref="K190:M190"/>
    <mergeCell ref="N190:P190"/>
    <mergeCell ref="Q190:S190"/>
    <mergeCell ref="T190:V190"/>
    <mergeCell ref="W190:Y190"/>
    <mergeCell ref="Z190:AB190"/>
    <mergeCell ref="AC190:AE190"/>
    <mergeCell ref="B191:D191"/>
    <mergeCell ref="E191:G191"/>
    <mergeCell ref="H191:J191"/>
    <mergeCell ref="K191:M191"/>
    <mergeCell ref="N191:P191"/>
    <mergeCell ref="Q191:S191"/>
    <mergeCell ref="T191:V191"/>
    <mergeCell ref="W191:Y191"/>
    <mergeCell ref="Z191:AB191"/>
    <mergeCell ref="AC191:AE191"/>
    <mergeCell ref="B192:D192"/>
    <mergeCell ref="E192:G192"/>
    <mergeCell ref="H192:J192"/>
    <mergeCell ref="K192:M192"/>
    <mergeCell ref="N192:P192"/>
    <mergeCell ref="Q192:S192"/>
    <mergeCell ref="T192:V192"/>
    <mergeCell ref="W192:Y192"/>
    <mergeCell ref="Z192:AB192"/>
    <mergeCell ref="AC192:AE192"/>
    <mergeCell ref="B193:D193"/>
    <mergeCell ref="E193:G193"/>
    <mergeCell ref="H193:J193"/>
    <mergeCell ref="K193:M193"/>
    <mergeCell ref="N193:P193"/>
    <mergeCell ref="Q193:S193"/>
    <mergeCell ref="T193:V193"/>
    <mergeCell ref="W193:Y193"/>
    <mergeCell ref="Z193:AB193"/>
    <mergeCell ref="AC193:AE193"/>
    <mergeCell ref="AG227:AK227"/>
    <mergeCell ref="A259:AM259"/>
    <mergeCell ref="AN259:AQ259"/>
    <mergeCell ref="A260:AQ260"/>
    <mergeCell ref="A261:AQ261"/>
    <mergeCell ref="A262:A263"/>
    <mergeCell ref="B262:L262"/>
    <mergeCell ref="M262:W262"/>
    <mergeCell ref="X262:AG262"/>
    <mergeCell ref="AH262:AP262"/>
    <mergeCell ref="B263:E263"/>
    <mergeCell ref="F263:I263"/>
    <mergeCell ref="J263:K263"/>
    <mergeCell ref="M263:Q263"/>
    <mergeCell ref="R263:T263"/>
    <mergeCell ref="U263:V263"/>
    <mergeCell ref="X263:AB263"/>
    <mergeCell ref="AC263:AE263"/>
    <mergeCell ref="AH263:AJ263"/>
    <mergeCell ref="AK263:AM263"/>
    <mergeCell ref="AN263:AO263"/>
    <mergeCell ref="B264:E264"/>
    <mergeCell ref="F264:I264"/>
    <mergeCell ref="J264:K264"/>
    <mergeCell ref="M264:Q264"/>
    <mergeCell ref="R264:T264"/>
    <mergeCell ref="U264:V264"/>
    <mergeCell ref="X264:AB264"/>
    <mergeCell ref="AC264:AE264"/>
    <mergeCell ref="AH264:AJ264"/>
    <mergeCell ref="AK264:AM264"/>
    <mergeCell ref="AN264:AO264"/>
    <mergeCell ref="B265:E265"/>
    <mergeCell ref="F265:I265"/>
    <mergeCell ref="J265:K265"/>
    <mergeCell ref="M265:Q265"/>
    <mergeCell ref="R265:T265"/>
    <mergeCell ref="U265:V265"/>
    <mergeCell ref="X265:AB265"/>
    <mergeCell ref="AC265:AE265"/>
    <mergeCell ref="AH265:AJ265"/>
    <mergeCell ref="AK265:AM265"/>
    <mergeCell ref="AN265:AO265"/>
    <mergeCell ref="B266:E266"/>
    <mergeCell ref="F266:I266"/>
    <mergeCell ref="J266:K266"/>
    <mergeCell ref="M266:Q266"/>
    <mergeCell ref="R266:T266"/>
    <mergeCell ref="U266:V266"/>
    <mergeCell ref="X266:AB266"/>
    <mergeCell ref="AN266:AO266"/>
    <mergeCell ref="A267:A268"/>
    <mergeCell ref="B267:L267"/>
    <mergeCell ref="M267:W267"/>
    <mergeCell ref="X267:AG267"/>
    <mergeCell ref="AH267:AP267"/>
    <mergeCell ref="B268:H268"/>
    <mergeCell ref="M268:S268"/>
    <mergeCell ref="T268:W268"/>
    <mergeCell ref="X268:AE268"/>
    <mergeCell ref="AF268:AG268"/>
    <mergeCell ref="AH268:AM268"/>
    <mergeCell ref="AC266:AE266"/>
    <mergeCell ref="AH266:AJ266"/>
    <mergeCell ref="AK266:AM266"/>
    <mergeCell ref="AN268:AP268"/>
    <mergeCell ref="B269:H269"/>
    <mergeCell ref="I269:L269"/>
    <mergeCell ref="M269:S269"/>
    <mergeCell ref="T269:W269"/>
    <mergeCell ref="X269:AE269"/>
    <mergeCell ref="AF269:AG269"/>
    <mergeCell ref="AH269:AM269"/>
    <mergeCell ref="AN269:AP269"/>
    <mergeCell ref="I268:L268"/>
    <mergeCell ref="B270:H270"/>
    <mergeCell ref="I270:L270"/>
    <mergeCell ref="M270:S270"/>
    <mergeCell ref="T270:W270"/>
    <mergeCell ref="X270:AE270"/>
    <mergeCell ref="AF270:AG270"/>
    <mergeCell ref="AH270:AM270"/>
    <mergeCell ref="AN270:AP270"/>
    <mergeCell ref="B271:H271"/>
    <mergeCell ref="I271:L271"/>
    <mergeCell ref="M271:S271"/>
    <mergeCell ref="T271:W271"/>
    <mergeCell ref="X271:AE271"/>
    <mergeCell ref="AF271:AG271"/>
    <mergeCell ref="AH271:AM271"/>
    <mergeCell ref="AN271:AP271"/>
    <mergeCell ref="A273:AQ273"/>
    <mergeCell ref="A274:AQ274"/>
    <mergeCell ref="A275:AQ275"/>
    <mergeCell ref="A276:AQ276"/>
    <mergeCell ref="A277:K277"/>
    <mergeCell ref="A279:P279"/>
    <mergeCell ref="S279:AG279"/>
    <mergeCell ref="A281:E281"/>
    <mergeCell ref="V281:AB281"/>
    <mergeCell ref="A282:E282"/>
    <mergeCell ref="V282:AB282"/>
    <mergeCell ref="A284:E284"/>
    <mergeCell ref="F284:N284"/>
    <mergeCell ref="U284:AB284"/>
    <mergeCell ref="AC284:AI284"/>
    <mergeCell ref="A285:E285"/>
    <mergeCell ref="F285:I285"/>
    <mergeCell ref="J285:N285"/>
    <mergeCell ref="U285:AA285"/>
    <mergeCell ref="AC285:AF285"/>
    <mergeCell ref="AG285:AI285"/>
    <mergeCell ref="A286:E286"/>
    <mergeCell ref="V286:AB286"/>
    <mergeCell ref="A287:E287"/>
    <mergeCell ref="V287:AB287"/>
    <mergeCell ref="F288:I288"/>
    <mergeCell ref="AC288:AF288"/>
    <mergeCell ref="J289:Q289"/>
    <mergeCell ref="AG289:AL289"/>
    <mergeCell ref="A290:E290"/>
    <mergeCell ref="F290:I290"/>
    <mergeCell ref="J290:Q290"/>
    <mergeCell ref="V290:AB290"/>
    <mergeCell ref="AC290:AF290"/>
    <mergeCell ref="AG290:AL290"/>
    <mergeCell ref="A291:E291"/>
    <mergeCell ref="J291:Q291"/>
    <mergeCell ref="V291:AB291"/>
    <mergeCell ref="A293:D293"/>
    <mergeCell ref="F293:I293"/>
    <mergeCell ref="J293:N293"/>
    <mergeCell ref="U293:AA293"/>
    <mergeCell ref="AC293:AF293"/>
    <mergeCell ref="AG293:AI293"/>
    <mergeCell ref="A294:E294"/>
    <mergeCell ref="F294:N294"/>
    <mergeCell ref="U294:AA294"/>
    <mergeCell ref="AC294:AI294"/>
    <mergeCell ref="A295:E295"/>
    <mergeCell ref="V295:AB295"/>
    <mergeCell ref="A296:E296"/>
    <mergeCell ref="V296:AB296"/>
    <mergeCell ref="A299:J299"/>
    <mergeCell ref="U299:AF299"/>
    <mergeCell ref="B300:J300"/>
    <mergeCell ref="K300:Q300"/>
    <mergeCell ref="U300:W300"/>
    <mergeCell ref="X300:AF300"/>
    <mergeCell ref="AG300:AM300"/>
    <mergeCell ref="B301:J301"/>
    <mergeCell ref="K301:Q301"/>
    <mergeCell ref="U301:W301"/>
    <mergeCell ref="X301:AF301"/>
    <mergeCell ref="AG301:AM301"/>
    <mergeCell ref="B302:J302"/>
    <mergeCell ref="K302:Q302"/>
    <mergeCell ref="U302:W302"/>
    <mergeCell ref="X302:AF302"/>
    <mergeCell ref="AG302:AM302"/>
    <mergeCell ref="B303:J303"/>
    <mergeCell ref="K303:Q303"/>
    <mergeCell ref="U303:W303"/>
    <mergeCell ref="X303:AF303"/>
    <mergeCell ref="AG303:AM303"/>
    <mergeCell ref="B304:J304"/>
    <mergeCell ref="K304:Q304"/>
    <mergeCell ref="U304:W304"/>
    <mergeCell ref="X304:AF304"/>
    <mergeCell ref="AG304:AM304"/>
    <mergeCell ref="B306:D306"/>
    <mergeCell ref="E306:G306"/>
    <mergeCell ref="H306:J306"/>
    <mergeCell ref="K306:Q308"/>
    <mergeCell ref="W306:Y306"/>
    <mergeCell ref="Z306:AB306"/>
    <mergeCell ref="AC306:AE306"/>
    <mergeCell ref="AF306:AJ308"/>
    <mergeCell ref="B307:D307"/>
    <mergeCell ref="E307:G307"/>
    <mergeCell ref="H307:J307"/>
    <mergeCell ref="T307:V307"/>
    <mergeCell ref="W307:Y307"/>
    <mergeCell ref="Z307:AB307"/>
    <mergeCell ref="AC307:AE307"/>
    <mergeCell ref="B308:D308"/>
    <mergeCell ref="E308:G308"/>
    <mergeCell ref="H308:J308"/>
    <mergeCell ref="T308:V308"/>
    <mergeCell ref="W308:Y308"/>
    <mergeCell ref="Z308:AB308"/>
    <mergeCell ref="AC308:AE308"/>
    <mergeCell ref="K309:N309"/>
    <mergeCell ref="T309:V309"/>
    <mergeCell ref="AF309:AG309"/>
    <mergeCell ref="T310:V310"/>
    <mergeCell ref="T311:V311"/>
    <mergeCell ref="T312:V312"/>
    <mergeCell ref="T313:V313"/>
    <mergeCell ref="K314:N316"/>
    <mergeCell ref="AF314:AG316"/>
    <mergeCell ref="T322:V322"/>
    <mergeCell ref="T323:V323"/>
    <mergeCell ref="T324:V324"/>
    <mergeCell ref="A325:M325"/>
    <mergeCell ref="V325:AG325"/>
    <mergeCell ref="A327:P327"/>
    <mergeCell ref="A329:E329"/>
    <mergeCell ref="A330:E330"/>
    <mergeCell ref="A332:E332"/>
    <mergeCell ref="F332:N332"/>
    <mergeCell ref="A333:E333"/>
    <mergeCell ref="F333:I333"/>
    <mergeCell ref="J333:N333"/>
    <mergeCell ref="A334:E334"/>
    <mergeCell ref="A335:E335"/>
    <mergeCell ref="F336:I336"/>
    <mergeCell ref="J337:Q337"/>
    <mergeCell ref="A338:E338"/>
    <mergeCell ref="F338:I338"/>
    <mergeCell ref="J338:Q338"/>
    <mergeCell ref="A339:E339"/>
    <mergeCell ref="J339:Q339"/>
    <mergeCell ref="A341:D341"/>
    <mergeCell ref="F341:I341"/>
    <mergeCell ref="J341:N341"/>
    <mergeCell ref="A342:E342"/>
    <mergeCell ref="F342:N342"/>
    <mergeCell ref="A343:E343"/>
    <mergeCell ref="A344:E344"/>
    <mergeCell ref="A347:J347"/>
    <mergeCell ref="B348:J348"/>
    <mergeCell ref="K348:Q348"/>
    <mergeCell ref="B349:J349"/>
    <mergeCell ref="K349:Q349"/>
    <mergeCell ref="B356:D356"/>
    <mergeCell ref="E356:G356"/>
    <mergeCell ref="H356:J356"/>
    <mergeCell ref="B350:J350"/>
    <mergeCell ref="K350:Q350"/>
    <mergeCell ref="B351:J351"/>
    <mergeCell ref="K351:Q351"/>
    <mergeCell ref="B352:J352"/>
    <mergeCell ref="K352:Q352"/>
    <mergeCell ref="K357:N357"/>
    <mergeCell ref="K362:N364"/>
    <mergeCell ref="A373:M373"/>
    <mergeCell ref="B354:D354"/>
    <mergeCell ref="E354:G354"/>
    <mergeCell ref="H354:J354"/>
    <mergeCell ref="K354:Q356"/>
    <mergeCell ref="B355:D355"/>
    <mergeCell ref="E355:G355"/>
    <mergeCell ref="H355:J355"/>
  </mergeCells>
  <conditionalFormatting sqref="A8 A93 A178">
    <cfRule type="expression" dxfId="1284" priority="4" stopIfTrue="1">
      <formula>IF(AK9&gt;0,0,1)</formula>
    </cfRule>
  </conditionalFormatting>
  <conditionalFormatting sqref="A10:A11 A95:A96 A180:A181">
    <cfRule type="expression" dxfId="1283" priority="5" stopIfTrue="1">
      <formula>IF(#REF!&gt;1,0,1)</formula>
    </cfRule>
  </conditionalFormatting>
  <conditionalFormatting sqref="A12:A13 A97:A98 A182:A183">
    <cfRule type="expression" dxfId="1282" priority="6" stopIfTrue="1">
      <formula>IF(#REF!&gt;2,0,1)</formula>
    </cfRule>
  </conditionalFormatting>
  <conditionalFormatting sqref="A14:A15 A99:A100 A184:A185">
    <cfRule type="expression" dxfId="1281" priority="7" stopIfTrue="1">
      <formula>IF(#REF!&gt;3,0,1)</formula>
    </cfRule>
  </conditionalFormatting>
  <conditionalFormatting sqref="A16:A17 A101:A102 A186:A187">
    <cfRule type="expression" dxfId="1280" priority="8" stopIfTrue="1">
      <formula>IF(#REF!&gt;4,0,1)</formula>
    </cfRule>
  </conditionalFormatting>
  <conditionalFormatting sqref="B8 B93 B178">
    <cfRule type="expression" dxfId="1279" priority="9" stopIfTrue="1">
      <formula>IF(AK9&gt;0,0,1)</formula>
    </cfRule>
  </conditionalFormatting>
  <conditionalFormatting sqref="B9 B94 B179">
    <cfRule type="expression" dxfId="1278" priority="10" stopIfTrue="1">
      <formula>IF(AK9&gt;0,0,1)</formula>
    </cfRule>
  </conditionalFormatting>
  <conditionalFormatting sqref="B10 B95 B180">
    <cfRule type="expression" dxfId="1277" priority="11" stopIfTrue="1">
      <formula>IF(#REF!&gt;1,0,1)</formula>
    </cfRule>
  </conditionalFormatting>
  <conditionalFormatting sqref="B11:D11 B96:D96 B181:D181">
    <cfRule type="expression" dxfId="1276" priority="12" stopIfTrue="1">
      <formula>IF(#REF!&gt;1,0,1)</formula>
    </cfRule>
  </conditionalFormatting>
  <conditionalFormatting sqref="B12:D12 B97:D97 B182:D182">
    <cfRule type="expression" dxfId="1275" priority="13" stopIfTrue="1">
      <formula>IF(#REF!&gt;2,0,1)</formula>
    </cfRule>
  </conditionalFormatting>
  <conditionalFormatting sqref="B13:D13 B98:D98 B183:D183">
    <cfRule type="expression" dxfId="1274" priority="14" stopIfTrue="1">
      <formula>IF(#REF!&gt;2,0,1)</formula>
    </cfRule>
  </conditionalFormatting>
  <conditionalFormatting sqref="B14:D14 B99:D99 B184:D184">
    <cfRule type="expression" dxfId="1273" priority="15" stopIfTrue="1">
      <formula>IF(#REF!&gt;3,0,1)</formula>
    </cfRule>
  </conditionalFormatting>
  <conditionalFormatting sqref="B15:D15 B100:D100 B185:D185">
    <cfRule type="expression" dxfId="1272" priority="16" stopIfTrue="1">
      <formula>IF(#REF!&gt;3,0,1)</formula>
    </cfRule>
  </conditionalFormatting>
  <conditionalFormatting sqref="B16:D16 B101:D101 B186:D186">
    <cfRule type="expression" dxfId="1271" priority="17" stopIfTrue="1">
      <formula>IF(#REF!&gt;4,0,1)</formula>
    </cfRule>
  </conditionalFormatting>
  <conditionalFormatting sqref="B17:D17 B102:D102 B187:D187">
    <cfRule type="expression" dxfId="1270" priority="18" stopIfTrue="1">
      <formula>IF(#REF!&gt;4,0,1)</formula>
    </cfRule>
  </conditionalFormatting>
  <conditionalFormatting sqref="E8 E93 E178">
    <cfRule type="expression" dxfId="1269" priority="19" stopIfTrue="1">
      <formula>IF(AK9&gt;0,0,1)</formula>
    </cfRule>
  </conditionalFormatting>
  <conditionalFormatting sqref="E9 E94 E179">
    <cfRule type="expression" dxfId="1268" priority="20" stopIfTrue="1">
      <formula>IF(AK9&gt;0,0,1)</formula>
    </cfRule>
  </conditionalFormatting>
  <conditionalFormatting sqref="E10 E95 E180">
    <cfRule type="expression" dxfId="1267" priority="21" stopIfTrue="1">
      <formula>IF(#REF!&gt;1,0,1)</formula>
    </cfRule>
  </conditionalFormatting>
  <conditionalFormatting sqref="E11 E96 E181">
    <cfRule type="expression" dxfId="1266" priority="22" stopIfTrue="1">
      <formula>IF(#REF!&gt;1,0,1)</formula>
    </cfRule>
  </conditionalFormatting>
  <conditionalFormatting sqref="E12 E97 E182">
    <cfRule type="expression" dxfId="1265" priority="23" stopIfTrue="1">
      <formula>IF(#REF!&gt;2,0,1)</formula>
    </cfRule>
  </conditionalFormatting>
  <conditionalFormatting sqref="E13 E98 E183">
    <cfRule type="expression" dxfId="1264" priority="24" stopIfTrue="1">
      <formula>IF(#REF!&gt;2,0,1)</formula>
    </cfRule>
  </conditionalFormatting>
  <conditionalFormatting sqref="E14 E99 E184">
    <cfRule type="expression" dxfId="1263" priority="25" stopIfTrue="1">
      <formula>IF(#REF!&gt;3,0,1)</formula>
    </cfRule>
  </conditionalFormatting>
  <conditionalFormatting sqref="E15 E100 E185">
    <cfRule type="expression" dxfId="1262" priority="26" stopIfTrue="1">
      <formula>IF(#REF!&gt;3,0,1)</formula>
    </cfRule>
  </conditionalFormatting>
  <conditionalFormatting sqref="E16 E101 E186">
    <cfRule type="expression" dxfId="1261" priority="27" stopIfTrue="1">
      <formula>IF(#REF!&gt;4,0,1)</formula>
    </cfRule>
  </conditionalFormatting>
  <conditionalFormatting sqref="E17 E102 E187">
    <cfRule type="expression" dxfId="1260" priority="28" stopIfTrue="1">
      <formula>IF(#REF!&gt;4,0,1)</formula>
    </cfRule>
  </conditionalFormatting>
  <conditionalFormatting sqref="AC8 AC93 AC178">
    <cfRule type="expression" dxfId="1259" priority="29" stopIfTrue="1">
      <formula>IF(AK11=1,IF(AK9&gt;0,0,1),1)</formula>
    </cfRule>
  </conditionalFormatting>
  <conditionalFormatting sqref="AC10:AE11 AC95:AE96 AC180:AE181">
    <cfRule type="expression" dxfId="1258" priority="30" stopIfTrue="1">
      <formula>IF(AK11=1,IF(#REF!&gt;1,0,1),1)</formula>
    </cfRule>
  </conditionalFormatting>
  <conditionalFormatting sqref="AC12:AE13 AC97:AE98 AC182:AE183">
    <cfRule type="expression" dxfId="1257" priority="31" stopIfTrue="1">
      <formula>IF(#REF!=1,IF(#REF!&gt;2,0,1),1)</formula>
    </cfRule>
  </conditionalFormatting>
  <conditionalFormatting sqref="AC14:AE15 AC99:AE100 AC184:AE185">
    <cfRule type="expression" dxfId="1256" priority="32" stopIfTrue="1">
      <formula>IF(#REF!=1,IF(#REF!&gt;3,0,1),1)</formula>
    </cfRule>
  </conditionalFormatting>
  <conditionalFormatting sqref="AC16:AE17 AC101:AE102 AC186:AE187">
    <cfRule type="expression" dxfId="1255" priority="33" stopIfTrue="1">
      <formula>IF(#REF!=1,IF(#REF!&gt;4,0,1),1)</formula>
    </cfRule>
  </conditionalFormatting>
  <conditionalFormatting sqref="AH8 AH93 AH178">
    <cfRule type="expression" dxfId="1254" priority="34" stopIfTrue="1">
      <formula>IF(AK9&gt;0,0,1)</formula>
    </cfRule>
  </conditionalFormatting>
  <conditionalFormatting sqref="AH10:AI11 AH95:AI96 AH180:AI181">
    <cfRule type="expression" dxfId="1253" priority="35" stopIfTrue="1">
      <formula>IF(#REF!&gt;1,0,1)</formula>
    </cfRule>
  </conditionalFormatting>
  <conditionalFormatting sqref="AH12:AI13 AH97:AI98 AH182:AI183">
    <cfRule type="expression" dxfId="1252" priority="36" stopIfTrue="1">
      <formula>IF(#REF!&gt;2,0,1)</formula>
    </cfRule>
  </conditionalFormatting>
  <conditionalFormatting sqref="AH14:AI15 AH99:AI100 AH184:AI185">
    <cfRule type="expression" dxfId="1251" priority="37" stopIfTrue="1">
      <formula>IF(#REF!&gt;3,0,1)</formula>
    </cfRule>
  </conditionalFormatting>
  <conditionalFormatting sqref="AH16:AI17 AH101:AI102 AH186:AI187">
    <cfRule type="expression" dxfId="1250" priority="38" stopIfTrue="1">
      <formula>IF(#REF!&gt;4,0,1)</formula>
    </cfRule>
  </conditionalFormatting>
  <conditionalFormatting sqref="B104:D104 B19:D19 B189:D189">
    <cfRule type="expression" dxfId="1249" priority="39" stopIfTrue="1">
      <formula>IF(#REF!&gt;0,0,1)</formula>
    </cfRule>
  </conditionalFormatting>
  <conditionalFormatting sqref="E104:G104 E19:G19 E189:G189">
    <cfRule type="expression" dxfId="1248" priority="40" stopIfTrue="1">
      <formula>IF(#REF!&gt;1,0,1)</formula>
    </cfRule>
  </conditionalFormatting>
  <conditionalFormatting sqref="H104:J104 H19:J19 H189:J189">
    <cfRule type="expression" dxfId="1247" priority="41" stopIfTrue="1">
      <formula>IF(#REF!&gt;2,0,1)</formula>
    </cfRule>
  </conditionalFormatting>
  <conditionalFormatting sqref="K104:M104 K19:M19 K189:M189">
    <cfRule type="expression" dxfId="1246" priority="42" stopIfTrue="1">
      <formula>IF(#REF!&gt;3,0,1)</formula>
    </cfRule>
  </conditionalFormatting>
  <conditionalFormatting sqref="N104:P104 N19:P19 N189:P189">
    <cfRule type="expression" dxfId="1245" priority="43" stopIfTrue="1">
      <formula>IF(#REF!&gt;4,0,1)</formula>
    </cfRule>
  </conditionalFormatting>
  <conditionalFormatting sqref="Q104:S104 Q19:S19 Q189:S189">
    <cfRule type="expression" dxfId="1244" priority="44" stopIfTrue="1">
      <formula>IF(#REF!&gt;5,0,1)</formula>
    </cfRule>
  </conditionalFormatting>
  <conditionalFormatting sqref="T104:V104 T19:V19 T189:V189">
    <cfRule type="expression" dxfId="1243" priority="45" stopIfTrue="1">
      <formula>IF(#REF!&gt;6,0,1)</formula>
    </cfRule>
  </conditionalFormatting>
  <conditionalFormatting sqref="W104:Y104 W19:Y19 W189:Y189">
    <cfRule type="expression" dxfId="1242" priority="46" stopIfTrue="1">
      <formula>IF(#REF!&gt;7,0,1)</formula>
    </cfRule>
  </conditionalFormatting>
  <conditionalFormatting sqref="Z104:AB104 Z19:AB19 Z189:AB189">
    <cfRule type="expression" dxfId="1241" priority="47" stopIfTrue="1">
      <formula>IF(#REF!&gt;8,0,1)</formula>
    </cfRule>
  </conditionalFormatting>
  <conditionalFormatting sqref="AC104:AE104 AC19:AE19 AC189:AE189">
    <cfRule type="expression" dxfId="1240" priority="48" stopIfTrue="1">
      <formula>IF(#REF!&gt;9,0,1)</formula>
    </cfRule>
  </conditionalFormatting>
  <conditionalFormatting sqref="B20:D20 B105:D105 B190:D190">
    <cfRule type="expression" dxfId="1239" priority="49" stopIfTrue="1">
      <formula>IF(#REF!&gt;0,0,1)</formula>
    </cfRule>
  </conditionalFormatting>
  <conditionalFormatting sqref="E20:G20 E105:G105 E190:G190">
    <cfRule type="expression" dxfId="1238" priority="50" stopIfTrue="1">
      <formula>IF(#REF!&gt;1,0,1)</formula>
    </cfRule>
  </conditionalFormatting>
  <conditionalFormatting sqref="H20:J20 H105:J105 H190:J190">
    <cfRule type="expression" dxfId="1237" priority="51" stopIfTrue="1">
      <formula>IF(#REF!&gt;2,0,1)</formula>
    </cfRule>
  </conditionalFormatting>
  <conditionalFormatting sqref="K20:M20 K105:M105 K190:M190">
    <cfRule type="expression" dxfId="1236" priority="52" stopIfTrue="1">
      <formula>IF(#REF!&gt;3,0,1)</formula>
    </cfRule>
  </conditionalFormatting>
  <conditionalFormatting sqref="N20:P20 N105:P105 N190:P190">
    <cfRule type="expression" dxfId="1235" priority="53" stopIfTrue="1">
      <formula>IF(#REF!&gt;4,0,1)</formula>
    </cfRule>
  </conditionalFormatting>
  <conditionalFormatting sqref="Q20:S20 Q105:S105 Q190:S190">
    <cfRule type="expression" dxfId="1234" priority="54" stopIfTrue="1">
      <formula>IF(#REF!&gt;5,0,1)</formula>
    </cfRule>
  </conditionalFormatting>
  <conditionalFormatting sqref="T20:V20 T105:V105 T190:V190">
    <cfRule type="expression" dxfId="1233" priority="55" stopIfTrue="1">
      <formula>IF(#REF!&gt;6,0,1)</formula>
    </cfRule>
  </conditionalFormatting>
  <conditionalFormatting sqref="W20:Y20 W105:Y105 W190:Y190">
    <cfRule type="expression" dxfId="1232" priority="56" stopIfTrue="1">
      <formula>IF(#REF!&gt;7,0,1)</formula>
    </cfRule>
  </conditionalFormatting>
  <conditionalFormatting sqref="Z20:AB20 Z105:AB105 Z190:AB190">
    <cfRule type="expression" dxfId="1231" priority="57" stopIfTrue="1">
      <formula>IF(#REF!&gt;8,0,1)</formula>
    </cfRule>
  </conditionalFormatting>
  <conditionalFormatting sqref="AC20:AE20 AC105:AE105 AC190:AE190">
    <cfRule type="expression" dxfId="1230" priority="58" stopIfTrue="1">
      <formula>IF(#REF!&gt;9,0,1)</formula>
    </cfRule>
  </conditionalFormatting>
  <conditionalFormatting sqref="E22:G22 E107:G107 E192:G192">
    <cfRule type="expression" dxfId="1229" priority="59" stopIfTrue="1">
      <formula>IF(#REF!&gt;1,0,1)</formula>
    </cfRule>
  </conditionalFormatting>
  <conditionalFormatting sqref="H22:J22 H107:J107 H192:J192">
    <cfRule type="expression" dxfId="1228" priority="60" stopIfTrue="1">
      <formula>IF(#REF!&gt;2,0,1)</formula>
    </cfRule>
  </conditionalFormatting>
  <conditionalFormatting sqref="K22:M22 K107:M107 K192:M192">
    <cfRule type="expression" dxfId="1227" priority="61" stopIfTrue="1">
      <formula>IF(#REF!&gt;3,0,1)</formula>
    </cfRule>
  </conditionalFormatting>
  <conditionalFormatting sqref="N22:P22 N107:P107 N192:P192">
    <cfRule type="expression" dxfId="1226" priority="62" stopIfTrue="1">
      <formula>IF(#REF!&gt;4,0,1)</formula>
    </cfRule>
  </conditionalFormatting>
  <conditionalFormatting sqref="Q22:S22 Q107:S107 Q192:S192">
    <cfRule type="expression" dxfId="1225" priority="63" stopIfTrue="1">
      <formula>IF(#REF!&gt;5,0,1)</formula>
    </cfRule>
  </conditionalFormatting>
  <conditionalFormatting sqref="T22:V22 T107:V107 T192:V192">
    <cfRule type="expression" dxfId="1224" priority="64" stopIfTrue="1">
      <formula>IF(#REF!&gt;6,0,1)</formula>
    </cfRule>
  </conditionalFormatting>
  <conditionalFormatting sqref="W22:Y22 W107:Y107 W192:Y192">
    <cfRule type="expression" dxfId="1223" priority="65" stopIfTrue="1">
      <formula>IF(#REF!&gt;7,0,1)</formula>
    </cfRule>
  </conditionalFormatting>
  <conditionalFormatting sqref="Z22:AB22 Z107:AB107 Z192:AB192">
    <cfRule type="expression" dxfId="1222" priority="66" stopIfTrue="1">
      <formula>IF(#REF!&gt;8,0,1)</formula>
    </cfRule>
  </conditionalFormatting>
  <conditionalFormatting sqref="AC22:AE22 AC107:AE107 AC192:AE192">
    <cfRule type="expression" dxfId="1221" priority="67" stopIfTrue="1">
      <formula>IF(#REF!&gt;9,0,1)</formula>
    </cfRule>
  </conditionalFormatting>
  <conditionalFormatting sqref="B24 B109 B194">
    <cfRule type="expression" dxfId="1220" priority="68" stopIfTrue="1">
      <formula>IF(#REF!&gt;0,0,1)</formula>
    </cfRule>
  </conditionalFormatting>
  <conditionalFormatting sqref="C24 C109 C194">
    <cfRule type="expression" dxfId="1219" priority="69" stopIfTrue="1">
      <formula>IF(#REF!&gt;0,0,1)</formula>
    </cfRule>
  </conditionalFormatting>
  <conditionalFormatting sqref="D24 D109 D194">
    <cfRule type="expression" dxfId="1218" priority="70" stopIfTrue="1">
      <formula>IF(#REF!&gt;0,0,1)</formula>
    </cfRule>
  </conditionalFormatting>
  <conditionalFormatting sqref="E23:G23 E108:G108 E193:G193">
    <cfRule type="expression" dxfId="1217" priority="71" stopIfTrue="1">
      <formula>IF(#REF!&gt;1,0,1)</formula>
    </cfRule>
  </conditionalFormatting>
  <conditionalFormatting sqref="F24 F109 F194">
    <cfRule type="expression" dxfId="1216" priority="72" stopIfTrue="1">
      <formula>IF(#REF!&gt;1,0,1)</formula>
    </cfRule>
  </conditionalFormatting>
  <conditionalFormatting sqref="G24 G109 G194">
    <cfRule type="expression" dxfId="1215" priority="73" stopIfTrue="1">
      <formula>IF(#REF!&gt;1,0,1)</formula>
    </cfRule>
  </conditionalFormatting>
  <conditionalFormatting sqref="H23:J23 H108:J108 H193:J193">
    <cfRule type="expression" dxfId="1214" priority="74" stopIfTrue="1">
      <formula>IF(#REF!&gt;2,0,1)</formula>
    </cfRule>
  </conditionalFormatting>
  <conditionalFormatting sqref="I24 I109 I194">
    <cfRule type="expression" dxfId="1213" priority="75" stopIfTrue="1">
      <formula>IF(#REF!&gt;2,0,1)</formula>
    </cfRule>
  </conditionalFormatting>
  <conditionalFormatting sqref="J24 J109 J194">
    <cfRule type="expression" dxfId="1212" priority="76" stopIfTrue="1">
      <formula>IF(#REF!&gt;2,0,1)</formula>
    </cfRule>
  </conditionalFormatting>
  <conditionalFormatting sqref="K23:M23 K108:M108 K193:M193">
    <cfRule type="expression" dxfId="1211" priority="77" stopIfTrue="1">
      <formula>IF(#REF!&gt;3,0,1)</formula>
    </cfRule>
  </conditionalFormatting>
  <conditionalFormatting sqref="L24 L109 L194">
    <cfRule type="expression" dxfId="1210" priority="78" stopIfTrue="1">
      <formula>IF(#REF!&gt;3,0,1)</formula>
    </cfRule>
  </conditionalFormatting>
  <conditionalFormatting sqref="M24 M109 M194">
    <cfRule type="expression" dxfId="1209" priority="79" stopIfTrue="1">
      <formula>IF(#REF!&gt;3,0,1)</formula>
    </cfRule>
  </conditionalFormatting>
  <conditionalFormatting sqref="N23:P23 N108:P108 N193:P193">
    <cfRule type="expression" dxfId="1208" priority="80" stopIfTrue="1">
      <formula>IF(#REF!&gt;4,0,1)</formula>
    </cfRule>
  </conditionalFormatting>
  <conditionalFormatting sqref="O24 O109 O194">
    <cfRule type="expression" dxfId="1207" priority="81" stopIfTrue="1">
      <formula>IF(#REF!&gt;4,0,1)</formula>
    </cfRule>
  </conditionalFormatting>
  <conditionalFormatting sqref="P24 P109 P194">
    <cfRule type="expression" dxfId="1206" priority="82" stopIfTrue="1">
      <formula>IF(#REF!&gt;4,0,1)</formula>
    </cfRule>
  </conditionalFormatting>
  <conditionalFormatting sqref="Q23:S23 Q108:S108 Q193:S193">
    <cfRule type="expression" dxfId="1205" priority="83" stopIfTrue="1">
      <formula>IF(#REF!&gt;5,0,1)</formula>
    </cfRule>
  </conditionalFormatting>
  <conditionalFormatting sqref="R24 R109 R194">
    <cfRule type="expression" dxfId="1204" priority="84" stopIfTrue="1">
      <formula>IF(#REF!&gt;5,0,1)</formula>
    </cfRule>
  </conditionalFormatting>
  <conditionalFormatting sqref="S24 S109 S194">
    <cfRule type="expression" dxfId="1203" priority="85" stopIfTrue="1">
      <formula>IF(#REF!&gt;5,0,1)</formula>
    </cfRule>
  </conditionalFormatting>
  <conditionalFormatting sqref="T23:V23 T108:V108 T193:V193">
    <cfRule type="expression" dxfId="1202" priority="86" stopIfTrue="1">
      <formula>IF(#REF!&gt;6,0,1)</formula>
    </cfRule>
  </conditionalFormatting>
  <conditionalFormatting sqref="U24 U109 U194">
    <cfRule type="expression" dxfId="1201" priority="87" stopIfTrue="1">
      <formula>IF(#REF!&gt;6,0,1)</formula>
    </cfRule>
  </conditionalFormatting>
  <conditionalFormatting sqref="V24 V109 V194">
    <cfRule type="expression" dxfId="1200" priority="88" stopIfTrue="1">
      <formula>IF(#REF!&gt;6,0,1)</formula>
    </cfRule>
  </conditionalFormatting>
  <conditionalFormatting sqref="W23:Y23 W108:Y108 W193:Y193">
    <cfRule type="expression" dxfId="1199" priority="89" stopIfTrue="1">
      <formula>IF(#REF!&gt;7,0,1)</formula>
    </cfRule>
  </conditionalFormatting>
  <conditionalFormatting sqref="X24 X109 X194">
    <cfRule type="expression" dxfId="1198" priority="90" stopIfTrue="1">
      <formula>IF(#REF!&gt;7,0,1)</formula>
    </cfRule>
  </conditionalFormatting>
  <conditionalFormatting sqref="Y24 Y109 Y194">
    <cfRule type="expression" dxfId="1197" priority="91" stopIfTrue="1">
      <formula>IF(#REF!&gt;7,0,1)</formula>
    </cfRule>
  </conditionalFormatting>
  <conditionalFormatting sqref="Z23:AB23 Z108:AB108 Z193:AB193">
    <cfRule type="expression" dxfId="1196" priority="92" stopIfTrue="1">
      <formula>IF(#REF!&gt;8,0,1)</formula>
    </cfRule>
  </conditionalFormatting>
  <conditionalFormatting sqref="AA24 AA109 AA194">
    <cfRule type="expression" dxfId="1195" priority="93" stopIfTrue="1">
      <formula>IF(#REF!&gt;8,0,1)</formula>
    </cfRule>
  </conditionalFormatting>
  <conditionalFormatting sqref="AB24 AB109 AB194">
    <cfRule type="expression" dxfId="1194" priority="94" stopIfTrue="1">
      <formula>IF(#REF!&gt;8,0,1)</formula>
    </cfRule>
  </conditionalFormatting>
  <conditionalFormatting sqref="AC23:AE23 AC108:AE108 AC193:AE193">
    <cfRule type="expression" dxfId="1193" priority="95" stopIfTrue="1">
      <formula>IF(#REF!&gt;9,0,1)</formula>
    </cfRule>
  </conditionalFormatting>
  <conditionalFormatting sqref="AD24 AD109 AD194">
    <cfRule type="expression" dxfId="1192" priority="96" stopIfTrue="1">
      <formula>IF(#REF!&gt;9,0,1)</formula>
    </cfRule>
  </conditionalFormatting>
  <conditionalFormatting sqref="AE24 AE109 AE194">
    <cfRule type="expression" dxfId="1191" priority="97" stopIfTrue="1">
      <formula>IF(#REF!&gt;9,0,1)</formula>
    </cfRule>
  </conditionalFormatting>
  <conditionalFormatting sqref="A26 A111 A196">
    <cfRule type="expression" dxfId="1190" priority="98" stopIfTrue="1">
      <formula>IF(#REF!&gt;1,0,1)</formula>
    </cfRule>
  </conditionalFormatting>
  <conditionalFormatting sqref="A27 A112 A197">
    <cfRule type="expression" dxfId="1189" priority="99" stopIfTrue="1">
      <formula>IF(#REF!&gt;2,0,1)</formula>
    </cfRule>
  </conditionalFormatting>
  <conditionalFormatting sqref="A28 A113 A198">
    <cfRule type="expression" dxfId="1188" priority="100" stopIfTrue="1">
      <formula>IF(#REF!&gt;3,0,1)</formula>
    </cfRule>
  </conditionalFormatting>
  <conditionalFormatting sqref="A29 A114 A199">
    <cfRule type="expression" dxfId="1187" priority="101" stopIfTrue="1">
      <formula>IF(#REF!&gt;4,0,1)</formula>
    </cfRule>
  </conditionalFormatting>
  <conditionalFormatting sqref="B25:D25 B110:D110 B195:D195">
    <cfRule type="expression" dxfId="1186" priority="102" stopIfTrue="1">
      <formula>IF(#REF!&gt;0,0,1)</formula>
    </cfRule>
  </conditionalFormatting>
  <conditionalFormatting sqref="B26:D26 B111:D111 B196:D196">
    <cfRule type="expression" dxfId="1185" priority="103" stopIfTrue="1">
      <formula>IF(#REF!&lt;1,1,IF(#REF!&lt;2,1,0))</formula>
    </cfRule>
  </conditionalFormatting>
  <conditionalFormatting sqref="B27:D27 B112:D112 B197:D197">
    <cfRule type="expression" dxfId="1184" priority="104" stopIfTrue="1">
      <formula>IF(#REF!&lt;1,1,IF(#REF!&lt;3,1,0))</formula>
    </cfRule>
  </conditionalFormatting>
  <conditionalFormatting sqref="B28:D28 B113:D113 B198:D198">
    <cfRule type="expression" dxfId="1183" priority="105" stopIfTrue="1">
      <formula>IF(#REF!&lt;1,1,IF(#REF!&lt;4,1,0))</formula>
    </cfRule>
  </conditionalFormatting>
  <conditionalFormatting sqref="B29:D29 B114:D114 B199:D199">
    <cfRule type="expression" dxfId="1182" priority="106" stopIfTrue="1">
      <formula>IF(#REF!&lt;1,1,IF(#REF!&lt;5,1,0))</formula>
    </cfRule>
  </conditionalFormatting>
  <conditionalFormatting sqref="AG23 AG108 AG193">
    <cfRule type="expression" dxfId="1181" priority="107" stopIfTrue="1">
      <formula>IF(#REF!&lt;1,1,0)</formula>
    </cfRule>
  </conditionalFormatting>
  <conditionalFormatting sqref="AH23 AH108 AH193">
    <cfRule type="expression" dxfId="1180" priority="108" stopIfTrue="1">
      <formula>IF(#REF!&lt;2,1,0)</formula>
    </cfRule>
  </conditionalFormatting>
  <conditionalFormatting sqref="AI23 AI108 AI193">
    <cfRule type="expression" dxfId="1179" priority="109" stopIfTrue="1">
      <formula>IF(#REF!&lt;3,1,0)</formula>
    </cfRule>
  </conditionalFormatting>
  <conditionalFormatting sqref="AJ23 AJ108 AJ193">
    <cfRule type="expression" dxfId="1178" priority="110" stopIfTrue="1">
      <formula>IF(#REF!&lt;4,1,0)</formula>
    </cfRule>
  </conditionalFormatting>
  <conditionalFormatting sqref="AK23 AK108 AK193">
    <cfRule type="expression" dxfId="1177" priority="111" stopIfTrue="1">
      <formula>IF(#REF!&lt;5,1,0)</formula>
    </cfRule>
  </conditionalFormatting>
  <conditionalFormatting sqref="AL23 AL108 AL193">
    <cfRule type="expression" dxfId="1176" priority="112" stopIfTrue="1">
      <formula>IF(#REF!&lt;6,1,0)</formula>
    </cfRule>
  </conditionalFormatting>
  <conditionalFormatting sqref="AM23 AM108 AM193">
    <cfRule type="expression" dxfId="1175" priority="113" stopIfTrue="1">
      <formula>IF(#REF!&lt;7,1,0)</formula>
    </cfRule>
  </conditionalFormatting>
  <conditionalFormatting sqref="AN23 AN108 AN193">
    <cfRule type="expression" dxfId="1174" priority="114" stopIfTrue="1">
      <formula>IF(#REF!&lt;8,1,0)</formula>
    </cfRule>
  </conditionalFormatting>
  <conditionalFormatting sqref="AO23 AO108 AO193">
    <cfRule type="expression" dxfId="1173" priority="115" stopIfTrue="1">
      <formula>IF(#REF!&lt;9,1,0)</formula>
    </cfRule>
  </conditionalFormatting>
  <conditionalFormatting sqref="AP23 AP108 AP193">
    <cfRule type="expression" dxfId="1172" priority="116" stopIfTrue="1">
      <formula>IF(#REF!&lt;10,1,0)</formula>
    </cfRule>
  </conditionalFormatting>
  <conditionalFormatting sqref="AQ24 AQ109 AQ194">
    <cfRule type="expression" dxfId="1171" priority="117" stopIfTrue="1">
      <formula>IF(#REF!&gt;0,0,1)</formula>
    </cfRule>
  </conditionalFormatting>
  <conditionalFormatting sqref="AQ25 AQ110 AQ195">
    <cfRule type="expression" dxfId="1170" priority="118" stopIfTrue="1">
      <formula>IF(#REF!&gt;1,0,1)</formula>
    </cfRule>
  </conditionalFormatting>
  <conditionalFormatting sqref="AQ26 H25:J25 AQ111 H110:J110 AQ196 H195:J195">
    <cfRule type="expression" dxfId="1169" priority="119" stopIfTrue="1">
      <formula>IF(#REF!&gt;2,0,1)</formula>
    </cfRule>
  </conditionalFormatting>
  <conditionalFormatting sqref="K110:M110 K25:M25 K195:M195">
    <cfRule type="expression" dxfId="1168" priority="120" stopIfTrue="1">
      <formula>IF(#REF!&gt;3,0,1)</formula>
    </cfRule>
  </conditionalFormatting>
  <conditionalFormatting sqref="AQ28 AQ113 AQ198">
    <cfRule type="expression" dxfId="1167" priority="121" stopIfTrue="1">
      <formula>IF(#REF!&gt;4,0,1)</formula>
    </cfRule>
  </conditionalFormatting>
  <conditionalFormatting sqref="E26:G26 E111:G111 E196:G196">
    <cfRule type="expression" dxfId="1166" priority="122" stopIfTrue="1">
      <formula>IF(#REF!&lt;2,1,IF(#REF!&lt;2,1,0))</formula>
    </cfRule>
  </conditionalFormatting>
  <conditionalFormatting sqref="E27:G27 E112:G112 E197:G197">
    <cfRule type="expression" dxfId="1165" priority="123" stopIfTrue="1">
      <formula>IF(#REF!&lt;2,1,IF(#REF!&lt;3,1,0))</formula>
    </cfRule>
  </conditionalFormatting>
  <conditionalFormatting sqref="E28:G28 E113:G113 E198:G198">
    <cfRule type="expression" dxfId="1164" priority="124" stopIfTrue="1">
      <formula>IF(#REF!&lt;2,1,IF(#REF!&lt;4,1,0))</formula>
    </cfRule>
  </conditionalFormatting>
  <conditionalFormatting sqref="E29:G29 E114:G114 E199:G199">
    <cfRule type="expression" dxfId="1163" priority="125" stopIfTrue="1">
      <formula>IF(#REF!&lt;2,1,IF(#REF!&lt;5,1,0))</formula>
    </cfRule>
  </conditionalFormatting>
  <conditionalFormatting sqref="N25:P25 N110:P110 N195:P195">
    <cfRule type="expression" dxfId="1162" priority="126" stopIfTrue="1">
      <formula>IF(#REF!&gt;4,0,1)</formula>
    </cfRule>
  </conditionalFormatting>
  <conditionalFormatting sqref="Q25:S25 Q110:S110 Q195:S195">
    <cfRule type="expression" dxfId="1161" priority="127" stopIfTrue="1">
      <formula>IF(#REF!&gt;5,0,1)</formula>
    </cfRule>
  </conditionalFormatting>
  <conditionalFormatting sqref="T25:V25 T110:V110 T195:V195">
    <cfRule type="expression" dxfId="1160" priority="128" stopIfTrue="1">
      <formula>IF(#REF!&gt;6,0,1)</formula>
    </cfRule>
  </conditionalFormatting>
  <conditionalFormatting sqref="W25:Y25 W110:Y110 W195:Y195">
    <cfRule type="expression" dxfId="1159" priority="129" stopIfTrue="1">
      <formula>IF(#REF!&gt;7,0,1)</formula>
    </cfRule>
  </conditionalFormatting>
  <conditionalFormatting sqref="Z25:AB25 Z110:AB110 Z195:AB195">
    <cfRule type="expression" dxfId="1158" priority="130" stopIfTrue="1">
      <formula>IF(#REF!&gt;8,0,1)</formula>
    </cfRule>
  </conditionalFormatting>
  <conditionalFormatting sqref="AC25:AE25 AC110:AE110 AC195:AE195">
    <cfRule type="expression" dxfId="1157" priority="131" stopIfTrue="1">
      <formula>IF(#REF!&gt;9,0,1)</formula>
    </cfRule>
  </conditionalFormatting>
  <conditionalFormatting sqref="H26:J26 H111:J111 H196:J196">
    <cfRule type="expression" dxfId="1156" priority="132" stopIfTrue="1">
      <formula>IF(#REF!&lt;3,1,IF(#REF!&lt;2,1,0))</formula>
    </cfRule>
  </conditionalFormatting>
  <conditionalFormatting sqref="K26:M26 K111:M111 K196:M196">
    <cfRule type="expression" dxfId="1155" priority="133" stopIfTrue="1">
      <formula>IF(#REF!&lt;4,1,IF(#REF!&lt;2,1,0))</formula>
    </cfRule>
  </conditionalFormatting>
  <conditionalFormatting sqref="N26:P26 N111:P111 N196:P196">
    <cfRule type="expression" dxfId="1154" priority="134" stopIfTrue="1">
      <formula>IF(#REF!&lt;5,1,IF(#REF!&lt;2,1,0))</formula>
    </cfRule>
  </conditionalFormatting>
  <conditionalFormatting sqref="Q26:S26 Q111:S111 Q196:S196">
    <cfRule type="expression" dxfId="1153" priority="135" stopIfTrue="1">
      <formula>IF(#REF!&lt;6,1,IF(#REF!&lt;2,1,0))</formula>
    </cfRule>
  </conditionalFormatting>
  <conditionalFormatting sqref="T26:V26 T111:V111 T196:V196">
    <cfRule type="expression" dxfId="1152" priority="136" stopIfTrue="1">
      <formula>IF(#REF!&lt;7,1,IF(#REF!&lt;2,1,0))</formula>
    </cfRule>
  </conditionalFormatting>
  <conditionalFormatting sqref="W26:Y26 W111:Y111 W196:Y196">
    <cfRule type="expression" dxfId="1151" priority="137" stopIfTrue="1">
      <formula>IF(#REF!&lt;8,1,IF(#REF!&lt;2,1,0))</formula>
    </cfRule>
  </conditionalFormatting>
  <conditionalFormatting sqref="Z26:AB26 Z111:AB111 Z196:AB196">
    <cfRule type="expression" dxfId="1150" priority="138" stopIfTrue="1">
      <formula>IF(#REF!&lt;9,1,IF(#REF!&lt;2,1,0))</formula>
    </cfRule>
  </conditionalFormatting>
  <conditionalFormatting sqref="AC26:AE26 AC111:AE111 AC196:AE196">
    <cfRule type="expression" dxfId="1149" priority="139" stopIfTrue="1">
      <formula>IF(#REF!&lt;10,1,IF(#REF!&lt;2,1,0))</formula>
    </cfRule>
  </conditionalFormatting>
  <conditionalFormatting sqref="H27:J27 H112:J112 H197:J197">
    <cfRule type="expression" dxfId="1148" priority="140" stopIfTrue="1">
      <formula>IF(#REF!&lt;3,1,IF(#REF!&lt;3,1,0))</formula>
    </cfRule>
  </conditionalFormatting>
  <conditionalFormatting sqref="K27:M27 K112:M112 K197:M197">
    <cfRule type="expression" dxfId="1147" priority="141" stopIfTrue="1">
      <formula>IF(#REF!&lt;4,1,IF(#REF!&lt;3,1,0))</formula>
    </cfRule>
  </conditionalFormatting>
  <conditionalFormatting sqref="N27:P27 N112:P112 N197:P197">
    <cfRule type="expression" dxfId="1146" priority="142" stopIfTrue="1">
      <formula>IF(#REF!&lt;5,1,IF(#REF!&lt;3,1,0))</formula>
    </cfRule>
  </conditionalFormatting>
  <conditionalFormatting sqref="Q27:S27 Q112:S112 Q197:S197">
    <cfRule type="expression" dxfId="1145" priority="143" stopIfTrue="1">
      <formula>IF(#REF!&lt;6,1,IF(#REF!&lt;3,1,0))</formula>
    </cfRule>
  </conditionalFormatting>
  <conditionalFormatting sqref="T27:V27 T112:V112 T197:V197">
    <cfRule type="expression" dxfId="1144" priority="144" stopIfTrue="1">
      <formula>IF(#REF!&lt;7,1,IF(#REF!&lt;3,1,0))</formula>
    </cfRule>
  </conditionalFormatting>
  <conditionalFormatting sqref="W27:Y27 W112:Y112 W197:Y197">
    <cfRule type="expression" dxfId="1143" priority="145" stopIfTrue="1">
      <formula>IF(#REF!&lt;8,1,IF(#REF!&lt;3,1,0))</formula>
    </cfRule>
  </conditionalFormatting>
  <conditionalFormatting sqref="Z27:AB27 Z112:AB112 Z197:AB197">
    <cfRule type="expression" dxfId="1142" priority="146" stopIfTrue="1">
      <formula>IF(#REF!&lt;9,1,IF(#REF!&lt;3,1,0))</formula>
    </cfRule>
  </conditionalFormatting>
  <conditionalFormatting sqref="AC27:AE27 AC112:AE112 AC197:AE197">
    <cfRule type="expression" dxfId="1141" priority="147" stopIfTrue="1">
      <formula>IF(#REF!&lt;10,1,IF(#REF!&lt;3,1,0))</formula>
    </cfRule>
  </conditionalFormatting>
  <conditionalFormatting sqref="H28:J28 H113:J113 H198:J198">
    <cfRule type="expression" dxfId="1140" priority="148" stopIfTrue="1">
      <formula>IF(#REF!&lt;3,1,IF(#REF!&lt;4,1,0))</formula>
    </cfRule>
  </conditionalFormatting>
  <conditionalFormatting sqref="K28:M28 K113:M113 K198:M198">
    <cfRule type="expression" dxfId="1139" priority="149" stopIfTrue="1">
      <formula>IF(#REF!&lt;4,1,IF(#REF!&lt;4,1,0))</formula>
    </cfRule>
  </conditionalFormatting>
  <conditionalFormatting sqref="N28:P28 N113:P113 N198:P198">
    <cfRule type="expression" dxfId="1138" priority="150" stopIfTrue="1">
      <formula>IF(#REF!&lt;5,1,IF(#REF!&lt;4,1,0))</formula>
    </cfRule>
  </conditionalFormatting>
  <conditionalFormatting sqref="Q28:S28 Q113:S113 Q198:S198">
    <cfRule type="expression" dxfId="1137" priority="151" stopIfTrue="1">
      <formula>IF(#REF!&lt;6,1,IF(#REF!&lt;4,1,0))</formula>
    </cfRule>
  </conditionalFormatting>
  <conditionalFormatting sqref="T28:V28 T113:V113 T198:V198">
    <cfRule type="expression" dxfId="1136" priority="152" stopIfTrue="1">
      <formula>IF(#REF!&lt;7,1,IF(#REF!&lt;4,1,0))</formula>
    </cfRule>
  </conditionalFormatting>
  <conditionalFormatting sqref="W28:Y28 W113:Y113 W198:Y198">
    <cfRule type="expression" dxfId="1135" priority="153" stopIfTrue="1">
      <formula>IF(#REF!&lt;8,1,IF(#REF!&lt;4,1,0))</formula>
    </cfRule>
  </conditionalFormatting>
  <conditionalFormatting sqref="Z28:AB28 Z113:AB113 Z198:AB198">
    <cfRule type="expression" dxfId="1134" priority="154" stopIfTrue="1">
      <formula>IF(#REF!&lt;9,1,IF(#REF!&lt;4,1,0))</formula>
    </cfRule>
  </conditionalFormatting>
  <conditionalFormatting sqref="AC28:AE28 AC113:AE113 AC198:AE198">
    <cfRule type="expression" dxfId="1133" priority="155" stopIfTrue="1">
      <formula>IF(#REF!&lt;10,1,IF(#REF!&lt;4,1,0))</formula>
    </cfRule>
  </conditionalFormatting>
  <conditionalFormatting sqref="H29:J29 H114:J114 H199:J199">
    <cfRule type="expression" dxfId="1132" priority="156" stopIfTrue="1">
      <formula>IF(#REF!&lt;3,1,IF(#REF!&lt;5,1,0))</formula>
    </cfRule>
  </conditionalFormatting>
  <conditionalFormatting sqref="K29:M29 K114:M114 K199:M199">
    <cfRule type="expression" dxfId="1131" priority="157" stopIfTrue="1">
      <formula>IF(#REF!&lt;4,1,IF(#REF!&lt;5,1,0))</formula>
    </cfRule>
  </conditionalFormatting>
  <conditionalFormatting sqref="N29:P29 N114:P114 N199:P199">
    <cfRule type="expression" dxfId="1130" priority="158" stopIfTrue="1">
      <formula>IF(#REF!&lt;5,1,IF(#REF!&lt;5,1,0))</formula>
    </cfRule>
  </conditionalFormatting>
  <conditionalFormatting sqref="Q29:S29 Q114:S114 Q199:S199">
    <cfRule type="expression" dxfId="1129" priority="159" stopIfTrue="1">
      <formula>IF(#REF!&lt;6,1,IF(#REF!&lt;5,1,0))</formula>
    </cfRule>
  </conditionalFormatting>
  <conditionalFormatting sqref="T29:V29 T114:V114 T199:V199">
    <cfRule type="expression" dxfId="1128" priority="160" stopIfTrue="1">
      <formula>IF(#REF!&lt;7,1,IF(#REF!&lt;5,1,0))</formula>
    </cfRule>
  </conditionalFormatting>
  <conditionalFormatting sqref="W29:Y29 W114:Y114 W199:Y199">
    <cfRule type="expression" dxfId="1127" priority="161" stopIfTrue="1">
      <formula>IF(#REF!&lt;8,1,IF(#REF!&lt;5,1,0))</formula>
    </cfRule>
  </conditionalFormatting>
  <conditionalFormatting sqref="Z29:AB29 Z114:AB114 Z199:AB199">
    <cfRule type="expression" dxfId="1126" priority="162" stopIfTrue="1">
      <formula>IF(#REF!&lt;9,1,IF(#REF!&lt;5,1,0))</formula>
    </cfRule>
  </conditionalFormatting>
  <conditionalFormatting sqref="AC29:AE29 AC114:AE114 AC199:AE199">
    <cfRule type="expression" dxfId="1125" priority="163" stopIfTrue="1">
      <formula>IF(#REF!&lt;10,1,IF(#REF!&lt;5,1,0))</formula>
    </cfRule>
  </conditionalFormatting>
  <conditionalFormatting sqref="R99:AB100 AF99:AF100 L99:P100 R14:AB15 AF14:AF15 L14:P15 R184:AB185 AF184:AF185 L184:P185 AG14 AG99 AG184">
    <cfRule type="expression" dxfId="1124" priority="164" stopIfTrue="1">
      <formula>IF(#REF!&gt;3,0,1)</formula>
    </cfRule>
  </conditionalFormatting>
  <conditionalFormatting sqref="R101:AB102 AF101:AF102 L101:P102 R16:AB17 AF16:AF17 L16:P17 R186:AB187 AF186:AF187 L186:P187 AG16 AG101 AG186">
    <cfRule type="expression" dxfId="1123" priority="165" stopIfTrue="1">
      <formula>IF(#REF!&gt;4,0,1)</formula>
    </cfRule>
  </conditionalFormatting>
  <conditionalFormatting sqref="R93:AB94 AF93:AF94 L93:P94 R8:AB9 AF8:AF9 L8:P9 R178:AB179 AF178:AF179 L178:P179 AG8 AG93 AG178">
    <cfRule type="expression" dxfId="1122" priority="166" stopIfTrue="1">
      <formula>IF($AK9&gt;0,0,1)</formula>
    </cfRule>
  </conditionalFormatting>
  <conditionalFormatting sqref="R95:AB96 AF95:AF96 L95:P96 R10:AB11 AF10:AF11 L10:P11 R180:AB181 AF180:AF181 L180:P181 AG10 AG95 AG180">
    <cfRule type="expression" dxfId="1121" priority="167" stopIfTrue="1">
      <formula>IF(#REF!&gt;1,0,1)</formula>
    </cfRule>
  </conditionalFormatting>
  <conditionalFormatting sqref="R97:AB98 AF97:AF98 L97:P98 R12:AB13 AF12:AF13 L12:P13 R182:AB183 AF182:AF183 L182:P183 AG12 AG97 AG182">
    <cfRule type="expression" dxfId="1120" priority="168" stopIfTrue="1">
      <formula>IF(#REF!&gt;2,0,1)</formula>
    </cfRule>
  </conditionalFormatting>
  <conditionalFormatting sqref="E109 E24 E194">
    <cfRule type="expression" dxfId="1119" priority="169" stopIfTrue="1">
      <formula>IF(#REF!&gt;1,0,1)</formula>
    </cfRule>
  </conditionalFormatting>
  <conditionalFormatting sqref="H109 H24 H194">
    <cfRule type="expression" dxfId="1118" priority="170" stopIfTrue="1">
      <formula>IF(#REF!&gt;2,0,1)</formula>
    </cfRule>
  </conditionalFormatting>
  <conditionalFormatting sqref="K109 K24 K194">
    <cfRule type="expression" dxfId="1117" priority="171" stopIfTrue="1">
      <formula>IF(#REF!&gt;3,0,1)</formula>
    </cfRule>
  </conditionalFormatting>
  <conditionalFormatting sqref="N109 N24 N194">
    <cfRule type="expression" dxfId="1116" priority="172" stopIfTrue="1">
      <formula>IF(#REF!&gt;4,0,1)</formula>
    </cfRule>
  </conditionalFormatting>
  <conditionalFormatting sqref="Q109 Q24 Q194">
    <cfRule type="expression" dxfId="1115" priority="173" stopIfTrue="1">
      <formula>IF(#REF!&gt;5,0,1)</formula>
    </cfRule>
  </conditionalFormatting>
  <conditionalFormatting sqref="T109 T24 T194">
    <cfRule type="expression" dxfId="1114" priority="174" stopIfTrue="1">
      <formula>IF(#REF!&gt;6,0,1)</formula>
    </cfRule>
  </conditionalFormatting>
  <conditionalFormatting sqref="W109 W24 W194">
    <cfRule type="expression" dxfId="1113" priority="175" stopIfTrue="1">
      <formula>IF(#REF!&gt;7,0,1)</formula>
    </cfRule>
  </conditionalFormatting>
  <conditionalFormatting sqref="Z109 Z24 Z194">
    <cfRule type="expression" dxfId="1112" priority="176" stopIfTrue="1">
      <formula>IF(#REF!&gt;8,0,1)</formula>
    </cfRule>
  </conditionalFormatting>
  <conditionalFormatting sqref="AC109 AC24 AC194">
    <cfRule type="expression" dxfId="1111" priority="177" stopIfTrue="1">
      <formula>IF(#REF!&gt;9,0,1)</formula>
    </cfRule>
  </conditionalFormatting>
  <conditionalFormatting sqref="AQ112 AQ27 AQ197">
    <cfRule type="expression" dxfId="1110" priority="178" stopIfTrue="1">
      <formula>IF(#REF!&gt;3,0,1)</formula>
    </cfRule>
  </conditionalFormatting>
  <conditionalFormatting sqref="E110:G110 E25:G25 E195:G195">
    <cfRule type="expression" dxfId="1109" priority="179" stopIfTrue="1">
      <formula>IF(#REF!&gt;1,0,1)</formula>
    </cfRule>
  </conditionalFormatting>
  <conditionalFormatting sqref="B106:D106 B21:D21 B191:D191">
    <cfRule type="expression" dxfId="1108" priority="180" stopIfTrue="1">
      <formula>IF(#REF!&gt;0,0,1)</formula>
    </cfRule>
  </conditionalFormatting>
  <conditionalFormatting sqref="E106:G106 E21:G21 E191:G191">
    <cfRule type="expression" dxfId="1107" priority="181" stopIfTrue="1">
      <formula>IF(#REF!&gt;1,0,1)</formula>
    </cfRule>
  </conditionalFormatting>
  <conditionalFormatting sqref="H106:J106 H21:J21 H191:J191">
    <cfRule type="expression" dxfId="1106" priority="182" stopIfTrue="1">
      <formula>IF(#REF!&gt;2,0,1)</formula>
    </cfRule>
  </conditionalFormatting>
  <conditionalFormatting sqref="K106:M106 K21:M21 K191:M191">
    <cfRule type="expression" dxfId="1105" priority="183" stopIfTrue="1">
      <formula>IF(#REF!&gt;3,0,1)</formula>
    </cfRule>
  </conditionalFormatting>
  <conditionalFormatting sqref="N106:P106 N21:P21 N191:P191">
    <cfRule type="expression" dxfId="1104" priority="184" stopIfTrue="1">
      <formula>IF(#REF!&gt;4,0,1)</formula>
    </cfRule>
  </conditionalFormatting>
  <conditionalFormatting sqref="Q106:S106 Q21:S21 Q191:S191">
    <cfRule type="expression" dxfId="1103" priority="185" stopIfTrue="1">
      <formula>IF(#REF!&gt;5,0,1)</formula>
    </cfRule>
  </conditionalFormatting>
  <conditionalFormatting sqref="T106:V106 T21:V21 T191:V191">
    <cfRule type="expression" dxfId="1102" priority="186" stopIfTrue="1">
      <formula>IF(#REF!&gt;6,0,1)</formula>
    </cfRule>
  </conditionalFormatting>
  <conditionalFormatting sqref="W106:Y106 W21:Y21 W191:Y191">
    <cfRule type="expression" dxfId="1101" priority="187" stopIfTrue="1">
      <formula>IF(#REF!&gt;7,0,1)</formula>
    </cfRule>
  </conditionalFormatting>
  <conditionalFormatting sqref="Z106:AB106 Z21:AB21 Z191:AB191">
    <cfRule type="expression" dxfId="1100" priority="188" stopIfTrue="1">
      <formula>IF(#REF!&gt;8,0,1)</formula>
    </cfRule>
  </conditionalFormatting>
  <conditionalFormatting sqref="AC106:AE106 AC21:AE21 AC191:AE191">
    <cfRule type="expression" dxfId="1099" priority="189" stopIfTrue="1">
      <formula>IF(#REF!&gt;9,0,1)</formula>
    </cfRule>
  </conditionalFormatting>
  <conditionalFormatting sqref="X315:X316 W306:W307 X306:Y306 X357:Z358 Y359:Y360 AB358:AB360 X354:X355 AE358:AE360 W309:Y314 Z310:AE313 AA314:AA316 I314:I316 C315:C316 B306:B307 C306:D306 B309:D314 E310:J313 F314:F316 I362:I364 C363:C364 B354:B355 C354:D354 B357:D362 E358:J361 AD314:AD316 F362:F364">
    <cfRule type="expression" dxfId="1098" priority="190" stopIfTrue="1">
      <formula>IF(#REF!&gt;0,0,1)</formula>
    </cfRule>
  </conditionalFormatting>
  <conditionalFormatting sqref="AA306:AB306 AA354:AA358 AC357:AC358 AB357 AB314 AA309:AB309 Z314 Z306:Z309 F306:G306 G314 F309:G309 E314 E306:E309 F354:G354 G362 F357:G357 E362 E354:E357">
    <cfRule type="expression" dxfId="1097" priority="191" stopIfTrue="1">
      <formula>IF(#REF!&gt;1,0,1)</formula>
    </cfRule>
  </conditionalFormatting>
  <conditionalFormatting sqref="AD354:AD358 AF357:AF358 AE357 AC306:AC309 AG358 AD306:AE306 AE314 AD309:AE309 AC314 H314 H306:H309 I306:J306 J314 I309:J309 H354:H357 I354:J354 J362 I357:J357 H362">
    <cfRule type="expression" dxfId="1096" priority="192" stopIfTrue="1">
      <formula>IF(#REF!&gt;2,0,1)</formula>
    </cfRule>
  </conditionalFormatting>
  <conditionalFormatting sqref="X359 Z359 W315 Y315 B315 D315 B363 D363">
    <cfRule type="expression" dxfId="1095" priority="193" stopIfTrue="1">
      <formula>IF(#REF!&lt;1,1,IF(#REF!&lt;2,1,0))</formula>
    </cfRule>
  </conditionalFormatting>
  <conditionalFormatting sqref="AA359 AC359 Z315 AB315 E315 G315 E363 G363">
    <cfRule type="expression" dxfId="1094" priority="194" stopIfTrue="1">
      <formula>IF(#REF!&lt;2,1,IF(#REF!&lt;2,1,0))</formula>
    </cfRule>
  </conditionalFormatting>
  <conditionalFormatting sqref="AD359 AF359 AC315 AE315 H315 J315 H363 J363">
    <cfRule type="expression" dxfId="1093" priority="195" stopIfTrue="1">
      <formula>IF(#REF!&lt;3,1,IF(#REF!&lt;2,1,0))</formula>
    </cfRule>
  </conditionalFormatting>
  <conditionalFormatting sqref="X360 Z360 Y316 B316 D316 B364 W316 D364">
    <cfRule type="expression" dxfId="1092" priority="196" stopIfTrue="1">
      <formula>IF(#REF!&lt;1,1,IF(#REF!&lt;3,1,0))</formula>
    </cfRule>
  </conditionalFormatting>
  <conditionalFormatting sqref="AA360 AC360 AB316 E316 G316 E364 Z316 G364">
    <cfRule type="expression" dxfId="1091" priority="197" stopIfTrue="1">
      <formula>IF(#REF!&lt;2,1,IF(#REF!&lt;3,1,0))</formula>
    </cfRule>
  </conditionalFormatting>
  <conditionalFormatting sqref="AD360 AF360 AE316 H316 J316 H364 AC316 J364">
    <cfRule type="expression" dxfId="1090" priority="198" stopIfTrue="1">
      <formula>IF(#REF!&lt;3,1,IF(#REF!&lt;3,1,0))</formula>
    </cfRule>
  </conditionalFormatting>
  <conditionalFormatting sqref="AG109:AP113 AG24:AP28 AG194:AP198">
    <cfRule type="cellIs" dxfId="1089" priority="199" stopIfTrue="1" operator="notBetween">
      <formula>-9999</formula>
      <formula>9999</formula>
    </cfRule>
  </conditionalFormatting>
  <conditionalFormatting sqref="AC7 AC92 AC177">
    <cfRule type="expression" dxfId="1088" priority="200" stopIfTrue="1">
      <formula>IF($AK$11=0,1,0)</formula>
    </cfRule>
  </conditionalFormatting>
  <conditionalFormatting sqref="B103 B18 B188">
    <cfRule type="expression" dxfId="1087" priority="201" stopIfTrue="1">
      <formula>IF($AK$9&gt;0,0,1)</formula>
    </cfRule>
  </conditionalFormatting>
  <conditionalFormatting sqref="B22:D23 B107:D108 B192:D193">
    <cfRule type="cellIs" dxfId="1086" priority="202" stopIfTrue="1" operator="equal">
      <formula>99</formula>
    </cfRule>
  </conditionalFormatting>
  <conditionalFormatting sqref="C317 F317 X317 AA317 C365 F365">
    <cfRule type="expression" dxfId="1085" priority="203" stopIfTrue="1">
      <formula>IF(#REF!&gt;0,0,1)</formula>
    </cfRule>
  </conditionalFormatting>
  <conditionalFormatting sqref="K306">
    <cfRule type="expression" dxfId="1084" priority="3" stopIfTrue="1">
      <formula>IF(ISNUMBER(K314),0,1)</formula>
    </cfRule>
  </conditionalFormatting>
  <conditionalFormatting sqref="K354">
    <cfRule type="expression" dxfId="1083" priority="2" stopIfTrue="1">
      <formula>IF(ISNUMBER(K362),0,1)</formula>
    </cfRule>
  </conditionalFormatting>
  <conditionalFormatting sqref="AF306">
    <cfRule type="expression" dxfId="1082" priority="1" stopIfTrue="1">
      <formula>IF(ISNUMBER(AF314),0,1)</formula>
    </cfRule>
  </conditionalFormatting>
  <pageMargins left="0.25" right="0.25" top="0.25" bottom="0.25" header="0" footer="0"/>
  <pageSetup scale="56" orientation="portrait" horizontalDpi="4294967293" verticalDpi="4294967293"/>
  <headerFooter alignWithMargins="0"/>
  <rowBreaks count="4" manualBreakCount="4">
    <brk id="90" max="42" man="1"/>
    <brk id="175" max="42" man="1"/>
    <brk id="260" max="42" man="1"/>
    <brk id="325" max="4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 enableFormatConditionsCalculation="0">
    <tabColor rgb="FFFFFF00"/>
    <pageSetUpPr fitToPage="1"/>
  </sheetPr>
  <dimension ref="A1:BP658"/>
  <sheetViews>
    <sheetView topLeftCell="AA1" zoomScale="85" zoomScaleNormal="85" workbookViewId="0">
      <selection activeCell="AW24" sqref="AW24"/>
    </sheetView>
  </sheetViews>
  <sheetFormatPr defaultColWidth="8.7109375" defaultRowHeight="12.75" x14ac:dyDescent="0.2"/>
  <cols>
    <col min="1" max="1" width="8.7109375" style="4"/>
    <col min="2" max="2" width="3.7109375" style="4" customWidth="1"/>
    <col min="3" max="3" width="2.28515625" style="4" customWidth="1"/>
    <col min="4" max="5" width="3.7109375" style="4" customWidth="1"/>
    <col min="6" max="6" width="2.28515625" style="4" customWidth="1"/>
    <col min="7" max="8" width="3.7109375" style="4" customWidth="1"/>
    <col min="9" max="9" width="2.28515625" style="4" customWidth="1"/>
    <col min="10" max="11" width="3.7109375" style="4" customWidth="1"/>
    <col min="12" max="12" width="2.28515625" style="4" customWidth="1"/>
    <col min="13" max="14" width="3.7109375" style="4" customWidth="1"/>
    <col min="15" max="15" width="2.28515625" style="4" customWidth="1"/>
    <col min="16" max="17" width="3.7109375" style="4" customWidth="1"/>
    <col min="18" max="18" width="2.28515625" style="4" customWidth="1"/>
    <col min="19" max="20" width="3.7109375" style="4" customWidth="1"/>
    <col min="21" max="21" width="2.28515625" style="4" customWidth="1"/>
    <col min="22" max="23" width="3.7109375" style="4" customWidth="1"/>
    <col min="24" max="24" width="2.28515625" style="4" customWidth="1"/>
    <col min="25" max="26" width="3.7109375" style="4" customWidth="1"/>
    <col min="27" max="27" width="2.28515625" style="4" customWidth="1"/>
    <col min="28" max="29" width="3.7109375" style="4" customWidth="1"/>
    <col min="30" max="30" width="2.28515625" style="4" customWidth="1"/>
    <col min="31" max="31" width="3.7109375" style="4" customWidth="1"/>
    <col min="32" max="32" width="9.7109375" style="4" customWidth="1"/>
    <col min="33" max="42" width="3.7109375" style="4" customWidth="1"/>
    <col min="43" max="43" width="11" style="4" customWidth="1"/>
    <col min="44" max="46" width="8.7109375" style="4"/>
    <col min="47" max="47" width="21" style="4" customWidth="1"/>
    <col min="48" max="48" width="24.42578125" style="4" customWidth="1"/>
    <col min="49" max="49" width="15.28515625" style="62" customWidth="1"/>
    <col min="50" max="50" width="10.42578125" style="4" customWidth="1"/>
    <col min="51" max="51" width="11.28515625" style="4" customWidth="1"/>
    <col min="52" max="52" width="25" style="4" customWidth="1"/>
    <col min="53" max="53" width="6" style="4" customWidth="1"/>
    <col min="54" max="16384" width="8.7109375" style="4"/>
  </cols>
  <sheetData>
    <row r="1" spans="1:53" ht="13.5" thickBot="1" x14ac:dyDescent="0.25">
      <c r="A1" s="914" t="s">
        <v>0</v>
      </c>
      <c r="B1" s="914"/>
      <c r="C1" s="914"/>
      <c r="D1" s="914"/>
      <c r="E1" s="914"/>
      <c r="F1" s="914"/>
      <c r="G1" s="914"/>
      <c r="H1" s="914"/>
      <c r="I1" s="914"/>
      <c r="J1" s="914"/>
      <c r="K1" s="914"/>
      <c r="L1" s="914"/>
      <c r="M1" s="914"/>
      <c r="N1" s="914"/>
      <c r="O1" s="914"/>
      <c r="P1" s="914"/>
      <c r="Q1" s="914"/>
      <c r="R1" s="914"/>
      <c r="S1" s="914"/>
      <c r="T1" s="914"/>
      <c r="U1" s="914"/>
      <c r="V1" s="914"/>
      <c r="W1" s="914"/>
      <c r="X1" s="914"/>
      <c r="Y1" s="914"/>
      <c r="Z1" s="914"/>
      <c r="AA1" s="914"/>
      <c r="AB1" s="914"/>
      <c r="AC1" s="914"/>
      <c r="AD1" s="914"/>
      <c r="AE1" s="914"/>
      <c r="AF1" s="914"/>
      <c r="AG1" s="914"/>
      <c r="AH1" s="914"/>
      <c r="AI1" s="914"/>
      <c r="AJ1" s="1"/>
      <c r="AK1" s="1"/>
      <c r="AL1" s="1"/>
      <c r="AM1" s="1"/>
      <c r="AN1" s="1"/>
      <c r="AO1" s="1"/>
      <c r="AP1" s="1"/>
      <c r="AQ1" s="2" t="s">
        <v>349</v>
      </c>
      <c r="AR1" s="3"/>
      <c r="AT1" s="915" t="s">
        <v>1</v>
      </c>
      <c r="AU1" s="916"/>
      <c r="AV1" s="916"/>
      <c r="AW1" s="917"/>
      <c r="AX1" s="918" t="s">
        <v>2</v>
      </c>
      <c r="AY1" s="919"/>
      <c r="AZ1" s="9" t="s">
        <v>3</v>
      </c>
      <c r="BA1" s="10">
        <v>32</v>
      </c>
    </row>
    <row r="2" spans="1:53" ht="18.75" customHeight="1" thickBot="1" x14ac:dyDescent="0.3">
      <c r="A2" s="920" t="s">
        <v>4</v>
      </c>
      <c r="B2" s="921"/>
      <c r="C2" s="921"/>
      <c r="D2" s="921"/>
      <c r="E2" s="921"/>
      <c r="F2" s="921"/>
      <c r="G2" s="921"/>
      <c r="H2" s="921"/>
      <c r="I2" s="922"/>
      <c r="J2" s="923" t="s">
        <v>351</v>
      </c>
      <c r="K2" s="924"/>
      <c r="L2" s="924"/>
      <c r="M2" s="924"/>
      <c r="N2" s="924"/>
      <c r="O2" s="924"/>
      <c r="P2" s="924"/>
      <c r="Q2" s="924"/>
      <c r="R2" s="924"/>
      <c r="S2" s="924"/>
      <c r="T2" s="924"/>
      <c r="U2" s="924"/>
      <c r="V2" s="924"/>
      <c r="W2" s="924"/>
      <c r="X2" s="925"/>
      <c r="Y2" s="926" t="s">
        <v>5</v>
      </c>
      <c r="Z2" s="927"/>
      <c r="AA2" s="927"/>
      <c r="AB2" s="927"/>
      <c r="AC2" s="928"/>
      <c r="AD2" s="929" t="s">
        <v>362</v>
      </c>
      <c r="AE2" s="897"/>
      <c r="AF2" s="897"/>
      <c r="AG2" s="897"/>
      <c r="AH2" s="897"/>
      <c r="AI2" s="898"/>
      <c r="AJ2" s="11"/>
      <c r="AK2" s="11"/>
      <c r="AL2" s="11"/>
      <c r="AM2" s="11"/>
      <c r="AN2" s="11"/>
      <c r="AO2" s="11"/>
      <c r="AP2" s="11"/>
      <c r="AQ2" s="11"/>
      <c r="AR2" s="3"/>
      <c r="AT2" s="12" t="s">
        <v>6</v>
      </c>
      <c r="AU2" s="5" t="s">
        <v>7</v>
      </c>
      <c r="AV2" s="6" t="s">
        <v>8</v>
      </c>
      <c r="AW2" s="8" t="s">
        <v>9</v>
      </c>
      <c r="AX2" s="13" t="s">
        <v>10</v>
      </c>
      <c r="AY2" s="8" t="s">
        <v>11</v>
      </c>
      <c r="AZ2" s="9" t="s">
        <v>12</v>
      </c>
      <c r="BA2" s="10">
        <v>16</v>
      </c>
    </row>
    <row r="3" spans="1:53" ht="18.75" customHeight="1" thickBot="1" x14ac:dyDescent="0.3">
      <c r="A3" s="14" t="s">
        <v>13</v>
      </c>
      <c r="B3" s="899" t="s">
        <v>356</v>
      </c>
      <c r="C3" s="900"/>
      <c r="D3" s="900"/>
      <c r="E3" s="900"/>
      <c r="F3" s="900"/>
      <c r="G3" s="900"/>
      <c r="H3" s="900"/>
      <c r="I3" s="900"/>
      <c r="J3" s="900"/>
      <c r="K3" s="900"/>
      <c r="L3" s="900"/>
      <c r="M3" s="900"/>
      <c r="N3" s="900"/>
      <c r="O3" s="901"/>
      <c r="P3" s="902" t="s">
        <v>14</v>
      </c>
      <c r="Q3" s="903"/>
      <c r="R3" s="903"/>
      <c r="S3" s="904" t="s">
        <v>1175</v>
      </c>
      <c r="T3" s="905"/>
      <c r="U3" s="905"/>
      <c r="V3" s="905"/>
      <c r="W3" s="905"/>
      <c r="X3" s="906"/>
      <c r="Y3" s="907" t="s">
        <v>15</v>
      </c>
      <c r="Z3" s="908"/>
      <c r="AA3" s="908"/>
      <c r="AB3" s="908"/>
      <c r="AC3" s="908"/>
      <c r="AD3" s="909"/>
      <c r="AE3" s="910" t="s">
        <v>16</v>
      </c>
      <c r="AF3" s="911"/>
      <c r="AG3" s="912" t="s">
        <v>17</v>
      </c>
      <c r="AH3" s="912"/>
      <c r="AI3" s="913"/>
      <c r="AJ3" s="11"/>
      <c r="AK3" s="11"/>
      <c r="AL3" s="11"/>
      <c r="AM3" s="11"/>
      <c r="AN3" s="11"/>
      <c r="AO3" s="11"/>
      <c r="AP3" s="11"/>
      <c r="AQ3" s="11"/>
      <c r="AR3" s="3"/>
      <c r="AT3" s="15">
        <v>1</v>
      </c>
      <c r="AU3" s="167" t="s">
        <v>365</v>
      </c>
      <c r="AV3" s="167" t="s">
        <v>225</v>
      </c>
      <c r="AW3" s="16">
        <f>VLOOKUP(AV3,Initial!G:K,5,FALSE)</f>
        <v>2668.5988047345622</v>
      </c>
      <c r="AX3" s="17">
        <f t="shared" ref="AX3:AX17" si="0">VLOOKUP(AU3,AT$79:AU$259,2,FALSE)</f>
        <v>2724.0107598595391</v>
      </c>
      <c r="AY3" s="18">
        <f t="shared" ref="AY3:AY17" si="1">IF(ISNA(VLOOKUP(AU3,AT$273:AU$373,2,FALSE)),AX3,VLOOKUP(AU3,AT$273:AU$373,2,FALSE))</f>
        <v>2751.898412095823</v>
      </c>
    </row>
    <row r="4" spans="1:53" ht="24" customHeight="1" thickBot="1" x14ac:dyDescent="0.25">
      <c r="A4" s="890" t="s">
        <v>18</v>
      </c>
      <c r="B4" s="891"/>
      <c r="C4" s="891"/>
      <c r="D4" s="892"/>
      <c r="E4" s="893" t="s">
        <v>352</v>
      </c>
      <c r="F4" s="894"/>
      <c r="G4" s="894"/>
      <c r="H4" s="894"/>
      <c r="I4" s="894"/>
      <c r="J4" s="894"/>
      <c r="K4" s="894"/>
      <c r="L4" s="894"/>
      <c r="M4" s="895"/>
      <c r="N4" s="890" t="s">
        <v>19</v>
      </c>
      <c r="O4" s="891"/>
      <c r="P4" s="891"/>
      <c r="Q4" s="892"/>
      <c r="R4" s="896"/>
      <c r="S4" s="897"/>
      <c r="T4" s="897"/>
      <c r="U4" s="897"/>
      <c r="V4" s="897"/>
      <c r="W4" s="897"/>
      <c r="X4" s="897"/>
      <c r="Y4" s="897"/>
      <c r="Z4" s="897"/>
      <c r="AA4" s="898"/>
      <c r="AB4" s="890" t="s">
        <v>20</v>
      </c>
      <c r="AC4" s="891"/>
      <c r="AD4" s="891"/>
      <c r="AE4" s="892"/>
      <c r="AF4" s="896"/>
      <c r="AG4" s="897"/>
      <c r="AH4" s="897"/>
      <c r="AI4" s="898"/>
      <c r="AJ4" s="11"/>
      <c r="AK4" s="11"/>
      <c r="AL4" s="11"/>
      <c r="AM4" s="11"/>
      <c r="AN4" s="11"/>
      <c r="AO4" s="11"/>
      <c r="AP4" s="11"/>
      <c r="AQ4" s="11"/>
      <c r="AR4" s="3"/>
      <c r="AT4" s="19">
        <v>2</v>
      </c>
      <c r="AU4" s="167" t="s">
        <v>468</v>
      </c>
      <c r="AV4" s="167" t="s">
        <v>469</v>
      </c>
      <c r="AW4" s="16">
        <f>VLOOKUP(AV4,Initial!G:K,5,FALSE)</f>
        <v>2679.7684181029094</v>
      </c>
      <c r="AX4" s="20">
        <f t="shared" si="0"/>
        <v>2654.8178449854754</v>
      </c>
      <c r="AY4" s="21">
        <f t="shared" si="1"/>
        <v>2657.5586247368501</v>
      </c>
    </row>
    <row r="5" spans="1:53" ht="15.75" thickBot="1" x14ac:dyDescent="0.25">
      <c r="A5" s="1" t="s">
        <v>21</v>
      </c>
      <c r="B5" s="887" t="s">
        <v>21</v>
      </c>
      <c r="C5" s="888"/>
      <c r="D5" s="888"/>
      <c r="E5" s="888"/>
      <c r="F5" s="888"/>
      <c r="G5" s="888"/>
      <c r="H5" s="888"/>
      <c r="I5" s="888"/>
      <c r="J5" s="888"/>
      <c r="K5" s="889" t="s">
        <v>21</v>
      </c>
      <c r="L5" s="889"/>
      <c r="M5" s="889"/>
      <c r="N5" s="889"/>
      <c r="O5" s="889"/>
      <c r="P5" s="889"/>
      <c r="Q5" s="889"/>
      <c r="R5" s="889"/>
      <c r="S5" s="889"/>
      <c r="T5" s="889"/>
      <c r="U5" s="889"/>
      <c r="V5" s="889"/>
      <c r="W5" s="889"/>
      <c r="X5" s="889"/>
      <c r="Y5" s="889"/>
      <c r="Z5" s="889"/>
      <c r="AA5" s="889"/>
      <c r="AB5" s="889"/>
      <c r="AC5" s="889"/>
      <c r="AD5" s="889"/>
      <c r="AE5" s="889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3"/>
      <c r="AT5" s="19">
        <v>3</v>
      </c>
      <c r="AU5" s="167" t="s">
        <v>197</v>
      </c>
      <c r="AV5" s="167" t="s">
        <v>447</v>
      </c>
      <c r="AW5" s="16">
        <f>VLOOKUP(AV5,Initial!G:K,5,FALSE)</f>
        <v>2574.5716672740141</v>
      </c>
      <c r="AX5" s="20">
        <f t="shared" si="0"/>
        <v>2535.4323182697462</v>
      </c>
      <c r="AY5" s="21">
        <f t="shared" si="1"/>
        <v>2525.9864157239717</v>
      </c>
    </row>
    <row r="6" spans="1:53" ht="24" customHeight="1" thickBot="1" x14ac:dyDescent="0.25">
      <c r="A6" s="22" t="s">
        <v>22</v>
      </c>
      <c r="B6" s="23" t="s">
        <v>23</v>
      </c>
      <c r="C6" s="862" t="s">
        <v>24</v>
      </c>
      <c r="D6" s="863"/>
      <c r="E6" s="863"/>
      <c r="F6" s="863"/>
      <c r="G6" s="863"/>
      <c r="H6" s="864"/>
      <c r="I6" s="865">
        <v>1</v>
      </c>
      <c r="J6" s="866"/>
      <c r="K6" s="867" t="str">
        <f>"Pool "&amp;B6&amp;" - Round 1 - Court "&amp;I6</f>
        <v>Pool A - Round 1 - Court 1</v>
      </c>
      <c r="L6" s="868"/>
      <c r="M6" s="868"/>
      <c r="N6" s="868"/>
      <c r="O6" s="868"/>
      <c r="P6" s="868"/>
      <c r="Q6" s="868"/>
      <c r="R6" s="868"/>
      <c r="S6" s="868"/>
      <c r="T6" s="868"/>
      <c r="U6" s="868"/>
      <c r="V6" s="868"/>
      <c r="W6" s="868"/>
      <c r="X6" s="868"/>
      <c r="Y6" s="868"/>
      <c r="Z6" s="868"/>
      <c r="AA6" s="868"/>
      <c r="AB6" s="868"/>
      <c r="AC6" s="868"/>
      <c r="AD6" s="868"/>
      <c r="AE6" s="868"/>
      <c r="AF6" s="868"/>
      <c r="AG6" s="868"/>
      <c r="AH6" s="868"/>
      <c r="AI6" s="869"/>
      <c r="AJ6" s="11"/>
      <c r="AK6" s="11"/>
      <c r="AL6" s="11"/>
      <c r="AM6" s="11"/>
      <c r="AN6" s="11"/>
      <c r="AO6" s="11"/>
      <c r="AP6" s="11"/>
      <c r="AQ6" s="11"/>
      <c r="AT6" s="19">
        <v>4</v>
      </c>
      <c r="AU6" s="167" t="s">
        <v>388</v>
      </c>
      <c r="AV6" s="167" t="s">
        <v>223</v>
      </c>
      <c r="AW6" s="16">
        <f>VLOOKUP(AV6,Initial!G:K,5,FALSE)</f>
        <v>2580.5462836263409</v>
      </c>
      <c r="AX6" s="20">
        <f t="shared" si="0"/>
        <v>2494.8114327205249</v>
      </c>
      <c r="AY6" s="21">
        <f t="shared" si="1"/>
        <v>2494.8114327205249</v>
      </c>
    </row>
    <row r="7" spans="1:53" ht="27" customHeight="1" thickBot="1" x14ac:dyDescent="0.25">
      <c r="A7" s="24" t="s">
        <v>25</v>
      </c>
      <c r="B7" s="870" t="s">
        <v>7</v>
      </c>
      <c r="C7" s="871"/>
      <c r="D7" s="871"/>
      <c r="E7" s="871"/>
      <c r="F7" s="871"/>
      <c r="G7" s="871"/>
      <c r="H7" s="871"/>
      <c r="I7" s="871"/>
      <c r="J7" s="871"/>
      <c r="K7" s="871"/>
      <c r="L7" s="870" t="str">
        <f>IF($AK10=0,"Games Won","Matches Won")</f>
        <v>Games Won</v>
      </c>
      <c r="M7" s="871"/>
      <c r="N7" s="871"/>
      <c r="O7" s="871"/>
      <c r="P7" s="871"/>
      <c r="Q7" s="872"/>
      <c r="R7" s="870" t="str">
        <f>IF($AK10=0,"Games Lost","Matches Lost")</f>
        <v>Games Lost</v>
      </c>
      <c r="S7" s="873"/>
      <c r="T7" s="873"/>
      <c r="U7" s="873"/>
      <c r="V7" s="874"/>
      <c r="W7" s="875" t="s">
        <v>26</v>
      </c>
      <c r="X7" s="876"/>
      <c r="Y7" s="877"/>
      <c r="Z7" s="875" t="s">
        <v>27</v>
      </c>
      <c r="AA7" s="876"/>
      <c r="AB7" s="877"/>
      <c r="AC7" s="878" t="s">
        <v>28</v>
      </c>
      <c r="AD7" s="879"/>
      <c r="AE7" s="880"/>
      <c r="AF7" s="25" t="s">
        <v>29</v>
      </c>
      <c r="AG7" s="26" t="s">
        <v>6</v>
      </c>
      <c r="AH7" s="860" t="s">
        <v>30</v>
      </c>
      <c r="AI7" s="861"/>
      <c r="AJ7" s="27"/>
      <c r="AK7" s="28">
        <v>2</v>
      </c>
      <c r="AL7" s="29" t="s">
        <v>31</v>
      </c>
      <c r="AM7" s="29"/>
      <c r="AN7" s="29"/>
      <c r="AO7" s="29"/>
      <c r="AP7" s="29"/>
      <c r="AQ7" s="29"/>
      <c r="AR7" s="30"/>
      <c r="AT7" s="19">
        <v>5</v>
      </c>
      <c r="AU7" s="167" t="s">
        <v>445</v>
      </c>
      <c r="AV7" s="167" t="s">
        <v>446</v>
      </c>
      <c r="AW7" s="16">
        <f>VLOOKUP(AV7,Initial!G:K,5,FALSE)</f>
        <v>2490.7546597563824</v>
      </c>
      <c r="AX7" s="20">
        <f t="shared" si="0"/>
        <v>2526.3946992970846</v>
      </c>
      <c r="AY7" s="21">
        <f t="shared" si="1"/>
        <v>2522.9578399868501</v>
      </c>
    </row>
    <row r="8" spans="1:53" ht="18.75" customHeight="1" thickBot="1" x14ac:dyDescent="0.25">
      <c r="A8" s="829" t="str">
        <f>IF($AK9&gt;0,"1","")</f>
        <v>1</v>
      </c>
      <c r="B8" s="857" t="s">
        <v>7</v>
      </c>
      <c r="C8" s="858"/>
      <c r="D8" s="859"/>
      <c r="E8" s="833" t="str">
        <f>AU3</f>
        <v>Extreme 17 Summer</v>
      </c>
      <c r="F8" s="834"/>
      <c r="G8" s="834"/>
      <c r="H8" s="834"/>
      <c r="I8" s="834"/>
      <c r="J8" s="834"/>
      <c r="K8" s="835"/>
      <c r="L8" s="836">
        <f>IF($AK10=0,AF64,AF46)</f>
        <v>8</v>
      </c>
      <c r="M8" s="837"/>
      <c r="N8" s="837"/>
      <c r="O8" s="837"/>
      <c r="P8" s="837"/>
      <c r="Q8" s="872"/>
      <c r="R8" s="836">
        <f>IF($AK10=0,AG64,AG46)</f>
        <v>0</v>
      </c>
      <c r="S8" s="837"/>
      <c r="T8" s="837"/>
      <c r="U8" s="837"/>
      <c r="V8" s="837"/>
      <c r="W8" s="836">
        <f>AQ24</f>
        <v>48</v>
      </c>
      <c r="X8" s="837"/>
      <c r="Y8" s="837"/>
      <c r="Z8" s="809">
        <f>IF(AF58&gt;0,(AQ24/AF58),0)</f>
        <v>0.23762376237623761</v>
      </c>
      <c r="AA8" s="810"/>
      <c r="AB8" s="810"/>
      <c r="AC8" s="813">
        <f>IF(AF72=0,0,(AF64/AF72))</f>
        <v>1</v>
      </c>
      <c r="AD8" s="814"/>
      <c r="AE8" s="815"/>
      <c r="AF8" s="819">
        <v>1</v>
      </c>
      <c r="AG8" s="819">
        <v>1</v>
      </c>
      <c r="AH8" s="821">
        <v>1</v>
      </c>
      <c r="AI8" s="822"/>
      <c r="AJ8" s="27"/>
      <c r="AK8" s="28">
        <v>10</v>
      </c>
      <c r="AL8" s="29" t="s">
        <v>32</v>
      </c>
      <c r="AM8" s="29"/>
      <c r="AN8" s="29"/>
      <c r="AO8" s="29"/>
      <c r="AP8" s="29"/>
      <c r="AQ8" s="29"/>
      <c r="AR8" s="30"/>
      <c r="AT8" s="19">
        <v>6</v>
      </c>
      <c r="AU8" s="167" t="s">
        <v>369</v>
      </c>
      <c r="AV8" s="167" t="s">
        <v>370</v>
      </c>
      <c r="AW8" s="16">
        <f>VLOOKUP(AV8,Initial!G:K,5,FALSE)</f>
        <v>2470.5768512788477</v>
      </c>
      <c r="AX8" s="20">
        <f t="shared" si="0"/>
        <v>2421.1436762985313</v>
      </c>
      <c r="AY8" s="21">
        <f t="shared" si="1"/>
        <v>2445.8716574009577</v>
      </c>
    </row>
    <row r="9" spans="1:53" ht="18.75" customHeight="1" thickBot="1" x14ac:dyDescent="0.25">
      <c r="A9" s="830"/>
      <c r="B9" s="854" t="s">
        <v>8</v>
      </c>
      <c r="C9" s="855"/>
      <c r="D9" s="856"/>
      <c r="E9" s="850" t="str">
        <f>AV3</f>
        <v>fj7triex1so</v>
      </c>
      <c r="F9" s="851"/>
      <c r="G9" s="851"/>
      <c r="H9" s="851"/>
      <c r="I9" s="851"/>
      <c r="J9" s="851"/>
      <c r="K9" s="851"/>
      <c r="L9" s="852"/>
      <c r="M9" s="853"/>
      <c r="N9" s="853"/>
      <c r="O9" s="853"/>
      <c r="P9" s="853"/>
      <c r="Q9" s="872"/>
      <c r="R9" s="852"/>
      <c r="S9" s="853"/>
      <c r="T9" s="853"/>
      <c r="U9" s="853"/>
      <c r="V9" s="853"/>
      <c r="W9" s="852"/>
      <c r="X9" s="853"/>
      <c r="Y9" s="853"/>
      <c r="Z9" s="840"/>
      <c r="AA9" s="841"/>
      <c r="AB9" s="841"/>
      <c r="AC9" s="842"/>
      <c r="AD9" s="843"/>
      <c r="AE9" s="844"/>
      <c r="AF9" s="845"/>
      <c r="AG9" s="845"/>
      <c r="AH9" s="846"/>
      <c r="AI9" s="847"/>
      <c r="AJ9" s="27"/>
      <c r="AK9" s="28">
        <v>5</v>
      </c>
      <c r="AL9" s="29" t="s">
        <v>33</v>
      </c>
      <c r="AM9" s="27"/>
      <c r="AN9" s="27"/>
      <c r="AO9" s="27"/>
      <c r="AP9" s="27"/>
      <c r="AQ9" s="27"/>
      <c r="AR9" s="3"/>
      <c r="AT9" s="19">
        <v>7</v>
      </c>
      <c r="AU9" s="167" t="s">
        <v>333</v>
      </c>
      <c r="AV9" s="167" t="s">
        <v>334</v>
      </c>
      <c r="AW9" s="16">
        <f>VLOOKUP(AV9,Initial!G:K,5,FALSE)</f>
        <v>2456.2391071311727</v>
      </c>
      <c r="AX9" s="20">
        <f t="shared" si="0"/>
        <v>2445.180627308283</v>
      </c>
      <c r="AY9" s="21">
        <f t="shared" si="1"/>
        <v>2439.2132348910172</v>
      </c>
    </row>
    <row r="10" spans="1:53" ht="18.75" customHeight="1" thickBot="1" x14ac:dyDescent="0.25">
      <c r="A10" s="829" t="str">
        <f>IF($AK9&gt;1,"2","")</f>
        <v>2</v>
      </c>
      <c r="B10" s="857" t="s">
        <v>7</v>
      </c>
      <c r="C10" s="858"/>
      <c r="D10" s="859"/>
      <c r="E10" s="833" t="str">
        <f>AU8</f>
        <v>Foothills 17</v>
      </c>
      <c r="F10" s="834"/>
      <c r="G10" s="834"/>
      <c r="H10" s="834"/>
      <c r="I10" s="834"/>
      <c r="J10" s="834"/>
      <c r="K10" s="835"/>
      <c r="L10" s="836">
        <f>IF($AK10=0,AF65,AF47)</f>
        <v>2</v>
      </c>
      <c r="M10" s="837"/>
      <c r="N10" s="837"/>
      <c r="O10" s="837"/>
      <c r="P10" s="837"/>
      <c r="Q10" s="872"/>
      <c r="R10" s="836">
        <f>IF($AK10=0,AG65,AG47)</f>
        <v>6</v>
      </c>
      <c r="S10" s="837"/>
      <c r="T10" s="837"/>
      <c r="U10" s="837"/>
      <c r="V10" s="837"/>
      <c r="W10" s="836">
        <f>AQ25</f>
        <v>-12</v>
      </c>
      <c r="X10" s="837"/>
      <c r="Y10" s="837"/>
      <c r="Z10" s="809">
        <f>IF(AF59&gt;0,(AQ25/AF59),0)</f>
        <v>-5.9405940594059403E-2</v>
      </c>
      <c r="AA10" s="810"/>
      <c r="AB10" s="810"/>
      <c r="AC10" s="813">
        <f>IF(AF73=0,0,(AF65/AF73))</f>
        <v>0.25</v>
      </c>
      <c r="AD10" s="814"/>
      <c r="AE10" s="815"/>
      <c r="AF10" s="819">
        <v>4</v>
      </c>
      <c r="AG10" s="819">
        <v>2</v>
      </c>
      <c r="AH10" s="821">
        <v>9</v>
      </c>
      <c r="AI10" s="822"/>
      <c r="AJ10" s="27"/>
      <c r="AK10" s="28">
        <v>0</v>
      </c>
      <c r="AL10" s="29" t="s">
        <v>34</v>
      </c>
      <c r="AM10" s="29"/>
      <c r="AN10" s="29"/>
      <c r="AO10" s="29"/>
      <c r="AP10" s="29"/>
      <c r="AQ10" s="29"/>
      <c r="AR10" s="30"/>
      <c r="AT10" s="19">
        <v>8</v>
      </c>
      <c r="AU10" s="167" t="s">
        <v>394</v>
      </c>
      <c r="AV10" s="167" t="s">
        <v>395</v>
      </c>
      <c r="AW10" s="16">
        <f>VLOOKUP(AV10,Initial!G:K,5,FALSE)</f>
        <v>2452.0796475240045</v>
      </c>
      <c r="AX10" s="20">
        <f t="shared" si="0"/>
        <v>2410.9866305444343</v>
      </c>
      <c r="AY10" s="21">
        <f t="shared" si="1"/>
        <v>2410.9866305444343</v>
      </c>
    </row>
    <row r="11" spans="1:53" ht="18.75" customHeight="1" thickBot="1" x14ac:dyDescent="0.25">
      <c r="A11" s="830"/>
      <c r="B11" s="848" t="s">
        <v>8</v>
      </c>
      <c r="C11" s="849"/>
      <c r="D11" s="849"/>
      <c r="E11" s="850" t="str">
        <f>AV8</f>
        <v>fj7footh7pm</v>
      </c>
      <c r="F11" s="851"/>
      <c r="G11" s="851"/>
      <c r="H11" s="851"/>
      <c r="I11" s="851"/>
      <c r="J11" s="851"/>
      <c r="K11" s="851"/>
      <c r="L11" s="852"/>
      <c r="M11" s="853"/>
      <c r="N11" s="853"/>
      <c r="O11" s="853"/>
      <c r="P11" s="853"/>
      <c r="Q11" s="872"/>
      <c r="R11" s="852"/>
      <c r="S11" s="853"/>
      <c r="T11" s="853"/>
      <c r="U11" s="853"/>
      <c r="V11" s="853"/>
      <c r="W11" s="852"/>
      <c r="X11" s="853"/>
      <c r="Y11" s="853"/>
      <c r="Z11" s="840"/>
      <c r="AA11" s="841"/>
      <c r="AB11" s="841"/>
      <c r="AC11" s="842"/>
      <c r="AD11" s="843"/>
      <c r="AE11" s="844"/>
      <c r="AF11" s="845"/>
      <c r="AG11" s="845"/>
      <c r="AH11" s="846"/>
      <c r="AI11" s="847"/>
      <c r="AJ11" s="27"/>
      <c r="AK11" s="28">
        <v>1</v>
      </c>
      <c r="AL11" s="29" t="s">
        <v>35</v>
      </c>
      <c r="AM11" s="27"/>
      <c r="AN11" s="27"/>
      <c r="AO11" s="27"/>
      <c r="AP11" s="27"/>
      <c r="AQ11" s="27"/>
      <c r="AR11" s="3"/>
      <c r="AT11" s="19">
        <v>9</v>
      </c>
      <c r="AU11" s="167" t="s">
        <v>407</v>
      </c>
      <c r="AV11" s="167" t="s">
        <v>408</v>
      </c>
      <c r="AW11" s="16">
        <f>VLOOKUP(AV11,Initial!G:K,5,FALSE)</f>
        <v>2431.5669234490088</v>
      </c>
      <c r="AX11" s="20">
        <f t="shared" si="0"/>
        <v>2479.7635834823932</v>
      </c>
      <c r="AY11" s="21">
        <f t="shared" si="1"/>
        <v>2475.4846792924523</v>
      </c>
    </row>
    <row r="12" spans="1:53" ht="18.75" customHeight="1" thickBot="1" x14ac:dyDescent="0.25">
      <c r="A12" s="829" t="str">
        <f>IF($AK9&gt;2,"3","")</f>
        <v>3</v>
      </c>
      <c r="B12" s="831" t="s">
        <v>7</v>
      </c>
      <c r="C12" s="832"/>
      <c r="D12" s="832"/>
      <c r="E12" s="833" t="str">
        <f>AU9</f>
        <v>united vbc 17 u</v>
      </c>
      <c r="F12" s="834"/>
      <c r="G12" s="834"/>
      <c r="H12" s="834"/>
      <c r="I12" s="834"/>
      <c r="J12" s="834"/>
      <c r="K12" s="835"/>
      <c r="L12" s="836">
        <f>IF($AK10=0,AF66,AF48)</f>
        <v>3</v>
      </c>
      <c r="M12" s="837"/>
      <c r="N12" s="837"/>
      <c r="O12" s="837"/>
      <c r="P12" s="837"/>
      <c r="Q12" s="872"/>
      <c r="R12" s="836">
        <f>IF($AK10=0,AG66,AG48)</f>
        <v>5</v>
      </c>
      <c r="S12" s="837"/>
      <c r="T12" s="837"/>
      <c r="U12" s="837"/>
      <c r="V12" s="837"/>
      <c r="W12" s="836">
        <f>AQ26</f>
        <v>-43</v>
      </c>
      <c r="X12" s="837"/>
      <c r="Y12" s="837"/>
      <c r="Z12" s="809">
        <f>IF(AF60&gt;0,(AQ26/AF60),0)</f>
        <v>-0.21287128712871287</v>
      </c>
      <c r="AA12" s="810"/>
      <c r="AB12" s="810"/>
      <c r="AC12" s="813">
        <f>IF(AF74=0,0,(AF66/AF74))</f>
        <v>0.375</v>
      </c>
      <c r="AD12" s="814"/>
      <c r="AE12" s="815"/>
      <c r="AF12" s="819">
        <v>3</v>
      </c>
      <c r="AG12" s="819">
        <v>1</v>
      </c>
      <c r="AH12" s="821">
        <v>11</v>
      </c>
      <c r="AI12" s="822"/>
      <c r="AJ12" s="36"/>
      <c r="AK12" s="28">
        <v>8</v>
      </c>
      <c r="AL12" s="37" t="s">
        <v>36</v>
      </c>
      <c r="AM12" s="29"/>
      <c r="AN12" s="29"/>
      <c r="AO12" s="29"/>
      <c r="AP12" s="29"/>
      <c r="AQ12" s="29"/>
      <c r="AR12" s="30"/>
      <c r="AT12" s="19">
        <v>10</v>
      </c>
      <c r="AU12" s="167" t="s">
        <v>501</v>
      </c>
      <c r="AV12" s="167" t="s">
        <v>502</v>
      </c>
      <c r="AW12" s="16">
        <f>VLOOKUP(AV12,Initial!G:K,5,FALSE)</f>
        <v>2486.9719356907308</v>
      </c>
      <c r="AX12" s="20">
        <f t="shared" si="0"/>
        <v>2609.9625824912368</v>
      </c>
      <c r="AY12" s="21">
        <f t="shared" si="1"/>
        <v>2608.2421877492102</v>
      </c>
    </row>
    <row r="13" spans="1:53" ht="18.75" customHeight="1" thickBot="1" x14ac:dyDescent="0.25">
      <c r="A13" s="830"/>
      <c r="B13" s="848" t="s">
        <v>8</v>
      </c>
      <c r="C13" s="849"/>
      <c r="D13" s="849"/>
      <c r="E13" s="850" t="str">
        <f>AV9</f>
        <v>fj7unitd1pm</v>
      </c>
      <c r="F13" s="851"/>
      <c r="G13" s="851"/>
      <c r="H13" s="851"/>
      <c r="I13" s="851"/>
      <c r="J13" s="851"/>
      <c r="K13" s="851"/>
      <c r="L13" s="852"/>
      <c r="M13" s="853"/>
      <c r="N13" s="853"/>
      <c r="O13" s="853"/>
      <c r="P13" s="853"/>
      <c r="Q13" s="872"/>
      <c r="R13" s="852"/>
      <c r="S13" s="853"/>
      <c r="T13" s="853"/>
      <c r="U13" s="853"/>
      <c r="V13" s="853"/>
      <c r="W13" s="852"/>
      <c r="X13" s="853"/>
      <c r="Y13" s="853"/>
      <c r="Z13" s="840"/>
      <c r="AA13" s="841"/>
      <c r="AB13" s="841"/>
      <c r="AC13" s="842"/>
      <c r="AD13" s="843"/>
      <c r="AE13" s="844"/>
      <c r="AF13" s="845"/>
      <c r="AG13" s="845"/>
      <c r="AH13" s="846"/>
      <c r="AI13" s="847"/>
      <c r="AJ13" s="36"/>
      <c r="AK13" s="38"/>
      <c r="AL13" s="39"/>
      <c r="AM13" s="39"/>
      <c r="AN13" s="39"/>
      <c r="AO13" s="39"/>
      <c r="AP13" s="39"/>
      <c r="AQ13" s="27"/>
      <c r="AR13" s="3"/>
      <c r="AT13" s="19">
        <v>11</v>
      </c>
      <c r="AU13" s="167" t="s">
        <v>451</v>
      </c>
      <c r="AV13" s="167" t="s">
        <v>337</v>
      </c>
      <c r="AW13" s="1035">
        <v>2956.509459619655</v>
      </c>
      <c r="AX13" s="20">
        <f t="shared" si="0"/>
        <v>2977.5978206932327</v>
      </c>
      <c r="AY13" s="21">
        <f t="shared" si="1"/>
        <v>2956.5091739262753</v>
      </c>
      <c r="AZ13" s="68">
        <f>AY13-AW13</f>
        <v>-2.8569337973749498E-4</v>
      </c>
    </row>
    <row r="14" spans="1:53" ht="18.75" customHeight="1" thickBot="1" x14ac:dyDescent="0.25">
      <c r="A14" s="829" t="str">
        <f>IF($AK9&gt;3,"4","")</f>
        <v>4</v>
      </c>
      <c r="B14" s="831" t="s">
        <v>7</v>
      </c>
      <c r="C14" s="832"/>
      <c r="D14" s="832"/>
      <c r="E14" s="833" t="str">
        <f>AU14</f>
        <v>NETVC 17Tori</v>
      </c>
      <c r="F14" s="834"/>
      <c r="G14" s="834"/>
      <c r="H14" s="834"/>
      <c r="I14" s="834"/>
      <c r="J14" s="834"/>
      <c r="K14" s="835"/>
      <c r="L14" s="836">
        <f>IF($AK10=0,AF67,AF49)</f>
        <v>5</v>
      </c>
      <c r="M14" s="837"/>
      <c r="N14" s="837"/>
      <c r="O14" s="837"/>
      <c r="P14" s="837"/>
      <c r="Q14" s="872"/>
      <c r="R14" s="836">
        <f>IF($AK10=0,AG67,AG49)</f>
        <v>3</v>
      </c>
      <c r="S14" s="837"/>
      <c r="T14" s="837"/>
      <c r="U14" s="837"/>
      <c r="V14" s="837"/>
      <c r="W14" s="836">
        <f>AQ27</f>
        <v>27</v>
      </c>
      <c r="X14" s="837"/>
      <c r="Y14" s="837"/>
      <c r="Z14" s="809">
        <f>IF(AF61&gt;0,(AQ27/AF61),0)</f>
        <v>0.13500000000000001</v>
      </c>
      <c r="AA14" s="810"/>
      <c r="AB14" s="810"/>
      <c r="AC14" s="813">
        <f>IF(AF75=0,0,(AF67/AF75))</f>
        <v>0.625</v>
      </c>
      <c r="AD14" s="814"/>
      <c r="AE14" s="815"/>
      <c r="AF14" s="819">
        <v>2</v>
      </c>
      <c r="AG14" s="819">
        <v>1</v>
      </c>
      <c r="AH14" s="821">
        <v>3</v>
      </c>
      <c r="AI14" s="822"/>
      <c r="AJ14" s="11"/>
      <c r="AK14" s="39"/>
      <c r="AL14" s="39"/>
      <c r="AM14" s="39"/>
      <c r="AN14" s="39"/>
      <c r="AO14" s="39"/>
      <c r="AP14" s="39"/>
      <c r="AQ14" s="29"/>
      <c r="AR14" s="30"/>
      <c r="AT14" s="19">
        <v>12</v>
      </c>
      <c r="AU14" s="167" t="s">
        <v>459</v>
      </c>
      <c r="AV14" s="167" t="s">
        <v>256</v>
      </c>
      <c r="AW14" s="1035">
        <v>2585.9181415798507</v>
      </c>
      <c r="AX14" s="20">
        <f t="shared" si="0"/>
        <v>2590.9975753272629</v>
      </c>
      <c r="AY14" s="21">
        <f t="shared" si="1"/>
        <v>2585.9189645999631</v>
      </c>
      <c r="AZ14" s="68">
        <f t="shared" ref="AZ14:AZ16" si="2">AY14-AW14</f>
        <v>8.23020112420636E-4</v>
      </c>
    </row>
    <row r="15" spans="1:53" ht="18.75" customHeight="1" thickBot="1" x14ac:dyDescent="0.25">
      <c r="A15" s="830"/>
      <c r="B15" s="848" t="s">
        <v>8</v>
      </c>
      <c r="C15" s="849"/>
      <c r="D15" s="849"/>
      <c r="E15" s="850" t="str">
        <f>AV14</f>
        <v>fj7netvc1so</v>
      </c>
      <c r="F15" s="851"/>
      <c r="G15" s="851"/>
      <c r="H15" s="851"/>
      <c r="I15" s="851"/>
      <c r="J15" s="851"/>
      <c r="K15" s="851"/>
      <c r="L15" s="852"/>
      <c r="M15" s="853"/>
      <c r="N15" s="853"/>
      <c r="O15" s="853"/>
      <c r="P15" s="853"/>
      <c r="Q15" s="872"/>
      <c r="R15" s="852"/>
      <c r="S15" s="853"/>
      <c r="T15" s="853"/>
      <c r="U15" s="853"/>
      <c r="V15" s="853"/>
      <c r="W15" s="852"/>
      <c r="X15" s="853"/>
      <c r="Y15" s="853"/>
      <c r="Z15" s="840"/>
      <c r="AA15" s="841"/>
      <c r="AB15" s="841"/>
      <c r="AC15" s="842"/>
      <c r="AD15" s="843"/>
      <c r="AE15" s="844"/>
      <c r="AF15" s="845"/>
      <c r="AG15" s="845"/>
      <c r="AH15" s="846"/>
      <c r="AI15" s="847"/>
      <c r="AJ15" s="11"/>
      <c r="AK15" s="39"/>
      <c r="AL15" s="39"/>
      <c r="AM15" s="39"/>
      <c r="AN15" s="39"/>
      <c r="AO15" s="39"/>
      <c r="AP15" s="39"/>
      <c r="AQ15" s="11"/>
      <c r="AR15" s="3"/>
      <c r="AT15" s="19">
        <v>13</v>
      </c>
      <c r="AU15" s="353" t="s">
        <v>462</v>
      </c>
      <c r="AV15" s="353" t="s">
        <v>463</v>
      </c>
      <c r="AW15" s="1035">
        <v>2357.647276975752</v>
      </c>
      <c r="AX15" s="20">
        <f t="shared" si="0"/>
        <v>2357.647542906569</v>
      </c>
      <c r="AY15" s="21">
        <f t="shared" si="1"/>
        <v>2357.647542906569</v>
      </c>
      <c r="AZ15" s="68">
        <f t="shared" si="2"/>
        <v>2.6593081702230847E-4</v>
      </c>
    </row>
    <row r="16" spans="1:53" ht="18.75" customHeight="1" x14ac:dyDescent="0.2">
      <c r="A16" s="829" t="str">
        <f>IF($AK9&gt;4,"5","")</f>
        <v>5</v>
      </c>
      <c r="B16" s="831" t="s">
        <v>7</v>
      </c>
      <c r="C16" s="832"/>
      <c r="D16" s="832"/>
      <c r="E16" s="833" t="str">
        <f>AU15</f>
        <v>BVA 17 Regional</v>
      </c>
      <c r="F16" s="834"/>
      <c r="G16" s="834"/>
      <c r="H16" s="834"/>
      <c r="I16" s="834"/>
      <c r="J16" s="834"/>
      <c r="K16" s="835"/>
      <c r="L16" s="836">
        <f>IF($AK10=0,AF68,AF50)</f>
        <v>2</v>
      </c>
      <c r="M16" s="837"/>
      <c r="N16" s="837"/>
      <c r="O16" s="837"/>
      <c r="P16" s="837"/>
      <c r="Q16" s="872"/>
      <c r="R16" s="836">
        <f>IF($AK10=0,AG68,AG50)</f>
        <v>6</v>
      </c>
      <c r="S16" s="837"/>
      <c r="T16" s="837"/>
      <c r="U16" s="837"/>
      <c r="V16" s="837"/>
      <c r="W16" s="836">
        <f>AQ28</f>
        <v>-20</v>
      </c>
      <c r="X16" s="837"/>
      <c r="Y16" s="837"/>
      <c r="Z16" s="809">
        <f>IF(AF62&gt;0,(AQ28/AF62),0)</f>
        <v>-9.9009900990099015E-2</v>
      </c>
      <c r="AA16" s="810"/>
      <c r="AB16" s="810"/>
      <c r="AC16" s="813">
        <f>IF(AF76=0,0,(AF68/AF76))</f>
        <v>0.25</v>
      </c>
      <c r="AD16" s="814"/>
      <c r="AE16" s="815"/>
      <c r="AF16" s="819">
        <v>5</v>
      </c>
      <c r="AG16" s="819">
        <v>2</v>
      </c>
      <c r="AH16" s="821">
        <v>13</v>
      </c>
      <c r="AI16" s="822"/>
      <c r="AJ16" s="11"/>
      <c r="AK16" s="39"/>
      <c r="AL16" s="39"/>
      <c r="AM16" s="39"/>
      <c r="AN16" s="39"/>
      <c r="AO16" s="39"/>
      <c r="AP16" s="39"/>
      <c r="AQ16" s="11"/>
      <c r="AR16" s="3"/>
      <c r="AT16" s="19">
        <v>14</v>
      </c>
      <c r="AU16" s="353" t="s">
        <v>403</v>
      </c>
      <c r="AV16" s="353" t="s">
        <v>404</v>
      </c>
      <c r="AW16" s="1035">
        <v>2469.4470566494815</v>
      </c>
      <c r="AX16" s="20">
        <f t="shared" si="0"/>
        <v>2478.7622461322062</v>
      </c>
      <c r="AY16" s="21">
        <f t="shared" si="1"/>
        <v>2469.4475599928201</v>
      </c>
      <c r="AZ16" s="68">
        <f t="shared" si="2"/>
        <v>5.0334333855062141E-4</v>
      </c>
    </row>
    <row r="17" spans="1:52" ht="18.75" customHeight="1" thickBot="1" x14ac:dyDescent="0.25">
      <c r="A17" s="830"/>
      <c r="B17" s="825" t="s">
        <v>8</v>
      </c>
      <c r="C17" s="826"/>
      <c r="D17" s="826"/>
      <c r="E17" s="827" t="str">
        <f>AV15</f>
        <v>fj7biltm2cr</v>
      </c>
      <c r="F17" s="828"/>
      <c r="G17" s="828"/>
      <c r="H17" s="828"/>
      <c r="I17" s="828"/>
      <c r="J17" s="828"/>
      <c r="K17" s="828"/>
      <c r="L17" s="838"/>
      <c r="M17" s="839"/>
      <c r="N17" s="839"/>
      <c r="O17" s="839"/>
      <c r="P17" s="839"/>
      <c r="Q17" s="872"/>
      <c r="R17" s="838"/>
      <c r="S17" s="839"/>
      <c r="T17" s="839"/>
      <c r="U17" s="839"/>
      <c r="V17" s="839"/>
      <c r="W17" s="838"/>
      <c r="X17" s="839"/>
      <c r="Y17" s="839"/>
      <c r="Z17" s="811"/>
      <c r="AA17" s="812"/>
      <c r="AB17" s="812"/>
      <c r="AC17" s="816"/>
      <c r="AD17" s="817"/>
      <c r="AE17" s="818"/>
      <c r="AF17" s="820"/>
      <c r="AG17" s="820"/>
      <c r="AH17" s="823"/>
      <c r="AI17" s="824"/>
      <c r="AJ17" s="11"/>
      <c r="AK17" s="39"/>
      <c r="AL17" s="39"/>
      <c r="AM17" s="39"/>
      <c r="AN17" s="39"/>
      <c r="AO17" s="39"/>
      <c r="AP17" s="39"/>
      <c r="AQ17" s="11"/>
      <c r="AR17" s="3"/>
      <c r="AT17" s="31">
        <v>15</v>
      </c>
      <c r="AU17" s="355" t="s">
        <v>1068</v>
      </c>
      <c r="AV17" s="355" t="s">
        <v>1067</v>
      </c>
      <c r="AW17" s="16">
        <f>VLOOKUP(AV17,Initial!G:K,5,FALSE)</f>
        <v>2797.8823937745101</v>
      </c>
      <c r="AX17" s="32">
        <f t="shared" si="0"/>
        <v>2751.5692868507035</v>
      </c>
      <c r="AY17" s="33">
        <f t="shared" si="1"/>
        <v>2756.5442705995047</v>
      </c>
    </row>
    <row r="18" spans="1:52" ht="21" customHeight="1" thickTop="1" thickBot="1" x14ac:dyDescent="0.25">
      <c r="A18" s="40"/>
      <c r="B18" s="806" t="s">
        <v>168</v>
      </c>
      <c r="C18" s="807"/>
      <c r="D18" s="807"/>
      <c r="E18" s="807"/>
      <c r="F18" s="807"/>
      <c r="G18" s="807"/>
      <c r="H18" s="807"/>
      <c r="I18" s="807"/>
      <c r="J18" s="807"/>
      <c r="K18" s="807"/>
      <c r="L18" s="807"/>
      <c r="M18" s="807"/>
      <c r="N18" s="807"/>
      <c r="O18" s="807"/>
      <c r="P18" s="807"/>
      <c r="Q18" s="807"/>
      <c r="R18" s="807"/>
      <c r="S18" s="807"/>
      <c r="T18" s="807"/>
      <c r="U18" s="807"/>
      <c r="V18" s="807"/>
      <c r="W18" s="807"/>
      <c r="X18" s="807"/>
      <c r="Y18" s="807"/>
      <c r="Z18" s="807"/>
      <c r="AA18" s="807"/>
      <c r="AB18" s="807"/>
      <c r="AC18" s="807"/>
      <c r="AD18" s="807"/>
      <c r="AE18" s="807"/>
      <c r="AF18" s="807"/>
      <c r="AG18" s="807"/>
      <c r="AH18" s="807"/>
      <c r="AI18" s="808"/>
      <c r="AJ18" s="11"/>
      <c r="AK18" s="39"/>
      <c r="AL18" s="39"/>
      <c r="AM18" s="39"/>
      <c r="AN18" s="39"/>
      <c r="AO18" s="39"/>
      <c r="AP18" s="39"/>
      <c r="AQ18" s="11"/>
      <c r="AR18" s="3"/>
      <c r="AT18" s="881" t="s">
        <v>37</v>
      </c>
      <c r="AU18" s="882"/>
      <c r="AV18" s="882"/>
      <c r="AW18" s="882"/>
      <c r="AX18" s="882"/>
      <c r="AY18" s="883"/>
    </row>
    <row r="19" spans="1:52" ht="14.25" thickTop="1" thickBot="1" x14ac:dyDescent="0.25">
      <c r="A19" s="4" t="s">
        <v>39</v>
      </c>
      <c r="B19" s="795">
        <v>0.35416666666666669</v>
      </c>
      <c r="C19" s="796"/>
      <c r="D19" s="797"/>
      <c r="E19" s="795">
        <v>0.38194444444444442</v>
      </c>
      <c r="F19" s="796"/>
      <c r="G19" s="797"/>
      <c r="H19" s="1026">
        <v>0.40972222222222227</v>
      </c>
      <c r="I19" s="796"/>
      <c r="J19" s="797"/>
      <c r="K19" s="795">
        <v>0.4375</v>
      </c>
      <c r="L19" s="796"/>
      <c r="M19" s="797"/>
      <c r="N19" s="795">
        <v>0.46527777777777773</v>
      </c>
      <c r="O19" s="796"/>
      <c r="P19" s="797"/>
      <c r="Q19" s="795">
        <v>0.49305555555555558</v>
      </c>
      <c r="R19" s="796"/>
      <c r="S19" s="797"/>
      <c r="T19" s="795">
        <v>0.52083333333333337</v>
      </c>
      <c r="U19" s="796"/>
      <c r="V19" s="797"/>
      <c r="W19" s="795">
        <v>4.8611111111111112E-2</v>
      </c>
      <c r="X19" s="796"/>
      <c r="Y19" s="797"/>
      <c r="Z19" s="795">
        <v>7.6388888888888895E-2</v>
      </c>
      <c r="AA19" s="796"/>
      <c r="AB19" s="797"/>
      <c r="AC19" s="795">
        <v>0.10416666666666667</v>
      </c>
      <c r="AD19" s="796"/>
      <c r="AE19" s="797"/>
      <c r="AF19" s="798" t="s">
        <v>40</v>
      </c>
      <c r="AG19" s="799"/>
      <c r="AH19" s="799"/>
      <c r="AI19" s="799"/>
      <c r="AJ19" s="800"/>
      <c r="AK19" s="800"/>
      <c r="AL19" s="800"/>
      <c r="AM19" s="800"/>
      <c r="AN19" s="800"/>
      <c r="AO19" s="800"/>
      <c r="AP19" s="800"/>
      <c r="AQ19" s="801"/>
      <c r="AT19" s="884"/>
      <c r="AU19" s="885"/>
      <c r="AV19" s="885"/>
      <c r="AW19" s="885"/>
      <c r="AX19" s="885"/>
      <c r="AY19" s="886"/>
    </row>
    <row r="20" spans="1:52" x14ac:dyDescent="0.2">
      <c r="A20" s="41" t="s">
        <v>41</v>
      </c>
      <c r="B20" s="792">
        <v>0.35416666666666669</v>
      </c>
      <c r="C20" s="793"/>
      <c r="D20" s="794"/>
      <c r="E20" s="792">
        <v>0.40625</v>
      </c>
      <c r="F20" s="793"/>
      <c r="G20" s="794"/>
      <c r="H20" s="1027">
        <v>0.4201388888888889</v>
      </c>
      <c r="I20" s="793"/>
      <c r="J20" s="794"/>
      <c r="K20" s="792">
        <v>0.47430555555555554</v>
      </c>
      <c r="L20" s="793"/>
      <c r="M20" s="794"/>
      <c r="N20" s="792"/>
      <c r="O20" s="793"/>
      <c r="P20" s="794"/>
      <c r="Q20" s="792"/>
      <c r="R20" s="793"/>
      <c r="S20" s="794"/>
      <c r="T20" s="792"/>
      <c r="U20" s="793"/>
      <c r="V20" s="794"/>
      <c r="W20" s="792"/>
      <c r="X20" s="793"/>
      <c r="Y20" s="794"/>
      <c r="Z20" s="792"/>
      <c r="AA20" s="793"/>
      <c r="AB20" s="794"/>
      <c r="AC20" s="792"/>
      <c r="AD20" s="793"/>
      <c r="AE20" s="794"/>
      <c r="AF20" s="798"/>
      <c r="AG20" s="799"/>
      <c r="AH20" s="799"/>
      <c r="AI20" s="799"/>
      <c r="AJ20" s="799"/>
      <c r="AK20" s="799"/>
      <c r="AL20" s="799"/>
      <c r="AM20" s="799"/>
      <c r="AN20" s="799"/>
      <c r="AO20" s="799"/>
      <c r="AP20" s="799"/>
      <c r="AQ20" s="802"/>
      <c r="AW20" s="4"/>
    </row>
    <row r="21" spans="1:52" x14ac:dyDescent="0.2">
      <c r="A21" s="41" t="s">
        <v>42</v>
      </c>
      <c r="B21" s="792">
        <v>0.37708333333333338</v>
      </c>
      <c r="C21" s="793"/>
      <c r="D21" s="794"/>
      <c r="E21" s="792">
        <v>0.41666666666666669</v>
      </c>
      <c r="F21" s="793"/>
      <c r="G21" s="794"/>
      <c r="H21" s="792">
        <v>0.44791666666666669</v>
      </c>
      <c r="I21" s="793"/>
      <c r="J21" s="794"/>
      <c r="K21" s="792">
        <v>0.48333333333333334</v>
      </c>
      <c r="L21" s="793"/>
      <c r="M21" s="794"/>
      <c r="N21" s="792"/>
      <c r="O21" s="793"/>
      <c r="P21" s="794"/>
      <c r="Q21" s="792"/>
      <c r="R21" s="793"/>
      <c r="S21" s="794"/>
      <c r="T21" s="792"/>
      <c r="U21" s="793"/>
      <c r="V21" s="794"/>
      <c r="W21" s="792"/>
      <c r="X21" s="793"/>
      <c r="Y21" s="794"/>
      <c r="Z21" s="792"/>
      <c r="AA21" s="793"/>
      <c r="AB21" s="794"/>
      <c r="AC21" s="792"/>
      <c r="AD21" s="793"/>
      <c r="AE21" s="794"/>
      <c r="AF21" s="798"/>
      <c r="AG21" s="799"/>
      <c r="AH21" s="799"/>
      <c r="AI21" s="799"/>
      <c r="AJ21" s="799"/>
      <c r="AK21" s="799"/>
      <c r="AL21" s="799"/>
      <c r="AM21" s="799"/>
      <c r="AN21" s="799"/>
      <c r="AO21" s="799"/>
      <c r="AP21" s="799"/>
      <c r="AQ21" s="802"/>
      <c r="AT21" s="10"/>
      <c r="AU21" s="10"/>
      <c r="AV21" s="10"/>
      <c r="AW21" s="4"/>
    </row>
    <row r="22" spans="1:52" ht="13.5" thickBot="1" x14ac:dyDescent="0.25">
      <c r="A22" s="11"/>
      <c r="B22" s="684" t="s">
        <v>43</v>
      </c>
      <c r="C22" s="685"/>
      <c r="D22" s="691"/>
      <c r="E22" s="684" t="str">
        <f>IF($AK8&gt;1,"Match 2","")</f>
        <v>Match 2</v>
      </c>
      <c r="F22" s="685"/>
      <c r="G22" s="691"/>
      <c r="H22" s="684" t="str">
        <f>IF($AK8&gt;2,"Match 3","")</f>
        <v>Match 3</v>
      </c>
      <c r="I22" s="685"/>
      <c r="J22" s="691"/>
      <c r="K22" s="684" t="str">
        <f>IF($AK8&gt;3,"Match 4","")</f>
        <v>Match 4</v>
      </c>
      <c r="L22" s="685"/>
      <c r="M22" s="691"/>
      <c r="N22" s="684" t="str">
        <f>IF($AK8&gt;4,"Match 5","")</f>
        <v>Match 5</v>
      </c>
      <c r="O22" s="685"/>
      <c r="P22" s="691"/>
      <c r="Q22" s="684" t="str">
        <f>IF($AK8&gt;5,"Match 6","")</f>
        <v>Match 6</v>
      </c>
      <c r="R22" s="685"/>
      <c r="S22" s="691"/>
      <c r="T22" s="684" t="str">
        <f>IF($AK8&gt;6,"Match 7","")</f>
        <v>Match 7</v>
      </c>
      <c r="U22" s="685"/>
      <c r="V22" s="691"/>
      <c r="W22" s="684" t="str">
        <f>IF($AK8&gt;7,"Match 8","")</f>
        <v>Match 8</v>
      </c>
      <c r="X22" s="685"/>
      <c r="Y22" s="691"/>
      <c r="Z22" s="684" t="str">
        <f>IF($AK8&gt;8,"Match 9","")</f>
        <v>Match 9</v>
      </c>
      <c r="AA22" s="685"/>
      <c r="AB22" s="691"/>
      <c r="AC22" s="684" t="str">
        <f>IF($AK8&gt;9,"Match 10","")</f>
        <v>Match 10</v>
      </c>
      <c r="AD22" s="685"/>
      <c r="AE22" s="691"/>
      <c r="AF22" s="803"/>
      <c r="AG22" s="804"/>
      <c r="AH22" s="804"/>
      <c r="AI22" s="804"/>
      <c r="AJ22" s="804"/>
      <c r="AK22" s="804"/>
      <c r="AL22" s="804"/>
      <c r="AM22" s="804"/>
      <c r="AN22" s="804"/>
      <c r="AO22" s="804"/>
      <c r="AP22" s="804"/>
      <c r="AQ22" s="805"/>
      <c r="AT22" s="34"/>
      <c r="AU22" s="35"/>
      <c r="AV22" s="35"/>
      <c r="AW22" s="4"/>
      <c r="AZ22" s="4">
        <f>SUMSQ(AZ13:AZ16)</f>
        <v>1.0830565285801468E-6</v>
      </c>
    </row>
    <row r="23" spans="1:52" ht="16.5" thickBot="1" x14ac:dyDescent="0.3">
      <c r="A23" s="11"/>
      <c r="B23" s="786" t="s">
        <v>44</v>
      </c>
      <c r="C23" s="787"/>
      <c r="D23" s="788"/>
      <c r="E23" s="786" t="s">
        <v>45</v>
      </c>
      <c r="F23" s="787"/>
      <c r="G23" s="788"/>
      <c r="H23" s="786" t="s">
        <v>46</v>
      </c>
      <c r="I23" s="787"/>
      <c r="J23" s="788"/>
      <c r="K23" s="786" t="s">
        <v>47</v>
      </c>
      <c r="L23" s="787"/>
      <c r="M23" s="788"/>
      <c r="N23" s="786" t="s">
        <v>48</v>
      </c>
      <c r="O23" s="787"/>
      <c r="P23" s="788"/>
      <c r="Q23" s="786" t="s">
        <v>46</v>
      </c>
      <c r="R23" s="787"/>
      <c r="S23" s="788"/>
      <c r="T23" s="786" t="s">
        <v>44</v>
      </c>
      <c r="U23" s="787"/>
      <c r="V23" s="788"/>
      <c r="W23" s="786" t="s">
        <v>48</v>
      </c>
      <c r="X23" s="787"/>
      <c r="Y23" s="788"/>
      <c r="Z23" s="786" t="s">
        <v>47</v>
      </c>
      <c r="AA23" s="787"/>
      <c r="AB23" s="788"/>
      <c r="AC23" s="786" t="s">
        <v>45</v>
      </c>
      <c r="AD23" s="787"/>
      <c r="AE23" s="788"/>
      <c r="AF23" s="42" t="s">
        <v>49</v>
      </c>
      <c r="AG23" s="43">
        <v>1</v>
      </c>
      <c r="AH23" s="43">
        <v>2</v>
      </c>
      <c r="AI23" s="43">
        <v>3</v>
      </c>
      <c r="AJ23" s="43">
        <v>4</v>
      </c>
      <c r="AK23" s="43">
        <v>5</v>
      </c>
      <c r="AL23" s="43">
        <v>6</v>
      </c>
      <c r="AM23" s="43">
        <v>7</v>
      </c>
      <c r="AN23" s="43">
        <v>8</v>
      </c>
      <c r="AO23" s="43">
        <v>9</v>
      </c>
      <c r="AP23" s="43">
        <v>10</v>
      </c>
      <c r="AQ23" s="44" t="s">
        <v>50</v>
      </c>
      <c r="AT23" s="34"/>
      <c r="AU23" s="187"/>
      <c r="AV23" s="167" t="s">
        <v>21</v>
      </c>
      <c r="AW23" s="35"/>
      <c r="AX23" s="35"/>
      <c r="AY23" s="35"/>
    </row>
    <row r="24" spans="1:52" ht="15.75" x14ac:dyDescent="0.25">
      <c r="A24" s="11"/>
      <c r="B24" s="45">
        <v>2</v>
      </c>
      <c r="C24" s="46" t="s">
        <v>51</v>
      </c>
      <c r="D24" s="47">
        <v>5</v>
      </c>
      <c r="E24" s="45">
        <v>1</v>
      </c>
      <c r="F24" s="46" t="str">
        <f>IF($AK8&gt;1,"v","")</f>
        <v>v</v>
      </c>
      <c r="G24" s="47">
        <v>4</v>
      </c>
      <c r="H24" s="45">
        <v>3</v>
      </c>
      <c r="I24" s="46" t="str">
        <f>IF($AK8&gt;2,"v","")</f>
        <v>v</v>
      </c>
      <c r="J24" s="47">
        <v>5</v>
      </c>
      <c r="K24" s="45">
        <v>2</v>
      </c>
      <c r="L24" s="46" t="str">
        <f>IF($AK8&gt;3,"v","")</f>
        <v>v</v>
      </c>
      <c r="M24" s="47">
        <v>4</v>
      </c>
      <c r="N24" s="45">
        <v>1</v>
      </c>
      <c r="O24" s="46" t="str">
        <f>IF($AK8&gt;4,"v","")</f>
        <v>v</v>
      </c>
      <c r="P24" s="47">
        <v>3</v>
      </c>
      <c r="Q24" s="45">
        <v>4</v>
      </c>
      <c r="R24" s="46" t="str">
        <f>IF($AK8&gt;5,"v","")</f>
        <v>v</v>
      </c>
      <c r="S24" s="47">
        <v>5</v>
      </c>
      <c r="T24" s="45">
        <v>2</v>
      </c>
      <c r="U24" s="46" t="str">
        <f>IF($AK8&gt;6,"v","")</f>
        <v>v</v>
      </c>
      <c r="V24" s="47">
        <v>3</v>
      </c>
      <c r="W24" s="45">
        <v>1</v>
      </c>
      <c r="X24" s="46" t="str">
        <f>IF($AK8&gt;7,"v","")</f>
        <v>v</v>
      </c>
      <c r="Y24" s="47">
        <v>5</v>
      </c>
      <c r="Z24" s="45">
        <v>3</v>
      </c>
      <c r="AA24" s="46" t="str">
        <f>IF($AK8&gt;8,"v","")</f>
        <v>v</v>
      </c>
      <c r="AB24" s="47">
        <v>4</v>
      </c>
      <c r="AC24" s="45">
        <v>1</v>
      </c>
      <c r="AD24" s="46" t="str">
        <f>IF($AK8&gt;9,"v","")</f>
        <v>v</v>
      </c>
      <c r="AE24" s="47">
        <v>2</v>
      </c>
      <c r="AF24" s="42" t="str">
        <f>IF($AK9&gt;0,"Team 1","")</f>
        <v>Team 1</v>
      </c>
      <c r="AG24" s="48" t="str">
        <f>IF($AK9&lt;1,"",IF($AK8&lt;1,"",IF(B24=1,B30-D30,IF(D24=1,D30-B30,""))))</f>
        <v/>
      </c>
      <c r="AH24" s="48">
        <f>IF($AK9&lt;1,"",IF($AK8&lt;2,"",IF(E24=1,E30-G30,IF(G24=1,G30-E30,""))))</f>
        <v>5</v>
      </c>
      <c r="AI24" s="48" t="str">
        <f>IF($AK9&lt;1,"",IF($AK8&lt;3,"",IF(H24=1,H30-J30,IF(J24=1,J30-H30,""))))</f>
        <v/>
      </c>
      <c r="AJ24" s="48" t="str">
        <f>IF($AK9&lt;1,"",IF($AK8&lt;4,"",IF(K24=1,K30-M30,IF(M24=1,M30-K30,""))))</f>
        <v/>
      </c>
      <c r="AK24" s="48">
        <f>IF($AK9&lt;1,"",IF($AK8&lt;5,"",IF(N24=1,N30-P30,IF(P24=1,P30-N30,""))))</f>
        <v>21</v>
      </c>
      <c r="AL24" s="48" t="str">
        <f>IF($AK9&lt;1,"",IF($AK8&lt;6,"",IF(Q24=1,Q30-S30,IF(S24=1,S30-Q30,""))))</f>
        <v/>
      </c>
      <c r="AM24" s="48" t="str">
        <f>IF($AK9&lt;1,"",IF($AK8&lt;7,"",IF(T24=1,T30-V30,IF(V24=1,V30-T30,""))))</f>
        <v/>
      </c>
      <c r="AN24" s="48">
        <f>IF($AK9&lt;1,"",IF($AK8&lt;8,"",IF(W24=1,W30-Y30,IF(Y24=1,Y30-W30,""))))</f>
        <v>12</v>
      </c>
      <c r="AO24" s="48" t="str">
        <f>IF($AK9&lt;1,"",IF($AK8&lt;9,"",IF(Z24=1,Z30-AB30,IF(AB24=1,AB30-Z30,""))))</f>
        <v/>
      </c>
      <c r="AP24" s="48">
        <f>IF($AK9&lt;1,"",IF($AK8&lt;10,"",IF(AC24=1,AC30-AE30,IF(AE24=1,AE30-AC30,""))))</f>
        <v>10</v>
      </c>
      <c r="AQ24" s="44">
        <f>SUM(AG24:AP24)</f>
        <v>48</v>
      </c>
      <c r="AT24" s="34"/>
      <c r="AU24" s="35"/>
      <c r="AV24" s="35"/>
      <c r="AW24" s="35"/>
      <c r="AX24" s="35"/>
      <c r="AY24" s="35"/>
    </row>
    <row r="25" spans="1:52" ht="15" x14ac:dyDescent="0.2">
      <c r="A25" s="4" t="s">
        <v>52</v>
      </c>
      <c r="B25" s="49">
        <v>25</v>
      </c>
      <c r="C25" s="50" t="s">
        <v>53</v>
      </c>
      <c r="D25" s="51">
        <v>18</v>
      </c>
      <c r="E25" s="49">
        <v>25</v>
      </c>
      <c r="F25" s="50" t="str">
        <f>IF($AK8&gt;1,"/","")</f>
        <v>/</v>
      </c>
      <c r="G25" s="51">
        <v>23</v>
      </c>
      <c r="H25" s="49">
        <v>13</v>
      </c>
      <c r="I25" s="50" t="str">
        <f>IF($AK8&gt;2,"/","")</f>
        <v>/</v>
      </c>
      <c r="J25" s="51">
        <v>25</v>
      </c>
      <c r="K25" s="49">
        <v>22</v>
      </c>
      <c r="L25" s="50" t="str">
        <f>IF($AK8&gt;3,"/","")</f>
        <v>/</v>
      </c>
      <c r="M25" s="51">
        <v>25</v>
      </c>
      <c r="N25" s="49">
        <v>25</v>
      </c>
      <c r="O25" s="50" t="str">
        <f>IF($AK8&gt;4,"/","")</f>
        <v>/</v>
      </c>
      <c r="P25" s="51">
        <v>15</v>
      </c>
      <c r="Q25" s="49">
        <v>25</v>
      </c>
      <c r="R25" s="50" t="str">
        <f>IF($AK8&gt;5,"/","")</f>
        <v>/</v>
      </c>
      <c r="S25" s="51">
        <v>13</v>
      </c>
      <c r="T25" s="49">
        <v>22</v>
      </c>
      <c r="U25" s="50" t="str">
        <f>IF($AK8&gt;6,"/","")</f>
        <v>/</v>
      </c>
      <c r="V25" s="51">
        <v>25</v>
      </c>
      <c r="W25" s="49">
        <v>25</v>
      </c>
      <c r="X25" s="50" t="str">
        <f>IF($AK8&gt;7,"/","")</f>
        <v>/</v>
      </c>
      <c r="Y25" s="51">
        <v>17</v>
      </c>
      <c r="Z25" s="49">
        <v>16</v>
      </c>
      <c r="AA25" s="50" t="str">
        <f>IF($AK8&gt;8,"/","")</f>
        <v>/</v>
      </c>
      <c r="AB25" s="51">
        <v>25</v>
      </c>
      <c r="AC25" s="49">
        <v>27</v>
      </c>
      <c r="AD25" s="50" t="str">
        <f>IF($AK8&gt;9,"/","")</f>
        <v>/</v>
      </c>
      <c r="AE25" s="51">
        <v>26</v>
      </c>
      <c r="AF25" s="42" t="str">
        <f>IF($AK9&gt;1,"Team 2","")</f>
        <v>Team 2</v>
      </c>
      <c r="AG25" s="48">
        <f>IF($AK9&lt;2,"",IF($AK8&lt;1,"",IF(B24=2,B30-D30,IF(D24=2,D30-B30,""))))</f>
        <v>16</v>
      </c>
      <c r="AH25" s="48" t="str">
        <f>IF($AK9&lt;2,"",IF($AK8&lt;2,"",IF(E24=2,E30-G30,IF(G24=2,G30-E30,""))))</f>
        <v/>
      </c>
      <c r="AI25" s="48" t="str">
        <f>IF($AK9&lt;2,"",IF($AK8&lt;3,"",IF(H24=2,H30-J30,IF(J24=2,J30-H30,""))))</f>
        <v/>
      </c>
      <c r="AJ25" s="48">
        <f>IF($AK9&lt;2,"",IF($AK8&lt;4,"",IF(K24=2,K30-M30,IF(M24=2,M30-K30,""))))</f>
        <v>-10</v>
      </c>
      <c r="AK25" s="48" t="str">
        <f>IF($AK9&lt;2,"",IF($AK8&lt;5,"",IF(N24=2,N30-P30,IF(P24=2,P30-N30,""))))</f>
        <v/>
      </c>
      <c r="AL25" s="48" t="str">
        <f>IF($AK9&lt;2,"",IF($AK8&lt;6,"",IF(Q24=2,Q30-S30,IF(S24=2,S30-Q30,""))))</f>
        <v/>
      </c>
      <c r="AM25" s="48">
        <f>IF($AK9&lt;2,"",IF($AK8&lt;7,"",IF(T24=2,T30-V30,IF(V24=2,V30-T30,""))))</f>
        <v>-8</v>
      </c>
      <c r="AN25" s="48" t="str">
        <f>IF($AK9&lt;2,"",IF($AK8&lt;8,"",IF(W24=2,W30-Y30,IF(Y24=2,Y30-W30,""))))</f>
        <v/>
      </c>
      <c r="AO25" s="48" t="str">
        <f>IF($AK9&lt;2,"",IF($AK8&lt;9,"",IF(Z24=2,Z30-AB30,IF(AB24=2,AB30-Z30,""))))</f>
        <v/>
      </c>
      <c r="AP25" s="48">
        <f>IF($AK9&lt;2,"",IF($AK8&lt;10,"",IF(AC24=2,AC30-AE30,IF(AE24=2,AE30-AC30,""))))</f>
        <v>-10</v>
      </c>
      <c r="AQ25" s="44">
        <f>SUM(AG25:AP25)</f>
        <v>-12</v>
      </c>
      <c r="AT25" s="10"/>
      <c r="AU25" s="10"/>
      <c r="AV25" s="10"/>
      <c r="AW25" s="4"/>
    </row>
    <row r="26" spans="1:52" ht="15" x14ac:dyDescent="0.2">
      <c r="A26" s="3" t="str">
        <f>IF($AK7&gt;1,"Game 2","")</f>
        <v>Game 2</v>
      </c>
      <c r="B26" s="49">
        <v>25</v>
      </c>
      <c r="C26" s="50" t="s">
        <v>53</v>
      </c>
      <c r="D26" s="51">
        <v>16</v>
      </c>
      <c r="E26" s="49">
        <v>25</v>
      </c>
      <c r="F26" s="50" t="str">
        <f>IF($AK8&gt;1,IF($AK7&gt;1,"/",""),"")</f>
        <v>/</v>
      </c>
      <c r="G26" s="51">
        <v>22</v>
      </c>
      <c r="H26" s="49">
        <v>27</v>
      </c>
      <c r="I26" s="50" t="str">
        <f>IF($AK8&gt;2,IF($AK7&gt;1,"/",""),"")</f>
        <v>/</v>
      </c>
      <c r="J26" s="51">
        <v>25</v>
      </c>
      <c r="K26" s="49">
        <v>18</v>
      </c>
      <c r="L26" s="50" t="str">
        <f>IF($AK8&gt;3,IF($AK7&gt;1,"/",""),"")</f>
        <v>/</v>
      </c>
      <c r="M26" s="51">
        <v>25</v>
      </c>
      <c r="N26" s="49">
        <v>25</v>
      </c>
      <c r="O26" s="50" t="str">
        <f>IF($AK8&gt;4,IF($AK7&gt;1,"/",""),"")</f>
        <v>/</v>
      </c>
      <c r="P26" s="51">
        <v>14</v>
      </c>
      <c r="Q26" s="49">
        <v>15</v>
      </c>
      <c r="R26" s="50" t="str">
        <f>IF($AK8&gt;5,IF($AK7&gt;1,"/",""),"")</f>
        <v>/</v>
      </c>
      <c r="S26" s="51">
        <v>25</v>
      </c>
      <c r="T26" s="49">
        <v>20</v>
      </c>
      <c r="U26" s="50" t="str">
        <f>IF($AK8&gt;6,IF($AK7&gt;1,"/",""),"")</f>
        <v>/</v>
      </c>
      <c r="V26" s="51">
        <v>25</v>
      </c>
      <c r="W26" s="49">
        <v>25</v>
      </c>
      <c r="X26" s="50" t="str">
        <f>IF($AK8&gt;7,IF($AK7&gt;1,"/",""),"")</f>
        <v>/</v>
      </c>
      <c r="Y26" s="51">
        <v>21</v>
      </c>
      <c r="Z26" s="49">
        <v>14</v>
      </c>
      <c r="AA26" s="50" t="str">
        <f>IF($AK8&gt;8,IF($AK7&gt;1,"/",""),"")</f>
        <v>/</v>
      </c>
      <c r="AB26" s="51">
        <v>25</v>
      </c>
      <c r="AC26" s="49">
        <v>25</v>
      </c>
      <c r="AD26" s="50" t="str">
        <f>IF($AK8&gt;9,IF($AK7&gt;1,"/",""),"")</f>
        <v>/</v>
      </c>
      <c r="AE26" s="51">
        <v>16</v>
      </c>
      <c r="AF26" s="42" t="str">
        <f>IF($AK9&gt;2,"Team 3","")</f>
        <v>Team 3</v>
      </c>
      <c r="AG26" s="48" t="str">
        <f>IF($AK9&lt;3,"",IF($AK8&lt;1,"",IF(B24=3,B30-D30,IF(D24=3,D30-B30,""))))</f>
        <v/>
      </c>
      <c r="AH26" s="48" t="str">
        <f>IF($AK9&lt;3,"",IF($AK8&lt;2,"",IF(E24=3,E30-G30,IF(G24=3,G30-E30,""))))</f>
        <v/>
      </c>
      <c r="AI26" s="48">
        <f>IF($AK9&lt;3,"",IF($AK8&lt;3,"",IF(H24=3,H30-J30,IF(J24=3,J30-H30,""))))</f>
        <v>-10</v>
      </c>
      <c r="AJ26" s="48" t="str">
        <f>IF($AK9&lt;3,"",IF($AK8&lt;4,"",IF(K24=3,K30-M30,IF(M24=3,M30-K30,""))))</f>
        <v/>
      </c>
      <c r="AK26" s="48">
        <f>IF($AK9&lt;3,"",IF($AK8&lt;5,"",IF(N24=3,N30-P30,IF(P24=3,P30-N30,""))))</f>
        <v>-21</v>
      </c>
      <c r="AL26" s="48" t="str">
        <f>IF($AK9&lt;3,"",IF($AK8&lt;6,"",IF(Q24=3,Q30-S30,IF(S24=3,S30-Q30,""))))</f>
        <v/>
      </c>
      <c r="AM26" s="48">
        <f>IF($AK9&lt;3,"",IF($AK8&lt;7,"",IF(T24=3,T30-V30,IF(V24=3,V30-T30,""))))</f>
        <v>8</v>
      </c>
      <c r="AN26" s="48" t="str">
        <f>IF($AK9&lt;3,"",IF($AK8&lt;8,"",IF(W24=3,W30-Y30,IF(Y24=3,Y30-W30,""))))</f>
        <v/>
      </c>
      <c r="AO26" s="48">
        <f>IF($AK9&lt;3,"",IF($AK8&lt;9,"",IF(Z24=3,Z30-AB30,IF(AB24=3,AB30-Z30,""))))</f>
        <v>-20</v>
      </c>
      <c r="AP26" s="48" t="str">
        <f>IF($AK9&lt;3,"",IF($AK8&lt;9,"",IF(AC24=3,AC30-AE30,IF(AE24=3,AE30-AC30,""))))</f>
        <v/>
      </c>
      <c r="AQ26" s="44">
        <f>SUM(AG26:AP26)</f>
        <v>-43</v>
      </c>
      <c r="AT26" s="10"/>
      <c r="AU26" s="10"/>
      <c r="AV26" s="10"/>
      <c r="AW26" s="4"/>
    </row>
    <row r="27" spans="1:52" ht="15" x14ac:dyDescent="0.2">
      <c r="A27" s="3" t="str">
        <f>IF($AK7&gt;2,"Game 3","")</f>
        <v/>
      </c>
      <c r="B27" s="49"/>
      <c r="C27" s="50" t="s">
        <v>53</v>
      </c>
      <c r="D27" s="51"/>
      <c r="E27" s="49"/>
      <c r="F27" s="50" t="str">
        <f>IF($AK8&gt;1,IF($AK7&gt;2,"/",""),"")</f>
        <v/>
      </c>
      <c r="G27" s="51"/>
      <c r="H27" s="49"/>
      <c r="I27" s="50" t="str">
        <f>IF($AK8&gt;2,IF($AK7&gt;2,"/",""),"")</f>
        <v/>
      </c>
      <c r="J27" s="51"/>
      <c r="K27" s="49"/>
      <c r="L27" s="50" t="str">
        <f>IF($AK8&gt;3,IF($AK7&gt;2,"/",""),"")</f>
        <v/>
      </c>
      <c r="M27" s="51"/>
      <c r="N27" s="49"/>
      <c r="O27" s="50" t="str">
        <f>IF($AK8&gt;4,IF($AK7&gt;2,"/",""),"")</f>
        <v/>
      </c>
      <c r="P27" s="51"/>
      <c r="Q27" s="49"/>
      <c r="R27" s="50" t="str">
        <f>IF($AK8&gt;5,IF($AK7&gt;2,"/",""),"")</f>
        <v/>
      </c>
      <c r="S27" s="51"/>
      <c r="T27" s="49"/>
      <c r="U27" s="50" t="str">
        <f>IF($AK8&gt;6,IF($AK7&gt;2,"/",""),"")</f>
        <v/>
      </c>
      <c r="V27" s="51"/>
      <c r="W27" s="49"/>
      <c r="X27" s="50" t="str">
        <f>IF($AK8&gt;7,IF($AK7&gt;2,"/",""),"")</f>
        <v/>
      </c>
      <c r="Y27" s="51"/>
      <c r="Z27" s="49"/>
      <c r="AA27" s="50" t="str">
        <f>IF($AK8&gt;8,IF($AK7&gt;2,"/",""),"")</f>
        <v/>
      </c>
      <c r="AB27" s="51"/>
      <c r="AC27" s="49"/>
      <c r="AD27" s="50" t="str">
        <f>IF($AK8&gt;9,IF($AK7&gt;2,"/",""),"")</f>
        <v/>
      </c>
      <c r="AE27" s="51"/>
      <c r="AF27" s="42" t="str">
        <f>IF($AK9&gt;3,"Team 4","")</f>
        <v>Team 4</v>
      </c>
      <c r="AG27" s="48" t="str">
        <f>IF($AK9&lt;4,"",IF($AK8&lt;1,"",IF(B24=4,B30-D30,IF(D24=4,D30-B30,""))))</f>
        <v/>
      </c>
      <c r="AH27" s="48">
        <f>IF($AK9&lt;4,"",IF($AK8&lt;2,"",IF(E24=4,E30-G30,IF(G24=4,G30-E30,""))))</f>
        <v>-5</v>
      </c>
      <c r="AI27" s="48" t="str">
        <f>IF($AK9&lt;4,"",IF($AK8&lt;3,"",IF(H24=4,H30-J30,IF(J24=4,J30-H30,""))))</f>
        <v/>
      </c>
      <c r="AJ27" s="48">
        <f>IF($AK9&lt;4,"",IF($AK8&lt;4,"",IF(K24=4,K30-M30,IF(M24=4,M30-K30,""))))</f>
        <v>10</v>
      </c>
      <c r="AK27" s="48" t="str">
        <f>IF($AK9&lt;4,"",IF($AK8&lt;5,"",IF(N24=4,N30-P30,IF(P24=4,P30-N30,""))))</f>
        <v/>
      </c>
      <c r="AL27" s="48">
        <f>IF($AK9&lt;4,"",IF($AK8&lt;6,"",IF(Q24=4,Q30-S30,IF(S24=4,S30-Q30,""))))</f>
        <v>2</v>
      </c>
      <c r="AM27" s="48" t="str">
        <f>IF($AK9&lt;4,"",IF($AK8&lt;7,"",IF(T24=4,T30-V30,IF(V24=4,V30-T30,""))))</f>
        <v/>
      </c>
      <c r="AN27" s="48" t="str">
        <f>IF($AK9&lt;4,"",IF($AK8&lt;8,"",IF(W24=4,W30-Y30,IF(Y24=4,Y30-W30,""))))</f>
        <v/>
      </c>
      <c r="AO27" s="48">
        <f>IF($AK9&lt;4,"",IF($AK8&lt;9,"",IF(Z24=4,Z30-AB30,IF(AB24=4,AB30-Z30,""))))</f>
        <v>20</v>
      </c>
      <c r="AP27" s="48" t="str">
        <f>IF($AK9&lt;4,"",IF($AK8&lt;10,"",IF(AC24=4,AC30-AE30,IF(AE24=4,AE30-AC30,""))))</f>
        <v/>
      </c>
      <c r="AQ27" s="44">
        <f>SUM(AG27:AP27)</f>
        <v>27</v>
      </c>
      <c r="AT27" s="10"/>
      <c r="AU27" s="10"/>
      <c r="AV27" s="10"/>
      <c r="AW27" s="4"/>
    </row>
    <row r="28" spans="1:52" ht="15" x14ac:dyDescent="0.2">
      <c r="A28" s="3" t="str">
        <f>IF($AK7&gt;3,"Game 4","")</f>
        <v/>
      </c>
      <c r="B28" s="49"/>
      <c r="C28" s="50" t="s">
        <v>53</v>
      </c>
      <c r="D28" s="51"/>
      <c r="E28" s="49"/>
      <c r="F28" s="50" t="str">
        <f>IF($AK8&gt;1,IF($AK7&gt;3,"/",""),"")</f>
        <v/>
      </c>
      <c r="G28" s="51"/>
      <c r="H28" s="49"/>
      <c r="I28" s="50" t="str">
        <f>IF($AK8&gt;2,IF($AK7&gt;3,"/",""),"")</f>
        <v/>
      </c>
      <c r="J28" s="51"/>
      <c r="K28" s="49"/>
      <c r="L28" s="50" t="str">
        <f>IF($AK8&gt;3,IF($AK7&gt;3,"/",""),"")</f>
        <v/>
      </c>
      <c r="M28" s="51"/>
      <c r="N28" s="49"/>
      <c r="O28" s="50" t="str">
        <f>IF($AK8&gt;4,IF($AK7&gt;3,"/",""),"")</f>
        <v/>
      </c>
      <c r="P28" s="51"/>
      <c r="Q28" s="49"/>
      <c r="R28" s="50" t="str">
        <f>IF($AK8&gt;5,IF($AK7&gt;3,"/",""),"")</f>
        <v/>
      </c>
      <c r="S28" s="51"/>
      <c r="T28" s="49"/>
      <c r="U28" s="50" t="str">
        <f>IF($AK8&gt;6,IF($AK7&gt;3,"/",""),"")</f>
        <v/>
      </c>
      <c r="V28" s="51"/>
      <c r="W28" s="49"/>
      <c r="X28" s="50" t="str">
        <f>IF($AK8&gt;7,IF($AK7&gt;3,"/",""),"")</f>
        <v/>
      </c>
      <c r="Y28" s="51"/>
      <c r="Z28" s="49"/>
      <c r="AA28" s="50" t="str">
        <f>IF($AK8&gt;8,IF($AK7&gt;3,"/",""),"")</f>
        <v/>
      </c>
      <c r="AB28" s="51"/>
      <c r="AC28" s="49"/>
      <c r="AD28" s="50" t="str">
        <f>IF($AK8&gt;9,IF($AK7&gt;3,"/",""),"")</f>
        <v/>
      </c>
      <c r="AE28" s="51"/>
      <c r="AF28" s="42" t="str">
        <f>IF($AK9&gt;4,"Team 5","")</f>
        <v>Team 5</v>
      </c>
      <c r="AG28" s="52">
        <f>IF($AK9&lt;5,"",IF($AK8&lt;1,"",IF(B24=5,B30-D30,IF(D24=5,D30-B30,""))))</f>
        <v>-16</v>
      </c>
      <c r="AH28" s="48" t="str">
        <f>IF($AK9&lt;5,"",IF($AK8&lt;2,"",IF(E24=5,E30-G30,IF(G24=5,G30-E30,""))))</f>
        <v/>
      </c>
      <c r="AI28" s="48">
        <f>IF($AK9&lt;5,"",IF($AK8&lt;3,"",IF(H24=5,H30-J30,IF(J24=5,J30-H30,""))))</f>
        <v>10</v>
      </c>
      <c r="AJ28" s="48" t="str">
        <f>IF($AK9&lt;5,"",IF($AK8&lt;4,"",IF(K24=5,K30-M30,IF(M24=5,M30-K30,""))))</f>
        <v/>
      </c>
      <c r="AK28" s="48" t="str">
        <f>IF($AK9&lt;5,"",IF($AK8&lt;5,"",IF(N24=5,N30-P30,IF(P24=5,P30-N30,""))))</f>
        <v/>
      </c>
      <c r="AL28" s="48">
        <f>IF($AK9&lt;5,"",IF($AK8&lt;6,"",IF(Q24=5,Q30-S30,IF(S24=5,S30-Q30,""))))</f>
        <v>-2</v>
      </c>
      <c r="AM28" s="48" t="str">
        <f>IF($AK9&lt;5,"",IF($AK8&lt;7,"",IF(T24=5,T30-V30,IF(V24=5,V30-T30,""))))</f>
        <v/>
      </c>
      <c r="AN28" s="48">
        <f>IF($AK9&lt;5,"",IF($AK8&lt;8,"",IF(W24=5,W30-Y30,IF(Y24=5,Y30-W30,""))))</f>
        <v>-12</v>
      </c>
      <c r="AO28" s="48" t="str">
        <f>IF($AK9&lt;5,"",IF($AK8&lt;9,"",IF(Z24=5,Z30-AB30,IF(AB24=5,AB30-Z30,""))))</f>
        <v/>
      </c>
      <c r="AP28" s="48" t="str">
        <f>IF($AK9&lt;5,"",IF($AK8&lt;10,"",IF(AC24=5,AC30-AE30,IF(AE24=5,AE30-AC30,""))))</f>
        <v/>
      </c>
      <c r="AQ28" s="44">
        <f>SUM(AG28:AP28)</f>
        <v>-20</v>
      </c>
      <c r="AW28" s="10"/>
      <c r="AX28" s="10"/>
      <c r="AY28" s="10"/>
    </row>
    <row r="29" spans="1:52" ht="15" x14ac:dyDescent="0.2">
      <c r="A29" s="3" t="str">
        <f>IF($AK7&gt;4,"Game 5","")</f>
        <v/>
      </c>
      <c r="B29" s="49"/>
      <c r="C29" s="50" t="s">
        <v>53</v>
      </c>
      <c r="D29" s="51"/>
      <c r="E29" s="49"/>
      <c r="F29" s="50" t="str">
        <f>IF($AK8&gt;1,IF($AK7&gt;4,"/",""),"")</f>
        <v/>
      </c>
      <c r="G29" s="51"/>
      <c r="H29" s="49"/>
      <c r="I29" s="50" t="str">
        <f>IF($AK8&gt;2,IF($AK7&gt;4,"/",""),"")</f>
        <v/>
      </c>
      <c r="J29" s="51"/>
      <c r="K29" s="49"/>
      <c r="L29" s="50" t="str">
        <f>IF($AK8&gt;3,IF($AK7&gt;4,"/",""),"")</f>
        <v/>
      </c>
      <c r="M29" s="51"/>
      <c r="N29" s="49"/>
      <c r="O29" s="50" t="str">
        <f>IF($AK8&gt;4,IF($AK7&gt;4,"/",""),"")</f>
        <v/>
      </c>
      <c r="P29" s="51"/>
      <c r="Q29" s="49"/>
      <c r="R29" s="50" t="str">
        <f>IF($AK8&gt;5,IF($AK7&gt;4,"/",""),"")</f>
        <v/>
      </c>
      <c r="S29" s="51"/>
      <c r="T29" s="49"/>
      <c r="U29" s="50" t="str">
        <f>IF($AK8&gt;6,IF($AK7&gt;4,"/",""),"")</f>
        <v/>
      </c>
      <c r="V29" s="51"/>
      <c r="W29" s="49"/>
      <c r="X29" s="50" t="str">
        <f>IF($AK8&gt;7,IF($AK7&gt;4,"/",""),"")</f>
        <v/>
      </c>
      <c r="Y29" s="51"/>
      <c r="Z29" s="49"/>
      <c r="AA29" s="50" t="str">
        <f>IF($AK8&gt;8,IF($AK7&gt;4,"/",""),"")</f>
        <v/>
      </c>
      <c r="AB29" s="51"/>
      <c r="AC29" s="49"/>
      <c r="AD29" s="50" t="str">
        <f>IF($AK8&gt;9,IF($AK7&gt;4,"/",""),"")</f>
        <v/>
      </c>
      <c r="AE29" s="5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W29" s="10"/>
      <c r="AX29" s="10"/>
      <c r="AY29" s="10"/>
    </row>
    <row r="30" spans="1:52" hidden="1" x14ac:dyDescent="0.2">
      <c r="A30" s="53"/>
      <c r="B30" s="53">
        <f>IF($AK7=5,SUM(B25:B29),IF($AK7=4,SUM(B25:B28),IF($AK7=3,SUM(B25:B27),IF($AK7=2,SUM(B25:B26),B25))))</f>
        <v>50</v>
      </c>
      <c r="C30" s="53"/>
      <c r="D30" s="53">
        <f>IF($AK7=5,SUM(D25:D29),IF($AK7=4,SUM(D25:D28),IF($AK7=3,SUM(D25:D27),IF($AK7=2,SUM(D25:D26),D25))))</f>
        <v>34</v>
      </c>
      <c r="E30" s="53">
        <f>IF($AK7=5,SUM(E25:E29),IF($AK7=4,SUM(E25:E28),IF($AK7=3,SUM(E25:E27),IF($AK7=2,SUM(E25:E26),E25))))</f>
        <v>50</v>
      </c>
      <c r="F30" s="53"/>
      <c r="G30" s="53">
        <f>IF($AK7=5,SUM(G25:G29),IF($AK7=4,SUM(G25:G28),IF($AK7=3,SUM(G25:G27),IF($AK7=2,SUM(G25:G26),G25))))</f>
        <v>45</v>
      </c>
      <c r="H30" s="53">
        <f>IF($AK7=5,SUM(H25:H29),IF($AK7=4,SUM(H25:H28),IF($AK7=3,SUM(H25:H27),IF($AK7=2,SUM(H25:H26),H25))))</f>
        <v>40</v>
      </c>
      <c r="I30" s="53"/>
      <c r="J30" s="53">
        <f>IF($AK7=5,SUM(J25:J29),IF($AK7=4,SUM(J25:J28),IF($AK7=3,SUM(J25:J27),IF($AK7=2,SUM(J25:J26),J25))))</f>
        <v>50</v>
      </c>
      <c r="K30" s="53">
        <f>IF($AK7=5,SUM(K25:K29),IF($AK7=4,SUM(K25:K28),IF($AK7=3,SUM(K25:K27),IF($AK7=2,SUM(K25:K26),K25))))</f>
        <v>40</v>
      </c>
      <c r="L30" s="53"/>
      <c r="M30" s="53">
        <f>IF($AK7=5,SUM(M25:M29),IF($AK7=4,SUM(M25:M28),IF($AK7=3,SUM(M25:M27),IF($AK7=2,SUM(M25:M26),M25))))</f>
        <v>50</v>
      </c>
      <c r="N30" s="53">
        <f>IF($AK7=5,SUM(N25:N29),IF($AK7=4,SUM(N25:N28),IF($AK7=3,SUM(N25:N27),IF($AK7=2,SUM(N25:N26),N25))))</f>
        <v>50</v>
      </c>
      <c r="O30" s="53"/>
      <c r="P30" s="53">
        <f>IF($AK7=5,SUM(P25:P29),IF($AK7=4,SUM(P25:P28),IF($AK7=3,SUM(P25:P27),IF($AK7=2,SUM(P25:P26),P25))))</f>
        <v>29</v>
      </c>
      <c r="Q30" s="53">
        <f>IF($AK7=5,SUM(Q25:Q29),IF($AK7=4,SUM(Q25:Q28),IF($AK7=3,SUM(Q25:Q27),IF($AK7=2,SUM(Q25:Q26),Q25))))</f>
        <v>40</v>
      </c>
      <c r="R30" s="53"/>
      <c r="S30" s="53">
        <f>IF($AK7=5,SUM(S25:S29),IF($AK7=4,SUM(S25:S28),IF($AK7=3,SUM(S25:S27),IF($AK7=2,SUM(S25:S26),S25))))</f>
        <v>38</v>
      </c>
      <c r="T30" s="53">
        <f>IF($AK7=5,SUM(T25:T29),IF($AK7=4,SUM(T25:T28),IF($AK7=3,SUM(T25:T27),IF($AK7=2,SUM(T25:T26),T25))))</f>
        <v>42</v>
      </c>
      <c r="U30" s="53"/>
      <c r="V30" s="53">
        <f>IF($AK7=5,SUM(V25:V29),IF($AK7=4,SUM(V25:V28),IF($AK7=3,SUM(V25:V27),IF($AK7=2,SUM(V25:V26),V25))))</f>
        <v>50</v>
      </c>
      <c r="W30" s="53">
        <f>IF($AK7=5,SUM(W25:W29),IF($AK7=4,SUM(W25:W28),IF($AK7=3,SUM(W25:W27),IF($AK7=2,SUM(W25:W26),W25))))</f>
        <v>50</v>
      </c>
      <c r="X30" s="53"/>
      <c r="Y30" s="53">
        <f>IF($AK7=5,SUM(Y25:Y29),IF($AK7=4,SUM(Y25:Y28),IF($AK7=3,SUM(Y25:Y27),IF($AK7=2,SUM(Y25:Y26),Y25))))</f>
        <v>38</v>
      </c>
      <c r="Z30" s="53">
        <f>IF($AK7=5,SUM(Z25:Z29),IF($AK7=4,SUM(Z25:Z28),IF($AK7=3,SUM(Z25:Z27),IF($AK7=2,SUM(Z25:Z26),Z25))))</f>
        <v>30</v>
      </c>
      <c r="AA30" s="53"/>
      <c r="AB30" s="53">
        <f>IF($AK7=5,SUM(AB25:AB29),IF($AK7=4,SUM(AB25:AB28),IF($AK7=3,SUM(AB25:AB27),IF($AK7=2,SUM(AB25:AB26),AB25))))</f>
        <v>50</v>
      </c>
      <c r="AC30" s="53">
        <f>IF($AK7=5,SUM(AC25:AC29),IF($AK7=4,SUM(AC25:AC28),IF($AK7=3,SUM(AC25:AC27),IF($AK7=2,SUM(AC25:AC26),AC25))))</f>
        <v>52</v>
      </c>
      <c r="AD30" s="53"/>
      <c r="AE30" s="53">
        <f>IF($AK7=5,SUM(AE25:AE29),IF($AK7=4,SUM(AE25:AE28),IF($AK7=3,SUM(AE25:AE27),IF($AK7=2,SUM(AE25:AE26),AE25))))</f>
        <v>42</v>
      </c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</row>
    <row r="31" spans="1:52" s="54" customFormat="1" ht="12.75" hidden="1" customHeight="1" x14ac:dyDescent="0.2">
      <c r="A31" s="54" t="s">
        <v>54</v>
      </c>
      <c r="B31" s="55">
        <f>IF(AND(B25&gt;D25,$AK8&gt;0,ISNUMBER(B25),ISNUMBER(D25)),1,0)</f>
        <v>1</v>
      </c>
      <c r="C31" s="55"/>
      <c r="D31" s="56">
        <f>IF(AND(D25&gt;B25,$AK8&gt;0,ISNUMBER(B25),ISNUMBER(D25)),1,0)</f>
        <v>0</v>
      </c>
      <c r="E31" s="55">
        <f>IF(AND(E25&gt;G25,$AK8&gt;1,ISNUMBER(E25),ISNUMBER(G25)),1,0)</f>
        <v>1</v>
      </c>
      <c r="F31" s="55"/>
      <c r="G31" s="56">
        <f>IF(AND(G25&gt;E25,$AK8&gt;1,ISNUMBER(E25),ISNUMBER(G25)),1,0)</f>
        <v>0</v>
      </c>
      <c r="H31" s="55">
        <f>IF(AND(H25&gt;J25,$AK8&gt;2,ISNUMBER(H25),ISNUMBER(J25)),1,0)</f>
        <v>0</v>
      </c>
      <c r="I31" s="55"/>
      <c r="J31" s="56">
        <f>IF(AND(J25&gt;H25,$AK8&gt;2,ISNUMBER(H25),ISNUMBER(J25)),1,0)</f>
        <v>1</v>
      </c>
      <c r="K31" s="55">
        <f>IF(AND(K25&gt;M25,$AK8&gt;3,ISNUMBER(K25),ISNUMBER(M25)),1,0)</f>
        <v>0</v>
      </c>
      <c r="L31" s="55"/>
      <c r="M31" s="56">
        <f>IF(AND(M25&gt;K25,$AK8&gt;3,ISNUMBER(K25),ISNUMBER(M25)),1,0)</f>
        <v>1</v>
      </c>
      <c r="N31" s="55">
        <f>IF(AND(N25&gt;P25,$AK8&gt;4,ISNUMBER(N25),ISNUMBER(P25)),1,0)</f>
        <v>1</v>
      </c>
      <c r="O31" s="55"/>
      <c r="P31" s="56">
        <f>IF(AND(P25&gt;N25,$AK8&gt;4,ISNUMBER(N25),ISNUMBER(P25)),1,0)</f>
        <v>0</v>
      </c>
      <c r="Q31" s="55">
        <f>IF(AND(Q25&gt;S25,$AK8&gt;5,ISNUMBER(Q25),ISNUMBER(S25)),1,0)</f>
        <v>1</v>
      </c>
      <c r="R31" s="55"/>
      <c r="S31" s="56">
        <f>IF(AND(S25&gt;Q25,$AK8&gt;5,ISNUMBER(Q25),ISNUMBER(S25)),1,0)</f>
        <v>0</v>
      </c>
      <c r="T31" s="55">
        <f>IF(AND(T25&gt;V25,$AK8&gt;6,ISNUMBER(T25),ISNUMBER(V25)),1,0)</f>
        <v>0</v>
      </c>
      <c r="U31" s="55"/>
      <c r="V31" s="56">
        <f>IF(AND(V25&gt;T25,$AK8&gt;6,ISNUMBER(T25),ISNUMBER(V25)),1,0)</f>
        <v>1</v>
      </c>
      <c r="W31" s="55">
        <f>IF(AND(W25&gt;Y25,$AK8&gt;7,ISNUMBER(W25),ISNUMBER(Y25)),1,0)</f>
        <v>1</v>
      </c>
      <c r="X31" s="55"/>
      <c r="Y31" s="56">
        <f>IF(AND(Y25&gt;W25,$AK8&gt;7,ISNUMBER(W25),ISNUMBER(Y25)),1,0)</f>
        <v>0</v>
      </c>
      <c r="Z31" s="55">
        <f>IF(AND(Z25&gt;AB25,$AK8&gt;8,ISNUMBER(Z25),ISNUMBER(AB25)),1,0)</f>
        <v>0</v>
      </c>
      <c r="AA31" s="55"/>
      <c r="AB31" s="56">
        <f>IF(AND(AB25&gt;Z25,$AK8&gt;8,ISNUMBER(Z25),ISNUMBER(AB25)),1,0)</f>
        <v>1</v>
      </c>
      <c r="AC31" s="55">
        <f>IF(AND(AC25&gt;AE25,$AK8&gt;9,ISNUMBER(AC25),ISNUMBER(AE25)),1,0)</f>
        <v>1</v>
      </c>
      <c r="AD31" s="55"/>
      <c r="AE31" s="56">
        <f>IF(AND(AE25&gt;AC25,$AK8&gt;9,ISNUMBER(AC25),ISNUMBER(AE25)),1,0)</f>
        <v>0</v>
      </c>
      <c r="AW31" s="146"/>
    </row>
    <row r="32" spans="1:52" s="54" customFormat="1" ht="12.75" hidden="1" customHeight="1" x14ac:dyDescent="0.2">
      <c r="A32" s="54" t="s">
        <v>55</v>
      </c>
      <c r="B32" s="55">
        <f>IF(AND(B26&gt;D26,$AK8&gt;0,$AK7&gt;1,ISNUMBER(B26),ISNUMBER(D26)),1,0)</f>
        <v>1</v>
      </c>
      <c r="C32" s="55"/>
      <c r="D32" s="56">
        <f>IF(AND(D26&gt;B26,$AK8&gt;0,$AK7&gt;1,ISNUMBER(B26),ISNUMBER(D26)),1,0)</f>
        <v>0</v>
      </c>
      <c r="E32" s="55">
        <f>IF(AND(E26&gt;G26,$AK8&gt;1,$AK7&gt;1,ISNUMBER(E26),ISNUMBER(G26)),1,0)</f>
        <v>1</v>
      </c>
      <c r="F32" s="55"/>
      <c r="G32" s="56">
        <f>IF(AND(G26&gt;E26,$AK8&gt;1,$AK7&gt;1,ISNUMBER(E26),ISNUMBER(G26)),1,0)</f>
        <v>0</v>
      </c>
      <c r="H32" s="55">
        <f>IF(AND(H26&gt;J26,$AK8&gt;2,$AK7&gt;1,ISNUMBER(H26),ISNUMBER(J26)),1,0)</f>
        <v>1</v>
      </c>
      <c r="I32" s="55"/>
      <c r="J32" s="56">
        <f>IF(AND(J26&gt;H26,$AK8&gt;2,$AK7&gt;1,ISNUMBER(H26),ISNUMBER(J26)),1,0)</f>
        <v>0</v>
      </c>
      <c r="K32" s="55">
        <f>IF(AND(K26&gt;M26,$AK8&gt;3,$AK7&gt;1,ISNUMBER(K26),ISNUMBER(M26)),1,0)</f>
        <v>0</v>
      </c>
      <c r="L32" s="55"/>
      <c r="M32" s="56">
        <f>IF(AND(M26&gt;K26,$AK8&gt;3,$AK7&gt;1,ISNUMBER(K26),ISNUMBER(M26)),1,0)</f>
        <v>1</v>
      </c>
      <c r="N32" s="55">
        <f>IF(AND(N26&gt;P26,$AK8&gt;4,$AK7&gt;1,ISNUMBER(N26),ISNUMBER(P26)),1,0)</f>
        <v>1</v>
      </c>
      <c r="O32" s="55"/>
      <c r="P32" s="56">
        <f>IF(AND(P26&gt;N26,$AK8&gt;4,$AK7&gt;1,ISNUMBER(N26),ISNUMBER(P26)),1,0)</f>
        <v>0</v>
      </c>
      <c r="Q32" s="55">
        <f>IF(AND(Q26&gt;S26,$AK8&gt;5,$AK7&gt;1,ISNUMBER(Q26),ISNUMBER(S26)),1,0)</f>
        <v>0</v>
      </c>
      <c r="R32" s="55"/>
      <c r="S32" s="56">
        <f>IF(AND(S26&gt;Q26,$AK8&gt;5,$AK7&gt;1,ISNUMBER(Q26),ISNUMBER(S26)),1,0)</f>
        <v>1</v>
      </c>
      <c r="T32" s="55">
        <f>IF(AND(T26&gt;V26,$AK8&gt;6,$AK7&gt;1,ISNUMBER(T26),ISNUMBER(V26)),1,0)</f>
        <v>0</v>
      </c>
      <c r="U32" s="55"/>
      <c r="V32" s="56">
        <f>IF(AND(V26&gt;T26,$AK8&gt;6,$AK7&gt;1,ISNUMBER(T26),ISNUMBER(V26)),1,0)</f>
        <v>1</v>
      </c>
      <c r="W32" s="55">
        <f>IF(AND(W26&gt;Y26,$AK8&gt;7,$AK7&gt;1,ISNUMBER(W26),ISNUMBER(Y26)),1,0)</f>
        <v>1</v>
      </c>
      <c r="X32" s="55"/>
      <c r="Y32" s="56">
        <f>IF(AND(Y26&gt;W26,$AK8&gt;7,$AK7&gt;1,ISNUMBER(W26),ISNUMBER(Y26)),1,0)</f>
        <v>0</v>
      </c>
      <c r="Z32" s="55">
        <f>IF(AND(Z26&gt;AB26,$AK8&gt;8,$AK7&gt;1,ISNUMBER(Z26),ISNUMBER(AB26)),1,0)</f>
        <v>0</v>
      </c>
      <c r="AA32" s="55"/>
      <c r="AB32" s="56">
        <f>IF(AND(AB26&gt;Z26,$AK8&gt;8,$AK7&gt;1,ISNUMBER(Z26),ISNUMBER(AB26)),1,0)</f>
        <v>1</v>
      </c>
      <c r="AC32" s="55">
        <f>IF(AND(AC26&gt;AE26,$AK8&gt;9,$AK7&gt;1,ISNUMBER(AC26),ISNUMBER(AE26)),1,0)</f>
        <v>1</v>
      </c>
      <c r="AD32" s="55"/>
      <c r="AE32" s="56">
        <f>IF(AND(AE26&gt;AC26,$AK8&gt;9,$AK7&gt;1,ISNUMBER(AC26),ISNUMBER(AE26)),1,0)</f>
        <v>0</v>
      </c>
      <c r="AW32" s="146"/>
    </row>
    <row r="33" spans="1:49" s="54" customFormat="1" ht="12.75" hidden="1" customHeight="1" x14ac:dyDescent="0.2">
      <c r="A33" s="54" t="s">
        <v>56</v>
      </c>
      <c r="B33" s="55">
        <f>IF(AND(B27&gt;D27,$AK8&gt;0,$AK7&gt;2,ISNUMBER(B27),ISNUMBER(D27)),1,0)</f>
        <v>0</v>
      </c>
      <c r="C33" s="55"/>
      <c r="D33" s="56">
        <f>IF(AND(D27&gt;B27,$AK8&gt;0,$AK7&gt;2,ISNUMBER(B27),ISNUMBER(D27)),1,0)</f>
        <v>0</v>
      </c>
      <c r="E33" s="55">
        <f>IF(AND(E27&gt;G27,$AK8&gt;1,$AK7&gt;2,ISNUMBER(E27),ISNUMBER(G27)),1,0)</f>
        <v>0</v>
      </c>
      <c r="F33" s="55"/>
      <c r="G33" s="56">
        <f>IF(AND(G27&gt;E27,$AK8&gt;1,$AK7&gt;2,ISNUMBER(E27),ISNUMBER(G27)),1,0)</f>
        <v>0</v>
      </c>
      <c r="H33" s="55">
        <f>IF(AND(H27&gt;J27,$AK8&gt;2,$AK7&gt;2,ISNUMBER(H27),ISNUMBER(J27)),1,0)</f>
        <v>0</v>
      </c>
      <c r="I33" s="55"/>
      <c r="J33" s="56">
        <f>IF(AND(J27&gt;H27,$AK8&gt;2,$AK7&gt;2,ISNUMBER(H27),ISNUMBER(J27)),1,0)</f>
        <v>0</v>
      </c>
      <c r="K33" s="55">
        <f>IF(AND(K27&gt;M27,$AK8&gt;3,$AK7&gt;2,ISNUMBER(K27),ISNUMBER(M27)),1,0)</f>
        <v>0</v>
      </c>
      <c r="L33" s="55"/>
      <c r="M33" s="56">
        <f>IF(AND(M27&gt;K27,$AK8&gt;3,$AK7&gt;2,ISNUMBER(K27),ISNUMBER(M27)),1,0)</f>
        <v>0</v>
      </c>
      <c r="N33" s="55">
        <f>IF(AND(N27&gt;P27,$AK8&gt;4,$AK7&gt;2,ISNUMBER(N27),ISNUMBER(P27)),1,0)</f>
        <v>0</v>
      </c>
      <c r="O33" s="55"/>
      <c r="P33" s="56">
        <f>IF(AND(P27&gt;N27,$AK8&gt;4,$AK7&gt;2,ISNUMBER(N27),ISNUMBER(P27)),1,0)</f>
        <v>0</v>
      </c>
      <c r="Q33" s="55">
        <f>IF(AND(Q27&gt;S27,$AK8&gt;5,$AK7&gt;2,ISNUMBER(Q27),ISNUMBER(S27)),1,0)</f>
        <v>0</v>
      </c>
      <c r="R33" s="55"/>
      <c r="S33" s="56">
        <f>IF(AND(S27&gt;Q27,$AK8&gt;5,$AK7&gt;2,ISNUMBER(Q27),ISNUMBER(S27)),1,0)</f>
        <v>0</v>
      </c>
      <c r="T33" s="55">
        <f>IF(AND(T27&gt;V27,$AK8&gt;6,$AK7&gt;2,ISNUMBER(T27),ISNUMBER(V27)),1,0)</f>
        <v>0</v>
      </c>
      <c r="U33" s="55"/>
      <c r="V33" s="56">
        <f>IF(AND(V27&gt;T27,$AK8&gt;6,$AK7&gt;2,ISNUMBER(T27),ISNUMBER(V27)),1,0)</f>
        <v>0</v>
      </c>
      <c r="W33" s="55">
        <f>IF(AND(W27&gt;Y27,$AK8&gt;7,$AK7&gt;2,ISNUMBER(W27),ISNUMBER(Y27)),1,0)</f>
        <v>0</v>
      </c>
      <c r="X33" s="55"/>
      <c r="Y33" s="56">
        <f>IF(AND(Y27&gt;W27,$AK8&gt;7,$AK7&gt;2,ISNUMBER(W27),ISNUMBER(Y27)),1,0)</f>
        <v>0</v>
      </c>
      <c r="Z33" s="55">
        <f>IF(AND(Z27&gt;AB27,$AK8&gt;8,$AK7&gt;2,ISNUMBER(Z27),ISNUMBER(AB27)),1,0)</f>
        <v>0</v>
      </c>
      <c r="AA33" s="55"/>
      <c r="AB33" s="56">
        <f>IF(AND(AB27&gt;Z27,$AK8&gt;8,$AK7&gt;2,ISNUMBER(Z27),ISNUMBER(AB27)),1,0)</f>
        <v>0</v>
      </c>
      <c r="AC33" s="55">
        <f>IF(AND(AC27&gt;AE27,$AK8&gt;9,$AK7&gt;2,ISNUMBER(AC27),ISNUMBER(AE27)),1,0)</f>
        <v>0</v>
      </c>
      <c r="AD33" s="55"/>
      <c r="AE33" s="56">
        <f>IF(AND(AE27&gt;AC27,$AK8&gt;9,$AK7&gt;2,ISNUMBER(AC27),ISNUMBER(AE27)),1,0)</f>
        <v>0</v>
      </c>
      <c r="AW33" s="146"/>
    </row>
    <row r="34" spans="1:49" s="54" customFormat="1" ht="12.75" hidden="1" customHeight="1" x14ac:dyDescent="0.2">
      <c r="A34" s="54" t="s">
        <v>57</v>
      </c>
      <c r="B34" s="55">
        <f>IF(AND(B28&gt;D28,$AK8&gt;0,$AK7&gt;3,ISNUMBER(B28),ISNUMBER(D28)),1,0)</f>
        <v>0</v>
      </c>
      <c r="C34" s="55"/>
      <c r="D34" s="56">
        <f>IF(AND(D28&gt;B28,$AK8&gt;0,$AK7&gt;3,ISNUMBER(B28),ISNUMBER(D28)),1,0)</f>
        <v>0</v>
      </c>
      <c r="E34" s="55">
        <f>IF(AND(E28&gt;G28,$AK8&gt;1,$AK7&gt;3,ISNUMBER(E28),ISNUMBER(G28)),1,0)</f>
        <v>0</v>
      </c>
      <c r="F34" s="55"/>
      <c r="G34" s="56">
        <f>IF(AND(G28&gt;E28,$AK8&gt;1,$AK7&gt;3,ISNUMBER(E28),ISNUMBER(G28)),1,0)</f>
        <v>0</v>
      </c>
      <c r="H34" s="55">
        <f>IF(AND(H28&gt;J28,$AK8&gt;2,$AK7&gt;3,ISNUMBER(H28),ISNUMBER(J28)),1,0)</f>
        <v>0</v>
      </c>
      <c r="I34" s="55"/>
      <c r="J34" s="56">
        <f>IF(AND(J28&gt;H28,$AK8&gt;2,$AK7&gt;3,ISNUMBER(H28),ISNUMBER(J28)),1,0)</f>
        <v>0</v>
      </c>
      <c r="K34" s="55">
        <f>IF(AND(K28&gt;M28,$AK8&gt;3,$AK7&gt;3,ISNUMBER(K28),ISNUMBER(M28)),1,0)</f>
        <v>0</v>
      </c>
      <c r="L34" s="55"/>
      <c r="M34" s="56">
        <f>IF(AND(M28&gt;K28,$AK8&gt;3,$AK7&gt;3,ISNUMBER(K28),ISNUMBER(M28)),1,0)</f>
        <v>0</v>
      </c>
      <c r="N34" s="55">
        <f>IF(AND(N28&gt;P28,$AK8&gt;4,$AK7&gt;3,ISNUMBER(N28),ISNUMBER(P28)),1,0)</f>
        <v>0</v>
      </c>
      <c r="O34" s="55"/>
      <c r="P34" s="56">
        <f>IF(AND(P28&gt;N28,$AK8&gt;4,$AK7&gt;3,ISNUMBER(N28),ISNUMBER(P28)),1,0)</f>
        <v>0</v>
      </c>
      <c r="Q34" s="55">
        <f>IF(AND(Q28&gt;S28,$AK8&gt;5,$AK7&gt;3,ISNUMBER(Q28),ISNUMBER(S28)),1,0)</f>
        <v>0</v>
      </c>
      <c r="R34" s="55"/>
      <c r="S34" s="56">
        <f>IF(AND(S28&gt;Q28,$AK8&gt;5,$AK7&gt;3,ISNUMBER(Q28),ISNUMBER(S28)),1,0)</f>
        <v>0</v>
      </c>
      <c r="T34" s="55">
        <f>IF(AND(T28&gt;V28,$AK8&gt;6,$AK7&gt;3,ISNUMBER(T28),ISNUMBER(V28)),1,0)</f>
        <v>0</v>
      </c>
      <c r="U34" s="55"/>
      <c r="V34" s="56">
        <f>IF(AND(V28&gt;T28,$AK8&gt;6,$AK7&gt;3,ISNUMBER(T28),ISNUMBER(V28)),1,0)</f>
        <v>0</v>
      </c>
      <c r="W34" s="55">
        <f>IF(AND(W28&gt;Y28,$AK8&gt;7,$AK7&gt;3,ISNUMBER(W28),ISNUMBER(Y28)),1,0)</f>
        <v>0</v>
      </c>
      <c r="X34" s="55"/>
      <c r="Y34" s="56">
        <f>IF(AND(Y28&gt;W28,$AK8&gt;7,$AK7&gt;3,ISNUMBER(W28),ISNUMBER(Y28)),1,0)</f>
        <v>0</v>
      </c>
      <c r="Z34" s="55">
        <f>IF(AND(Z28&gt;AB28,$AK8&gt;8,$AK7&gt;3,ISNUMBER(Z28),ISNUMBER(AB28)),1,0)</f>
        <v>0</v>
      </c>
      <c r="AA34" s="55"/>
      <c r="AB34" s="56">
        <f>IF(AND(AB28&gt;Z28,$AK8&gt;8,$AK7&gt;3,ISNUMBER(Z28),ISNUMBER(AB28)),1,0)</f>
        <v>0</v>
      </c>
      <c r="AC34" s="55">
        <f>IF(AND(AC28&gt;AE28,$AK8&gt;9,$AK7&gt;3,ISNUMBER(AC28),ISNUMBER(AE28)),1,0)</f>
        <v>0</v>
      </c>
      <c r="AD34" s="55"/>
      <c r="AE34" s="56">
        <f>IF(AND(AE28&gt;AC28,$AK8&gt;9,$AK7&gt;3,ISNUMBER(AC28),ISNUMBER(AE28)),1,0)</f>
        <v>0</v>
      </c>
      <c r="AW34" s="146"/>
    </row>
    <row r="35" spans="1:49" s="54" customFormat="1" ht="12.75" hidden="1" customHeight="1" x14ac:dyDescent="0.2">
      <c r="A35" s="54" t="s">
        <v>58</v>
      </c>
      <c r="B35" s="55">
        <f>IF(AND(B29&gt;D29,$AK8&gt;0,$AK7&gt;4,ISNUMBER(B29),ISNUMBER(D29)),1,0)</f>
        <v>0</v>
      </c>
      <c r="C35" s="55"/>
      <c r="D35" s="56">
        <f>IF(AND(D29&gt;B29,$AK8&gt;0,$AK7&gt;4,ISNUMBER(B29),ISNUMBER(D29)),1,0)</f>
        <v>0</v>
      </c>
      <c r="E35" s="55">
        <f>IF(AND(E29&gt;G29,$AK8&gt;1,$AK7&gt;4,ISNUMBER(E29),ISNUMBER(G29)),1,0)</f>
        <v>0</v>
      </c>
      <c r="F35" s="55"/>
      <c r="G35" s="56">
        <f>IF(AND(G29&gt;E29,$AK8&gt;1,$AK7&gt;4,ISNUMBER(E29),ISNUMBER(G29)),1,0)</f>
        <v>0</v>
      </c>
      <c r="H35" s="55">
        <f>IF(AND(H29&gt;J29,$AK8&gt;2,$AK7&gt;4,ISNUMBER(H29),ISNUMBER(J29)),1,0)</f>
        <v>0</v>
      </c>
      <c r="I35" s="55"/>
      <c r="J35" s="56">
        <f>IF(AND(J29&gt;H29,$AK8&gt;2,$AK7&gt;4,ISNUMBER(H29),ISNUMBER(J29)),1,0)</f>
        <v>0</v>
      </c>
      <c r="K35" s="55">
        <f>IF(AND(K29&gt;M29,$AK8&gt;3,$AK7&gt;4,ISNUMBER(K29),ISNUMBER(M29)),1,0)</f>
        <v>0</v>
      </c>
      <c r="L35" s="55"/>
      <c r="M35" s="56">
        <f>IF(AND(M29&gt;K29,$AK8&gt;3,$AK7&gt;4,ISNUMBER(K29),ISNUMBER(M29)),1,0)</f>
        <v>0</v>
      </c>
      <c r="N35" s="55">
        <f>IF(AND(N29&gt;P29,$AK8&gt;4,$AK7&gt;4,ISNUMBER(N29),ISNUMBER(P29)),1,0)</f>
        <v>0</v>
      </c>
      <c r="O35" s="55"/>
      <c r="P35" s="56">
        <f>IF(AND(P29&gt;N29,$AK8&gt;4,$AK7&gt;4,ISNUMBER(N29),ISNUMBER(P29)),1,0)</f>
        <v>0</v>
      </c>
      <c r="Q35" s="55">
        <f>IF(AND(Q29&gt;S29,$AK8&gt;5,$AK7&gt;4,ISNUMBER(Q29),ISNUMBER(S29)),1,0)</f>
        <v>0</v>
      </c>
      <c r="R35" s="55"/>
      <c r="S35" s="56">
        <f>IF(AND(S29&gt;Q29,$AK8&gt;5,$AK7&gt;4,ISNUMBER(Q29),ISNUMBER(S29)),1,0)</f>
        <v>0</v>
      </c>
      <c r="T35" s="55">
        <f>IF(AND(T29&gt;V29,$AK8&gt;6,$AK7&gt;4,ISNUMBER(T29),ISNUMBER(V29)),1,0)</f>
        <v>0</v>
      </c>
      <c r="U35" s="55"/>
      <c r="V35" s="56">
        <f>IF(AND(V29&gt;T29,$AK8&gt;6,$AK7&gt;4,ISNUMBER(T29),ISNUMBER(V29)),1,0)</f>
        <v>0</v>
      </c>
      <c r="W35" s="55">
        <f>IF(AND(W29&gt;Y29,$AK8&gt;7,$AK7&gt;4,ISNUMBER(W29),ISNUMBER(Y29)),1,0)</f>
        <v>0</v>
      </c>
      <c r="X35" s="55"/>
      <c r="Y35" s="56">
        <f>IF(AND(Y29&gt;W29,$AK8&gt;7,$AK7&gt;4,ISNUMBER(W29),ISNUMBER(Y29)),1,0)</f>
        <v>0</v>
      </c>
      <c r="Z35" s="55">
        <f>IF(AND(Z29&gt;AB29,$AK8&gt;8,$AK7&gt;4,ISNUMBER(Z29),ISNUMBER(AB29)),1,0)</f>
        <v>0</v>
      </c>
      <c r="AA35" s="55"/>
      <c r="AB35" s="56">
        <f>IF(AND(AB29&gt;Z29,$AK8&gt;8,$AK7&gt;4,ISNUMBER(Z29),ISNUMBER(AB29)),1,0)</f>
        <v>0</v>
      </c>
      <c r="AC35" s="55">
        <f>IF(AND(AC29&gt;AE29,$AK8&gt;9,$AK7&gt;4,ISNUMBER(AC29),ISNUMBER(AE29)),1,0)</f>
        <v>0</v>
      </c>
      <c r="AD35" s="55"/>
      <c r="AE35" s="56">
        <f>IF(AND(AE29&gt;AC29,$AK8&gt;9,$AK7&gt;4,ISNUMBER(AC29),ISNUMBER(AE29)),1,0)</f>
        <v>0</v>
      </c>
      <c r="AW35" s="146"/>
    </row>
    <row r="36" spans="1:49" s="54" customFormat="1" ht="38.25" hidden="1" customHeight="1" x14ac:dyDescent="0.2">
      <c r="A36" s="57" t="s">
        <v>59</v>
      </c>
      <c r="B36" s="54">
        <f>SUM(B31:B35)</f>
        <v>2</v>
      </c>
      <c r="D36" s="58">
        <f>SUM(D31:D35)</f>
        <v>0</v>
      </c>
      <c r="E36" s="54">
        <f>SUM(E31:E35)</f>
        <v>2</v>
      </c>
      <c r="G36" s="58">
        <f>SUM(G31:G35)</f>
        <v>0</v>
      </c>
      <c r="H36" s="54">
        <f>SUM(H31:H35)</f>
        <v>1</v>
      </c>
      <c r="J36" s="58">
        <f>SUM(J31:J35)</f>
        <v>1</v>
      </c>
      <c r="K36" s="54">
        <f>SUM(K31:K35)</f>
        <v>0</v>
      </c>
      <c r="M36" s="58">
        <f>SUM(M31:M35)</f>
        <v>2</v>
      </c>
      <c r="N36" s="54">
        <f>SUM(N31:N35)</f>
        <v>2</v>
      </c>
      <c r="P36" s="58">
        <f>SUM(P31:P35)</f>
        <v>0</v>
      </c>
      <c r="Q36" s="54">
        <f>SUM(Q31:Q35)</f>
        <v>1</v>
      </c>
      <c r="S36" s="58">
        <f>SUM(S31:S35)</f>
        <v>1</v>
      </c>
      <c r="T36" s="54">
        <f>SUM(T31:T35)</f>
        <v>0</v>
      </c>
      <c r="V36" s="58">
        <f>SUM(V31:V35)</f>
        <v>2</v>
      </c>
      <c r="W36" s="54">
        <f>SUM(W31:W35)</f>
        <v>2</v>
      </c>
      <c r="Y36" s="58">
        <f>SUM(Y31:Y35)</f>
        <v>0</v>
      </c>
      <c r="Z36" s="54">
        <f>SUM(Z31:Z35)</f>
        <v>0</v>
      </c>
      <c r="AB36" s="58">
        <f>SUM(AB31:AB35)</f>
        <v>2</v>
      </c>
      <c r="AC36" s="54">
        <f>SUM(AC31:AC35)</f>
        <v>2</v>
      </c>
      <c r="AE36" s="58">
        <f>SUM(AE31:AE35)</f>
        <v>0</v>
      </c>
      <c r="AW36" s="146"/>
    </row>
    <row r="37" spans="1:49" s="54" customFormat="1" ht="25.5" hidden="1" customHeight="1" x14ac:dyDescent="0.2">
      <c r="A37" s="57" t="s">
        <v>60</v>
      </c>
      <c r="B37" s="54">
        <f>IF(B36&gt;D36,IF(C71=AK7,1,IF(C71=AK7-1,1,0)),0)</f>
        <v>1</v>
      </c>
      <c r="C37" s="54">
        <f>B37+D37</f>
        <v>1</v>
      </c>
      <c r="D37" s="58">
        <f>IF(D36&gt;B36,IF(C71=AK7,1,IF(C71=AK7-1,1,0)),0)</f>
        <v>0</v>
      </c>
      <c r="E37" s="54">
        <f>IF(E36&gt;G36,IF(F71=AK7,1,IF(F71=AK7-1,1,0)),0)</f>
        <v>1</v>
      </c>
      <c r="F37" s="54">
        <f>E37+G37</f>
        <v>1</v>
      </c>
      <c r="G37" s="58">
        <f>IF(G36&gt;E36,IF(F71=AK7,1,IF(F71=AK7-1,1,0)),0)</f>
        <v>0</v>
      </c>
      <c r="H37" s="54">
        <f>IF(H36&gt;J36,IF(I71=AK7,1,IF(I71=AK7-1,1,0)),0)</f>
        <v>0</v>
      </c>
      <c r="I37" s="54">
        <f>H37+J37</f>
        <v>0</v>
      </c>
      <c r="J37" s="58">
        <f>IF(J36&gt;H36,IF(I71=AK7,1,IF(I71=AK7-1,1,0)),0)</f>
        <v>0</v>
      </c>
      <c r="K37" s="54">
        <f>IF(K36&gt;M36,IF(L71=AK7,1,IF(L71=AK7-1,1,0)),0)</f>
        <v>0</v>
      </c>
      <c r="L37" s="54">
        <f>K37+M37</f>
        <v>1</v>
      </c>
      <c r="M37" s="58">
        <f>IF(M36&gt;K36,IF(L71=AK7,1,IF(L71=AK7-1,1,0)),0)</f>
        <v>1</v>
      </c>
      <c r="N37" s="54">
        <f>IF(N36&gt;P36,IF(O71=AK7,1,IF(O71=AK7-1,1,0)),0)</f>
        <v>1</v>
      </c>
      <c r="O37" s="54">
        <f>N37+P37</f>
        <v>1</v>
      </c>
      <c r="P37" s="58">
        <f>IF(P36&gt;N36,IF(O71=AK7,1,IF(O71=AK7-1,1,0)),0)</f>
        <v>0</v>
      </c>
      <c r="Q37" s="54">
        <f>IF(Q36&gt;S36,IF(R71=AK7,1,IF(R71=AK7-1,1,0)),0)</f>
        <v>0</v>
      </c>
      <c r="R37" s="54">
        <f>Q37+S37</f>
        <v>0</v>
      </c>
      <c r="S37" s="58">
        <f>IF(S36&gt;Q36,IF(R71=AK7,1,IF(R71=AK7-1,1,0)),0)</f>
        <v>0</v>
      </c>
      <c r="T37" s="54">
        <f>IF(T36&gt;V36,IF(U71=AK7,1,IF(U71=AK7-1,1,0)),0)</f>
        <v>0</v>
      </c>
      <c r="U37" s="54">
        <f>T37+V37</f>
        <v>1</v>
      </c>
      <c r="V37" s="58">
        <f>IF(V36&gt;T36,IF(U71=AK7,1,IF(U71=AK7-1,1,0)),0)</f>
        <v>1</v>
      </c>
      <c r="W37" s="54">
        <f>IF(W36&gt;Y36,IF(X71=AK7,1,IF(X71=AK7-1,1,0)),0)</f>
        <v>1</v>
      </c>
      <c r="X37" s="54">
        <f>W37+Y37</f>
        <v>1</v>
      </c>
      <c r="Y37" s="58">
        <f>IF(Y36&gt;W36,IF(X71=AK7,1,IF(X71=AK7-1,1,0)),0)</f>
        <v>0</v>
      </c>
      <c r="Z37" s="54">
        <f>IF(Z36&gt;AB36,IF(AA71=AK7,1,IF(AA71=AK7-1,1,0)),0)</f>
        <v>0</v>
      </c>
      <c r="AA37" s="54">
        <f>Z37+AB37</f>
        <v>1</v>
      </c>
      <c r="AB37" s="58">
        <f>IF(AB36&gt;Z36,IF(AA71=AK7,1,IF(AA71=AK7-1,1,0)),0)</f>
        <v>1</v>
      </c>
      <c r="AC37" s="54">
        <f>IF(AC36&gt;AE36,IF(AD71=AK7,1,IF(AD71=AK7-1,1,0)),0)</f>
        <v>1</v>
      </c>
      <c r="AD37" s="54">
        <f>AC37+AE37</f>
        <v>1</v>
      </c>
      <c r="AE37" s="58">
        <f>IF(AE36&gt;AC36,IF(AD71=AK7,1,IF(AD71=AK7-1,1,0)),0)</f>
        <v>0</v>
      </c>
      <c r="AW37" s="146"/>
    </row>
    <row r="38" spans="1:49" s="54" customFormat="1" ht="25.5" hidden="1" customHeight="1" x14ac:dyDescent="0.2">
      <c r="A38" s="57"/>
      <c r="D38" s="58"/>
      <c r="G38" s="58"/>
      <c r="J38" s="58"/>
      <c r="M38" s="58"/>
      <c r="P38" s="58"/>
      <c r="S38" s="58"/>
      <c r="V38" s="58"/>
      <c r="Y38" s="58"/>
      <c r="AB38" s="58"/>
      <c r="AE38" s="58"/>
      <c r="AW38" s="146"/>
    </row>
    <row r="39" spans="1:49" s="54" customFormat="1" ht="12.75" hidden="1" customHeight="1" x14ac:dyDescent="0.2">
      <c r="A39" s="54" t="s">
        <v>61</v>
      </c>
      <c r="B39" s="54">
        <f>IF(B31=1,B25,0)</f>
        <v>25</v>
      </c>
      <c r="D39" s="58">
        <f t="shared" ref="D39:E43" si="3">IF(D31=1,D25,0)</f>
        <v>0</v>
      </c>
      <c r="E39" s="54">
        <f t="shared" si="3"/>
        <v>25</v>
      </c>
      <c r="G39" s="58">
        <f t="shared" ref="G39:H43" si="4">IF(G31=1,G25,0)</f>
        <v>0</v>
      </c>
      <c r="H39" s="54">
        <f t="shared" si="4"/>
        <v>0</v>
      </c>
      <c r="J39" s="58">
        <f t="shared" ref="J39:K43" si="5">IF(J31=1,J25,0)</f>
        <v>25</v>
      </c>
      <c r="K39" s="54">
        <f t="shared" si="5"/>
        <v>0</v>
      </c>
      <c r="M39" s="58">
        <f t="shared" ref="M39:N43" si="6">IF(M31=1,M25,0)</f>
        <v>25</v>
      </c>
      <c r="N39" s="54">
        <f t="shared" si="6"/>
        <v>25</v>
      </c>
      <c r="P39" s="58">
        <f t="shared" ref="P39:Q43" si="7">IF(P31=1,P25,0)</f>
        <v>0</v>
      </c>
      <c r="Q39" s="54">
        <f t="shared" si="7"/>
        <v>25</v>
      </c>
      <c r="S39" s="58">
        <f t="shared" ref="S39:T43" si="8">IF(S31=1,S25,0)</f>
        <v>0</v>
      </c>
      <c r="T39" s="54">
        <f t="shared" si="8"/>
        <v>0</v>
      </c>
      <c r="V39" s="58">
        <f t="shared" ref="V39:W43" si="9">IF(V31=1,V25,0)</f>
        <v>25</v>
      </c>
      <c r="W39" s="54">
        <f t="shared" si="9"/>
        <v>25</v>
      </c>
      <c r="Y39" s="58">
        <f t="shared" ref="Y39:Z43" si="10">IF(Y31=1,Y25,0)</f>
        <v>0</v>
      </c>
      <c r="Z39" s="54">
        <f t="shared" si="10"/>
        <v>0</v>
      </c>
      <c r="AB39" s="58">
        <f t="shared" ref="AB39:AC43" si="11">IF(AB31=1,AB25,0)</f>
        <v>25</v>
      </c>
      <c r="AC39" s="54">
        <f t="shared" si="11"/>
        <v>27</v>
      </c>
      <c r="AE39" s="58">
        <f>IF(AE31=1,AE25,0)</f>
        <v>0</v>
      </c>
      <c r="AW39" s="146"/>
    </row>
    <row r="40" spans="1:49" s="54" customFormat="1" ht="12.75" hidden="1" customHeight="1" x14ac:dyDescent="0.2">
      <c r="A40" s="54" t="s">
        <v>62</v>
      </c>
      <c r="B40" s="54">
        <f>IF(B32=1,B26,0)</f>
        <v>25</v>
      </c>
      <c r="D40" s="58">
        <f t="shared" si="3"/>
        <v>0</v>
      </c>
      <c r="E40" s="54">
        <f t="shared" si="3"/>
        <v>25</v>
      </c>
      <c r="G40" s="58">
        <f t="shared" si="4"/>
        <v>0</v>
      </c>
      <c r="H40" s="54">
        <f t="shared" si="4"/>
        <v>27</v>
      </c>
      <c r="J40" s="58">
        <f t="shared" si="5"/>
        <v>0</v>
      </c>
      <c r="K40" s="54">
        <f t="shared" si="5"/>
        <v>0</v>
      </c>
      <c r="M40" s="58">
        <f t="shared" si="6"/>
        <v>25</v>
      </c>
      <c r="N40" s="54">
        <f t="shared" si="6"/>
        <v>25</v>
      </c>
      <c r="P40" s="58">
        <f t="shared" si="7"/>
        <v>0</v>
      </c>
      <c r="Q40" s="54">
        <f t="shared" si="7"/>
        <v>0</v>
      </c>
      <c r="S40" s="58">
        <f t="shared" si="8"/>
        <v>25</v>
      </c>
      <c r="T40" s="54">
        <f t="shared" si="8"/>
        <v>0</v>
      </c>
      <c r="V40" s="58">
        <f t="shared" si="9"/>
        <v>25</v>
      </c>
      <c r="W40" s="54">
        <f t="shared" si="9"/>
        <v>25</v>
      </c>
      <c r="Y40" s="58">
        <f t="shared" si="10"/>
        <v>0</v>
      </c>
      <c r="Z40" s="54">
        <f t="shared" si="10"/>
        <v>0</v>
      </c>
      <c r="AB40" s="58">
        <f t="shared" si="11"/>
        <v>25</v>
      </c>
      <c r="AC40" s="54">
        <f t="shared" si="11"/>
        <v>25</v>
      </c>
      <c r="AE40" s="58">
        <f>IF(AE32=1,AE26,0)</f>
        <v>0</v>
      </c>
      <c r="AW40" s="146"/>
    </row>
    <row r="41" spans="1:49" s="54" customFormat="1" ht="12.75" hidden="1" customHeight="1" x14ac:dyDescent="0.2">
      <c r="A41" s="54" t="s">
        <v>63</v>
      </c>
      <c r="B41" s="54">
        <f>IF(B33=1,B27,0)</f>
        <v>0</v>
      </c>
      <c r="D41" s="58">
        <f t="shared" si="3"/>
        <v>0</v>
      </c>
      <c r="E41" s="54">
        <f t="shared" si="3"/>
        <v>0</v>
      </c>
      <c r="G41" s="58">
        <f t="shared" si="4"/>
        <v>0</v>
      </c>
      <c r="H41" s="54">
        <f t="shared" si="4"/>
        <v>0</v>
      </c>
      <c r="J41" s="58">
        <f t="shared" si="5"/>
        <v>0</v>
      </c>
      <c r="K41" s="54">
        <f t="shared" si="5"/>
        <v>0</v>
      </c>
      <c r="M41" s="58">
        <f t="shared" si="6"/>
        <v>0</v>
      </c>
      <c r="N41" s="54">
        <f t="shared" si="6"/>
        <v>0</v>
      </c>
      <c r="P41" s="58">
        <f t="shared" si="7"/>
        <v>0</v>
      </c>
      <c r="Q41" s="54">
        <f t="shared" si="7"/>
        <v>0</v>
      </c>
      <c r="S41" s="58">
        <f t="shared" si="8"/>
        <v>0</v>
      </c>
      <c r="T41" s="54">
        <f t="shared" si="8"/>
        <v>0</v>
      </c>
      <c r="V41" s="58">
        <f t="shared" si="9"/>
        <v>0</v>
      </c>
      <c r="W41" s="54">
        <f t="shared" si="9"/>
        <v>0</v>
      </c>
      <c r="Y41" s="58">
        <f t="shared" si="10"/>
        <v>0</v>
      </c>
      <c r="Z41" s="54">
        <f t="shared" si="10"/>
        <v>0</v>
      </c>
      <c r="AB41" s="58">
        <f t="shared" si="11"/>
        <v>0</v>
      </c>
      <c r="AC41" s="54">
        <f t="shared" si="11"/>
        <v>0</v>
      </c>
      <c r="AE41" s="58">
        <f>IF(AE33=1,AE27,0)</f>
        <v>0</v>
      </c>
      <c r="AW41" s="146"/>
    </row>
    <row r="42" spans="1:49" s="54" customFormat="1" ht="12.75" hidden="1" customHeight="1" x14ac:dyDescent="0.2">
      <c r="A42" s="54" t="s">
        <v>64</v>
      </c>
      <c r="B42" s="54">
        <f>IF(B34=1,B28,0)</f>
        <v>0</v>
      </c>
      <c r="D42" s="58">
        <f t="shared" si="3"/>
        <v>0</v>
      </c>
      <c r="E42" s="54">
        <f t="shared" si="3"/>
        <v>0</v>
      </c>
      <c r="G42" s="58">
        <f t="shared" si="4"/>
        <v>0</v>
      </c>
      <c r="H42" s="54">
        <f t="shared" si="4"/>
        <v>0</v>
      </c>
      <c r="J42" s="58">
        <f t="shared" si="5"/>
        <v>0</v>
      </c>
      <c r="K42" s="54">
        <f t="shared" si="5"/>
        <v>0</v>
      </c>
      <c r="M42" s="58">
        <f t="shared" si="6"/>
        <v>0</v>
      </c>
      <c r="N42" s="54">
        <f t="shared" si="6"/>
        <v>0</v>
      </c>
      <c r="P42" s="58">
        <f t="shared" si="7"/>
        <v>0</v>
      </c>
      <c r="Q42" s="54">
        <f t="shared" si="7"/>
        <v>0</v>
      </c>
      <c r="S42" s="58">
        <f t="shared" si="8"/>
        <v>0</v>
      </c>
      <c r="T42" s="54">
        <f t="shared" si="8"/>
        <v>0</v>
      </c>
      <c r="V42" s="58">
        <f t="shared" si="9"/>
        <v>0</v>
      </c>
      <c r="W42" s="54">
        <f t="shared" si="9"/>
        <v>0</v>
      </c>
      <c r="Y42" s="58">
        <f t="shared" si="10"/>
        <v>0</v>
      </c>
      <c r="Z42" s="54">
        <f t="shared" si="10"/>
        <v>0</v>
      </c>
      <c r="AB42" s="58">
        <f t="shared" si="11"/>
        <v>0</v>
      </c>
      <c r="AC42" s="54">
        <f t="shared" si="11"/>
        <v>0</v>
      </c>
      <c r="AE42" s="58">
        <f>IF(AE34=1,AE28,0)</f>
        <v>0</v>
      </c>
      <c r="AW42" s="146"/>
    </row>
    <row r="43" spans="1:49" s="54" customFormat="1" ht="12.75" hidden="1" customHeight="1" x14ac:dyDescent="0.2">
      <c r="A43" s="54" t="s">
        <v>65</v>
      </c>
      <c r="B43" s="54">
        <f>IF(B35=1,B29,0)</f>
        <v>0</v>
      </c>
      <c r="D43" s="58">
        <f t="shared" si="3"/>
        <v>0</v>
      </c>
      <c r="E43" s="54">
        <f t="shared" si="3"/>
        <v>0</v>
      </c>
      <c r="G43" s="58">
        <f t="shared" si="4"/>
        <v>0</v>
      </c>
      <c r="H43" s="54">
        <f t="shared" si="4"/>
        <v>0</v>
      </c>
      <c r="J43" s="58">
        <f t="shared" si="5"/>
        <v>0</v>
      </c>
      <c r="K43" s="54">
        <f t="shared" si="5"/>
        <v>0</v>
      </c>
      <c r="M43" s="58">
        <f t="shared" si="6"/>
        <v>0</v>
      </c>
      <c r="N43" s="54">
        <f t="shared" si="6"/>
        <v>0</v>
      </c>
      <c r="P43" s="58">
        <f t="shared" si="7"/>
        <v>0</v>
      </c>
      <c r="Q43" s="54">
        <f t="shared" si="7"/>
        <v>0</v>
      </c>
      <c r="S43" s="58">
        <f t="shared" si="8"/>
        <v>0</v>
      </c>
      <c r="T43" s="54">
        <f t="shared" si="8"/>
        <v>0</v>
      </c>
      <c r="V43" s="58">
        <f t="shared" si="9"/>
        <v>0</v>
      </c>
      <c r="W43" s="54">
        <f t="shared" si="9"/>
        <v>0</v>
      </c>
      <c r="Y43" s="58">
        <f t="shared" si="10"/>
        <v>0</v>
      </c>
      <c r="Z43" s="54">
        <f t="shared" si="10"/>
        <v>0</v>
      </c>
      <c r="AB43" s="58">
        <f t="shared" si="11"/>
        <v>0</v>
      </c>
      <c r="AC43" s="54">
        <f t="shared" si="11"/>
        <v>0</v>
      </c>
      <c r="AE43" s="58">
        <f>IF(AE35=1,AE29,0)</f>
        <v>0</v>
      </c>
      <c r="AW43" s="146"/>
    </row>
    <row r="44" spans="1:49" s="54" customFormat="1" ht="38.25" hidden="1" customHeight="1" x14ac:dyDescent="0.2">
      <c r="A44" s="57" t="s">
        <v>66</v>
      </c>
      <c r="B44" s="54">
        <f>SUM(B39:D43)</f>
        <v>50</v>
      </c>
      <c r="D44" s="58"/>
      <c r="E44" s="54">
        <f>SUM(E39:G43)</f>
        <v>50</v>
      </c>
      <c r="G44" s="58"/>
      <c r="H44" s="54">
        <f>SUM(H39:J43)</f>
        <v>52</v>
      </c>
      <c r="J44" s="58"/>
      <c r="K44" s="54">
        <f>SUM(K39:M43)</f>
        <v>50</v>
      </c>
      <c r="M44" s="58"/>
      <c r="N44" s="54">
        <f>SUM(N39:P43)</f>
        <v>50</v>
      </c>
      <c r="P44" s="58"/>
      <c r="Q44" s="54">
        <f>SUM(Q39:S43)</f>
        <v>50</v>
      </c>
      <c r="S44" s="58"/>
      <c r="T44" s="54">
        <f>SUM(T39:V43)</f>
        <v>50</v>
      </c>
      <c r="V44" s="58"/>
      <c r="W44" s="54">
        <f>SUM(W39:Y43)</f>
        <v>50</v>
      </c>
      <c r="Y44" s="58"/>
      <c r="Z44" s="54">
        <f>SUM(Z39:AB43)</f>
        <v>50</v>
      </c>
      <c r="AB44" s="58"/>
      <c r="AC44" s="54">
        <f>SUM(AC39:AE43)</f>
        <v>52</v>
      </c>
      <c r="AE44" s="58"/>
      <c r="AW44" s="146"/>
    </row>
    <row r="45" spans="1:49" s="54" customFormat="1" ht="38.25" hidden="1" customHeight="1" x14ac:dyDescent="0.2">
      <c r="A45" s="54" t="s">
        <v>67</v>
      </c>
      <c r="D45" s="58"/>
      <c r="G45" s="58"/>
      <c r="J45" s="58"/>
      <c r="M45" s="58"/>
      <c r="P45" s="58"/>
      <c r="S45" s="58"/>
      <c r="V45" s="58"/>
      <c r="Y45" s="58"/>
      <c r="AB45" s="58"/>
      <c r="AE45" s="58"/>
      <c r="AF45" s="57" t="s">
        <v>68</v>
      </c>
      <c r="AG45" s="54" t="s">
        <v>69</v>
      </c>
      <c r="AW45" s="146"/>
    </row>
    <row r="46" spans="1:49" s="54" customFormat="1" ht="12.75" hidden="1" customHeight="1" x14ac:dyDescent="0.2">
      <c r="A46" s="54" t="s">
        <v>70</v>
      </c>
      <c r="B46" s="54">
        <f>IF(B24=1,IF(B37=1,1,0),0)</f>
        <v>0</v>
      </c>
      <c r="D46" s="58">
        <f>IF(D24=1,IF(D37=1,1,0),0)</f>
        <v>0</v>
      </c>
      <c r="E46" s="54">
        <f>IF(E24=1,IF(E37=1,1,0),0)</f>
        <v>1</v>
      </c>
      <c r="G46" s="58">
        <f>IF(G24=1,IF(G37=1,1,0),0)</f>
        <v>0</v>
      </c>
      <c r="H46" s="54">
        <f>IF(H24=1,IF(H37=1,1,0),0)</f>
        <v>0</v>
      </c>
      <c r="J46" s="58">
        <f>IF(J24=1,IF(J37=1,1,0),0)</f>
        <v>0</v>
      </c>
      <c r="K46" s="54">
        <f>IF(K24=1,IF(K37=1,1,0),0)</f>
        <v>0</v>
      </c>
      <c r="M46" s="58">
        <f>IF(M24=1,IF(M37=1,1,0),0)</f>
        <v>0</v>
      </c>
      <c r="N46" s="54">
        <f>IF(N24=1,IF(N37=1,1,0),0)</f>
        <v>1</v>
      </c>
      <c r="P46" s="58">
        <f>IF(P24=1,IF(P37=1,1,0),0)</f>
        <v>0</v>
      </c>
      <c r="Q46" s="54">
        <f>IF(Q24=1,IF(Q37=1,1,0),0)</f>
        <v>0</v>
      </c>
      <c r="S46" s="58">
        <f>IF(S24=1,IF(S37=1,1,0),0)</f>
        <v>0</v>
      </c>
      <c r="T46" s="54">
        <f>IF(T24=1,IF(T37=1,1,0),0)</f>
        <v>0</v>
      </c>
      <c r="V46" s="58">
        <f>IF(V24=1,IF(V37=1,1,0),0)</f>
        <v>0</v>
      </c>
      <c r="W46" s="54">
        <f>IF(W24=1,IF(W37=1,1,0),0)</f>
        <v>1</v>
      </c>
      <c r="Y46" s="58">
        <f>IF(Y24=1,IF(Y37=1,1,0),0)</f>
        <v>0</v>
      </c>
      <c r="Z46" s="54">
        <f>IF(Z24=1,IF(Z37=1,1,0),0)</f>
        <v>0</v>
      </c>
      <c r="AB46" s="58">
        <f>IF(AB24=1,IF(AB37=1,1,0),0)</f>
        <v>0</v>
      </c>
      <c r="AC46" s="54">
        <f>IF(AC24=1,IF(AC37=1,1,0),0)</f>
        <v>1</v>
      </c>
      <c r="AE46" s="58">
        <f>IF(AE24=1,IF(AE37=1,1,0),0)</f>
        <v>0</v>
      </c>
      <c r="AF46" s="54">
        <f>SUM(B46:AE46)</f>
        <v>4</v>
      </c>
      <c r="AG46" s="54">
        <f>AF52-AF46</f>
        <v>0</v>
      </c>
      <c r="AW46" s="146"/>
    </row>
    <row r="47" spans="1:49" s="54" customFormat="1" ht="12.75" hidden="1" customHeight="1" x14ac:dyDescent="0.2">
      <c r="A47" s="54" t="s">
        <v>71</v>
      </c>
      <c r="B47" s="54">
        <f>IF(B24=2,IF(B37=1,1,0),0)</f>
        <v>1</v>
      </c>
      <c r="D47" s="58">
        <f>IF(D24=2,IF(D37=1,1,0),0)</f>
        <v>0</v>
      </c>
      <c r="E47" s="54">
        <f>IF(E24=2,IF(E37=1,1,0),0)</f>
        <v>0</v>
      </c>
      <c r="G47" s="58">
        <f>IF(G24=2,IF(G37=1,1,0),0)</f>
        <v>0</v>
      </c>
      <c r="H47" s="54">
        <f>IF(H24=2,IF(H37=1,1,0),0)</f>
        <v>0</v>
      </c>
      <c r="J47" s="58">
        <f>IF(J24=2,IF(J37=1,1,0),0)</f>
        <v>0</v>
      </c>
      <c r="K47" s="54">
        <f>IF(K24=2,IF(K37=1,1,0),0)</f>
        <v>0</v>
      </c>
      <c r="M47" s="58">
        <f>IF(M24=2,IF(M37=1,1,0),0)</f>
        <v>0</v>
      </c>
      <c r="N47" s="54">
        <f>IF(N24=2,IF(N37=1,1,0),0)</f>
        <v>0</v>
      </c>
      <c r="P47" s="58">
        <f>IF(P24=2,IF(P37=1,1,0),0)</f>
        <v>0</v>
      </c>
      <c r="Q47" s="54">
        <f>IF(Q24=2,IF(Q37=1,1,0),0)</f>
        <v>0</v>
      </c>
      <c r="S47" s="58">
        <f>IF(S24=2,IF(S37=1,1,0),0)</f>
        <v>0</v>
      </c>
      <c r="T47" s="54">
        <f>IF(T24=2,IF(T37=1,1,0),0)</f>
        <v>0</v>
      </c>
      <c r="V47" s="58">
        <f>IF(V24=2,IF(V37=1,1,0),0)</f>
        <v>0</v>
      </c>
      <c r="W47" s="54">
        <f>IF(W24=2,IF(W37=1,1,0),0)</f>
        <v>0</v>
      </c>
      <c r="Y47" s="58">
        <f>IF(Y24=2,IF(Y37=1,1,0),0)</f>
        <v>0</v>
      </c>
      <c r="Z47" s="54">
        <f>IF(Z24=2,IF(Z37=1,1,0),0)</f>
        <v>0</v>
      </c>
      <c r="AB47" s="58">
        <f>IF(AB24=2,IF(AB37=1,1,0),0)</f>
        <v>0</v>
      </c>
      <c r="AC47" s="54">
        <f>IF(AC24=2,IF(AC37=1,1,0),0)</f>
        <v>0</v>
      </c>
      <c r="AE47" s="58">
        <f>IF(AE24=2,IF(AE37=1,1,0),0)</f>
        <v>0</v>
      </c>
      <c r="AF47" s="54">
        <f>SUM(B47:AE47)</f>
        <v>1</v>
      </c>
      <c r="AG47" s="54">
        <f>AF53-AF47</f>
        <v>3</v>
      </c>
      <c r="AW47" s="146"/>
    </row>
    <row r="48" spans="1:49" s="54" customFormat="1" ht="12.75" hidden="1" customHeight="1" x14ac:dyDescent="0.2">
      <c r="A48" s="54" t="s">
        <v>72</v>
      </c>
      <c r="B48" s="54">
        <f>IF(B24=3,IF(B37=1,1,0),0)</f>
        <v>0</v>
      </c>
      <c r="D48" s="58">
        <f>IF(D24=3,IF(D37=1,1,0),0)</f>
        <v>0</v>
      </c>
      <c r="E48" s="54">
        <f>IF(E24=3,IF(E37=1,1,0),0)</f>
        <v>0</v>
      </c>
      <c r="G48" s="58">
        <f>IF(G24=3,IF(G37=1,1,0),0)</f>
        <v>0</v>
      </c>
      <c r="H48" s="54">
        <f>IF(H24=3,IF(H37=1,1,0),0)</f>
        <v>0</v>
      </c>
      <c r="J48" s="58">
        <f>IF(J24=3,IF(J37=1,1,0),0)</f>
        <v>0</v>
      </c>
      <c r="K48" s="54">
        <f>IF(K24=3,IF(K37=1,1,0),0)</f>
        <v>0</v>
      </c>
      <c r="M48" s="58">
        <f>IF(M24=3,IF(M37=1,1,0),0)</f>
        <v>0</v>
      </c>
      <c r="N48" s="54">
        <f>IF(N24=3,IF(N37=1,1,0),0)</f>
        <v>0</v>
      </c>
      <c r="P48" s="58">
        <f>IF(P24=3,IF(P37=1,1,0),0)</f>
        <v>0</v>
      </c>
      <c r="Q48" s="54">
        <f>IF(Q24=3,IF(Q37=1,1,0),0)</f>
        <v>0</v>
      </c>
      <c r="S48" s="58">
        <f>IF(S24=3,IF(S37=1,1,0),0)</f>
        <v>0</v>
      </c>
      <c r="T48" s="54">
        <f>IF(T24=3,IF(T37=1,1,0),0)</f>
        <v>0</v>
      </c>
      <c r="V48" s="58">
        <f>IF(V24=3,IF(V37=1,1,0),0)</f>
        <v>1</v>
      </c>
      <c r="W48" s="54">
        <f>IF(W24=3,IF(W37=1,1,0),0)</f>
        <v>0</v>
      </c>
      <c r="Y48" s="58">
        <f>IF(Y24=3,IF(Y37=1,1,0),0)</f>
        <v>0</v>
      </c>
      <c r="Z48" s="54">
        <f>IF(Z24=3,IF(Z37=1,1,0),0)</f>
        <v>0</v>
      </c>
      <c r="AB48" s="58">
        <f>IF(AB24=3,IF(AB37=1,1,0),0)</f>
        <v>0</v>
      </c>
      <c r="AC48" s="54">
        <f>IF(AC24=3,IF(AC37=1,1,0),0)</f>
        <v>0</v>
      </c>
      <c r="AE48" s="58">
        <f>IF(AE24=3,IF(AE37=1,1,0),0)</f>
        <v>0</v>
      </c>
      <c r="AF48" s="54">
        <f>SUM(B48:AE48)</f>
        <v>1</v>
      </c>
      <c r="AG48" s="54">
        <f>AF54-AF48</f>
        <v>2</v>
      </c>
      <c r="AW48" s="146"/>
    </row>
    <row r="49" spans="1:49" s="54" customFormat="1" ht="12.75" hidden="1" customHeight="1" x14ac:dyDescent="0.2">
      <c r="A49" s="54" t="s">
        <v>73</v>
      </c>
      <c r="B49" s="54">
        <f>IF(B24=4,IF(B37=1,1,0),0)</f>
        <v>0</v>
      </c>
      <c r="D49" s="58">
        <f>IF(D24=4,IF(D37=1,1,0),0)</f>
        <v>0</v>
      </c>
      <c r="E49" s="54">
        <f>IF(E24=4,IF(E37=1,1,0),0)</f>
        <v>0</v>
      </c>
      <c r="G49" s="58">
        <f>IF(G24=4,IF(G37=1,1,0),0)</f>
        <v>0</v>
      </c>
      <c r="H49" s="54">
        <f>IF(H24=4,IF(H37=1,1,0),0)</f>
        <v>0</v>
      </c>
      <c r="J49" s="58">
        <f>IF(J24=4,IF(J37=1,1,0),0)</f>
        <v>0</v>
      </c>
      <c r="K49" s="54">
        <f>IF(K24=4,IF(K37=1,1,0),0)</f>
        <v>0</v>
      </c>
      <c r="M49" s="58">
        <f>IF(M24=4,IF(M37=1,1,0),0)</f>
        <v>1</v>
      </c>
      <c r="N49" s="54">
        <f>IF(N24=4,IF(N37=1,1,0),0)</f>
        <v>0</v>
      </c>
      <c r="P49" s="58">
        <f>IF(P24=4,IF(P37=1,1,0),0)</f>
        <v>0</v>
      </c>
      <c r="Q49" s="54">
        <f>IF(Q24=4,IF(Q37=1,1,0),0)</f>
        <v>0</v>
      </c>
      <c r="S49" s="58">
        <f>IF(S24=4,IF(S37=1,1,0),0)</f>
        <v>0</v>
      </c>
      <c r="T49" s="54">
        <f>IF(T24=4,IF(T37=1,1,0),0)</f>
        <v>0</v>
      </c>
      <c r="V49" s="58">
        <f>IF(V24=4,IF(V37=1,1,0),0)</f>
        <v>0</v>
      </c>
      <c r="W49" s="54">
        <f>IF(W24=4,IF(W37=1,1,0),0)</f>
        <v>0</v>
      </c>
      <c r="Y49" s="58">
        <f>IF(Y24=4,IF(Y37=1,1,0),0)</f>
        <v>0</v>
      </c>
      <c r="Z49" s="54">
        <f>IF(Z24=4,IF(Z37=1,1,0),0)</f>
        <v>0</v>
      </c>
      <c r="AB49" s="58">
        <f>IF(AB24=4,IF(AB37=1,1,0),0)</f>
        <v>1</v>
      </c>
      <c r="AC49" s="54">
        <f>IF(AC24=4,IF(AC37=1,1,0),0)</f>
        <v>0</v>
      </c>
      <c r="AE49" s="58">
        <f>IF(AE24=4,IF(AE37=1,1,0),0)</f>
        <v>0</v>
      </c>
      <c r="AF49" s="54">
        <f>SUM(B49:AE49)</f>
        <v>2</v>
      </c>
      <c r="AG49" s="54">
        <f>AF55-AF49</f>
        <v>1</v>
      </c>
      <c r="AW49" s="146"/>
    </row>
    <row r="50" spans="1:49" s="54" customFormat="1" ht="12.75" hidden="1" customHeight="1" x14ac:dyDescent="0.2">
      <c r="A50" s="54" t="s">
        <v>74</v>
      </c>
      <c r="B50" s="54">
        <f>IF(B24=5,IF(B37=1,1,0),0)</f>
        <v>0</v>
      </c>
      <c r="D50" s="58">
        <f>IF(D24=5,IF(D37=1,1,0),0)</f>
        <v>0</v>
      </c>
      <c r="E50" s="54">
        <f>IF(E24=5,IF(E37=1,1,0),0)</f>
        <v>0</v>
      </c>
      <c r="G50" s="58">
        <f>IF(G24=5,IF(G37=1,1,0),0)</f>
        <v>0</v>
      </c>
      <c r="H50" s="54">
        <f>IF(H24=5,IF(H37=1,1,0),0)</f>
        <v>0</v>
      </c>
      <c r="J50" s="58">
        <f>IF(J24=5,IF(J37=1,1,0),0)</f>
        <v>0</v>
      </c>
      <c r="K50" s="54">
        <f>IF(K24=5,IF(K37=1,1,0),0)</f>
        <v>0</v>
      </c>
      <c r="M50" s="58">
        <f>IF(M24=5,IF(M37=1,1,0),0)</f>
        <v>0</v>
      </c>
      <c r="N50" s="54">
        <f>IF(N24=5,IF(N37=1,1,0),0)</f>
        <v>0</v>
      </c>
      <c r="P50" s="58">
        <f>IF(P24=5,IF(P37=1,1,0),0)</f>
        <v>0</v>
      </c>
      <c r="Q50" s="54">
        <f>IF(Q24=5,IF(Q37=1,1,0),0)</f>
        <v>0</v>
      </c>
      <c r="S50" s="58">
        <f>IF(S24=5,IF(S37=1,1,0),0)</f>
        <v>0</v>
      </c>
      <c r="T50" s="54">
        <f>IF(T24=5,IF(T37=1,1,0),0)</f>
        <v>0</v>
      </c>
      <c r="V50" s="58">
        <f>IF(V24=5,IF(V37=1,1,0),0)</f>
        <v>0</v>
      </c>
      <c r="W50" s="54">
        <f>IF(W24=5,IF(W37=1,1,0),0)</f>
        <v>0</v>
      </c>
      <c r="Y50" s="58">
        <f>IF(Y24=5,IF(Y37=1,1,0),0)</f>
        <v>0</v>
      </c>
      <c r="Z50" s="54">
        <f>IF(Z24=5,IF(Z37=1,1,0),0)</f>
        <v>0</v>
      </c>
      <c r="AB50" s="58">
        <f>IF(AB24=5,IF(AB37=1,1,0),0)</f>
        <v>0</v>
      </c>
      <c r="AC50" s="54">
        <f>IF(AC24=5,IF(AC37=1,1,0),0)</f>
        <v>0</v>
      </c>
      <c r="AE50" s="58">
        <f>IF(AE24=5,IF(AE37=1,1,0),0)</f>
        <v>0</v>
      </c>
      <c r="AF50" s="54">
        <f>SUM(B50:AE50)</f>
        <v>0</v>
      </c>
      <c r="AG50" s="54">
        <f>AF56-AF50</f>
        <v>2</v>
      </c>
      <c r="AW50" s="146"/>
    </row>
    <row r="51" spans="1:49" s="54" customFormat="1" ht="38.25" hidden="1" customHeight="1" x14ac:dyDescent="0.2">
      <c r="A51" s="57"/>
      <c r="D51" s="58"/>
      <c r="G51" s="58"/>
      <c r="J51" s="58"/>
      <c r="M51" s="58"/>
      <c r="P51" s="58"/>
      <c r="S51" s="58"/>
      <c r="V51" s="58"/>
      <c r="Y51" s="58"/>
      <c r="AB51" s="58"/>
      <c r="AE51" s="58"/>
      <c r="AF51" s="57" t="s">
        <v>75</v>
      </c>
      <c r="AW51" s="146"/>
    </row>
    <row r="52" spans="1:49" s="54" customFormat="1" ht="12.75" hidden="1" customHeight="1" x14ac:dyDescent="0.2">
      <c r="A52" s="54" t="s">
        <v>76</v>
      </c>
      <c r="B52" s="54">
        <f>IF(B24=1,IF(C37=1,1,0),0)</f>
        <v>0</v>
      </c>
      <c r="D52" s="58">
        <f>IF(D24=1,IF(C37=1,1,0),0)</f>
        <v>0</v>
      </c>
      <c r="E52" s="54">
        <f>IF(E24=1,IF(F37=1,1,0),0)</f>
        <v>1</v>
      </c>
      <c r="G52" s="58">
        <f>IF(G24=1,IF(F37=1,1,0),0)</f>
        <v>0</v>
      </c>
      <c r="H52" s="54">
        <f>IF(H24=1,IF(I37=1,1,0),0)</f>
        <v>0</v>
      </c>
      <c r="J52" s="58">
        <f>IF(J24=1,IF(I37=1,1,0),0)</f>
        <v>0</v>
      </c>
      <c r="K52" s="54">
        <f>IF(K24=1,IF(L37=1,1,0),0)</f>
        <v>0</v>
      </c>
      <c r="M52" s="58">
        <f>IF(M24=1,IF(L37=1,1,0),0)</f>
        <v>0</v>
      </c>
      <c r="N52" s="54">
        <f>IF(N24=1,IF(O37=1,1,0),0)</f>
        <v>1</v>
      </c>
      <c r="P52" s="58">
        <f>IF(P24=1,IF(O37=1,1,0),0)</f>
        <v>0</v>
      </c>
      <c r="Q52" s="54">
        <f>IF(Q24=1,IF(R37=1,1,0),0)</f>
        <v>0</v>
      </c>
      <c r="S52" s="58">
        <f>IF(S24=1,IF(R37=1,1,0),0)</f>
        <v>0</v>
      </c>
      <c r="T52" s="54">
        <f>IF(T24=1,IF(U37=1,1,0),0)</f>
        <v>0</v>
      </c>
      <c r="V52" s="58">
        <f>IF(V24=1,IF(U37=1,1,0),0)</f>
        <v>0</v>
      </c>
      <c r="W52" s="54">
        <f>IF(W24=1,IF(X37=1,1,0),0)</f>
        <v>1</v>
      </c>
      <c r="Y52" s="58">
        <f>IF(Y24=1,IF(X37=1,1,0),0)</f>
        <v>0</v>
      </c>
      <c r="Z52" s="54">
        <f>IF(Z24=1,IF(AA37=1,1,0),0)</f>
        <v>0</v>
      </c>
      <c r="AB52" s="58">
        <f>IF(AB24=1,IF(AA37=1,1,0),0)</f>
        <v>0</v>
      </c>
      <c r="AC52" s="54">
        <f>IF(AC24=1,IF(AD37=1,1,0),0)</f>
        <v>1</v>
      </c>
      <c r="AE52" s="58">
        <f>IF(AE24=1,IF(AD37=1,1,0),0)</f>
        <v>0</v>
      </c>
      <c r="AF52" s="54">
        <f>SUM(B52:AE52)</f>
        <v>4</v>
      </c>
      <c r="AW52" s="146"/>
    </row>
    <row r="53" spans="1:49" s="54" customFormat="1" ht="12.75" hidden="1" customHeight="1" x14ac:dyDescent="0.2">
      <c r="A53" s="54" t="s">
        <v>77</v>
      </c>
      <c r="B53" s="54">
        <f>IF(B24=2,IF(C37=1,1,0),0)</f>
        <v>1</v>
      </c>
      <c r="D53" s="58">
        <f>IF(D24=2,IF(C37=1,1,0),0)</f>
        <v>0</v>
      </c>
      <c r="E53" s="54">
        <f>IF(E24=2,IF(F37=1,1,0),0)</f>
        <v>0</v>
      </c>
      <c r="G53" s="58">
        <f>IF(G24=2,IF(F37=1,1,0),0)</f>
        <v>0</v>
      </c>
      <c r="H53" s="54">
        <f>IF(H24=2,IF(I37=1,1,0),0)</f>
        <v>0</v>
      </c>
      <c r="J53" s="58">
        <f>IF(J24=2,IF(I37=1,1,0),0)</f>
        <v>0</v>
      </c>
      <c r="K53" s="54">
        <f>IF(K24=2,IF(L37=1,1,0),0)</f>
        <v>1</v>
      </c>
      <c r="M53" s="58">
        <f>IF(M24=2,IF(L37=1,1,0),0)</f>
        <v>0</v>
      </c>
      <c r="N53" s="54">
        <f>IF(N24=2,IF(O37=1,1,0),0)</f>
        <v>0</v>
      </c>
      <c r="P53" s="58">
        <f>IF(P24=2,IF(O37=1,1,0),0)</f>
        <v>0</v>
      </c>
      <c r="Q53" s="54">
        <f>IF(Q24=2,IF(R37=1,1,0),0)</f>
        <v>0</v>
      </c>
      <c r="S53" s="58">
        <f>IF(S24=2,IF(R37=1,1,0),0)</f>
        <v>0</v>
      </c>
      <c r="T53" s="54">
        <f>IF(T24=2,IF(U37=1,1,0),0)</f>
        <v>1</v>
      </c>
      <c r="V53" s="58">
        <f>IF(V24=2,IF(U37=1,1,0),0)</f>
        <v>0</v>
      </c>
      <c r="W53" s="54">
        <f>IF(W24=2,IF(X37=1,1,0),0)</f>
        <v>0</v>
      </c>
      <c r="Y53" s="58">
        <f>IF(Y24=2,IF(X37=1,1,0),0)</f>
        <v>0</v>
      </c>
      <c r="Z53" s="54">
        <f>IF(Z24=2,IF(AA37=1,1,0),0)</f>
        <v>0</v>
      </c>
      <c r="AB53" s="58">
        <f>IF(AB24=2,IF(AA37=1,1,0),0)</f>
        <v>0</v>
      </c>
      <c r="AC53" s="54">
        <f>IF(AC24=2,IF(AD37=1,1,0),0)</f>
        <v>0</v>
      </c>
      <c r="AE53" s="58">
        <f>IF(AE24=2,IF(AD37=1,1,0),0)</f>
        <v>1</v>
      </c>
      <c r="AF53" s="54">
        <f>SUM(B53:AE53)</f>
        <v>4</v>
      </c>
      <c r="AW53" s="146"/>
    </row>
    <row r="54" spans="1:49" s="54" customFormat="1" ht="12.75" hidden="1" customHeight="1" x14ac:dyDescent="0.2">
      <c r="A54" s="54" t="s">
        <v>78</v>
      </c>
      <c r="B54" s="54">
        <f>IF(B24=3,IF(C37=1,1,0),0)</f>
        <v>0</v>
      </c>
      <c r="D54" s="58">
        <f>IF(D24=3,IF(C37=1,1,0),0)</f>
        <v>0</v>
      </c>
      <c r="E54" s="54">
        <f>IF(E24=3,IF(F37=1,1,0),0)</f>
        <v>0</v>
      </c>
      <c r="G54" s="58">
        <f>IF(G24=3,IF(F37=1,1,0),0)</f>
        <v>0</v>
      </c>
      <c r="H54" s="54">
        <f>IF(H24=3,IF(I37=1,1,0),0)</f>
        <v>0</v>
      </c>
      <c r="J54" s="58">
        <f>IF(J24=3,IF(I37=1,1,0),0)</f>
        <v>0</v>
      </c>
      <c r="K54" s="54">
        <f>IF(K24=3,IF(L37=1,1,0),0)</f>
        <v>0</v>
      </c>
      <c r="M54" s="58">
        <f>IF(M24=3,IF(L37=1,1,0),0)</f>
        <v>0</v>
      </c>
      <c r="N54" s="54">
        <f>IF(N24=3,IF(O37=1,1,0),0)</f>
        <v>0</v>
      </c>
      <c r="P54" s="58">
        <f>IF(P24=3,IF(O37=1,1,0),0)</f>
        <v>1</v>
      </c>
      <c r="Q54" s="54">
        <f>IF(Q24=3,IF(R37=1,1,0),0)</f>
        <v>0</v>
      </c>
      <c r="S54" s="58">
        <f>IF(S24=3,IF(R37=1,1,0),0)</f>
        <v>0</v>
      </c>
      <c r="T54" s="54">
        <f>IF(T24=3,IF(U37=1,1,0),0)</f>
        <v>0</v>
      </c>
      <c r="V54" s="58">
        <f>IF(V24=3,IF(U37=1,1,0),0)</f>
        <v>1</v>
      </c>
      <c r="W54" s="54">
        <f>IF(W24=3,IF(X37=1,1,0),0)</f>
        <v>0</v>
      </c>
      <c r="Y54" s="58">
        <f>IF(Y24=3,IF(X37=1,1,0),0)</f>
        <v>0</v>
      </c>
      <c r="Z54" s="54">
        <f>IF(Z24=3,IF(AA37=1,1,0),0)</f>
        <v>1</v>
      </c>
      <c r="AB54" s="58">
        <f>IF(AB24=3,IF(AA37=1,1,0),0)</f>
        <v>0</v>
      </c>
      <c r="AC54" s="54">
        <f>IF(AC24=3,IF(AD37=1,1,0),0)</f>
        <v>0</v>
      </c>
      <c r="AE54" s="58">
        <f>IF(AE24=3,IF(AD37=1,1,0),0)</f>
        <v>0</v>
      </c>
      <c r="AF54" s="54">
        <f>SUM(B54:AE54)</f>
        <v>3</v>
      </c>
      <c r="AW54" s="146"/>
    </row>
    <row r="55" spans="1:49" s="54" customFormat="1" ht="12.75" hidden="1" customHeight="1" x14ac:dyDescent="0.2">
      <c r="A55" s="54" t="s">
        <v>79</v>
      </c>
      <c r="B55" s="54">
        <f>IF(B24=4,IF(C37=1,1,0),0)</f>
        <v>0</v>
      </c>
      <c r="D55" s="58">
        <f>IF(D24=4,IF(C37=1,1,0),0)</f>
        <v>0</v>
      </c>
      <c r="E55" s="54">
        <f>IF(E24=4,IF(F37=1,1,0),0)</f>
        <v>0</v>
      </c>
      <c r="G55" s="58">
        <f>IF(G24=4,IF(F37=1,1,0),0)</f>
        <v>1</v>
      </c>
      <c r="H55" s="54">
        <f>IF(H24=4,IF(I37=1,1,0),0)</f>
        <v>0</v>
      </c>
      <c r="J55" s="58">
        <f>IF(J24=4,IF(I37=1,1,0),0)</f>
        <v>0</v>
      </c>
      <c r="K55" s="54">
        <f>IF(K24=4,IF(L37=1,1,0),0)</f>
        <v>0</v>
      </c>
      <c r="M55" s="58">
        <f>IF(M24=4,IF(L37=1,1,0),0)</f>
        <v>1</v>
      </c>
      <c r="N55" s="54">
        <f>IF(N24=4,IF(O37=1,1,0),0)</f>
        <v>0</v>
      </c>
      <c r="P55" s="58">
        <f>IF(P24=4,IF(O37=1,1,0),0)</f>
        <v>0</v>
      </c>
      <c r="Q55" s="54">
        <f>IF(Q24=4,IF(R37=1,1,0),0)</f>
        <v>0</v>
      </c>
      <c r="S55" s="58">
        <f>IF(S24=4,IF(R37=1,1,0),0)</f>
        <v>0</v>
      </c>
      <c r="T55" s="54">
        <f>IF(T24=4,IF(U37=1,1,0),0)</f>
        <v>0</v>
      </c>
      <c r="V55" s="58">
        <f>IF(V24=4,IF(U37=1,1,0),0)</f>
        <v>0</v>
      </c>
      <c r="W55" s="54">
        <f>IF(W24=4,IF(X37=1,1,0),0)</f>
        <v>0</v>
      </c>
      <c r="Y55" s="58">
        <f>IF(Y24=4,IF(X37=1,1,0),0)</f>
        <v>0</v>
      </c>
      <c r="Z55" s="54">
        <f>IF(Z24=4,IF(AA37=1,1,0),0)</f>
        <v>0</v>
      </c>
      <c r="AB55" s="58">
        <f>IF(AB24=4,IF(AA37=1,1,0),0)</f>
        <v>1</v>
      </c>
      <c r="AC55" s="54">
        <f>IF(AC24=4,IF(AD37=1,1,0),0)</f>
        <v>0</v>
      </c>
      <c r="AE55" s="58">
        <f>IF(AE24=4,IF(AD37=1,1,0),0)</f>
        <v>0</v>
      </c>
      <c r="AF55" s="54">
        <f>SUM(B55:AE55)</f>
        <v>3</v>
      </c>
      <c r="AW55" s="146"/>
    </row>
    <row r="56" spans="1:49" s="54" customFormat="1" ht="12.75" hidden="1" customHeight="1" x14ac:dyDescent="0.2">
      <c r="A56" s="54" t="s">
        <v>80</v>
      </c>
      <c r="B56" s="54">
        <f>IF(B24=5,IF(C37=1,1,0),0)</f>
        <v>0</v>
      </c>
      <c r="D56" s="58">
        <f>IF(D24=5,IF(C37=1,1,0),0)</f>
        <v>1</v>
      </c>
      <c r="E56" s="54">
        <f>IF(E24=5,IF(F37=1,1,0),0)</f>
        <v>0</v>
      </c>
      <c r="G56" s="58">
        <f>IF(G24=5,IF(F37=1,1,0),0)</f>
        <v>0</v>
      </c>
      <c r="H56" s="54">
        <f>IF(H24=5,IF(I37=1,1,0),0)</f>
        <v>0</v>
      </c>
      <c r="J56" s="58">
        <f>IF(J24=5,IF(I37=1,1,0),0)</f>
        <v>0</v>
      </c>
      <c r="K56" s="54">
        <f>IF(K24=5,IF(L37=1,1,0),0)</f>
        <v>0</v>
      </c>
      <c r="M56" s="58">
        <f>IF(M24=5,IF(L37=1,1,0),0)</f>
        <v>0</v>
      </c>
      <c r="N56" s="54">
        <f>IF(N24=5,IF(O37=1,1,0),0)</f>
        <v>0</v>
      </c>
      <c r="P56" s="58">
        <f>IF(P24=5,IF(O37=1,1,0),0)</f>
        <v>0</v>
      </c>
      <c r="Q56" s="54">
        <f>IF(Q24=5,IF(R37=1,1,0),0)</f>
        <v>0</v>
      </c>
      <c r="S56" s="58">
        <f>IF(S24=5,IF(R37=1,1,0),0)</f>
        <v>0</v>
      </c>
      <c r="T56" s="54">
        <f>IF(T24=5,IF(U37=1,1,0),0)</f>
        <v>0</v>
      </c>
      <c r="V56" s="58">
        <f>IF(V24=5,IF(U37=1,1,0),0)</f>
        <v>0</v>
      </c>
      <c r="W56" s="54">
        <f>IF(W24=5,IF(X37=1,1,0),0)</f>
        <v>0</v>
      </c>
      <c r="Y56" s="58">
        <f>IF(Y24=5,IF(X37=1,1,0),0)</f>
        <v>1</v>
      </c>
      <c r="Z56" s="54">
        <f>IF(Z24=5,IF(AA37=1,1,0),0)</f>
        <v>0</v>
      </c>
      <c r="AB56" s="58">
        <f>IF(AB24=5,IF(AA37=1,1,0),0)</f>
        <v>0</v>
      </c>
      <c r="AC56" s="54">
        <f>IF(AC24=5,IF(AD37=1,1,0),0)</f>
        <v>0</v>
      </c>
      <c r="AE56" s="58">
        <f>IF(AE24=5,IF(AD37=1,1,0),0)</f>
        <v>0</v>
      </c>
      <c r="AF56" s="54">
        <f>SUM(B56:AE56)</f>
        <v>2</v>
      </c>
      <c r="AW56" s="146"/>
    </row>
    <row r="57" spans="1:49" s="54" customFormat="1" ht="38.25" hidden="1" customHeight="1" x14ac:dyDescent="0.2">
      <c r="A57" s="57"/>
      <c r="D57" s="58"/>
      <c r="G57" s="58"/>
      <c r="J57" s="58"/>
      <c r="M57" s="58"/>
      <c r="P57" s="58"/>
      <c r="S57" s="58"/>
      <c r="V57" s="58"/>
      <c r="Y57" s="58"/>
      <c r="AB57" s="58"/>
      <c r="AE57" s="58"/>
      <c r="AF57" s="57" t="s">
        <v>81</v>
      </c>
      <c r="AG57" s="789"/>
      <c r="AH57" s="789"/>
      <c r="AI57" s="789"/>
      <c r="AJ57" s="789"/>
      <c r="AK57" s="789"/>
      <c r="AW57" s="146"/>
    </row>
    <row r="58" spans="1:49" s="54" customFormat="1" ht="12.75" hidden="1" customHeight="1" x14ac:dyDescent="0.2">
      <c r="A58" s="54" t="s">
        <v>76</v>
      </c>
      <c r="B58" s="54">
        <f>IF(B24=1,B44,0)</f>
        <v>0</v>
      </c>
      <c r="D58" s="58">
        <f>IF(D24=1,B44,0)</f>
        <v>0</v>
      </c>
      <c r="E58" s="54">
        <f>IF(E24=1,E44,0)</f>
        <v>50</v>
      </c>
      <c r="G58" s="58">
        <f>IF(G24=1,E44,0)</f>
        <v>0</v>
      </c>
      <c r="H58" s="54">
        <f>IF(H24=1,H44,0)</f>
        <v>0</v>
      </c>
      <c r="J58" s="58">
        <f>IF(J24=1,H44,0)</f>
        <v>0</v>
      </c>
      <c r="K58" s="54">
        <f>IF(K24=1,K44,0)</f>
        <v>0</v>
      </c>
      <c r="M58" s="58">
        <f>IF(M24=1,K44,0)</f>
        <v>0</v>
      </c>
      <c r="N58" s="54">
        <f>IF(N24=1,N44,0)</f>
        <v>50</v>
      </c>
      <c r="P58" s="58">
        <f>IF(P24=1,N44,0)</f>
        <v>0</v>
      </c>
      <c r="Q58" s="54">
        <f>IF(Q24=1,Q44,0)</f>
        <v>0</v>
      </c>
      <c r="S58" s="58">
        <f>IF(S24=1,Q44,0)</f>
        <v>0</v>
      </c>
      <c r="T58" s="54">
        <f>IF(T24=1,T44,0)</f>
        <v>0</v>
      </c>
      <c r="V58" s="58">
        <f>IF(V24=1,T44,0)</f>
        <v>0</v>
      </c>
      <c r="W58" s="54">
        <f>IF(W24=1,W44,0)</f>
        <v>50</v>
      </c>
      <c r="Y58" s="58">
        <f>IF(Y24=1,W44,0)</f>
        <v>0</v>
      </c>
      <c r="Z58" s="54">
        <f>IF(Z24=1,Z44,0)</f>
        <v>0</v>
      </c>
      <c r="AB58" s="58">
        <f>IF(AB24=1,Z44,0)</f>
        <v>0</v>
      </c>
      <c r="AC58" s="54">
        <f>IF(AC24=1,AC44,0)</f>
        <v>52</v>
      </c>
      <c r="AE58" s="58">
        <f>IF(AE24=1,AC44,0)</f>
        <v>0</v>
      </c>
      <c r="AF58" s="54">
        <f>SUM(B58:AE58)</f>
        <v>202</v>
      </c>
      <c r="AW58" s="146"/>
    </row>
    <row r="59" spans="1:49" s="54" customFormat="1" ht="12.75" hidden="1" customHeight="1" x14ac:dyDescent="0.2">
      <c r="A59" s="54" t="s">
        <v>77</v>
      </c>
      <c r="B59" s="54">
        <f>IF(B24=2,B44,0)</f>
        <v>50</v>
      </c>
      <c r="D59" s="58">
        <f>IF(D24=2,B44,0)</f>
        <v>0</v>
      </c>
      <c r="E59" s="54">
        <f>IF(E24=2,E44,0)</f>
        <v>0</v>
      </c>
      <c r="G59" s="58">
        <f>IF(G24=2,E44,0)</f>
        <v>0</v>
      </c>
      <c r="H59" s="54">
        <f>IF(H24=2,H44,0)</f>
        <v>0</v>
      </c>
      <c r="J59" s="58">
        <f>IF(J24=2,H44,0)</f>
        <v>0</v>
      </c>
      <c r="K59" s="54">
        <f>IF(K24=2,K44,0)</f>
        <v>50</v>
      </c>
      <c r="M59" s="58">
        <f>IF(M24=2,K44,0)</f>
        <v>0</v>
      </c>
      <c r="N59" s="54">
        <f>IF(N24=2,N44,0)</f>
        <v>0</v>
      </c>
      <c r="P59" s="58">
        <f>IF(P24=2,N44,0)</f>
        <v>0</v>
      </c>
      <c r="Q59" s="54">
        <f>IF(Q24=2,Q44,0)</f>
        <v>0</v>
      </c>
      <c r="S59" s="58">
        <f>IF(S24=2,Q44,0)</f>
        <v>0</v>
      </c>
      <c r="T59" s="54">
        <f>IF(T24=2,T44,0)</f>
        <v>50</v>
      </c>
      <c r="V59" s="58">
        <f>IF(V24=2,T44,0)</f>
        <v>0</v>
      </c>
      <c r="W59" s="54">
        <f>IF(W24=2,W44,0)</f>
        <v>0</v>
      </c>
      <c r="Y59" s="58">
        <f>IF(Y24=2,W44,0)</f>
        <v>0</v>
      </c>
      <c r="Z59" s="54">
        <f>IF(Z24=2,Z44,0)</f>
        <v>0</v>
      </c>
      <c r="AB59" s="58">
        <f>IF(AB24=2,Z44,0)</f>
        <v>0</v>
      </c>
      <c r="AC59" s="54">
        <f>IF(AC24=2,AC44,0)</f>
        <v>0</v>
      </c>
      <c r="AE59" s="58">
        <f>IF(AE24=2,AC44,0)</f>
        <v>52</v>
      </c>
      <c r="AF59" s="54">
        <f>SUM(B59:AE59)</f>
        <v>202</v>
      </c>
      <c r="AW59" s="146"/>
    </row>
    <row r="60" spans="1:49" s="54" customFormat="1" ht="12.75" hidden="1" customHeight="1" x14ac:dyDescent="0.2">
      <c r="A60" s="54" t="s">
        <v>78</v>
      </c>
      <c r="B60" s="54">
        <f>IF(B24=3,B44,0)</f>
        <v>0</v>
      </c>
      <c r="D60" s="58">
        <f>IF(D24=3,B44,0)</f>
        <v>0</v>
      </c>
      <c r="E60" s="54">
        <f>IF(E24=3,E44,0)</f>
        <v>0</v>
      </c>
      <c r="G60" s="58">
        <f>IF(G24=3,E44,0)</f>
        <v>0</v>
      </c>
      <c r="H60" s="54">
        <f>IF(H24=3,H44,0)</f>
        <v>52</v>
      </c>
      <c r="J60" s="58">
        <f>IF(J24=3,H44,0)</f>
        <v>0</v>
      </c>
      <c r="K60" s="54">
        <f>IF(K24=3,K44,0)</f>
        <v>0</v>
      </c>
      <c r="M60" s="58">
        <f>IF(M24=3,K44,0)</f>
        <v>0</v>
      </c>
      <c r="N60" s="54">
        <f>IF(N24=3,N44,0)</f>
        <v>0</v>
      </c>
      <c r="P60" s="58">
        <f>IF(P24=3,N44,0)</f>
        <v>50</v>
      </c>
      <c r="Q60" s="54">
        <f>IF(Q24=3,Q44,0)</f>
        <v>0</v>
      </c>
      <c r="S60" s="58">
        <f>IF(S24=3,Q44,0)</f>
        <v>0</v>
      </c>
      <c r="T60" s="54">
        <f>IF(T24=3,T44,0)</f>
        <v>0</v>
      </c>
      <c r="V60" s="58">
        <f>IF(V24=3,T44,0)</f>
        <v>50</v>
      </c>
      <c r="W60" s="54">
        <f>IF(W24=3,W44,0)</f>
        <v>0</v>
      </c>
      <c r="Y60" s="58">
        <f>IF(Y24=3,W44,0)</f>
        <v>0</v>
      </c>
      <c r="Z60" s="54">
        <f>IF(Z24=3,Z44,0)</f>
        <v>50</v>
      </c>
      <c r="AB60" s="58">
        <f>IF(AB24=3,Z44,0)</f>
        <v>0</v>
      </c>
      <c r="AC60" s="54">
        <f>IF(AC24=3,AC44,0)</f>
        <v>0</v>
      </c>
      <c r="AE60" s="58">
        <f>IF(AE24=3,AC44,0)</f>
        <v>0</v>
      </c>
      <c r="AF60" s="54">
        <f>SUM(B60:AE60)</f>
        <v>202</v>
      </c>
      <c r="AW60" s="146"/>
    </row>
    <row r="61" spans="1:49" s="54" customFormat="1" ht="12.75" hidden="1" customHeight="1" x14ac:dyDescent="0.2">
      <c r="A61" s="54" t="s">
        <v>79</v>
      </c>
      <c r="B61" s="54">
        <f>IF(B24=4,B44,0)</f>
        <v>0</v>
      </c>
      <c r="D61" s="58">
        <f>IF(D24=4,B44,0)</f>
        <v>0</v>
      </c>
      <c r="E61" s="54">
        <f>IF(E24=4,E44,0)</f>
        <v>0</v>
      </c>
      <c r="G61" s="58">
        <f>IF(G24=4,E44,0)</f>
        <v>50</v>
      </c>
      <c r="H61" s="54">
        <f>IF(H24=4,H44,0)</f>
        <v>0</v>
      </c>
      <c r="J61" s="58">
        <f>IF(J24=4,H44,0)</f>
        <v>0</v>
      </c>
      <c r="K61" s="54">
        <f>IF(K24=4,K44,0)</f>
        <v>0</v>
      </c>
      <c r="M61" s="58">
        <f>IF(M24=4,K44,0)</f>
        <v>50</v>
      </c>
      <c r="N61" s="54">
        <f>IF(N24=4,N44,0)</f>
        <v>0</v>
      </c>
      <c r="P61" s="58">
        <f>IF(P24=4,N44,0)</f>
        <v>0</v>
      </c>
      <c r="Q61" s="54">
        <f>IF(Q24=4,Q44,0)</f>
        <v>50</v>
      </c>
      <c r="S61" s="58">
        <f>IF(S24=4,Q44,0)</f>
        <v>0</v>
      </c>
      <c r="T61" s="54">
        <f>IF(T24=4,T44,0)</f>
        <v>0</v>
      </c>
      <c r="V61" s="58">
        <f>IF(V24=4,T44,0)</f>
        <v>0</v>
      </c>
      <c r="W61" s="54">
        <f>IF(W24=4,W44,0)</f>
        <v>0</v>
      </c>
      <c r="Y61" s="58">
        <f>IF(Y24=4,W44,0)</f>
        <v>0</v>
      </c>
      <c r="Z61" s="54">
        <f>IF(Z24=4,Z44,0)</f>
        <v>0</v>
      </c>
      <c r="AB61" s="58">
        <f>IF(AB24=4,Z44,0)</f>
        <v>50</v>
      </c>
      <c r="AC61" s="54">
        <f>IF(AC24=4,AC44,0)</f>
        <v>0</v>
      </c>
      <c r="AE61" s="58">
        <f>IF(AE24=4,AC44,0)</f>
        <v>0</v>
      </c>
      <c r="AF61" s="54">
        <f>SUM(B61:AE61)</f>
        <v>200</v>
      </c>
      <c r="AW61" s="146"/>
    </row>
    <row r="62" spans="1:49" s="54" customFormat="1" ht="12.75" hidden="1" customHeight="1" x14ac:dyDescent="0.2">
      <c r="A62" s="54" t="s">
        <v>80</v>
      </c>
      <c r="B62" s="54">
        <f>IF(B24=5,B44,0)</f>
        <v>0</v>
      </c>
      <c r="D62" s="58">
        <f>IF(D24=5,B44,0)</f>
        <v>50</v>
      </c>
      <c r="E62" s="54">
        <f>IF(E24=5,E44,0)</f>
        <v>0</v>
      </c>
      <c r="G62" s="58">
        <f>IF(G24=5,E44,0)</f>
        <v>0</v>
      </c>
      <c r="H62" s="54">
        <f>IF(H24=5,H44,0)</f>
        <v>0</v>
      </c>
      <c r="J62" s="58">
        <f>IF(J24=5,H44,0)</f>
        <v>52</v>
      </c>
      <c r="K62" s="54">
        <f>IF(K24=5,K44,0)</f>
        <v>0</v>
      </c>
      <c r="M62" s="58">
        <f>IF(M24=5,K44,0)</f>
        <v>0</v>
      </c>
      <c r="N62" s="54">
        <f>IF(N24=5,N44,0)</f>
        <v>0</v>
      </c>
      <c r="P62" s="58">
        <f>IF(P24=5,N44,0)</f>
        <v>0</v>
      </c>
      <c r="Q62" s="54">
        <f>IF(Q24=5,Q44,0)</f>
        <v>0</v>
      </c>
      <c r="S62" s="58">
        <f>IF(S24=5,Q44,0)</f>
        <v>50</v>
      </c>
      <c r="T62" s="54">
        <f>IF(T24=5,T44,0)</f>
        <v>0</v>
      </c>
      <c r="V62" s="58">
        <f>IF(V24=5,T44,0)</f>
        <v>0</v>
      </c>
      <c r="W62" s="54">
        <f>IF(W24=5,W44,0)</f>
        <v>0</v>
      </c>
      <c r="Y62" s="58">
        <f>IF(Y24=5,W44,0)</f>
        <v>50</v>
      </c>
      <c r="Z62" s="54">
        <f>IF(Z24=5,Z44,0)</f>
        <v>0</v>
      </c>
      <c r="AB62" s="58">
        <f>IF(AB24=5,Z44,0)</f>
        <v>0</v>
      </c>
      <c r="AC62" s="54">
        <f>IF(AC24=5,AC44,0)</f>
        <v>0</v>
      </c>
      <c r="AE62" s="58">
        <f>IF(AE24=5,AC44,0)</f>
        <v>0</v>
      </c>
      <c r="AF62" s="54">
        <f>SUM(B62:AE62)</f>
        <v>202</v>
      </c>
      <c r="AW62" s="146"/>
    </row>
    <row r="63" spans="1:49" s="54" customFormat="1" ht="38.25" hidden="1" customHeight="1" x14ac:dyDescent="0.2">
      <c r="A63" s="54" t="s">
        <v>82</v>
      </c>
      <c r="D63" s="58"/>
      <c r="G63" s="58"/>
      <c r="J63" s="58"/>
      <c r="M63" s="58"/>
      <c r="P63" s="58"/>
      <c r="S63" s="58"/>
      <c r="V63" s="58"/>
      <c r="Y63" s="58"/>
      <c r="AB63" s="58"/>
      <c r="AE63" s="58"/>
      <c r="AF63" s="57" t="s">
        <v>83</v>
      </c>
      <c r="AG63" s="54" t="s">
        <v>84</v>
      </c>
      <c r="AW63" s="146"/>
    </row>
    <row r="64" spans="1:49" s="54" customFormat="1" ht="12.75" hidden="1" customHeight="1" x14ac:dyDescent="0.2">
      <c r="A64" s="54" t="s">
        <v>70</v>
      </c>
      <c r="B64" s="54">
        <f>IF(B24=1,SUMIF(B31:B35,"&gt;0"),0)</f>
        <v>0</v>
      </c>
      <c r="D64" s="58">
        <f>IF(D24=1,SUMIF(D31:D35,"&gt;0"),0)</f>
        <v>0</v>
      </c>
      <c r="E64" s="54">
        <f>IF(E24=1,SUMIF(E31:E35,"&gt;0"),0)</f>
        <v>2</v>
      </c>
      <c r="G64" s="58">
        <f>IF(G24=1,SUMIF(G31:G35,"&gt;0"),0)</f>
        <v>0</v>
      </c>
      <c r="H64" s="54">
        <f>IF(H24=1,SUMIF(H31:H35,"&gt;0"),0)</f>
        <v>0</v>
      </c>
      <c r="J64" s="58">
        <f>IF(J24=1,SUMIF(J31:J35,"&gt;0"),0)</f>
        <v>0</v>
      </c>
      <c r="K64" s="54">
        <f>IF(K24=1,SUMIF(K31:K35,"&gt;0"),0)</f>
        <v>0</v>
      </c>
      <c r="M64" s="58">
        <f>IF(M24=1,SUMIF(M31:M35,"&gt;0"),0)</f>
        <v>0</v>
      </c>
      <c r="N64" s="54">
        <f>IF(N24=1,SUMIF(N31:N35,"&gt;0"),0)</f>
        <v>2</v>
      </c>
      <c r="P64" s="58">
        <f>IF(P24=1,SUMIF(P31:P35,"&gt;0"),0)</f>
        <v>0</v>
      </c>
      <c r="Q64" s="54">
        <f>IF(Q24=1,SUMIF(Q31:Q35,"&gt;0"),0)</f>
        <v>0</v>
      </c>
      <c r="S64" s="58">
        <f>IF(S24=1,SUMIF(S31:S35,"&gt;0"),0)</f>
        <v>0</v>
      </c>
      <c r="T64" s="54">
        <f>IF(T24=1,SUMIF(T31:T35,"&gt;0"),0)</f>
        <v>0</v>
      </c>
      <c r="V64" s="58">
        <f>IF(V24=1,SUMIF(V31:V35,"&gt;0"),0)</f>
        <v>0</v>
      </c>
      <c r="W64" s="54">
        <f>IF(W24=1,SUMIF(W31:W35,"&gt;0"),0)</f>
        <v>2</v>
      </c>
      <c r="Y64" s="58">
        <f>IF(Y24=1,SUMIF(Y31:Y35,"&gt;0"),0)</f>
        <v>0</v>
      </c>
      <c r="Z64" s="54">
        <f>IF(Z24=1,SUMIF(Z31:Z35,"&gt;0"),0)</f>
        <v>0</v>
      </c>
      <c r="AB64" s="58">
        <f>IF(AB24=1,SUMIF(AB31:AB35,"&gt;0"),0)</f>
        <v>0</v>
      </c>
      <c r="AC64" s="54">
        <f>IF(AC24=1,SUMIF(AC31:AC35,"&gt;0"),0)</f>
        <v>2</v>
      </c>
      <c r="AE64" s="58">
        <f>IF(AE24=1,SUMIF(AE31:AE35,"&gt;0"),0)</f>
        <v>0</v>
      </c>
      <c r="AF64" s="54">
        <f>SUM(B64:AE64)</f>
        <v>8</v>
      </c>
      <c r="AG64" s="54">
        <f>AF72-AF64</f>
        <v>0</v>
      </c>
      <c r="AW64" s="146"/>
    </row>
    <row r="65" spans="1:54" s="54" customFormat="1" ht="12.75" hidden="1" customHeight="1" x14ac:dyDescent="0.2">
      <c r="A65" s="54" t="s">
        <v>71</v>
      </c>
      <c r="B65" s="54">
        <f>IF(B24=2,SUMIF(B31:B35,"&gt;0"),0)</f>
        <v>2</v>
      </c>
      <c r="D65" s="58">
        <f>IF(D24=2,SUMIF(D31:D35,"&gt;0"),0)</f>
        <v>0</v>
      </c>
      <c r="E65" s="54">
        <f>IF(E24=2,SUMIF(E31:E35,"&gt;0"),0)</f>
        <v>0</v>
      </c>
      <c r="G65" s="58">
        <f>IF(G24=2,SUMIF(G31:G35,"&gt;0"),0)</f>
        <v>0</v>
      </c>
      <c r="H65" s="54">
        <f>IF(H24=2,SUMIF(H31:H35,"&gt;0"),0)</f>
        <v>0</v>
      </c>
      <c r="J65" s="58">
        <f>IF(J24=2,SUMIF(J31:J35,"&gt;0"),0)</f>
        <v>0</v>
      </c>
      <c r="K65" s="54">
        <f>IF(K24=2,SUMIF(K31:K35,"&gt;0"),0)</f>
        <v>0</v>
      </c>
      <c r="M65" s="58">
        <f>IF(M24=2,SUMIF(M31:M35,"&gt;0"),0)</f>
        <v>0</v>
      </c>
      <c r="N65" s="54">
        <f>IF(N24=2,SUMIF(N31:N35,"&gt;0"),0)</f>
        <v>0</v>
      </c>
      <c r="P65" s="58">
        <f>IF(P24=2,SUMIF(P31:P35,"&gt;0"),0)</f>
        <v>0</v>
      </c>
      <c r="Q65" s="54">
        <f>IF(Q24=2,SUMIF(Q31:Q35,"&gt;0"),0)</f>
        <v>0</v>
      </c>
      <c r="S65" s="58">
        <f>IF(S24=2,SUMIF(S31:S35,"&gt;0"),0)</f>
        <v>0</v>
      </c>
      <c r="T65" s="54">
        <f>IF(T24=2,SUMIF(T31:T35,"&gt;0"),0)</f>
        <v>0</v>
      </c>
      <c r="V65" s="58">
        <f>IF(V24=2,SUMIF(V31:V35,"&gt;0"),0)</f>
        <v>0</v>
      </c>
      <c r="W65" s="54">
        <f>IF(W24=2,SUMIF(W31:W35,"&gt;0"),0)</f>
        <v>0</v>
      </c>
      <c r="Y65" s="58">
        <f>IF(Y24=2,SUMIF(Y31:Y35,"&gt;0"),0)</f>
        <v>0</v>
      </c>
      <c r="Z65" s="54">
        <f>IF(Z24=2,SUMIF(Z31:Z35,"&gt;0"),0)</f>
        <v>0</v>
      </c>
      <c r="AB65" s="58">
        <f>IF(AB24=2,SUMIF(AB31:AB35,"&gt;0"),0)</f>
        <v>0</v>
      </c>
      <c r="AC65" s="54">
        <f>IF(AC24=2,SUMIF(AC31:AC35,"&gt;0"),0)</f>
        <v>0</v>
      </c>
      <c r="AE65" s="58">
        <f>IF(AE24=2,SUMIF(AE31:AE35,"&gt;0"),0)</f>
        <v>0</v>
      </c>
      <c r="AF65" s="54">
        <f>SUM(B65:AE65)</f>
        <v>2</v>
      </c>
      <c r="AG65" s="54">
        <f>AF73-AF65</f>
        <v>6</v>
      </c>
      <c r="AW65" s="146"/>
    </row>
    <row r="66" spans="1:54" s="54" customFormat="1" ht="12.75" hidden="1" customHeight="1" x14ac:dyDescent="0.2">
      <c r="A66" s="54" t="s">
        <v>72</v>
      </c>
      <c r="B66" s="54">
        <f>IF(B24=3,SUMIF(B31:B35,"&gt;0"),0)</f>
        <v>0</v>
      </c>
      <c r="D66" s="58">
        <f>IF(D24=3,SUMIF(D31:D35,"&gt;0"),0)</f>
        <v>0</v>
      </c>
      <c r="E66" s="54">
        <f>IF(E24=3,SUMIF(E31:E35,"&gt;0"),0)</f>
        <v>0</v>
      </c>
      <c r="G66" s="58">
        <f>IF(G24=3,SUMIF(G31:G35,"&gt;0"),0)</f>
        <v>0</v>
      </c>
      <c r="H66" s="54">
        <f>IF(H24=3,SUMIF(H31:H35,"&gt;0"),0)</f>
        <v>1</v>
      </c>
      <c r="J66" s="58">
        <f>IF(J24=3,SUMIF(J31:J35,"&gt;0"),0)</f>
        <v>0</v>
      </c>
      <c r="K66" s="54">
        <f>IF(K24=3,SUMIF(K31:K35,"&gt;0"),0)</f>
        <v>0</v>
      </c>
      <c r="M66" s="58">
        <f>IF(M24=3,SUMIF(M31:M35,"&gt;0"),0)</f>
        <v>0</v>
      </c>
      <c r="N66" s="54">
        <f>IF(N24=3,SUMIF(N31:N35,"&gt;0"),0)</f>
        <v>0</v>
      </c>
      <c r="P66" s="58">
        <f>IF(P24=3,SUMIF(P31:P35,"&gt;0"),0)</f>
        <v>0</v>
      </c>
      <c r="Q66" s="54">
        <f>IF(Q24=3,SUMIF(Q31:Q35,"&gt;0"),0)</f>
        <v>0</v>
      </c>
      <c r="S66" s="58">
        <f>IF(S24=3,SUMIF(S31:S35,"&gt;0"),0)</f>
        <v>0</v>
      </c>
      <c r="T66" s="54">
        <f>IF(T24=3,SUMIF(T31:T35,"&gt;0"),0)</f>
        <v>0</v>
      </c>
      <c r="V66" s="58">
        <f>IF(V24=3,SUMIF(V31:V35,"&gt;0"),0)</f>
        <v>2</v>
      </c>
      <c r="W66" s="54">
        <f>IF(W24=3,SUMIF(W31:W35,"&gt;0"),0)</f>
        <v>0</v>
      </c>
      <c r="Y66" s="58">
        <f>IF(Y24=3,SUMIF(Y31:Y35,"&gt;0"),0)</f>
        <v>0</v>
      </c>
      <c r="Z66" s="54">
        <f>IF(Z24=3,SUMIF(Z31:Z35,"&gt;0"),0)</f>
        <v>0</v>
      </c>
      <c r="AB66" s="58">
        <f>IF(AB24=3,SUMIF(AB31:AB35,"&gt;0"),0)</f>
        <v>0</v>
      </c>
      <c r="AC66" s="54">
        <f>IF(AC24=3,SUMIF(AC31:AC35,"&gt;0"),0)</f>
        <v>0</v>
      </c>
      <c r="AE66" s="58">
        <f>IF(AE24=3,SUMIF(AE31:AE35,"&gt;0"),0)</f>
        <v>0</v>
      </c>
      <c r="AF66" s="54">
        <f>SUM(B66:AE66)</f>
        <v>3</v>
      </c>
      <c r="AG66" s="54">
        <f>AF74-AF66</f>
        <v>5</v>
      </c>
      <c r="AW66" s="146"/>
    </row>
    <row r="67" spans="1:54" s="54" customFormat="1" ht="12.75" hidden="1" customHeight="1" x14ac:dyDescent="0.2">
      <c r="A67" s="54" t="s">
        <v>73</v>
      </c>
      <c r="B67" s="54">
        <f>IF(B24=4,SUMIF(B31:B35,"&gt;0"),0)</f>
        <v>0</v>
      </c>
      <c r="D67" s="58">
        <f>IF(D24=4,SUMIF(D31:D35,"&gt;0"),0)</f>
        <v>0</v>
      </c>
      <c r="E67" s="54">
        <f>IF(E24=4,SUMIF(E31:E35,"&gt;0"),0)</f>
        <v>0</v>
      </c>
      <c r="G67" s="58">
        <f>IF(G24=4,SUMIF(G31:G35,"&gt;0"),0)</f>
        <v>0</v>
      </c>
      <c r="H67" s="54">
        <f>IF(H24=4,SUMIF(H31:H35,"&gt;0"),0)</f>
        <v>0</v>
      </c>
      <c r="J67" s="58">
        <f>IF(J24=4,SUMIF(J31:J35,"&gt;0"),0)</f>
        <v>0</v>
      </c>
      <c r="K67" s="54">
        <f>IF(K24=4,SUMIF(K31:K35,"&gt;0"),0)</f>
        <v>0</v>
      </c>
      <c r="M67" s="58">
        <f>IF(M24=4,SUMIF(M31:M35,"&gt;0"),0)</f>
        <v>2</v>
      </c>
      <c r="N67" s="54">
        <f>IF(N24=4,SUMIF(N31:N35,"&gt;0"),0)</f>
        <v>0</v>
      </c>
      <c r="P67" s="58">
        <f>IF(P24=4,SUMIF(P31:P35,"&gt;0"),0)</f>
        <v>0</v>
      </c>
      <c r="Q67" s="54">
        <f>IF(Q24=4,SUMIF(Q31:Q35,"&gt;0"),0)</f>
        <v>1</v>
      </c>
      <c r="S67" s="58">
        <f>IF(S24=4,SUMIF(S31:S35,"&gt;0"),0)</f>
        <v>0</v>
      </c>
      <c r="T67" s="54">
        <f>IF(T24=4,SUMIF(T31:T35,"&gt;0"),0)</f>
        <v>0</v>
      </c>
      <c r="V67" s="58">
        <f>IF(V24=4,SUMIF(V31:V35,"&gt;0"),0)</f>
        <v>0</v>
      </c>
      <c r="W67" s="54">
        <f>IF(W24=4,SUMIF(W31:W35,"&gt;0"),0)</f>
        <v>0</v>
      </c>
      <c r="Y67" s="58">
        <f>IF(Y24=4,SUMIF(Y31:Y35,"&gt;0"),0)</f>
        <v>0</v>
      </c>
      <c r="Z67" s="54">
        <f>IF(Z24=4,SUMIF(Z31:Z35,"&gt;0"),0)</f>
        <v>0</v>
      </c>
      <c r="AB67" s="58">
        <f>IF(AB24=4,SUMIF(AB31:AB35,"&gt;0"),0)</f>
        <v>2</v>
      </c>
      <c r="AC67" s="54">
        <f>IF(AC24=4,SUMIF(AC31:AC35,"&gt;0"),0)</f>
        <v>0</v>
      </c>
      <c r="AE67" s="58">
        <f>IF(AE24=4,SUMIF(AE31:AE35,"&gt;0"),0)</f>
        <v>0</v>
      </c>
      <c r="AF67" s="54">
        <f>SUM(B67:AE67)</f>
        <v>5</v>
      </c>
      <c r="AG67" s="54">
        <f>AF75-AF67</f>
        <v>3</v>
      </c>
      <c r="AW67" s="146"/>
    </row>
    <row r="68" spans="1:54" s="54" customFormat="1" ht="12.75" hidden="1" customHeight="1" x14ac:dyDescent="0.2">
      <c r="A68" s="54" t="s">
        <v>74</v>
      </c>
      <c r="B68" s="54">
        <f>IF(B24=5,SUMIF(B31:B35,"&gt;0"),0)</f>
        <v>0</v>
      </c>
      <c r="D68" s="58">
        <f>IF(D24=5,SUMIF(D31:D35,"&gt;0"),0)</f>
        <v>0</v>
      </c>
      <c r="E68" s="54">
        <f>IF(E24=5,SUMIF(E31:E35,"&gt;0"),0)</f>
        <v>0</v>
      </c>
      <c r="G68" s="58">
        <f>IF(G24=5,SUMIF(G31:G35,"&gt;0"),0)</f>
        <v>0</v>
      </c>
      <c r="H68" s="54">
        <f>IF(H24=5,SUMIF(H31:H35,"&gt;0"),0)</f>
        <v>0</v>
      </c>
      <c r="J68" s="58">
        <f>IF(J24=5,SUMIF(J31:J35,"&gt;0"),0)</f>
        <v>1</v>
      </c>
      <c r="K68" s="54">
        <f>IF(K24=5,SUMIF(K31:K35,"&gt;0"),0)</f>
        <v>0</v>
      </c>
      <c r="M68" s="58">
        <f>IF(M24=5,SUMIF(M31:M35,"&gt;0"),0)</f>
        <v>0</v>
      </c>
      <c r="N68" s="54">
        <f>IF(N24=5,SUMIF(N31:N35,"&gt;0"),0)</f>
        <v>0</v>
      </c>
      <c r="P68" s="58">
        <f>IF(P24=5,SUMIF(P31:P35,"&gt;0"),0)</f>
        <v>0</v>
      </c>
      <c r="Q68" s="54">
        <f>IF(Q24=5,SUMIF(Q31:Q35,"&gt;0"),0)</f>
        <v>0</v>
      </c>
      <c r="S68" s="58">
        <f>IF(S24=5,SUMIF(S31:S35,"&gt;0"),0)</f>
        <v>1</v>
      </c>
      <c r="T68" s="54">
        <f>IF(T24=5,SUMIF(T31:T35,"&gt;0"),0)</f>
        <v>0</v>
      </c>
      <c r="V68" s="58">
        <f>IF(V24=5,SUMIF(V31:V35,"&gt;0"),0)</f>
        <v>0</v>
      </c>
      <c r="W68" s="54">
        <f>IF(W24=5,SUMIF(W31:W35,"&gt;0"),0)</f>
        <v>0</v>
      </c>
      <c r="Y68" s="58">
        <f>IF(Y24=5,SUMIF(Y31:Y35,"&gt;0"),0)</f>
        <v>0</v>
      </c>
      <c r="Z68" s="54">
        <f>IF(Z24=5,SUMIF(Z31:Z35,"&gt;0"),0)</f>
        <v>0</v>
      </c>
      <c r="AB68" s="58">
        <f>IF(AB24=5,SUMIF(AB31:AB35,"&gt;0"),0)</f>
        <v>0</v>
      </c>
      <c r="AC68" s="54">
        <f>IF(AC24=5,SUMIF(AC31:AC35,"&gt;0"),0)</f>
        <v>0</v>
      </c>
      <c r="AE68" s="58">
        <f>IF(AE24=5,SUMIF(AE31:AE35,"&gt;0"),0)</f>
        <v>0</v>
      </c>
      <c r="AF68" s="54">
        <f>SUM(B68:AE68)</f>
        <v>2</v>
      </c>
      <c r="AG68" s="54">
        <f>AF76-AF68</f>
        <v>6</v>
      </c>
      <c r="AW68" s="146"/>
    </row>
    <row r="69" spans="1:54" s="54" customFormat="1" ht="12.75" hidden="1" customHeight="1" x14ac:dyDescent="0.2">
      <c r="D69" s="58"/>
      <c r="G69" s="58"/>
      <c r="J69" s="58"/>
      <c r="M69" s="58"/>
      <c r="P69" s="58"/>
      <c r="S69" s="58"/>
      <c r="V69" s="58"/>
      <c r="Y69" s="58"/>
      <c r="AB69" s="58"/>
      <c r="AE69" s="58"/>
      <c r="AW69" s="146"/>
    </row>
    <row r="70" spans="1:54" s="54" customFormat="1" ht="12.75" hidden="1" customHeight="1" x14ac:dyDescent="0.2">
      <c r="D70" s="58"/>
      <c r="G70" s="58"/>
      <c r="J70" s="58"/>
      <c r="M70" s="58"/>
      <c r="P70" s="58"/>
      <c r="S70" s="58"/>
      <c r="V70" s="58"/>
      <c r="Y70" s="58"/>
      <c r="AB70" s="58"/>
      <c r="AE70" s="58"/>
      <c r="AW70" s="146"/>
    </row>
    <row r="71" spans="1:54" s="54" customFormat="1" ht="51" hidden="1" customHeight="1" x14ac:dyDescent="0.2">
      <c r="A71" s="57" t="s">
        <v>85</v>
      </c>
      <c r="C71" s="54">
        <f>SUMIF(B64:D68,"&gt;0")</f>
        <v>2</v>
      </c>
      <c r="D71" s="58"/>
      <c r="F71" s="54">
        <f>SUMIF(E64:G68,"&gt;0")</f>
        <v>2</v>
      </c>
      <c r="G71" s="58"/>
      <c r="I71" s="54">
        <f>SUMIF(H64:J68,"&gt;0")</f>
        <v>2</v>
      </c>
      <c r="J71" s="58"/>
      <c r="L71" s="54">
        <f>SUMIF(K64:M68,"&gt;0")</f>
        <v>2</v>
      </c>
      <c r="M71" s="58"/>
      <c r="O71" s="54">
        <f>SUMIF(N64:P68,"&gt;0")</f>
        <v>2</v>
      </c>
      <c r="P71" s="58"/>
      <c r="R71" s="54">
        <f>SUMIF(Q64:S68,"&gt;0")</f>
        <v>2</v>
      </c>
      <c r="S71" s="58"/>
      <c r="U71" s="54">
        <f>SUMIF(T64:V68,"&gt;0")</f>
        <v>2</v>
      </c>
      <c r="V71" s="58"/>
      <c r="X71" s="54">
        <f>SUMIF(W64:Y68,"&gt;0")</f>
        <v>2</v>
      </c>
      <c r="Y71" s="58"/>
      <c r="AA71" s="54">
        <f>SUMIF(Z64:AB68,"&gt;0")</f>
        <v>2</v>
      </c>
      <c r="AB71" s="58"/>
      <c r="AD71" s="54">
        <f>SUMIF(AC64:AE68,"&gt;0")</f>
        <v>2</v>
      </c>
      <c r="AE71" s="58"/>
      <c r="AF71" s="57" t="s">
        <v>86</v>
      </c>
      <c r="AW71" s="146"/>
    </row>
    <row r="72" spans="1:54" s="54" customFormat="1" ht="12.75" hidden="1" customHeight="1" x14ac:dyDescent="0.2">
      <c r="A72" s="54" t="s">
        <v>76</v>
      </c>
      <c r="B72" s="54">
        <f>IF(B24=1,C71,0)</f>
        <v>0</v>
      </c>
      <c r="D72" s="58">
        <f>IF(D24=1,C71,0)</f>
        <v>0</v>
      </c>
      <c r="E72" s="54">
        <f>IF(E24=1,F71,0)</f>
        <v>2</v>
      </c>
      <c r="G72" s="58">
        <f>IF(G24=1,F71,0)</f>
        <v>0</v>
      </c>
      <c r="H72" s="54">
        <f>IF(H24=1,I71,0)</f>
        <v>0</v>
      </c>
      <c r="J72" s="58">
        <f>IF(J24=1,I71,0)</f>
        <v>0</v>
      </c>
      <c r="K72" s="54">
        <f>IF(K24=1,L71,0)</f>
        <v>0</v>
      </c>
      <c r="M72" s="58">
        <f>IF(M24=1,L71,0)</f>
        <v>0</v>
      </c>
      <c r="N72" s="54">
        <f>IF(N24=1,O71,0)</f>
        <v>2</v>
      </c>
      <c r="P72" s="58">
        <f>IF(P24=1,O71,0)</f>
        <v>0</v>
      </c>
      <c r="Q72" s="54">
        <f>IF(Q24=1,R71,0)</f>
        <v>0</v>
      </c>
      <c r="S72" s="58">
        <f>IF(S24=1,R71,0)</f>
        <v>0</v>
      </c>
      <c r="T72" s="54">
        <f>IF(T24=1,U71,0)</f>
        <v>0</v>
      </c>
      <c r="V72" s="58">
        <f>IF(V24=1,U71,0)</f>
        <v>0</v>
      </c>
      <c r="W72" s="54">
        <f>IF(W24=1,X71,0)</f>
        <v>2</v>
      </c>
      <c r="Y72" s="58">
        <f>IF(Y24=1,X71,0)</f>
        <v>0</v>
      </c>
      <c r="Z72" s="54">
        <f>IF(Z24=1,AA71,0)</f>
        <v>0</v>
      </c>
      <c r="AB72" s="58">
        <f>IF(AB24=1,AA71,0)</f>
        <v>0</v>
      </c>
      <c r="AC72" s="54">
        <f>IF(AC24=1,AD71,0)</f>
        <v>2</v>
      </c>
      <c r="AE72" s="58">
        <f>IF(AE24=1,AD71,0)</f>
        <v>0</v>
      </c>
      <c r="AF72" s="54">
        <f>SUM(B72:AE72)</f>
        <v>8</v>
      </c>
      <c r="AW72" s="146"/>
    </row>
    <row r="73" spans="1:54" s="54" customFormat="1" ht="12.75" hidden="1" customHeight="1" x14ac:dyDescent="0.2">
      <c r="A73" s="54" t="s">
        <v>77</v>
      </c>
      <c r="B73" s="54">
        <f>IF(B24=2,C71,0)</f>
        <v>2</v>
      </c>
      <c r="D73" s="58">
        <f>IF(D24=2,C71,0)</f>
        <v>0</v>
      </c>
      <c r="E73" s="54">
        <f>IF(E24=2,F71,0)</f>
        <v>0</v>
      </c>
      <c r="G73" s="58">
        <f>IF(G24=2,F71,0)</f>
        <v>0</v>
      </c>
      <c r="H73" s="54">
        <f>IF(H24=2,I71,0)</f>
        <v>0</v>
      </c>
      <c r="J73" s="58">
        <f>IF(J24=2,I71,0)</f>
        <v>0</v>
      </c>
      <c r="K73" s="54">
        <f>IF(K24=2,L71,0)</f>
        <v>2</v>
      </c>
      <c r="M73" s="58">
        <f>IF(M24=2,L71,0)</f>
        <v>0</v>
      </c>
      <c r="N73" s="54">
        <f>IF(N24=2,O71,0)</f>
        <v>0</v>
      </c>
      <c r="P73" s="58">
        <f>IF(P24=2,O71,0)</f>
        <v>0</v>
      </c>
      <c r="Q73" s="54">
        <f>IF(Q24=2,R71,0)</f>
        <v>0</v>
      </c>
      <c r="S73" s="58">
        <f>IF(S24=2,R71,0)</f>
        <v>0</v>
      </c>
      <c r="T73" s="54">
        <f>IF(T24=2,U71,0)</f>
        <v>2</v>
      </c>
      <c r="V73" s="58">
        <f>IF(V24=2,U71,0)</f>
        <v>0</v>
      </c>
      <c r="W73" s="54">
        <f>IF(W24=2,X71,0)</f>
        <v>0</v>
      </c>
      <c r="Y73" s="58">
        <f>IF(Y24=2,X71,0)</f>
        <v>0</v>
      </c>
      <c r="Z73" s="54">
        <f>IF(Z24=2,AA71,0)</f>
        <v>0</v>
      </c>
      <c r="AB73" s="58">
        <f>IF(AB24=2,AA71,0)</f>
        <v>0</v>
      </c>
      <c r="AC73" s="54">
        <f>IF(AC24=2,AD71,0)</f>
        <v>0</v>
      </c>
      <c r="AE73" s="58">
        <f>IF(AE24=2,AD71,0)</f>
        <v>2</v>
      </c>
      <c r="AF73" s="54">
        <f>SUM(B73:AE73)</f>
        <v>8</v>
      </c>
      <c r="AW73" s="146"/>
    </row>
    <row r="74" spans="1:54" s="54" customFormat="1" ht="12.75" hidden="1" customHeight="1" x14ac:dyDescent="0.2">
      <c r="A74" s="54" t="s">
        <v>78</v>
      </c>
      <c r="B74" s="54">
        <f>IF(B24=3,C71,0)</f>
        <v>0</v>
      </c>
      <c r="D74" s="58">
        <f>IF(D24=3,C71,0)</f>
        <v>0</v>
      </c>
      <c r="E74" s="54">
        <f>IF(E24=3,F71,0)</f>
        <v>0</v>
      </c>
      <c r="G74" s="58">
        <f>IF(G24=3,F71,0)</f>
        <v>0</v>
      </c>
      <c r="H74" s="54">
        <f>IF(H24=3,I71,0)</f>
        <v>2</v>
      </c>
      <c r="J74" s="58">
        <f>IF(J24=3,I71,0)</f>
        <v>0</v>
      </c>
      <c r="K74" s="54">
        <f>IF(K24=3,L71,0)</f>
        <v>0</v>
      </c>
      <c r="M74" s="58">
        <f>IF(M24=3,L71,0)</f>
        <v>0</v>
      </c>
      <c r="N74" s="54">
        <f>IF(N24=3,O71,0)</f>
        <v>0</v>
      </c>
      <c r="P74" s="58">
        <f>IF(P24=3,O71,0)</f>
        <v>2</v>
      </c>
      <c r="Q74" s="54">
        <f>IF(Q24=3,R71,0)</f>
        <v>0</v>
      </c>
      <c r="S74" s="58">
        <f>IF(S24=3,R71,0)</f>
        <v>0</v>
      </c>
      <c r="T74" s="54">
        <f>IF(T24=3,U71,0)</f>
        <v>0</v>
      </c>
      <c r="V74" s="58">
        <f>IF(V24=3,U71,0)</f>
        <v>2</v>
      </c>
      <c r="W74" s="54">
        <f>IF(W24=3,X71,0)</f>
        <v>0</v>
      </c>
      <c r="Y74" s="58">
        <f>IF(Y24=3,X71,0)</f>
        <v>0</v>
      </c>
      <c r="Z74" s="54">
        <f>IF(Z24=3,AA71,0)</f>
        <v>2</v>
      </c>
      <c r="AB74" s="58">
        <f>IF(AB24=3,AA71,0)</f>
        <v>0</v>
      </c>
      <c r="AC74" s="54">
        <f>IF(AC24=3,AD71,0)</f>
        <v>0</v>
      </c>
      <c r="AE74" s="58">
        <f>IF(AE24=3,AD71,0)</f>
        <v>0</v>
      </c>
      <c r="AF74" s="54">
        <f>SUM(B74:AE74)</f>
        <v>8</v>
      </c>
      <c r="AW74" s="146"/>
    </row>
    <row r="75" spans="1:54" s="54" customFormat="1" ht="12.75" hidden="1" customHeight="1" x14ac:dyDescent="0.2">
      <c r="A75" s="54" t="s">
        <v>79</v>
      </c>
      <c r="B75" s="54">
        <f>IF(B24=4,C71,0)</f>
        <v>0</v>
      </c>
      <c r="D75" s="58">
        <f>IF(D24=4,C71,0)</f>
        <v>0</v>
      </c>
      <c r="E75" s="54">
        <f>IF(E24=4,F71,0)</f>
        <v>0</v>
      </c>
      <c r="G75" s="58">
        <f>IF(G24=4,F71,0)</f>
        <v>2</v>
      </c>
      <c r="H75" s="54">
        <f>IF(H24=4,I71,0)</f>
        <v>0</v>
      </c>
      <c r="J75" s="58">
        <f>IF(J24=4,I71,0)</f>
        <v>0</v>
      </c>
      <c r="K75" s="54">
        <f>IF(K24=4,L71,0)</f>
        <v>0</v>
      </c>
      <c r="M75" s="58">
        <f>IF(M24=4,L71,0)</f>
        <v>2</v>
      </c>
      <c r="N75" s="54">
        <f>IF(N24=4,O71,0)</f>
        <v>0</v>
      </c>
      <c r="P75" s="58">
        <f>IF(P24=4,O71,0)</f>
        <v>0</v>
      </c>
      <c r="Q75" s="54">
        <f>IF(Q24=4,R71,0)</f>
        <v>2</v>
      </c>
      <c r="S75" s="58">
        <f>IF(S24=4,R71,0)</f>
        <v>0</v>
      </c>
      <c r="T75" s="54">
        <f>IF(T24=4,U71,0)</f>
        <v>0</v>
      </c>
      <c r="V75" s="58">
        <f>IF(V24=4,U71,0)</f>
        <v>0</v>
      </c>
      <c r="W75" s="54">
        <f>IF(W24=4,X71,0)</f>
        <v>0</v>
      </c>
      <c r="Y75" s="58">
        <f>IF(Y24=4,X71,0)</f>
        <v>0</v>
      </c>
      <c r="Z75" s="54">
        <f>IF(Z24=4,AA71,0)</f>
        <v>0</v>
      </c>
      <c r="AB75" s="58">
        <f>IF(AB24=4,AA71,0)</f>
        <v>2</v>
      </c>
      <c r="AC75" s="54">
        <f>IF(AC24=4,AD71,0)</f>
        <v>0</v>
      </c>
      <c r="AE75" s="58">
        <f>IF(AE24=4,AD71,0)</f>
        <v>0</v>
      </c>
      <c r="AF75" s="54">
        <f>SUM(B75:AE75)</f>
        <v>8</v>
      </c>
      <c r="AW75" s="146"/>
    </row>
    <row r="76" spans="1:54" s="54" customFormat="1" ht="12.75" hidden="1" customHeight="1" x14ac:dyDescent="0.2">
      <c r="A76" s="54" t="s">
        <v>80</v>
      </c>
      <c r="B76" s="54">
        <f>IF(B24=5,C71,0)</f>
        <v>0</v>
      </c>
      <c r="D76" s="58">
        <f>IF(D24=5,C71,0)</f>
        <v>2</v>
      </c>
      <c r="E76" s="54">
        <f>IF(E24=5,F71,0)</f>
        <v>0</v>
      </c>
      <c r="G76" s="58">
        <f>IF(G24=5,F71,0)</f>
        <v>0</v>
      </c>
      <c r="H76" s="54">
        <f>IF(H24=5,I71,0)</f>
        <v>0</v>
      </c>
      <c r="J76" s="58">
        <f>IF(J24=5,I71,0)</f>
        <v>2</v>
      </c>
      <c r="K76" s="54">
        <f>IF(K24=5,L71,0)</f>
        <v>0</v>
      </c>
      <c r="M76" s="58">
        <f>IF(M24=5,L71,0)</f>
        <v>0</v>
      </c>
      <c r="N76" s="54">
        <f>IF(N24=5,O71,0)</f>
        <v>0</v>
      </c>
      <c r="P76" s="58">
        <f>IF(P24=5,O71,0)</f>
        <v>0</v>
      </c>
      <c r="Q76" s="54">
        <f>IF(Q24=5,R71,0)</f>
        <v>0</v>
      </c>
      <c r="S76" s="58">
        <f>IF(S24=5,R71,0)</f>
        <v>2</v>
      </c>
      <c r="T76" s="54">
        <f>IF(T24=5,U71,0)</f>
        <v>0</v>
      </c>
      <c r="V76" s="58">
        <f>IF(V24=5,U71,0)</f>
        <v>0</v>
      </c>
      <c r="W76" s="54">
        <f>IF(W24=5,X71,0)</f>
        <v>0</v>
      </c>
      <c r="Y76" s="58">
        <f>IF(Y24=5,X71,0)</f>
        <v>2</v>
      </c>
      <c r="Z76" s="54">
        <f>IF(Z24=5,AA71,0)</f>
        <v>0</v>
      </c>
      <c r="AB76" s="58">
        <f>IF(AB24=5,AA71,0)</f>
        <v>0</v>
      </c>
      <c r="AC76" s="54">
        <f>IF(AC24=5,AD71,0)</f>
        <v>0</v>
      </c>
      <c r="AE76" s="58">
        <f>IF(AE24=5,AD71,0)</f>
        <v>0</v>
      </c>
      <c r="AF76" s="54">
        <f>SUM(B76:AE76)</f>
        <v>8</v>
      </c>
      <c r="AW76" s="146"/>
    </row>
    <row r="77" spans="1:54" hidden="1" x14ac:dyDescent="0.2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60"/>
      <c r="AO77" s="60"/>
      <c r="AP77" s="60"/>
      <c r="AQ77" s="60"/>
      <c r="AR77" s="61"/>
      <c r="AS77" s="61"/>
      <c r="AT77" s="61"/>
      <c r="AU77" s="61"/>
      <c r="AV77" s="61"/>
      <c r="BB77" s="62"/>
    </row>
    <row r="78" spans="1:54" s="61" customFormat="1" hidden="1" x14ac:dyDescent="0.2">
      <c r="A78" s="63"/>
      <c r="B78" s="63"/>
      <c r="C78" s="63" t="s">
        <v>87</v>
      </c>
      <c r="D78" s="63">
        <v>1</v>
      </c>
      <c r="E78" s="63"/>
      <c r="F78" s="63"/>
      <c r="G78" s="63">
        <v>2</v>
      </c>
      <c r="H78" s="63"/>
      <c r="I78" s="63"/>
      <c r="J78" s="63">
        <v>3</v>
      </c>
      <c r="K78" s="63"/>
      <c r="L78" s="63"/>
      <c r="M78" s="63">
        <v>4</v>
      </c>
      <c r="N78" s="63"/>
      <c r="O78" s="63"/>
      <c r="P78" s="63">
        <v>5</v>
      </c>
      <c r="Q78" s="63"/>
      <c r="R78" s="63"/>
      <c r="S78" s="63">
        <v>6</v>
      </c>
      <c r="T78" s="63"/>
      <c r="U78" s="63"/>
      <c r="V78" s="63">
        <v>7</v>
      </c>
      <c r="W78" s="63"/>
      <c r="X78" s="63"/>
      <c r="Y78" s="63">
        <v>8</v>
      </c>
      <c r="Z78" s="63"/>
      <c r="AA78" s="63"/>
      <c r="AB78" s="63">
        <v>9</v>
      </c>
      <c r="AC78" s="63"/>
      <c r="AD78" s="63"/>
      <c r="AE78" s="63">
        <v>10</v>
      </c>
      <c r="AF78" s="4"/>
      <c r="AG78" s="63"/>
      <c r="AI78" s="64"/>
      <c r="AJ78" s="4"/>
      <c r="AK78" s="4"/>
      <c r="AL78" s="4"/>
      <c r="AM78" s="4"/>
      <c r="AN78" s="4"/>
      <c r="AO78" s="4"/>
      <c r="AT78" s="64" t="s">
        <v>88</v>
      </c>
      <c r="AW78" s="65"/>
      <c r="BB78" s="65"/>
    </row>
    <row r="79" spans="1:54" s="61" customFormat="1" hidden="1" x14ac:dyDescent="0.2">
      <c r="A79" s="66">
        <v>1</v>
      </c>
      <c r="B79" s="66" t="str">
        <f>E8</f>
        <v>Extreme 17 Summer</v>
      </c>
      <c r="C79" s="66">
        <f>VLOOKUP(B79,AU$3:BB$33,3,FALSE)</f>
        <v>2668.5988047345622</v>
      </c>
      <c r="D79" s="66">
        <f>IF(B72,B87,IF(D72,D87,C79))</f>
        <v>2668.5988047345622</v>
      </c>
      <c r="E79" s="66"/>
      <c r="F79" s="66"/>
      <c r="G79" s="66">
        <f>IF(E72,E87,IF(G72,G87,D79))</f>
        <v>2693.1242040650586</v>
      </c>
      <c r="H79" s="66"/>
      <c r="I79" s="66"/>
      <c r="J79" s="66">
        <f>IF(H72,H87,IF(J72,J87,G79))</f>
        <v>2693.1242040650586</v>
      </c>
      <c r="K79" s="66"/>
      <c r="L79" s="66"/>
      <c r="M79" s="66">
        <f>IF(K72,K87,IF(M72,M87,J79))</f>
        <v>2693.1242040650586</v>
      </c>
      <c r="N79" s="66"/>
      <c r="O79" s="66"/>
      <c r="P79" s="66">
        <f>IF(N72,N87,IF(P72,P87,M79))</f>
        <v>2705.5316179030815</v>
      </c>
      <c r="Q79" s="66"/>
      <c r="R79" s="66"/>
      <c r="S79" s="66">
        <f>IF(Q72,Q87,IF(S72,S87,P79))</f>
        <v>2705.5316179030815</v>
      </c>
      <c r="T79" s="66"/>
      <c r="U79" s="66"/>
      <c r="V79" s="66">
        <f>IF(T72,T87,IF(V72,V87,S79))</f>
        <v>2705.5316179030815</v>
      </c>
      <c r="W79" s="66"/>
      <c r="X79" s="66"/>
      <c r="Y79" s="66">
        <f>IF(W72,W87,IF(Y72,Y87,V79))</f>
        <v>2713.4544918335141</v>
      </c>
      <c r="Z79" s="66"/>
      <c r="AA79" s="66"/>
      <c r="AB79" s="66">
        <f>IF(Z72,Z87,IF(AB72,AB87,Y79))</f>
        <v>2713.4544918335141</v>
      </c>
      <c r="AC79" s="66"/>
      <c r="AD79" s="66"/>
      <c r="AE79" s="66">
        <f>IF(AC72,AC87,IF(AE72,AE87,AB79))</f>
        <v>2724.0107598595391</v>
      </c>
      <c r="AF79" s="4"/>
      <c r="AG79" s="4"/>
      <c r="AJ79" s="4"/>
      <c r="AK79" s="4"/>
      <c r="AL79" s="4"/>
      <c r="AM79" s="4"/>
      <c r="AN79" s="4"/>
      <c r="AO79" s="4"/>
      <c r="AT79" s="61" t="str">
        <f>B79</f>
        <v>Extreme 17 Summer</v>
      </c>
      <c r="AU79" s="61">
        <f>AE79</f>
        <v>2724.0107598595391</v>
      </c>
      <c r="AW79" s="65"/>
      <c r="BB79" s="65"/>
    </row>
    <row r="80" spans="1:54" s="61" customFormat="1" hidden="1" x14ac:dyDescent="0.2">
      <c r="A80" s="66">
        <v>2</v>
      </c>
      <c r="B80" s="66" t="str">
        <f>E10</f>
        <v>Foothills 17</v>
      </c>
      <c r="C80" s="66">
        <f>VLOOKUP(B80,AU$3:BB$33,3,FALSE)</f>
        <v>2470.5768512788477</v>
      </c>
      <c r="D80" s="66">
        <f>IF(B73,B87,IF(D73,D87,C80))</f>
        <v>2492.5271016574075</v>
      </c>
      <c r="E80" s="66"/>
      <c r="F80" s="66"/>
      <c r="G80" s="66">
        <f>IF(E73,E87,IF(G73,G87,D80))</f>
        <v>2492.5271016574075</v>
      </c>
      <c r="H80" s="66"/>
      <c r="I80" s="66"/>
      <c r="J80" s="66">
        <f>IF(H73,H87,IF(J73,J87,G80))</f>
        <v>2492.5271016574075</v>
      </c>
      <c r="K80" s="66"/>
      <c r="L80" s="66"/>
      <c r="M80" s="66">
        <f>IF(K73,K87,IF(M73,M87,J80))</f>
        <v>2466.7880823362857</v>
      </c>
      <c r="N80" s="66"/>
      <c r="O80" s="66"/>
      <c r="P80" s="66">
        <f>IF(N73,N87,IF(P73,P87,M80))</f>
        <v>2466.7880823362857</v>
      </c>
      <c r="Q80" s="66"/>
      <c r="R80" s="66"/>
      <c r="S80" s="66">
        <f>IF(Q73,Q87,IF(S73,S87,P80))</f>
        <v>2466.7880823362857</v>
      </c>
      <c r="T80" s="66"/>
      <c r="U80" s="66"/>
      <c r="V80" s="66">
        <f>IF(T73,T87,IF(V73,V87,S80))</f>
        <v>2431.6999443245563</v>
      </c>
      <c r="W80" s="66"/>
      <c r="X80" s="66"/>
      <c r="Y80" s="66">
        <f>IF(W73,W87,IF(Y73,Y87,V80))</f>
        <v>2431.6999443245563</v>
      </c>
      <c r="Z80" s="66"/>
      <c r="AA80" s="66"/>
      <c r="AB80" s="66">
        <f>IF(Z73,Z87,IF(AB73,AB87,Y80))</f>
        <v>2431.6999443245563</v>
      </c>
      <c r="AC80" s="66"/>
      <c r="AD80" s="66"/>
      <c r="AE80" s="66">
        <f>IF(AC73,AC87,IF(AE73,AE87,AB80))</f>
        <v>2421.1436762985313</v>
      </c>
      <c r="AF80" s="4"/>
      <c r="AG80" s="4"/>
      <c r="AJ80" s="4"/>
      <c r="AL80" s="4"/>
      <c r="AM80" s="4"/>
      <c r="AN80" s="4"/>
      <c r="AO80" s="4"/>
      <c r="AT80" s="61" t="str">
        <f>B80</f>
        <v>Foothills 17</v>
      </c>
      <c r="AU80" s="61">
        <f>AE80</f>
        <v>2421.1436762985313</v>
      </c>
      <c r="AW80" s="65"/>
      <c r="BB80" s="65"/>
    </row>
    <row r="81" spans="1:54" s="61" customFormat="1" hidden="1" x14ac:dyDescent="0.2">
      <c r="A81" s="66">
        <v>3</v>
      </c>
      <c r="B81" s="66" t="str">
        <f>E12</f>
        <v>united vbc 17 u</v>
      </c>
      <c r="C81" s="66">
        <f>VLOOKUP(B81,AU$3:BB$33,3,FALSE)</f>
        <v>2456.2391071311727</v>
      </c>
      <c r="D81" s="66">
        <f>IF(B74,B87,IF(D74,D87,C81))</f>
        <v>2456.2391071311727</v>
      </c>
      <c r="E81" s="66"/>
      <c r="F81" s="66"/>
      <c r="G81" s="66">
        <f>IF(E74,E87,IF(G74,G87,D81))</f>
        <v>2456.2391071311727</v>
      </c>
      <c r="H81" s="66"/>
      <c r="I81" s="66"/>
      <c r="J81" s="66">
        <f>IF(H74,H87,IF(J74,J87,G81))</f>
        <v>2445.5617919986835</v>
      </c>
      <c r="K81" s="66"/>
      <c r="L81" s="66"/>
      <c r="M81" s="66">
        <f>IF(K74,K87,IF(M74,M87,J81))</f>
        <v>2445.5617919986835</v>
      </c>
      <c r="N81" s="66"/>
      <c r="O81" s="66"/>
      <c r="P81" s="66">
        <f>IF(N74,N87,IF(P74,P87,M81))</f>
        <v>2433.1543781606606</v>
      </c>
      <c r="Q81" s="66"/>
      <c r="R81" s="66"/>
      <c r="S81" s="66">
        <f>IF(Q74,Q87,IF(S74,S87,P81))</f>
        <v>2433.1543781606606</v>
      </c>
      <c r="T81" s="66"/>
      <c r="U81" s="66"/>
      <c r="V81" s="66">
        <f>IF(T74,T87,IF(V74,V87,S81))</f>
        <v>2468.24251617239</v>
      </c>
      <c r="W81" s="66"/>
      <c r="X81" s="66"/>
      <c r="Y81" s="66">
        <f>IF(W74,W87,IF(Y74,Y87,V81))</f>
        <v>2468.24251617239</v>
      </c>
      <c r="Z81" s="66"/>
      <c r="AA81" s="66"/>
      <c r="AB81" s="66">
        <f>IF(Z74,Z87,IF(AB74,AB87,Y81))</f>
        <v>2445.180627308283</v>
      </c>
      <c r="AC81" s="66"/>
      <c r="AD81" s="66"/>
      <c r="AE81" s="66">
        <f>IF(AC74,AC87,IF(AE74,AE87,AB81))</f>
        <v>2445.180627308283</v>
      </c>
      <c r="AF81" s="4"/>
      <c r="AG81" s="4"/>
      <c r="AJ81" s="4"/>
      <c r="AL81" s="4"/>
      <c r="AM81" s="4"/>
      <c r="AN81" s="4"/>
      <c r="AO81" s="4"/>
      <c r="AT81" s="61" t="str">
        <f>B81</f>
        <v>united vbc 17 u</v>
      </c>
      <c r="AU81" s="61">
        <f>AE81</f>
        <v>2445.180627308283</v>
      </c>
      <c r="AW81" s="65"/>
      <c r="BB81" s="65"/>
    </row>
    <row r="82" spans="1:54" s="61" customFormat="1" hidden="1" x14ac:dyDescent="0.2">
      <c r="A82" s="66">
        <v>4</v>
      </c>
      <c r="B82" s="66" t="str">
        <f>E14</f>
        <v>NETVC 17Tori</v>
      </c>
      <c r="C82" s="66">
        <f>VLOOKUP(B82,AU$3:BB$33,3,FALSE)</f>
        <v>2585.9181415798507</v>
      </c>
      <c r="D82" s="66">
        <f>IF(B75,B87,IF(D75,D87,C82))</f>
        <v>2585.9181415798507</v>
      </c>
      <c r="E82" s="66"/>
      <c r="F82" s="66"/>
      <c r="G82" s="66">
        <f>IF(E75,E87,IF(G75,G87,D82))</f>
        <v>2561.3927422493543</v>
      </c>
      <c r="H82" s="66"/>
      <c r="I82" s="66"/>
      <c r="J82" s="66">
        <f>IF(H75,H87,IF(J75,J87,G82))</f>
        <v>2561.3927422493543</v>
      </c>
      <c r="K82" s="66"/>
      <c r="L82" s="66"/>
      <c r="M82" s="66">
        <f>IF(K75,K87,IF(M75,M87,J82))</f>
        <v>2587.1317615704761</v>
      </c>
      <c r="N82" s="66"/>
      <c r="O82" s="66"/>
      <c r="P82" s="66">
        <f>IF(N75,N87,IF(P75,P87,M82))</f>
        <v>2587.1317615704761</v>
      </c>
      <c r="Q82" s="66"/>
      <c r="R82" s="66"/>
      <c r="S82" s="66">
        <f>IF(Q75,Q87,IF(S75,S87,P82))</f>
        <v>2567.9356864631559</v>
      </c>
      <c r="T82" s="66"/>
      <c r="U82" s="66"/>
      <c r="V82" s="66">
        <f>IF(T75,T87,IF(V75,V87,S82))</f>
        <v>2567.9356864631559</v>
      </c>
      <c r="W82" s="66"/>
      <c r="X82" s="66"/>
      <c r="Y82" s="66">
        <f>IF(W75,W87,IF(Y75,Y87,V82))</f>
        <v>2567.9356864631559</v>
      </c>
      <c r="Z82" s="66"/>
      <c r="AA82" s="66"/>
      <c r="AB82" s="66">
        <f>IF(Z75,Z87,IF(AB75,AB87,Y82))</f>
        <v>2590.9975753272629</v>
      </c>
      <c r="AC82" s="66"/>
      <c r="AD82" s="66"/>
      <c r="AE82" s="66">
        <f>IF(AC75,AC87,IF(AE75,AE87,AB82))</f>
        <v>2590.9975753272629</v>
      </c>
      <c r="AF82" s="4"/>
      <c r="AG82" s="4"/>
      <c r="AJ82" s="4"/>
      <c r="AL82" s="4"/>
      <c r="AM82" s="4"/>
      <c r="AN82" s="4"/>
      <c r="AO82" s="4"/>
      <c r="AT82" s="61" t="str">
        <f>B82</f>
        <v>NETVC 17Tori</v>
      </c>
      <c r="AU82" s="61">
        <f>AE82</f>
        <v>2590.9975753272629</v>
      </c>
      <c r="AW82" s="65"/>
      <c r="BB82" s="65"/>
    </row>
    <row r="83" spans="1:54" s="61" customFormat="1" hidden="1" x14ac:dyDescent="0.2">
      <c r="A83" s="66">
        <v>5</v>
      </c>
      <c r="B83" s="66" t="str">
        <f>E16</f>
        <v>BVA 17 Regional</v>
      </c>
      <c r="C83" s="66">
        <f>VLOOKUP(B83,AU$3:BB$33,3,FALSE)</f>
        <v>2357.647276975752</v>
      </c>
      <c r="D83" s="66">
        <f>IF(B76,B87,IF(D76,D87,C83))</f>
        <v>2335.6970265971922</v>
      </c>
      <c r="E83" s="66"/>
      <c r="F83" s="66"/>
      <c r="G83" s="66">
        <f>IF(E76,E87,IF(G76,G87,D83))</f>
        <v>2335.6970265971922</v>
      </c>
      <c r="H83" s="66"/>
      <c r="I83" s="66"/>
      <c r="J83" s="66">
        <f>IF(H76,H87,IF(J76,J87,G83))</f>
        <v>2346.3743417296814</v>
      </c>
      <c r="K83" s="66"/>
      <c r="L83" s="66"/>
      <c r="M83" s="66">
        <f>IF(K76,K87,IF(M76,M87,J83))</f>
        <v>2346.3743417296814</v>
      </c>
      <c r="N83" s="66"/>
      <c r="O83" s="66"/>
      <c r="P83" s="66">
        <f>IF(N76,N87,IF(P76,P87,M83))</f>
        <v>2346.3743417296814</v>
      </c>
      <c r="Q83" s="66"/>
      <c r="R83" s="66"/>
      <c r="S83" s="66">
        <f>IF(Q76,Q87,IF(S76,S87,P83))</f>
        <v>2365.5704168370016</v>
      </c>
      <c r="T83" s="66"/>
      <c r="U83" s="66"/>
      <c r="V83" s="66">
        <f>IF(T76,T87,IF(V76,V87,S83))</f>
        <v>2365.5704168370016</v>
      </c>
      <c r="W83" s="66"/>
      <c r="X83" s="66"/>
      <c r="Y83" s="66">
        <f>IF(W76,W87,IF(Y76,Y87,V83))</f>
        <v>2357.647542906569</v>
      </c>
      <c r="Z83" s="66"/>
      <c r="AA83" s="66"/>
      <c r="AB83" s="66">
        <f>IF(Z76,Z87,IF(AB76,AB87,Y83))</f>
        <v>2357.647542906569</v>
      </c>
      <c r="AC83" s="66"/>
      <c r="AD83" s="66"/>
      <c r="AE83" s="66">
        <f>IF(AC76,AC87,IF(AE76,AE87,AB83))</f>
        <v>2357.647542906569</v>
      </c>
      <c r="AF83" s="4"/>
      <c r="AG83" s="4"/>
      <c r="AJ83" s="4"/>
      <c r="AL83" s="4"/>
      <c r="AM83" s="4"/>
      <c r="AN83" s="4"/>
      <c r="AO83" s="4"/>
      <c r="AT83" s="61" t="str">
        <f>B83</f>
        <v>BVA 17 Regional</v>
      </c>
      <c r="AU83" s="61">
        <f>AE83</f>
        <v>2357.647542906569</v>
      </c>
      <c r="AW83" s="65"/>
      <c r="BB83" s="65"/>
    </row>
    <row r="84" spans="1:54" s="61" customFormat="1" hidden="1" x14ac:dyDescent="0.2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4"/>
      <c r="AG84" s="4"/>
      <c r="AJ84" s="4"/>
      <c r="AL84" s="4"/>
      <c r="AM84" s="4"/>
      <c r="AN84" s="4"/>
      <c r="AO84" s="4"/>
      <c r="AW84" s="65"/>
      <c r="BB84" s="65"/>
    </row>
    <row r="85" spans="1:54" s="61" customFormat="1" hidden="1" x14ac:dyDescent="0.2">
      <c r="A85" s="66" t="s">
        <v>89</v>
      </c>
      <c r="B85" s="66">
        <f>VLOOKUP(B24,$A79:$AE83,3,FALSE)</f>
        <v>2470.5768512788477</v>
      </c>
      <c r="C85" s="66">
        <v>1</v>
      </c>
      <c r="D85" s="66">
        <f>VLOOKUP(D24,$A79:$AE83,3,FALSE)</f>
        <v>2357.647276975752</v>
      </c>
      <c r="E85" s="66">
        <f>VLOOKUP(E24,$A79:$AE83,4,FALSE)</f>
        <v>2668.5988047345622</v>
      </c>
      <c r="F85" s="66">
        <v>2</v>
      </c>
      <c r="G85" s="66">
        <f>VLOOKUP(G24,$A79:$AE83,4,FALSE)</f>
        <v>2585.9181415798507</v>
      </c>
      <c r="H85" s="66">
        <f>VLOOKUP(H24,$A79:$AE83,7,FALSE)</f>
        <v>2456.2391071311727</v>
      </c>
      <c r="I85" s="66">
        <v>3</v>
      </c>
      <c r="J85" s="66">
        <f>VLOOKUP(J24,$A79:$AE83,7,FALSE)</f>
        <v>2335.6970265971922</v>
      </c>
      <c r="K85" s="66">
        <f>VLOOKUP(K24,$A79:$AE83,10,FALSE)</f>
        <v>2492.5271016574075</v>
      </c>
      <c r="L85" s="66">
        <v>4</v>
      </c>
      <c r="M85" s="66">
        <f>VLOOKUP(M24,$A79:$AE83,10,FALSE)</f>
        <v>2561.3927422493543</v>
      </c>
      <c r="N85" s="66">
        <f>VLOOKUP(N24,$A79:$AE83,13,FALSE)</f>
        <v>2693.1242040650586</v>
      </c>
      <c r="O85" s="66">
        <v>5</v>
      </c>
      <c r="P85" s="66">
        <f>VLOOKUP(P24,$A79:$AE83,13,FALSE)</f>
        <v>2445.5617919986835</v>
      </c>
      <c r="Q85" s="66">
        <f>VLOOKUP(Q24,$A79:$AE83,16,FALSE)</f>
        <v>2587.1317615704761</v>
      </c>
      <c r="R85" s="66">
        <v>6</v>
      </c>
      <c r="S85" s="66">
        <f>VLOOKUP(S24,$A79:$AE83,16,FALSE)</f>
        <v>2346.3743417296814</v>
      </c>
      <c r="T85" s="66">
        <f>VLOOKUP(T24,$A79:$AE83,19,FALSE)</f>
        <v>2466.7880823362857</v>
      </c>
      <c r="U85" s="66">
        <v>7</v>
      </c>
      <c r="V85" s="66">
        <f>VLOOKUP(V24,$A79:$AE83,19,FALSE)</f>
        <v>2433.1543781606606</v>
      </c>
      <c r="W85" s="66">
        <f>VLOOKUP(W24,$A79:$AE83,22,FALSE)</f>
        <v>2705.5316179030815</v>
      </c>
      <c r="X85" s="66">
        <v>8</v>
      </c>
      <c r="Y85" s="66">
        <f>VLOOKUP(Y24,$A79:$AE83,22,FALSE)</f>
        <v>2365.5704168370016</v>
      </c>
      <c r="Z85" s="66">
        <f>VLOOKUP(Z24,$A79:$AE83,25,FALSE)</f>
        <v>2468.24251617239</v>
      </c>
      <c r="AA85" s="66">
        <v>9</v>
      </c>
      <c r="AB85" s="66">
        <f>VLOOKUP(AB24,$A79:$AE83,25,FALSE)</f>
        <v>2567.9356864631559</v>
      </c>
      <c r="AC85" s="66">
        <f>VLOOKUP(AC24,$A79:$AE83,28,FALSE)</f>
        <v>2713.4544918335141</v>
      </c>
      <c r="AD85" s="66">
        <v>10</v>
      </c>
      <c r="AE85" s="66">
        <f>VLOOKUP(AE24,$A79:$AE83,28,FALSE)</f>
        <v>2431.6999443245563</v>
      </c>
      <c r="AF85" s="4"/>
      <c r="AG85" s="59"/>
      <c r="AH85" s="59"/>
      <c r="AI85" s="59"/>
      <c r="AJ85" s="59"/>
      <c r="AK85" s="59"/>
      <c r="AL85" s="59"/>
      <c r="AM85" s="59"/>
      <c r="AN85" s="60"/>
      <c r="AO85" s="60"/>
      <c r="AP85" s="60"/>
      <c r="AQ85" s="60"/>
      <c r="AW85" s="65"/>
      <c r="BB85" s="65"/>
    </row>
    <row r="86" spans="1:54" s="71" customFormat="1" hidden="1" x14ac:dyDescent="0.2">
      <c r="A86" s="67" t="s">
        <v>90</v>
      </c>
      <c r="B86" s="67">
        <f>1/(1+(10^-((B85-D85)/400)))*(B36+D36)</f>
        <v>1.3140546756700036</v>
      </c>
      <c r="C86" s="67"/>
      <c r="D86" s="67">
        <f>1/(1+(10^-((D85-B85)/400)))*(B36+D36)</f>
        <v>0.68594532432999622</v>
      </c>
      <c r="E86" s="67">
        <f>1/(1+(10^-((E85-G85)/400)))*(E36+G36)</f>
        <v>1.2335812709219887</v>
      </c>
      <c r="F86" s="67"/>
      <c r="G86" s="67">
        <f>1/(1+(10^-((G85-E85)/400)))*(E36+G36)</f>
        <v>0.76641872907801123</v>
      </c>
      <c r="H86" s="67">
        <f>1/(1+(10^-((H85-J85)/400)))*(H36+J36)</f>
        <v>1.3336660978902872</v>
      </c>
      <c r="I86" s="67"/>
      <c r="J86" s="67">
        <f>1/(1+(10^-((J85-H85)/400)))*(H36+J36)</f>
        <v>0.66633390210971277</v>
      </c>
      <c r="K86" s="67">
        <f>1/(1+(10^-((K85-M85)/400)))*(K36+M36)</f>
        <v>0.80434435378506142</v>
      </c>
      <c r="L86" s="67"/>
      <c r="M86" s="67">
        <f>1/(1+(10^-((M85-K85)/400)))*(K36+M36)</f>
        <v>1.1956556462149386</v>
      </c>
      <c r="N86" s="67">
        <f>1/(1+(10^-((N85-P85)/400)))*(N36+P36)</f>
        <v>1.6122683175617789</v>
      </c>
      <c r="O86" s="67"/>
      <c r="P86" s="67">
        <f>1/(1+(10^-((P85-N85)/400)))*(N36+P36)</f>
        <v>0.38773168243822093</v>
      </c>
      <c r="Q86" s="67">
        <f>1/(1+(10^-((Q85-S85)/400)))*(Q36+S36)</f>
        <v>1.5998773471037562</v>
      </c>
      <c r="R86" s="67"/>
      <c r="S86" s="67">
        <f>1/(1+(10^-((S85-Q85)/400)))*(Q36+S36)</f>
        <v>0.40012265289624382</v>
      </c>
      <c r="T86" s="67">
        <f>1/(1+(10^-((T85-V85)/400)))*(T36+V36)</f>
        <v>1.0965043128665386</v>
      </c>
      <c r="U86" s="67"/>
      <c r="V86" s="67">
        <f>1/(1+(10^-((V85-T85)/400)))*(T36+V36)</f>
        <v>0.90349568713346151</v>
      </c>
      <c r="W86" s="67">
        <f>1/(1+(10^-((W85-Y85)/400)))*(W36+Y36)</f>
        <v>1.7524101896739785</v>
      </c>
      <c r="X86" s="67"/>
      <c r="Y86" s="67">
        <f>1/(1+(10^-((Y85-W85)/400)))*(W36+Y36)</f>
        <v>0.24758981032602145</v>
      </c>
      <c r="Z86" s="67">
        <f>1/(1+(10^-((Z85-AB85)/400)))*(Z36+AB36)</f>
        <v>0.72068402700334022</v>
      </c>
      <c r="AA86" s="67"/>
      <c r="AB86" s="67">
        <f>1/(1+(10^-((AB85-Z85)/400)))*(Z36+AB36)</f>
        <v>1.2793159729966599</v>
      </c>
      <c r="AC86" s="67">
        <f>1/(1+(10^-((AC85-AE85)/400)))*(AC36+AE36)</f>
        <v>1.6701166241867136</v>
      </c>
      <c r="AD86" s="67"/>
      <c r="AE86" s="67">
        <f>1/(1+(10^-((AE85-AC85)/400)))*(AC36+AE36)</f>
        <v>0.32988337581328658</v>
      </c>
      <c r="AF86" s="68"/>
      <c r="AG86" s="69"/>
      <c r="AH86" s="69"/>
      <c r="AI86" s="69"/>
      <c r="AJ86" s="69"/>
      <c r="AK86" s="69"/>
      <c r="AL86" s="69"/>
      <c r="AM86" s="69"/>
      <c r="AN86" s="70"/>
      <c r="AO86" s="70"/>
      <c r="AP86" s="70"/>
      <c r="AQ86" s="70"/>
      <c r="AW86" s="72"/>
      <c r="BB86" s="72"/>
    </row>
    <row r="87" spans="1:54" s="77" customFormat="1" hidden="1" x14ac:dyDescent="0.2">
      <c r="A87" s="73" t="s">
        <v>91</v>
      </c>
      <c r="B87" s="73">
        <f>B85+(B36-B86)*$BA$1</f>
        <v>2492.5271016574075</v>
      </c>
      <c r="C87" s="73"/>
      <c r="D87" s="73">
        <f>D85+(D36-D86)*$BA$1</f>
        <v>2335.6970265971922</v>
      </c>
      <c r="E87" s="73">
        <f>E85+(E36-E86)*$BA$1</f>
        <v>2693.1242040650586</v>
      </c>
      <c r="F87" s="73"/>
      <c r="G87" s="73">
        <f>G85+(G36-G86)*$BA$1</f>
        <v>2561.3927422493543</v>
      </c>
      <c r="H87" s="73">
        <f>H85+(H36-H86)*$BA$1</f>
        <v>2445.5617919986835</v>
      </c>
      <c r="I87" s="73"/>
      <c r="J87" s="73">
        <f>J85+(J36-J86)*$BA$1</f>
        <v>2346.3743417296814</v>
      </c>
      <c r="K87" s="73">
        <f>K85+(K36-K86)*$BA$1</f>
        <v>2466.7880823362857</v>
      </c>
      <c r="L87" s="73"/>
      <c r="M87" s="73">
        <f>M85+(M36-M86)*$BA$1</f>
        <v>2587.1317615704761</v>
      </c>
      <c r="N87" s="73">
        <f>N85+(N36-N86)*$BA$1</f>
        <v>2705.5316179030815</v>
      </c>
      <c r="O87" s="73"/>
      <c r="P87" s="73">
        <f>P85+(P36-P86)*$BA$1</f>
        <v>2433.1543781606606</v>
      </c>
      <c r="Q87" s="73">
        <f>Q85+(Q36-Q86)*$BA$1</f>
        <v>2567.9356864631559</v>
      </c>
      <c r="R87" s="73"/>
      <c r="S87" s="73">
        <f>S85+(S36-S86)*$BA$1</f>
        <v>2365.5704168370016</v>
      </c>
      <c r="T87" s="73">
        <f>T85+(T36-T86)*$BA$1</f>
        <v>2431.6999443245563</v>
      </c>
      <c r="U87" s="73"/>
      <c r="V87" s="73">
        <f>V85+(V36-V86)*$BA$1</f>
        <v>2468.24251617239</v>
      </c>
      <c r="W87" s="73">
        <f>W85+(W36-W86)*$BA$1</f>
        <v>2713.4544918335141</v>
      </c>
      <c r="X87" s="73"/>
      <c r="Y87" s="73">
        <f>Y85+(Y36-Y86)*$BA$1</f>
        <v>2357.647542906569</v>
      </c>
      <c r="Z87" s="73">
        <f>Z85+(Z36-Z86)*$BA$1</f>
        <v>2445.180627308283</v>
      </c>
      <c r="AA87" s="73"/>
      <c r="AB87" s="73">
        <f>AB85+(AB36-AB86)*$BA$1</f>
        <v>2590.9975753272629</v>
      </c>
      <c r="AC87" s="73">
        <f>AC85+(AC36-AC86)*$BA$1</f>
        <v>2724.0107598595391</v>
      </c>
      <c r="AD87" s="73"/>
      <c r="AE87" s="73">
        <f>AE85+(AE36-AE86)*$BA$1</f>
        <v>2421.1436762985313</v>
      </c>
      <c r="AF87" s="74"/>
      <c r="AG87" s="75"/>
      <c r="AH87" s="75"/>
      <c r="AI87" s="75"/>
      <c r="AJ87" s="75"/>
      <c r="AK87" s="75"/>
      <c r="AL87" s="75"/>
      <c r="AM87" s="75"/>
      <c r="AN87" s="76"/>
      <c r="AO87" s="76"/>
      <c r="AP87" s="76"/>
      <c r="AQ87" s="76"/>
      <c r="AW87" s="78"/>
      <c r="BB87" s="78"/>
    </row>
    <row r="88" spans="1:54" s="77" customFormat="1" hidden="1" x14ac:dyDescent="0.2">
      <c r="A88" s="73"/>
      <c r="B88" s="73"/>
      <c r="C88" s="73"/>
      <c r="D88" s="73"/>
      <c r="E88" s="73"/>
      <c r="F88" s="73"/>
      <c r="G88" s="73"/>
      <c r="H88" s="73"/>
      <c r="I88" s="73"/>
      <c r="J88" s="73"/>
      <c r="K88" s="73"/>
      <c r="L88" s="73"/>
      <c r="M88" s="73"/>
      <c r="N88" s="73"/>
      <c r="O88" s="73"/>
      <c r="P88" s="73"/>
      <c r="Q88" s="73"/>
      <c r="R88" s="73"/>
      <c r="S88" s="73"/>
      <c r="T88" s="73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3"/>
      <c r="AF88" s="74"/>
      <c r="AG88" s="75"/>
      <c r="AH88" s="75"/>
      <c r="AI88" s="75"/>
      <c r="AJ88" s="75"/>
      <c r="AK88" s="75"/>
      <c r="AL88" s="75"/>
      <c r="AM88" s="75"/>
      <c r="AN88" s="76"/>
      <c r="AO88" s="76"/>
      <c r="AP88" s="76"/>
      <c r="AQ88" s="76"/>
      <c r="AW88" s="78"/>
      <c r="BB88" s="78"/>
    </row>
    <row r="89" spans="1:54" s="61" customFormat="1" x14ac:dyDescent="0.2">
      <c r="A89" s="790" t="str">
        <f>IF($AK10=1,"Pool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89" s="790"/>
      <c r="C89" s="790"/>
      <c r="D89" s="790"/>
      <c r="E89" s="790"/>
      <c r="F89" s="790"/>
      <c r="G89" s="790"/>
      <c r="H89" s="790"/>
      <c r="I89" s="790"/>
      <c r="J89" s="790"/>
      <c r="K89" s="790"/>
      <c r="L89" s="790"/>
      <c r="M89" s="790"/>
      <c r="N89" s="790"/>
      <c r="O89" s="790"/>
      <c r="P89" s="790"/>
      <c r="Q89" s="790"/>
      <c r="R89" s="790"/>
      <c r="S89" s="790"/>
      <c r="T89" s="790"/>
      <c r="U89" s="790"/>
      <c r="V89" s="790"/>
      <c r="W89" s="790"/>
      <c r="X89" s="790"/>
      <c r="Y89" s="790"/>
      <c r="Z89" s="790"/>
      <c r="AA89" s="790"/>
      <c r="AB89" s="790"/>
      <c r="AC89" s="790"/>
      <c r="AD89" s="790"/>
      <c r="AE89" s="790"/>
      <c r="AF89" s="790"/>
      <c r="AG89" s="790"/>
      <c r="AH89" s="790"/>
      <c r="AI89" s="790"/>
      <c r="AJ89" s="790"/>
      <c r="AK89" s="790"/>
      <c r="AL89" s="790"/>
      <c r="AM89" s="790"/>
      <c r="AN89" s="768"/>
      <c r="AO89" s="768"/>
      <c r="AP89" s="768"/>
      <c r="AQ89" s="768"/>
      <c r="AW89" s="65"/>
    </row>
    <row r="90" spans="1:54" s="61" customFormat="1" ht="13.5" thickBot="1" x14ac:dyDescent="0.25">
      <c r="A90" s="791"/>
      <c r="B90" s="791"/>
      <c r="C90" s="791"/>
      <c r="D90" s="791"/>
      <c r="E90" s="791"/>
      <c r="F90" s="791"/>
      <c r="G90" s="791"/>
      <c r="H90" s="791"/>
      <c r="I90" s="791"/>
      <c r="J90" s="791"/>
      <c r="K90" s="791"/>
      <c r="L90" s="791"/>
      <c r="M90" s="791"/>
      <c r="N90" s="791"/>
      <c r="O90" s="791"/>
      <c r="P90" s="791"/>
      <c r="Q90" s="791"/>
      <c r="R90" s="791"/>
      <c r="S90" s="791"/>
      <c r="T90" s="791"/>
      <c r="U90" s="791"/>
      <c r="V90" s="791"/>
      <c r="W90" s="791"/>
      <c r="X90" s="791"/>
      <c r="Y90" s="791"/>
      <c r="Z90" s="791"/>
      <c r="AA90" s="791"/>
      <c r="AB90" s="791"/>
      <c r="AC90" s="791"/>
      <c r="AD90" s="791"/>
      <c r="AE90" s="791"/>
      <c r="AF90" s="791"/>
      <c r="AG90" s="791"/>
      <c r="AH90" s="791"/>
      <c r="AI90" s="791"/>
      <c r="AJ90" s="791"/>
      <c r="AK90" s="791"/>
      <c r="AL90" s="791"/>
      <c r="AM90" s="791"/>
      <c r="AN90" s="791"/>
      <c r="AO90" s="791"/>
      <c r="AP90" s="791"/>
      <c r="AQ90" s="791"/>
      <c r="AW90" s="65"/>
    </row>
    <row r="91" spans="1:54" ht="24" customHeight="1" thickBot="1" x14ac:dyDescent="0.25">
      <c r="A91" s="22" t="s">
        <v>22</v>
      </c>
      <c r="B91" s="23" t="s">
        <v>92</v>
      </c>
      <c r="C91" s="862" t="s">
        <v>24</v>
      </c>
      <c r="D91" s="863"/>
      <c r="E91" s="863"/>
      <c r="F91" s="863"/>
      <c r="G91" s="863"/>
      <c r="H91" s="864"/>
      <c r="I91" s="865">
        <v>2</v>
      </c>
      <c r="J91" s="866"/>
      <c r="K91" s="867" t="str">
        <f>"Pool "&amp;B91&amp;" - Round 1 - Court "&amp;I91</f>
        <v>Pool B - Round 1 - Court 2</v>
      </c>
      <c r="L91" s="868"/>
      <c r="M91" s="868"/>
      <c r="N91" s="868"/>
      <c r="O91" s="868"/>
      <c r="P91" s="868"/>
      <c r="Q91" s="868"/>
      <c r="R91" s="868"/>
      <c r="S91" s="868"/>
      <c r="T91" s="868"/>
      <c r="U91" s="868"/>
      <c r="V91" s="868"/>
      <c r="W91" s="868"/>
      <c r="X91" s="868"/>
      <c r="Y91" s="868"/>
      <c r="Z91" s="868"/>
      <c r="AA91" s="868"/>
      <c r="AB91" s="868"/>
      <c r="AC91" s="868"/>
      <c r="AD91" s="868"/>
      <c r="AE91" s="868"/>
      <c r="AF91" s="868"/>
      <c r="AG91" s="868"/>
      <c r="AH91" s="868"/>
      <c r="AI91" s="869"/>
      <c r="AJ91" s="11"/>
      <c r="AK91" s="11"/>
      <c r="AL91" s="11"/>
      <c r="AM91" s="11"/>
      <c r="AN91" s="11"/>
      <c r="AO91" s="11"/>
      <c r="AP91" s="11"/>
      <c r="AQ91" s="11"/>
    </row>
    <row r="92" spans="1:54" ht="27" customHeight="1" thickBot="1" x14ac:dyDescent="0.25">
      <c r="A92" s="24" t="s">
        <v>25</v>
      </c>
      <c r="B92" s="870" t="s">
        <v>7</v>
      </c>
      <c r="C92" s="871"/>
      <c r="D92" s="871"/>
      <c r="E92" s="871"/>
      <c r="F92" s="871"/>
      <c r="G92" s="871"/>
      <c r="H92" s="871"/>
      <c r="I92" s="871"/>
      <c r="J92" s="871"/>
      <c r="K92" s="871"/>
      <c r="L92" s="870" t="str">
        <f>IF($AK95=0,"Games Won","Matches Won")</f>
        <v>Games Won</v>
      </c>
      <c r="M92" s="871"/>
      <c r="N92" s="871"/>
      <c r="O92" s="871"/>
      <c r="P92" s="871"/>
      <c r="Q92" s="872"/>
      <c r="R92" s="870" t="str">
        <f>IF($AK95=0,"Games Lost","Matches Lost")</f>
        <v>Games Lost</v>
      </c>
      <c r="S92" s="873"/>
      <c r="T92" s="873"/>
      <c r="U92" s="873"/>
      <c r="V92" s="874"/>
      <c r="W92" s="875" t="s">
        <v>26</v>
      </c>
      <c r="X92" s="876"/>
      <c r="Y92" s="877"/>
      <c r="Z92" s="875" t="s">
        <v>27</v>
      </c>
      <c r="AA92" s="876"/>
      <c r="AB92" s="877"/>
      <c r="AC92" s="878" t="s">
        <v>28</v>
      </c>
      <c r="AD92" s="879"/>
      <c r="AE92" s="880"/>
      <c r="AF92" s="25" t="s">
        <v>29</v>
      </c>
      <c r="AG92" s="26" t="s">
        <v>6</v>
      </c>
      <c r="AH92" s="860" t="s">
        <v>30</v>
      </c>
      <c r="AI92" s="861"/>
      <c r="AJ92" s="27"/>
      <c r="AK92" s="28">
        <v>2</v>
      </c>
      <c r="AL92" s="29" t="s">
        <v>31</v>
      </c>
      <c r="AM92" s="29"/>
      <c r="AN92" s="29"/>
      <c r="AO92" s="29"/>
      <c r="AP92" s="29"/>
      <c r="AQ92" s="29"/>
      <c r="AR92" s="30"/>
    </row>
    <row r="93" spans="1:54" ht="18.75" customHeight="1" x14ac:dyDescent="0.2">
      <c r="A93" s="829" t="str">
        <f>IF($AK94&gt;0,"1","")</f>
        <v>1</v>
      </c>
      <c r="B93" s="857" t="s">
        <v>7</v>
      </c>
      <c r="C93" s="858"/>
      <c r="D93" s="859"/>
      <c r="E93" s="833" t="str">
        <f>AU4</f>
        <v>SVBC Blazers 18</v>
      </c>
      <c r="F93" s="834"/>
      <c r="G93" s="834"/>
      <c r="H93" s="834"/>
      <c r="I93" s="834"/>
      <c r="J93" s="834"/>
      <c r="K93" s="835"/>
      <c r="L93" s="836">
        <f>IF($AK95=0,AF149,AF131)</f>
        <v>4</v>
      </c>
      <c r="M93" s="837"/>
      <c r="N93" s="837"/>
      <c r="O93" s="837"/>
      <c r="P93" s="837"/>
      <c r="Q93" s="872"/>
      <c r="R93" s="836">
        <f>IF($AK95=0,AG149,AG131)</f>
        <v>4</v>
      </c>
      <c r="S93" s="837"/>
      <c r="T93" s="837"/>
      <c r="U93" s="837"/>
      <c r="V93" s="837"/>
      <c r="W93" s="836">
        <f>AQ109</f>
        <v>-1</v>
      </c>
      <c r="X93" s="837"/>
      <c r="Y93" s="837"/>
      <c r="Z93" s="809">
        <f>IF(AF143&gt;0,(AQ109/AF143),0)</f>
        <v>-4.9504950495049506E-3</v>
      </c>
      <c r="AA93" s="810"/>
      <c r="AB93" s="810"/>
      <c r="AC93" s="813">
        <f>IF(AF157=0,0,(AF149/AF157))</f>
        <v>0.5</v>
      </c>
      <c r="AD93" s="814"/>
      <c r="AE93" s="815"/>
      <c r="AF93" s="819">
        <v>2</v>
      </c>
      <c r="AG93" s="819">
        <v>3</v>
      </c>
      <c r="AH93" s="821">
        <v>6</v>
      </c>
      <c r="AI93" s="822"/>
      <c r="AJ93" s="27"/>
      <c r="AK93" s="28">
        <v>10</v>
      </c>
      <c r="AL93" s="29" t="s">
        <v>32</v>
      </c>
      <c r="AM93" s="29"/>
      <c r="AN93" s="29"/>
      <c r="AO93" s="29"/>
      <c r="AP93" s="29"/>
      <c r="AQ93" s="29"/>
      <c r="AR93" s="30"/>
    </row>
    <row r="94" spans="1:54" ht="18.75" customHeight="1" thickBot="1" x14ac:dyDescent="0.25">
      <c r="A94" s="830"/>
      <c r="B94" s="854" t="s">
        <v>8</v>
      </c>
      <c r="C94" s="855"/>
      <c r="D94" s="856"/>
      <c r="E94" s="850" t="str">
        <f>AV4</f>
        <v>fj8sandh1pm</v>
      </c>
      <c r="F94" s="851"/>
      <c r="G94" s="851"/>
      <c r="H94" s="851"/>
      <c r="I94" s="851"/>
      <c r="J94" s="851"/>
      <c r="K94" s="851"/>
      <c r="L94" s="852"/>
      <c r="M94" s="853"/>
      <c r="N94" s="853"/>
      <c r="O94" s="853"/>
      <c r="P94" s="853"/>
      <c r="Q94" s="872"/>
      <c r="R94" s="852"/>
      <c r="S94" s="853"/>
      <c r="T94" s="853"/>
      <c r="U94" s="853"/>
      <c r="V94" s="853"/>
      <c r="W94" s="852"/>
      <c r="X94" s="853"/>
      <c r="Y94" s="853"/>
      <c r="Z94" s="840"/>
      <c r="AA94" s="841"/>
      <c r="AB94" s="841"/>
      <c r="AC94" s="842"/>
      <c r="AD94" s="843"/>
      <c r="AE94" s="844"/>
      <c r="AF94" s="845"/>
      <c r="AG94" s="845"/>
      <c r="AH94" s="846"/>
      <c r="AI94" s="847"/>
      <c r="AJ94" s="27"/>
      <c r="AK94" s="28">
        <v>5</v>
      </c>
      <c r="AL94" s="29" t="s">
        <v>33</v>
      </c>
      <c r="AM94" s="27"/>
      <c r="AN94" s="27"/>
      <c r="AO94" s="27"/>
      <c r="AP94" s="27"/>
      <c r="AQ94" s="27"/>
      <c r="AR94" s="3"/>
    </row>
    <row r="95" spans="1:54" ht="18.75" customHeight="1" x14ac:dyDescent="0.2">
      <c r="A95" s="829" t="str">
        <f>IF($AK94&gt;1,"2","")</f>
        <v>2</v>
      </c>
      <c r="B95" s="857" t="s">
        <v>7</v>
      </c>
      <c r="C95" s="858"/>
      <c r="D95" s="859"/>
      <c r="E95" s="833" t="str">
        <f>AU7</f>
        <v>Augusta Elite 17U</v>
      </c>
      <c r="F95" s="834"/>
      <c r="G95" s="834"/>
      <c r="H95" s="834"/>
      <c r="I95" s="834"/>
      <c r="J95" s="834"/>
      <c r="K95" s="835"/>
      <c r="L95" s="836">
        <f>IF($AK95=0,AF150,AF132)</f>
        <v>4</v>
      </c>
      <c r="M95" s="837"/>
      <c r="N95" s="837"/>
      <c r="O95" s="837"/>
      <c r="P95" s="837"/>
      <c r="Q95" s="872"/>
      <c r="R95" s="836">
        <f>IF($AK95=0,AG150,AG132)</f>
        <v>4</v>
      </c>
      <c r="S95" s="837"/>
      <c r="T95" s="837"/>
      <c r="U95" s="837"/>
      <c r="V95" s="837"/>
      <c r="W95" s="836">
        <f>AQ110</f>
        <v>-5</v>
      </c>
      <c r="X95" s="837"/>
      <c r="Y95" s="837"/>
      <c r="Z95" s="809">
        <f>IF(AF144&gt;0,(AQ110/AF144),0)</f>
        <v>-2.4875621890547265E-2</v>
      </c>
      <c r="AA95" s="810"/>
      <c r="AB95" s="810"/>
      <c r="AC95" s="813">
        <f>IF(AF158=0,0,(AF150/AF158))</f>
        <v>0.5</v>
      </c>
      <c r="AD95" s="814"/>
      <c r="AE95" s="815"/>
      <c r="AF95" s="819">
        <v>3</v>
      </c>
      <c r="AG95" s="819">
        <v>3</v>
      </c>
      <c r="AH95" s="821">
        <v>7</v>
      </c>
      <c r="AI95" s="822"/>
      <c r="AJ95" s="27"/>
      <c r="AK95" s="28">
        <v>0</v>
      </c>
      <c r="AL95" s="29" t="s">
        <v>34</v>
      </c>
      <c r="AM95" s="29"/>
      <c r="AN95" s="29"/>
      <c r="AO95" s="29"/>
      <c r="AP95" s="29"/>
      <c r="AQ95" s="29"/>
      <c r="AR95" s="30"/>
    </row>
    <row r="96" spans="1:54" ht="18.75" customHeight="1" thickBot="1" x14ac:dyDescent="0.25">
      <c r="A96" s="830"/>
      <c r="B96" s="848" t="s">
        <v>8</v>
      </c>
      <c r="C96" s="849"/>
      <c r="D96" s="849"/>
      <c r="E96" s="850" t="str">
        <f>AV7</f>
        <v>fj7aelit1pm</v>
      </c>
      <c r="F96" s="851"/>
      <c r="G96" s="851"/>
      <c r="H96" s="851"/>
      <c r="I96" s="851"/>
      <c r="J96" s="851"/>
      <c r="K96" s="851"/>
      <c r="L96" s="852"/>
      <c r="M96" s="853"/>
      <c r="N96" s="853"/>
      <c r="O96" s="853"/>
      <c r="P96" s="853"/>
      <c r="Q96" s="872"/>
      <c r="R96" s="852"/>
      <c r="S96" s="853"/>
      <c r="T96" s="853"/>
      <c r="U96" s="853"/>
      <c r="V96" s="853"/>
      <c r="W96" s="852"/>
      <c r="X96" s="853"/>
      <c r="Y96" s="853"/>
      <c r="Z96" s="840"/>
      <c r="AA96" s="841"/>
      <c r="AB96" s="841"/>
      <c r="AC96" s="842"/>
      <c r="AD96" s="843"/>
      <c r="AE96" s="844"/>
      <c r="AF96" s="845"/>
      <c r="AG96" s="845"/>
      <c r="AH96" s="846"/>
      <c r="AI96" s="847"/>
      <c r="AJ96" s="27"/>
      <c r="AK96" s="28">
        <v>1</v>
      </c>
      <c r="AL96" s="29" t="s">
        <v>35</v>
      </c>
      <c r="AM96" s="27"/>
      <c r="AN96" s="27"/>
      <c r="AO96" s="27"/>
      <c r="AP96" s="27"/>
      <c r="AQ96" s="27"/>
      <c r="AR96" s="3"/>
    </row>
    <row r="97" spans="1:44" ht="18.75" customHeight="1" x14ac:dyDescent="0.2">
      <c r="A97" s="829" t="str">
        <f>IF($AK94&gt;2,"3","")</f>
        <v>3</v>
      </c>
      <c r="B97" s="831" t="s">
        <v>7</v>
      </c>
      <c r="C97" s="832"/>
      <c r="D97" s="832"/>
      <c r="E97" s="833" t="str">
        <f>AU10</f>
        <v>CSRA Heat 17 Gold</v>
      </c>
      <c r="F97" s="834"/>
      <c r="G97" s="834"/>
      <c r="H97" s="834"/>
      <c r="I97" s="834"/>
      <c r="J97" s="834"/>
      <c r="K97" s="835"/>
      <c r="L97" s="836">
        <f>IF($AK95=0,AF151,AF133)</f>
        <v>1</v>
      </c>
      <c r="M97" s="837"/>
      <c r="N97" s="837"/>
      <c r="O97" s="837"/>
      <c r="P97" s="837"/>
      <c r="Q97" s="872"/>
      <c r="R97" s="836">
        <f>IF($AK95=0,AG151,AG133)</f>
        <v>7</v>
      </c>
      <c r="S97" s="837"/>
      <c r="T97" s="837"/>
      <c r="U97" s="837"/>
      <c r="V97" s="837"/>
      <c r="W97" s="836">
        <f>AQ111</f>
        <v>-47</v>
      </c>
      <c r="X97" s="837"/>
      <c r="Y97" s="837"/>
      <c r="Z97" s="809">
        <f>IF(AF145&gt;0,(AQ111/AF145),0)</f>
        <v>-0.23499999999999999</v>
      </c>
      <c r="AA97" s="810"/>
      <c r="AB97" s="810"/>
      <c r="AC97" s="813">
        <f>IF(AF159=0,0,(AF151/AF159))</f>
        <v>0.125</v>
      </c>
      <c r="AD97" s="814"/>
      <c r="AE97" s="815"/>
      <c r="AF97" s="819">
        <v>5</v>
      </c>
      <c r="AG97" s="819">
        <v>1</v>
      </c>
      <c r="AH97" s="821">
        <v>13</v>
      </c>
      <c r="AI97" s="822"/>
      <c r="AJ97" s="36"/>
      <c r="AK97" s="28">
        <v>8</v>
      </c>
      <c r="AL97" s="37" t="s">
        <v>36</v>
      </c>
      <c r="AM97" s="29"/>
      <c r="AN97" s="29"/>
      <c r="AO97" s="29"/>
      <c r="AP97" s="29"/>
      <c r="AQ97" s="29"/>
      <c r="AR97" s="30"/>
    </row>
    <row r="98" spans="1:44" ht="18.75" customHeight="1" thickBot="1" x14ac:dyDescent="0.25">
      <c r="A98" s="830"/>
      <c r="B98" s="848" t="s">
        <v>8</v>
      </c>
      <c r="C98" s="849"/>
      <c r="D98" s="849"/>
      <c r="E98" s="850" t="str">
        <f>AV10</f>
        <v>fj7csrah1pm</v>
      </c>
      <c r="F98" s="851"/>
      <c r="G98" s="851"/>
      <c r="H98" s="851"/>
      <c r="I98" s="851"/>
      <c r="J98" s="851"/>
      <c r="K98" s="851"/>
      <c r="L98" s="852"/>
      <c r="M98" s="853"/>
      <c r="N98" s="853"/>
      <c r="O98" s="853"/>
      <c r="P98" s="853"/>
      <c r="Q98" s="872"/>
      <c r="R98" s="852"/>
      <c r="S98" s="853"/>
      <c r="T98" s="853"/>
      <c r="U98" s="853"/>
      <c r="V98" s="853"/>
      <c r="W98" s="852"/>
      <c r="X98" s="853"/>
      <c r="Y98" s="853"/>
      <c r="Z98" s="840"/>
      <c r="AA98" s="841"/>
      <c r="AB98" s="841"/>
      <c r="AC98" s="842"/>
      <c r="AD98" s="843"/>
      <c r="AE98" s="844"/>
      <c r="AF98" s="845"/>
      <c r="AG98" s="845"/>
      <c r="AH98" s="846"/>
      <c r="AI98" s="847"/>
      <c r="AJ98" s="36"/>
      <c r="AK98" s="38"/>
      <c r="AL98" s="39"/>
      <c r="AM98" s="39"/>
      <c r="AN98" s="39"/>
      <c r="AO98" s="39"/>
      <c r="AP98" s="39"/>
      <c r="AQ98" s="27"/>
      <c r="AR98" s="3"/>
    </row>
    <row r="99" spans="1:44" ht="18.75" customHeight="1" x14ac:dyDescent="0.2">
      <c r="A99" s="829" t="str">
        <f>IF($AK94&gt;3,"4","")</f>
        <v>4</v>
      </c>
      <c r="B99" s="831" t="s">
        <v>7</v>
      </c>
      <c r="C99" s="832"/>
      <c r="D99" s="832"/>
      <c r="E99" s="833" t="str">
        <f>AU13</f>
        <v>KVC17-1</v>
      </c>
      <c r="F99" s="834"/>
      <c r="G99" s="834"/>
      <c r="H99" s="834"/>
      <c r="I99" s="834"/>
      <c r="J99" s="834"/>
      <c r="K99" s="835"/>
      <c r="L99" s="836">
        <f>IF($AK95=0,AF152,AF134)</f>
        <v>8</v>
      </c>
      <c r="M99" s="837"/>
      <c r="N99" s="837"/>
      <c r="O99" s="837"/>
      <c r="P99" s="837"/>
      <c r="Q99" s="872"/>
      <c r="R99" s="836">
        <f>IF($AK95=0,AG152,AG134)</f>
        <v>0</v>
      </c>
      <c r="S99" s="837"/>
      <c r="T99" s="837"/>
      <c r="U99" s="837"/>
      <c r="V99" s="837"/>
      <c r="W99" s="836">
        <f>AQ112</f>
        <v>65</v>
      </c>
      <c r="X99" s="837"/>
      <c r="Y99" s="837"/>
      <c r="Z99" s="809">
        <f>IF(AF146&gt;0,(AQ112/AF146),0)</f>
        <v>0.32500000000000001</v>
      </c>
      <c r="AA99" s="810"/>
      <c r="AB99" s="810"/>
      <c r="AC99" s="813">
        <f>IF(AF160=0,0,(AF152/AF160))</f>
        <v>1</v>
      </c>
      <c r="AD99" s="814"/>
      <c r="AE99" s="815"/>
      <c r="AF99" s="819">
        <v>1</v>
      </c>
      <c r="AG99" s="819">
        <v>1</v>
      </c>
      <c r="AH99" s="821">
        <v>2</v>
      </c>
      <c r="AI99" s="822"/>
      <c r="AJ99" s="11"/>
      <c r="AK99" s="39"/>
      <c r="AL99" s="39"/>
      <c r="AM99" s="39"/>
      <c r="AN99" s="39"/>
      <c r="AO99" s="39"/>
      <c r="AP99" s="39"/>
      <c r="AQ99" s="29"/>
      <c r="AR99" s="30"/>
    </row>
    <row r="100" spans="1:44" ht="18.75" customHeight="1" thickBot="1" x14ac:dyDescent="0.25">
      <c r="A100" s="830"/>
      <c r="B100" s="848" t="s">
        <v>8</v>
      </c>
      <c r="C100" s="849"/>
      <c r="D100" s="849"/>
      <c r="E100" s="850" t="str">
        <f>AV13</f>
        <v>fj7kvctn1so</v>
      </c>
      <c r="F100" s="851"/>
      <c r="G100" s="851"/>
      <c r="H100" s="851"/>
      <c r="I100" s="851"/>
      <c r="J100" s="851"/>
      <c r="K100" s="851"/>
      <c r="L100" s="852"/>
      <c r="M100" s="853"/>
      <c r="N100" s="853"/>
      <c r="O100" s="853"/>
      <c r="P100" s="853"/>
      <c r="Q100" s="872"/>
      <c r="R100" s="852"/>
      <c r="S100" s="853"/>
      <c r="T100" s="853"/>
      <c r="U100" s="853"/>
      <c r="V100" s="853"/>
      <c r="W100" s="852"/>
      <c r="X100" s="853"/>
      <c r="Y100" s="853"/>
      <c r="Z100" s="840"/>
      <c r="AA100" s="841"/>
      <c r="AB100" s="841"/>
      <c r="AC100" s="842"/>
      <c r="AD100" s="843"/>
      <c r="AE100" s="844"/>
      <c r="AF100" s="845"/>
      <c r="AG100" s="845"/>
      <c r="AH100" s="846"/>
      <c r="AI100" s="847"/>
      <c r="AJ100" s="11"/>
      <c r="AK100" s="39"/>
      <c r="AL100" s="39"/>
      <c r="AM100" s="39"/>
      <c r="AN100" s="39"/>
      <c r="AO100" s="39"/>
      <c r="AP100" s="39"/>
      <c r="AQ100" s="11"/>
      <c r="AR100" s="3"/>
    </row>
    <row r="101" spans="1:44" ht="18.75" customHeight="1" x14ac:dyDescent="0.2">
      <c r="A101" s="829" t="str">
        <f>IF($AK94&gt;4,"5","")</f>
        <v>5</v>
      </c>
      <c r="B101" s="831" t="s">
        <v>7</v>
      </c>
      <c r="C101" s="832"/>
      <c r="D101" s="832"/>
      <c r="E101" s="833" t="str">
        <f>AU16</f>
        <v>SMVC Royals 17</v>
      </c>
      <c r="F101" s="834"/>
      <c r="G101" s="834"/>
      <c r="H101" s="834"/>
      <c r="I101" s="834"/>
      <c r="J101" s="834"/>
      <c r="K101" s="835"/>
      <c r="L101" s="836">
        <f>IF($AK95=0,AF153,AF135)</f>
        <v>3</v>
      </c>
      <c r="M101" s="837"/>
      <c r="N101" s="837"/>
      <c r="O101" s="837"/>
      <c r="P101" s="837"/>
      <c r="Q101" s="872"/>
      <c r="R101" s="836">
        <f>IF($AK95=0,AG153,AG135)</f>
        <v>5</v>
      </c>
      <c r="S101" s="837"/>
      <c r="T101" s="837"/>
      <c r="U101" s="837"/>
      <c r="V101" s="837"/>
      <c r="W101" s="836">
        <f>AQ113</f>
        <v>-12</v>
      </c>
      <c r="X101" s="837"/>
      <c r="Y101" s="837"/>
      <c r="Z101" s="809">
        <f>IF(AF147&gt;0,(AQ113/AF147),0)</f>
        <v>-5.9113300492610835E-2</v>
      </c>
      <c r="AA101" s="810"/>
      <c r="AB101" s="810"/>
      <c r="AC101" s="813">
        <f>IF(AF161=0,0,(AF153/AF161))</f>
        <v>0.375</v>
      </c>
      <c r="AD101" s="814"/>
      <c r="AE101" s="815"/>
      <c r="AF101" s="819">
        <v>4</v>
      </c>
      <c r="AG101" s="819">
        <v>1</v>
      </c>
      <c r="AH101" s="821">
        <v>11</v>
      </c>
      <c r="AI101" s="822"/>
      <c r="AJ101" s="11"/>
      <c r="AK101" s="39"/>
      <c r="AL101" s="39"/>
      <c r="AM101" s="39"/>
      <c r="AN101" s="39"/>
      <c r="AO101" s="39"/>
      <c r="AP101" s="39"/>
      <c r="AQ101" s="11"/>
      <c r="AR101" s="3"/>
    </row>
    <row r="102" spans="1:44" ht="18.75" customHeight="1" thickBot="1" x14ac:dyDescent="0.25">
      <c r="A102" s="830"/>
      <c r="B102" s="825" t="s">
        <v>8</v>
      </c>
      <c r="C102" s="826"/>
      <c r="D102" s="826"/>
      <c r="E102" s="827" t="str">
        <f>AV16</f>
        <v>fj7smvbc1cr</v>
      </c>
      <c r="F102" s="828"/>
      <c r="G102" s="828"/>
      <c r="H102" s="828"/>
      <c r="I102" s="828"/>
      <c r="J102" s="828"/>
      <c r="K102" s="828"/>
      <c r="L102" s="838"/>
      <c r="M102" s="839"/>
      <c r="N102" s="839"/>
      <c r="O102" s="839"/>
      <c r="P102" s="839"/>
      <c r="Q102" s="872"/>
      <c r="R102" s="838"/>
      <c r="S102" s="839"/>
      <c r="T102" s="839"/>
      <c r="U102" s="839"/>
      <c r="V102" s="839"/>
      <c r="W102" s="838"/>
      <c r="X102" s="839"/>
      <c r="Y102" s="839"/>
      <c r="Z102" s="811"/>
      <c r="AA102" s="812"/>
      <c r="AB102" s="812"/>
      <c r="AC102" s="816"/>
      <c r="AD102" s="817"/>
      <c r="AE102" s="818"/>
      <c r="AF102" s="820"/>
      <c r="AG102" s="820"/>
      <c r="AH102" s="823"/>
      <c r="AI102" s="824"/>
      <c r="AJ102" s="11"/>
      <c r="AK102" s="39"/>
      <c r="AL102" s="39"/>
      <c r="AM102" s="39"/>
      <c r="AN102" s="39"/>
      <c r="AO102" s="39"/>
      <c r="AP102" s="39"/>
      <c r="AQ102" s="11"/>
      <c r="AR102" s="3"/>
    </row>
    <row r="103" spans="1:44" ht="21" customHeight="1" thickTop="1" thickBot="1" x14ac:dyDescent="0.25">
      <c r="A103" s="40"/>
      <c r="B103" s="806" t="s">
        <v>168</v>
      </c>
      <c r="C103" s="807"/>
      <c r="D103" s="807"/>
      <c r="E103" s="807"/>
      <c r="F103" s="807"/>
      <c r="G103" s="807"/>
      <c r="H103" s="807"/>
      <c r="I103" s="807"/>
      <c r="J103" s="807"/>
      <c r="K103" s="807"/>
      <c r="L103" s="807"/>
      <c r="M103" s="807"/>
      <c r="N103" s="807"/>
      <c r="O103" s="807"/>
      <c r="P103" s="807"/>
      <c r="Q103" s="807"/>
      <c r="R103" s="807"/>
      <c r="S103" s="807"/>
      <c r="T103" s="807"/>
      <c r="U103" s="807"/>
      <c r="V103" s="807"/>
      <c r="W103" s="807"/>
      <c r="X103" s="807"/>
      <c r="Y103" s="807"/>
      <c r="Z103" s="807"/>
      <c r="AA103" s="807"/>
      <c r="AB103" s="807"/>
      <c r="AC103" s="807"/>
      <c r="AD103" s="807"/>
      <c r="AE103" s="807"/>
      <c r="AF103" s="807"/>
      <c r="AG103" s="807"/>
      <c r="AH103" s="807"/>
      <c r="AI103" s="808"/>
      <c r="AJ103" s="11"/>
      <c r="AK103" s="39"/>
      <c r="AL103" s="39"/>
      <c r="AM103" s="39"/>
      <c r="AN103" s="39"/>
      <c r="AO103" s="39"/>
      <c r="AP103" s="39"/>
      <c r="AQ103" s="11"/>
      <c r="AR103" s="3"/>
    </row>
    <row r="104" spans="1:44" ht="13.5" thickTop="1" x14ac:dyDescent="0.2">
      <c r="A104" s="4" t="s">
        <v>39</v>
      </c>
      <c r="B104" s="795">
        <v>0.35416666666666669</v>
      </c>
      <c r="C104" s="796"/>
      <c r="D104" s="797"/>
      <c r="E104" s="795">
        <v>0.38194444444444442</v>
      </c>
      <c r="F104" s="796"/>
      <c r="G104" s="797"/>
      <c r="H104" s="795">
        <v>0.40972222222222227</v>
      </c>
      <c r="I104" s="796"/>
      <c r="J104" s="797"/>
      <c r="K104" s="795">
        <v>0.4375</v>
      </c>
      <c r="L104" s="796"/>
      <c r="M104" s="797"/>
      <c r="N104" s="795">
        <v>0.46527777777777773</v>
      </c>
      <c r="O104" s="796"/>
      <c r="P104" s="797"/>
      <c r="Q104" s="795">
        <v>0.49305555555555558</v>
      </c>
      <c r="R104" s="796"/>
      <c r="S104" s="797"/>
      <c r="T104" s="795">
        <v>0.52083333333333337</v>
      </c>
      <c r="U104" s="796"/>
      <c r="V104" s="797"/>
      <c r="W104" s="795">
        <v>4.8611111111111112E-2</v>
      </c>
      <c r="X104" s="796"/>
      <c r="Y104" s="797"/>
      <c r="Z104" s="795">
        <v>7.6388888888888895E-2</v>
      </c>
      <c r="AA104" s="796"/>
      <c r="AB104" s="797"/>
      <c r="AC104" s="795">
        <v>0.10416666666666667</v>
      </c>
      <c r="AD104" s="796"/>
      <c r="AE104" s="797"/>
      <c r="AF104" s="798" t="s">
        <v>40</v>
      </c>
      <c r="AG104" s="799"/>
      <c r="AH104" s="799"/>
      <c r="AI104" s="799"/>
      <c r="AJ104" s="800"/>
      <c r="AK104" s="800"/>
      <c r="AL104" s="800"/>
      <c r="AM104" s="800"/>
      <c r="AN104" s="800"/>
      <c r="AO104" s="800"/>
      <c r="AP104" s="800"/>
      <c r="AQ104" s="801"/>
    </row>
    <row r="105" spans="1:44" x14ac:dyDescent="0.2">
      <c r="A105" s="41" t="s">
        <v>41</v>
      </c>
      <c r="B105" s="792">
        <v>0.35416666666666669</v>
      </c>
      <c r="C105" s="793"/>
      <c r="D105" s="794"/>
      <c r="E105" s="792">
        <v>0.39583333333333331</v>
      </c>
      <c r="F105" s="793"/>
      <c r="G105" s="794"/>
      <c r="H105" s="792">
        <v>0.42708333333333331</v>
      </c>
      <c r="I105" s="793"/>
      <c r="J105" s="794"/>
      <c r="K105" s="792">
        <v>0.46249999999999997</v>
      </c>
      <c r="L105" s="793"/>
      <c r="M105" s="794"/>
      <c r="N105" s="792">
        <v>0.47916666666666669</v>
      </c>
      <c r="O105" s="793"/>
      <c r="P105" s="794"/>
      <c r="Q105" s="792"/>
      <c r="R105" s="793"/>
      <c r="S105" s="794"/>
      <c r="T105" s="792"/>
      <c r="U105" s="793"/>
      <c r="V105" s="794"/>
      <c r="W105" s="792"/>
      <c r="X105" s="793"/>
      <c r="Y105" s="794"/>
      <c r="Z105" s="792"/>
      <c r="AA105" s="793"/>
      <c r="AB105" s="794"/>
      <c r="AC105" s="792"/>
      <c r="AD105" s="793"/>
      <c r="AE105" s="794"/>
      <c r="AF105" s="798"/>
      <c r="AG105" s="799"/>
      <c r="AH105" s="799"/>
      <c r="AI105" s="799"/>
      <c r="AJ105" s="799"/>
      <c r="AK105" s="799"/>
      <c r="AL105" s="799"/>
      <c r="AM105" s="799"/>
      <c r="AN105" s="799"/>
      <c r="AO105" s="799"/>
      <c r="AP105" s="799"/>
      <c r="AQ105" s="802"/>
    </row>
    <row r="106" spans="1:44" x14ac:dyDescent="0.2">
      <c r="A106" s="41" t="s">
        <v>42</v>
      </c>
      <c r="B106" s="792">
        <v>0.38194444444444442</v>
      </c>
      <c r="C106" s="793"/>
      <c r="D106" s="794"/>
      <c r="E106" s="792">
        <v>0.4069444444444445</v>
      </c>
      <c r="F106" s="793"/>
      <c r="G106" s="794"/>
      <c r="H106" s="792">
        <v>0.4375</v>
      </c>
      <c r="I106" s="793"/>
      <c r="J106" s="794"/>
      <c r="K106" s="792">
        <v>0.47291666666666665</v>
      </c>
      <c r="L106" s="793"/>
      <c r="M106" s="794"/>
      <c r="N106" s="792">
        <v>0.49861111111111112</v>
      </c>
      <c r="O106" s="793"/>
      <c r="P106" s="794"/>
      <c r="Q106" s="792"/>
      <c r="R106" s="793"/>
      <c r="S106" s="794"/>
      <c r="T106" s="792"/>
      <c r="U106" s="793"/>
      <c r="V106" s="794"/>
      <c r="W106" s="792"/>
      <c r="X106" s="793"/>
      <c r="Y106" s="794"/>
      <c r="Z106" s="792"/>
      <c r="AA106" s="793"/>
      <c r="AB106" s="794"/>
      <c r="AC106" s="792"/>
      <c r="AD106" s="793"/>
      <c r="AE106" s="794"/>
      <c r="AF106" s="798"/>
      <c r="AG106" s="799"/>
      <c r="AH106" s="799"/>
      <c r="AI106" s="799"/>
      <c r="AJ106" s="799"/>
      <c r="AK106" s="799"/>
      <c r="AL106" s="799"/>
      <c r="AM106" s="799"/>
      <c r="AN106" s="799"/>
      <c r="AO106" s="799"/>
      <c r="AP106" s="799"/>
      <c r="AQ106" s="802"/>
    </row>
    <row r="107" spans="1:44" ht="13.5" thickBot="1" x14ac:dyDescent="0.25">
      <c r="A107" s="11"/>
      <c r="B107" s="684" t="s">
        <v>43</v>
      </c>
      <c r="C107" s="685"/>
      <c r="D107" s="691"/>
      <c r="E107" s="684" t="str">
        <f>IF(AK93&gt;1,"Match 2","")</f>
        <v>Match 2</v>
      </c>
      <c r="F107" s="685"/>
      <c r="G107" s="691"/>
      <c r="H107" s="684" t="str">
        <f>IF(AK93&gt;2,"Match 3","")</f>
        <v>Match 3</v>
      </c>
      <c r="I107" s="685"/>
      <c r="J107" s="691"/>
      <c r="K107" s="684" t="str">
        <f>IF(AK93&gt;3,"Match 4","")</f>
        <v>Match 4</v>
      </c>
      <c r="L107" s="685"/>
      <c r="M107" s="691"/>
      <c r="N107" s="684" t="str">
        <f>IF(AK93&gt;4,"Match 5","")</f>
        <v>Match 5</v>
      </c>
      <c r="O107" s="685"/>
      <c r="P107" s="691"/>
      <c r="Q107" s="684" t="str">
        <f>IF(AK93&gt;5,"Match 6","")</f>
        <v>Match 6</v>
      </c>
      <c r="R107" s="685"/>
      <c r="S107" s="691"/>
      <c r="T107" s="684" t="str">
        <f>IF(AK93&gt;6,"Match 7","")</f>
        <v>Match 7</v>
      </c>
      <c r="U107" s="685"/>
      <c r="V107" s="691"/>
      <c r="W107" s="684" t="str">
        <f>IF(AK93&gt;7,"Match 8","")</f>
        <v>Match 8</v>
      </c>
      <c r="X107" s="685"/>
      <c r="Y107" s="691"/>
      <c r="Z107" s="684" t="str">
        <f>IF(AK93&gt;8,"Match 9","")</f>
        <v>Match 9</v>
      </c>
      <c r="AA107" s="685"/>
      <c r="AB107" s="691"/>
      <c r="AC107" s="684" t="str">
        <f>IF(AK93&gt;9,"Match 10","")</f>
        <v>Match 10</v>
      </c>
      <c r="AD107" s="685"/>
      <c r="AE107" s="691"/>
      <c r="AF107" s="803"/>
      <c r="AG107" s="804"/>
      <c r="AH107" s="804"/>
      <c r="AI107" s="804"/>
      <c r="AJ107" s="804"/>
      <c r="AK107" s="804"/>
      <c r="AL107" s="804"/>
      <c r="AM107" s="804"/>
      <c r="AN107" s="804"/>
      <c r="AO107" s="804"/>
      <c r="AP107" s="804"/>
      <c r="AQ107" s="805"/>
    </row>
    <row r="108" spans="1:44" ht="15.75" x14ac:dyDescent="0.25">
      <c r="A108" s="11"/>
      <c r="B108" s="786" t="s">
        <v>44</v>
      </c>
      <c r="C108" s="787"/>
      <c r="D108" s="788"/>
      <c r="E108" s="786" t="s">
        <v>45</v>
      </c>
      <c r="F108" s="787"/>
      <c r="G108" s="788"/>
      <c r="H108" s="786" t="s">
        <v>46</v>
      </c>
      <c r="I108" s="787"/>
      <c r="J108" s="788"/>
      <c r="K108" s="786" t="s">
        <v>47</v>
      </c>
      <c r="L108" s="787"/>
      <c r="M108" s="788"/>
      <c r="N108" s="786" t="s">
        <v>48</v>
      </c>
      <c r="O108" s="787"/>
      <c r="P108" s="788"/>
      <c r="Q108" s="786" t="s">
        <v>46</v>
      </c>
      <c r="R108" s="787"/>
      <c r="S108" s="788"/>
      <c r="T108" s="786" t="s">
        <v>44</v>
      </c>
      <c r="U108" s="787"/>
      <c r="V108" s="788"/>
      <c r="W108" s="786" t="s">
        <v>48</v>
      </c>
      <c r="X108" s="787"/>
      <c r="Y108" s="788"/>
      <c r="Z108" s="786" t="s">
        <v>47</v>
      </c>
      <c r="AA108" s="787"/>
      <c r="AB108" s="788"/>
      <c r="AC108" s="786" t="s">
        <v>45</v>
      </c>
      <c r="AD108" s="787"/>
      <c r="AE108" s="788"/>
      <c r="AF108" s="42" t="s">
        <v>49</v>
      </c>
      <c r="AG108" s="43">
        <v>1</v>
      </c>
      <c r="AH108" s="43">
        <v>2</v>
      </c>
      <c r="AI108" s="43">
        <v>3</v>
      </c>
      <c r="AJ108" s="43">
        <v>4</v>
      </c>
      <c r="AK108" s="43">
        <v>5</v>
      </c>
      <c r="AL108" s="43">
        <v>6</v>
      </c>
      <c r="AM108" s="43">
        <v>7</v>
      </c>
      <c r="AN108" s="43">
        <v>8</v>
      </c>
      <c r="AO108" s="43">
        <v>9</v>
      </c>
      <c r="AP108" s="43">
        <v>10</v>
      </c>
      <c r="AQ108" s="44" t="s">
        <v>50</v>
      </c>
    </row>
    <row r="109" spans="1:44" ht="15.75" x14ac:dyDescent="0.25">
      <c r="A109" s="11"/>
      <c r="B109" s="45">
        <v>2</v>
      </c>
      <c r="C109" s="46" t="s">
        <v>51</v>
      </c>
      <c r="D109" s="47">
        <v>5</v>
      </c>
      <c r="E109" s="45">
        <v>1</v>
      </c>
      <c r="F109" s="46" t="str">
        <f>IF(AK93&gt;1,"v","")</f>
        <v>v</v>
      </c>
      <c r="G109" s="47">
        <v>4</v>
      </c>
      <c r="H109" s="45">
        <v>3</v>
      </c>
      <c r="I109" s="46" t="str">
        <f>IF(AK93&gt;2,"v","")</f>
        <v>v</v>
      </c>
      <c r="J109" s="47">
        <v>5</v>
      </c>
      <c r="K109" s="45">
        <v>2</v>
      </c>
      <c r="L109" s="46" t="str">
        <f>IF(AK93&gt;3,"v","")</f>
        <v>v</v>
      </c>
      <c r="M109" s="47">
        <v>4</v>
      </c>
      <c r="N109" s="45">
        <v>1</v>
      </c>
      <c r="O109" s="46" t="str">
        <f>IF(AK93&gt;4,"v","")</f>
        <v>v</v>
      </c>
      <c r="P109" s="47">
        <v>3</v>
      </c>
      <c r="Q109" s="45">
        <v>4</v>
      </c>
      <c r="R109" s="46" t="str">
        <f>IF(AK93&gt;5,"v","")</f>
        <v>v</v>
      </c>
      <c r="S109" s="47">
        <v>5</v>
      </c>
      <c r="T109" s="45">
        <v>2</v>
      </c>
      <c r="U109" s="46" t="str">
        <f>IF(AK93&gt;6,"v","")</f>
        <v>v</v>
      </c>
      <c r="V109" s="47">
        <v>3</v>
      </c>
      <c r="W109" s="45">
        <v>1</v>
      </c>
      <c r="X109" s="46" t="str">
        <f>IF(AK93&gt;7,"v","")</f>
        <v>v</v>
      </c>
      <c r="Y109" s="47">
        <v>5</v>
      </c>
      <c r="Z109" s="45">
        <v>3</v>
      </c>
      <c r="AA109" s="46" t="str">
        <f>IF(AK93&gt;8,"v","")</f>
        <v>v</v>
      </c>
      <c r="AB109" s="47">
        <v>4</v>
      </c>
      <c r="AC109" s="45">
        <v>1</v>
      </c>
      <c r="AD109" s="46" t="str">
        <f>IF(AK93&gt;9,"v","")</f>
        <v>v</v>
      </c>
      <c r="AE109" s="47">
        <v>2</v>
      </c>
      <c r="AF109" s="42" t="str">
        <f>IF(AK94&gt;0,"Team 1","")</f>
        <v>Team 1</v>
      </c>
      <c r="AG109" s="48" t="str">
        <f>IF(AK94&lt;1,"",IF(AK93&lt;1,"",IF(B109=1,B115-D115,IF(D109=1,D115-B115,""))))</f>
        <v/>
      </c>
      <c r="AH109" s="48">
        <f>IF(AK94&lt;1,"",IF(AK93&lt;2,"",IF(E109=1,E115-G115,IF(G109=1,G115-E115,""))))</f>
        <v>-14</v>
      </c>
      <c r="AI109" s="48" t="str">
        <f>IF(AK94&lt;1,"",IF(AK93&lt;3,"",IF(H109=1,H115-J115,IF(J109=1,J115-H115,""))))</f>
        <v/>
      </c>
      <c r="AJ109" s="48" t="str">
        <f>IF(AK94&lt;1,"",IF(AK93&lt;4,"",IF(K109=1,K115-M115,IF(M109=1,M115-K115,""))))</f>
        <v/>
      </c>
      <c r="AK109" s="48">
        <f>IF(AK94&lt;1,"",IF(AK93&lt;5,"",IF(N109=1,N115-P115,IF(P109=1,P115-N115,""))))</f>
        <v>-1</v>
      </c>
      <c r="AL109" s="48" t="str">
        <f>IF(AK94&lt;1,"",IF(AK93&lt;6,"",IF(Q109=1,Q115-S115,IF(S109=1,S115-Q115,""))))</f>
        <v/>
      </c>
      <c r="AM109" s="48" t="str">
        <f>IF(AK94&lt;1,"",IF(AK93&lt;7,"",IF(T109=1,T115-V115,IF(V109=1,V115-T115,""))))</f>
        <v/>
      </c>
      <c r="AN109" s="48">
        <f>IF(AK94&lt;1,"",IF(AK93&lt;8,"",IF(W109=1,W115-Y115,IF(Y109=1,Y115-W115,""))))</f>
        <v>13</v>
      </c>
      <c r="AO109" s="48" t="str">
        <f>IF(AK94&lt;1,"",IF(AK93&lt;9,"",IF(Z109=1,Z115-AB115,IF(AB109=1,AB115-Z115,""))))</f>
        <v/>
      </c>
      <c r="AP109" s="48">
        <f>IF(AK94&lt;1,"",IF(AK93&lt;10,"",IF(AC109=1,AC115-AE115,IF(AE109=1,AE115-AC115,""))))</f>
        <v>1</v>
      </c>
      <c r="AQ109" s="44">
        <f>SUM(AG109:AP109)</f>
        <v>-1</v>
      </c>
    </row>
    <row r="110" spans="1:44" ht="15" x14ac:dyDescent="0.2">
      <c r="A110" s="4" t="s">
        <v>52</v>
      </c>
      <c r="B110" s="49">
        <v>24</v>
      </c>
      <c r="C110" s="50" t="s">
        <v>53</v>
      </c>
      <c r="D110" s="51">
        <v>26</v>
      </c>
      <c r="E110" s="49">
        <v>19</v>
      </c>
      <c r="F110" s="50" t="str">
        <f>IF(AK93&gt;1,"/","")</f>
        <v>/</v>
      </c>
      <c r="G110" s="51">
        <v>25</v>
      </c>
      <c r="H110" s="49">
        <v>14</v>
      </c>
      <c r="I110" s="50" t="str">
        <f>IF(AK93&gt;2,"/","")</f>
        <v>/</v>
      </c>
      <c r="J110" s="51">
        <v>25</v>
      </c>
      <c r="K110" s="49">
        <v>18</v>
      </c>
      <c r="L110" s="50" t="str">
        <f>IF(AK93&gt;3,"/","")</f>
        <v>/</v>
      </c>
      <c r="M110" s="51">
        <v>25</v>
      </c>
      <c r="N110" s="49">
        <v>25</v>
      </c>
      <c r="O110" s="50" t="str">
        <f>IF(AK93&gt;4,"/","")</f>
        <v>/</v>
      </c>
      <c r="P110" s="51">
        <v>19</v>
      </c>
      <c r="Q110" s="49">
        <v>25</v>
      </c>
      <c r="R110" s="50" t="str">
        <f>IF(AK93&gt;5,"/","")</f>
        <v>/</v>
      </c>
      <c r="S110" s="51">
        <v>16</v>
      </c>
      <c r="T110" s="49">
        <v>25</v>
      </c>
      <c r="U110" s="50" t="str">
        <f>IF(AK93&gt;6,"/","")</f>
        <v>/</v>
      </c>
      <c r="V110" s="51">
        <v>21</v>
      </c>
      <c r="W110" s="49">
        <v>25</v>
      </c>
      <c r="X110" s="50" t="str">
        <f>IF(AK93&gt;7,"/","")</f>
        <v>/</v>
      </c>
      <c r="Y110" s="51">
        <v>14</v>
      </c>
      <c r="Z110" s="49">
        <v>17</v>
      </c>
      <c r="AA110" s="50" t="str">
        <f>IF(AK93&gt;8,"/","")</f>
        <v>/</v>
      </c>
      <c r="AB110" s="51">
        <v>25</v>
      </c>
      <c r="AC110" s="49">
        <v>25</v>
      </c>
      <c r="AD110" s="50" t="str">
        <f>IF(AK93&gt;9,"/","")</f>
        <v>/</v>
      </c>
      <c r="AE110" s="51">
        <v>21</v>
      </c>
      <c r="AF110" s="42" t="str">
        <f>IF(AK94&gt;1,"Team 2","")</f>
        <v>Team 2</v>
      </c>
      <c r="AG110" s="48">
        <f>IF(AK94&lt;2,"",IF(AK93&lt;1,"",IF(B109=2,B115-D115,IF(D109=2,D115-B115,""))))</f>
        <v>1</v>
      </c>
      <c r="AH110" s="48" t="str">
        <f>IF(AK94&lt;2,"",IF(AK93&lt;2,"",IF(E109=2,E115-G115,IF(G109=2,G115-E115,""))))</f>
        <v/>
      </c>
      <c r="AI110" s="48" t="str">
        <f>IF(AK94&lt;2,"",IF(AK93&lt;3,"",IF(H109=2,H115-J115,IF(J109=2,J115-H115,""))))</f>
        <v/>
      </c>
      <c r="AJ110" s="48">
        <f>IF(AK94&lt;2,"",IF(AK93&lt;4,"",IF(K109=2,K115-M115,IF(M109=2,M115-K115,""))))</f>
        <v>-13</v>
      </c>
      <c r="AK110" s="48" t="str">
        <f>IF(AK94&lt;2,"",IF(AK93&lt;5,"",IF(N109=2,N115-P115,IF(P109=2,P115-N115,""))))</f>
        <v/>
      </c>
      <c r="AL110" s="48" t="str">
        <f>IF(AK94&lt;2,"",IF(AK93&lt;6,"",IF(Q109=2,Q115-S115,IF(S109=2,S115-Q115,""))))</f>
        <v/>
      </c>
      <c r="AM110" s="48">
        <f>IF(AK94&lt;2,"",IF(AK93&lt;7,"",IF(T109=2,T115-V115,IF(V109=2,V115-T115,""))))</f>
        <v>8</v>
      </c>
      <c r="AN110" s="48" t="str">
        <f>IF(AK94&lt;2,"",IF(AK93&lt;8,"",IF(W109=2,W115-Y115,IF(Y109=2,Y115-W115,""))))</f>
        <v/>
      </c>
      <c r="AO110" s="48" t="str">
        <f>IF(AK94&lt;2,"",IF(AK93&lt;9,"",IF(Z109=2,Z115-AB115,IF(AB109=2,AB115-Z115,""))))</f>
        <v/>
      </c>
      <c r="AP110" s="48">
        <f>IF(AK94&lt;2,"",IF(AK93&lt;10,"",IF(AC109=2,AC115-AE115,IF(AE109=2,AE115-AC115,""))))</f>
        <v>-1</v>
      </c>
      <c r="AQ110" s="44">
        <f>SUM(AG110:AP110)</f>
        <v>-5</v>
      </c>
    </row>
    <row r="111" spans="1:44" ht="15" x14ac:dyDescent="0.2">
      <c r="A111" s="3" t="str">
        <f>IF(AK92&gt;1,"Game 2","")</f>
        <v>Game 2</v>
      </c>
      <c r="B111" s="49">
        <v>25</v>
      </c>
      <c r="C111" s="50" t="s">
        <v>53</v>
      </c>
      <c r="D111" s="51">
        <v>22</v>
      </c>
      <c r="E111" s="49">
        <v>17</v>
      </c>
      <c r="F111" s="50" t="str">
        <f>IF(AK93&gt;1,IF(AK92&gt;1,"/",""),"")</f>
        <v>/</v>
      </c>
      <c r="G111" s="51">
        <v>25</v>
      </c>
      <c r="H111" s="49">
        <v>20</v>
      </c>
      <c r="I111" s="50" t="str">
        <f>IF(AK93&gt;2,IF(AK92&gt;1,"/",""),"")</f>
        <v>/</v>
      </c>
      <c r="J111" s="51">
        <v>25</v>
      </c>
      <c r="K111" s="49">
        <v>19</v>
      </c>
      <c r="L111" s="50" t="str">
        <f>IF(AK93&gt;3,IF(AK92&gt;1,"/",""),"")</f>
        <v>/</v>
      </c>
      <c r="M111" s="51">
        <v>25</v>
      </c>
      <c r="N111" s="49">
        <v>18</v>
      </c>
      <c r="O111" s="50" t="str">
        <f>IF(AK93&gt;4,IF(AK92&gt;1,"/",""),"")</f>
        <v>/</v>
      </c>
      <c r="P111" s="51">
        <v>25</v>
      </c>
      <c r="Q111" s="49">
        <v>25</v>
      </c>
      <c r="R111" s="50" t="str">
        <f>IF(AK93&gt;5,IF(AK92&gt;1,"/",""),"")</f>
        <v>/</v>
      </c>
      <c r="S111" s="51">
        <v>20</v>
      </c>
      <c r="T111" s="49">
        <v>25</v>
      </c>
      <c r="U111" s="50" t="str">
        <f>IF(AK93&gt;6,IF(AK92&gt;1,"/",""),"")</f>
        <v>/</v>
      </c>
      <c r="V111" s="51">
        <v>21</v>
      </c>
      <c r="W111" s="49">
        <v>27</v>
      </c>
      <c r="X111" s="50" t="str">
        <f>IF(AK93&gt;7,IF(AK92&gt;1,"/",""),"")</f>
        <v>/</v>
      </c>
      <c r="Y111" s="51">
        <v>25</v>
      </c>
      <c r="Z111" s="49">
        <v>9</v>
      </c>
      <c r="AA111" s="50" t="str">
        <f>IF(AK93&gt;8,IF(AK92&gt;1,"/",""),"")</f>
        <v>/</v>
      </c>
      <c r="AB111" s="51">
        <v>25</v>
      </c>
      <c r="AC111" s="49">
        <v>22</v>
      </c>
      <c r="AD111" s="50" t="str">
        <f>IF(AK93&gt;9,IF(AK92&gt;1,"/",""),"")</f>
        <v>/</v>
      </c>
      <c r="AE111" s="51">
        <v>25</v>
      </c>
      <c r="AF111" s="42" t="str">
        <f>IF(AK94&gt;2,"Team 3","")</f>
        <v>Team 3</v>
      </c>
      <c r="AG111" s="48" t="str">
        <f>IF(AK94&lt;3,"",IF(AK93&lt;1,"",IF(B109=3,B115-D115,IF(D109=3,D115-B115,""))))</f>
        <v/>
      </c>
      <c r="AH111" s="48" t="str">
        <f>IF(AK94&lt;3,"",IF(AK93&lt;2,"",IF(E109=3,E115-G115,IF(G109=3,G115-E115,""))))</f>
        <v/>
      </c>
      <c r="AI111" s="48">
        <f>IF(AK94&lt;3,"",IF(AK93&lt;3,"",IF(H109=3,H115-J115,IF(J109=3,J115-H115,""))))</f>
        <v>-16</v>
      </c>
      <c r="AJ111" s="48" t="str">
        <f>IF(AK94&lt;3,"",IF(AK93&lt;4,"",IF(K109=3,K115-M115,IF(M109=3,M115-K115,""))))</f>
        <v/>
      </c>
      <c r="AK111" s="48">
        <f>IF(AK94&lt;3,"",IF(AK93&lt;5,"",IF(N109=3,N115-P115,IF(P109=3,P115-N115,""))))</f>
        <v>1</v>
      </c>
      <c r="AL111" s="48" t="str">
        <f>IF(AK94&lt;3,"",IF(AK93&lt;6,"",IF(Q109=3,Q115-S115,IF(S109=3,S115-Q115,""))))</f>
        <v/>
      </c>
      <c r="AM111" s="48">
        <f>IF(AK94&lt;3,"",IF(AK93&lt;7,"",IF(T109=3,T115-V115,IF(V109=3,V115-T115,""))))</f>
        <v>-8</v>
      </c>
      <c r="AN111" s="48" t="str">
        <f>IF(AK94&lt;3,"",IF(AK93&lt;8,"",IF(W109=3,W115-Y115,IF(Y109=3,Y115-W115,""))))</f>
        <v/>
      </c>
      <c r="AO111" s="48">
        <f>IF(AK94&lt;3,"",IF(AK93&lt;9,"",IF(Z109=3,Z115-AB115,IF(AB109=3,AB115-Z115,""))))</f>
        <v>-24</v>
      </c>
      <c r="AP111" s="48" t="str">
        <f>IF(AK94&lt;3,"",IF(AK93&lt;9,"",IF(AC109=3,AC115-AE115,IF(AE109=3,AE115-AC115,""))))</f>
        <v/>
      </c>
      <c r="AQ111" s="44">
        <f>SUM(AG111:AP111)</f>
        <v>-47</v>
      </c>
    </row>
    <row r="112" spans="1:44" ht="15" x14ac:dyDescent="0.2">
      <c r="A112" s="3" t="str">
        <f>IF(AK92&gt;2,"Game 3","")</f>
        <v/>
      </c>
      <c r="B112" s="49"/>
      <c r="C112" s="50" t="s">
        <v>53</v>
      </c>
      <c r="D112" s="51"/>
      <c r="E112" s="49"/>
      <c r="F112" s="50" t="str">
        <f>IF(AK93&gt;1,IF(AK92&gt;2,"/",""),"")</f>
        <v/>
      </c>
      <c r="G112" s="51"/>
      <c r="H112" s="49"/>
      <c r="I112" s="50" t="str">
        <f>IF(AK93&gt;2,IF(AK92&gt;2,"/",""),"")</f>
        <v/>
      </c>
      <c r="J112" s="51"/>
      <c r="K112" s="49"/>
      <c r="L112" s="50" t="str">
        <f>IF(AK93&gt;3,IF(AK92&gt;2,"/",""),"")</f>
        <v/>
      </c>
      <c r="M112" s="51"/>
      <c r="N112" s="49"/>
      <c r="O112" s="50" t="str">
        <f>IF(AK93&gt;4,IF(AK92&gt;2,"/",""),"")</f>
        <v/>
      </c>
      <c r="P112" s="51"/>
      <c r="Q112" s="49"/>
      <c r="R112" s="50" t="str">
        <f>IF(AK93&gt;5,IF(AK92&gt;2,"/",""),"")</f>
        <v/>
      </c>
      <c r="S112" s="51"/>
      <c r="T112" s="49"/>
      <c r="U112" s="50" t="str">
        <f>IF(AK93&gt;6,IF(AK92&gt;2,"/",""),"")</f>
        <v/>
      </c>
      <c r="V112" s="51"/>
      <c r="W112" s="49">
        <v>25</v>
      </c>
      <c r="X112" s="50" t="str">
        <f>IF(AK93&gt;7,IF(AK92&gt;2,"/",""),"")</f>
        <v/>
      </c>
      <c r="Y112" s="51"/>
      <c r="Z112" s="49"/>
      <c r="AA112" s="50" t="str">
        <f>IF(AK93&gt;8,IF(AK92&gt;2,"/",""),"")</f>
        <v/>
      </c>
      <c r="AB112" s="51"/>
      <c r="AC112" s="49"/>
      <c r="AD112" s="50" t="str">
        <f>IF(AK93&gt;9,IF(AK92&gt;2,"/",""),"")</f>
        <v/>
      </c>
      <c r="AE112" s="51"/>
      <c r="AF112" s="42" t="str">
        <f>IF(AK94&gt;3,"Team 4","")</f>
        <v>Team 4</v>
      </c>
      <c r="AG112" s="48" t="str">
        <f>IF(AK94&lt;4,"",IF(AK93&lt;1,"",IF(B109=4,B115-D115,IF(D109=4,D115-B115,""))))</f>
        <v/>
      </c>
      <c r="AH112" s="48">
        <f>IF(AK94&lt;4,"",IF(AK93&lt;2,"",IF(E109=4,E115-G115,IF(G109=4,G115-E115,""))))</f>
        <v>14</v>
      </c>
      <c r="AI112" s="48" t="str">
        <f>IF(AK94&lt;4,"",IF(AK93&lt;3,"",IF(H109=4,H115-J115,IF(J109=4,J115-H115,""))))</f>
        <v/>
      </c>
      <c r="AJ112" s="48">
        <f>IF(AK94&lt;4,"",IF(AK93&lt;4,"",IF(K109=4,K115-M115,IF(M109=4,M115-K115,""))))</f>
        <v>13</v>
      </c>
      <c r="AK112" s="48" t="str">
        <f>IF(AK94&lt;4,"",IF(AK93&lt;5,"",IF(N109=4,N115-P115,IF(P109=4,P115-N115,""))))</f>
        <v/>
      </c>
      <c r="AL112" s="48">
        <f>IF(AK94&lt;4,"",IF(AK93&lt;6,"",IF(Q109=4,Q115-S115,IF(S109=4,S115-Q115,""))))</f>
        <v>14</v>
      </c>
      <c r="AM112" s="48" t="str">
        <f>IF(AK94&lt;4,"",IF(AK93&lt;7,"",IF(T109=4,T115-V115,IF(V109=4,V115-T115,""))))</f>
        <v/>
      </c>
      <c r="AN112" s="48" t="str">
        <f>IF(AK94&lt;4,"",IF(AK93&lt;8,"",IF(W109=4,W115-Y115,IF(Y109=4,Y115-W115,""))))</f>
        <v/>
      </c>
      <c r="AO112" s="48">
        <f>IF(AK94&lt;4,"",IF(AK93&lt;9,"",IF(Z109=4,Z115-AB115,IF(AB109=4,AB115-Z115,""))))</f>
        <v>24</v>
      </c>
      <c r="AP112" s="48" t="str">
        <f>IF(AK94&lt;4,"",IF(AK93&lt;10,"",IF(AC109=4,AC115-AE115,IF(AE109=4,AE115-AC115,""))))</f>
        <v/>
      </c>
      <c r="AQ112" s="44">
        <f>SUM(AG112:AP112)</f>
        <v>65</v>
      </c>
    </row>
    <row r="113" spans="1:49" ht="15" x14ac:dyDescent="0.2">
      <c r="A113" s="3" t="str">
        <f>IF(AK92&gt;3,"Game 4","")</f>
        <v/>
      </c>
      <c r="B113" s="49"/>
      <c r="C113" s="50" t="s">
        <v>53</v>
      </c>
      <c r="D113" s="51"/>
      <c r="E113" s="49"/>
      <c r="F113" s="50" t="str">
        <f>IF(AK93&gt;1,IF(AK92&gt;3,"/",""),"")</f>
        <v/>
      </c>
      <c r="G113" s="51"/>
      <c r="H113" s="49"/>
      <c r="I113" s="50" t="str">
        <f>IF(AK93&gt;2,IF(AK92&gt;3,"/",""),"")</f>
        <v/>
      </c>
      <c r="J113" s="51"/>
      <c r="K113" s="49"/>
      <c r="L113" s="50" t="str">
        <f>IF(AK93&gt;3,IF(AK92&gt;3,"/",""),"")</f>
        <v/>
      </c>
      <c r="M113" s="51"/>
      <c r="N113" s="49"/>
      <c r="O113" s="50" t="str">
        <f>IF(AK93&gt;4,IF(AK92&gt;3,"/",""),"")</f>
        <v/>
      </c>
      <c r="P113" s="51"/>
      <c r="Q113" s="49"/>
      <c r="R113" s="50" t="str">
        <f>IF(AK93&gt;5,IF(AK92&gt;3,"/",""),"")</f>
        <v/>
      </c>
      <c r="S113" s="51"/>
      <c r="T113" s="49"/>
      <c r="U113" s="50" t="str">
        <f>IF(AK93&gt;6,IF(AK92&gt;3,"/",""),"")</f>
        <v/>
      </c>
      <c r="V113" s="51"/>
      <c r="W113" s="49"/>
      <c r="X113" s="50" t="str">
        <f>IF(AK93&gt;7,IF(AK92&gt;3,"/",""),"")</f>
        <v/>
      </c>
      <c r="Y113" s="51"/>
      <c r="Z113" s="49"/>
      <c r="AA113" s="50" t="str">
        <f>IF(AK93&gt;8,IF(AK92&gt;3,"/",""),"")</f>
        <v/>
      </c>
      <c r="AB113" s="51"/>
      <c r="AC113" s="49"/>
      <c r="AD113" s="50" t="str">
        <f>IF(AK93&gt;9,IF(AK92&gt;3,"/",""),"")</f>
        <v/>
      </c>
      <c r="AE113" s="51"/>
      <c r="AF113" s="42" t="str">
        <f>IF(AK94&gt;4,"Team 5","")</f>
        <v>Team 5</v>
      </c>
      <c r="AG113" s="52">
        <f>IF(AK94&lt;5,"",IF(AK93&lt;1,"",IF(B109=5,B115-D115,IF(D109=5,D115-B115,""))))</f>
        <v>-1</v>
      </c>
      <c r="AH113" s="48" t="str">
        <f>IF(AK94&lt;5,"",IF(AK93&lt;2,"",IF(E109=5,E115-G115,IF(G109=5,G115-E115,""))))</f>
        <v/>
      </c>
      <c r="AI113" s="48">
        <f>IF(AK94&lt;5,"",IF(AK93&lt;3,"",IF(H109=5,H115-J115,IF(J109=5,J115-H115,""))))</f>
        <v>16</v>
      </c>
      <c r="AJ113" s="48" t="str">
        <f>IF(AK94&lt;5,"",IF(AK93&lt;4,"",IF(K109=5,K115-M115,IF(M109=5,M115-K115,""))))</f>
        <v/>
      </c>
      <c r="AK113" s="48" t="str">
        <f>IF(AK94&lt;5,"",IF(AK93&lt;5,"",IF(N109=5,N115-P115,IF(P109=5,P115-N115,""))))</f>
        <v/>
      </c>
      <c r="AL113" s="48">
        <f>IF(AK94&lt;5,"",IF(AK93&lt;6,"",IF(Q109=5,Q115-S115,IF(S109=5,S115-Q115,""))))</f>
        <v>-14</v>
      </c>
      <c r="AM113" s="48" t="str">
        <f>IF(AK94&lt;5,"",IF(AK93&lt;7,"",IF(T109=5,T115-V115,IF(V109=5,V115-T115,""))))</f>
        <v/>
      </c>
      <c r="AN113" s="48">
        <f>IF(AK94&lt;5,"",IF(AK93&lt;8,"",IF(W109=5,W115-Y115,IF(Y109=5,Y115-W115,""))))</f>
        <v>-13</v>
      </c>
      <c r="AO113" s="48" t="str">
        <f>IF(AK94&lt;5,"",IF(AK93&lt;9,"",IF(Z109=5,Z115-AB115,IF(AB109=5,AB115-Z115,""))))</f>
        <v/>
      </c>
      <c r="AP113" s="48" t="str">
        <f>IF(AK94&lt;5,"",IF(AK93&lt;10,"",IF(AC109=5,AC115-AE115,IF(AE109=5,AE115-AC115,""))))</f>
        <v/>
      </c>
      <c r="AQ113" s="44">
        <f>SUM(AG113:AP113)</f>
        <v>-12</v>
      </c>
    </row>
    <row r="114" spans="1:49" ht="15" x14ac:dyDescent="0.2">
      <c r="A114" s="3" t="str">
        <f>IF(AK92&gt;4,"Game 5","")</f>
        <v/>
      </c>
      <c r="B114" s="49"/>
      <c r="C114" s="50" t="s">
        <v>53</v>
      </c>
      <c r="D114" s="51"/>
      <c r="E114" s="49"/>
      <c r="F114" s="50" t="str">
        <f>IF(AK93&gt;1,IF(AK92&gt;4,"/",""),"")</f>
        <v/>
      </c>
      <c r="G114" s="51"/>
      <c r="H114" s="49"/>
      <c r="I114" s="50" t="str">
        <f>IF(AK93&gt;2,IF(AK92&gt;4,"/",""),"")</f>
        <v/>
      </c>
      <c r="J114" s="51"/>
      <c r="K114" s="49"/>
      <c r="L114" s="50" t="str">
        <f>IF(AK93&gt;3,IF(AK92&gt;4,"/",""),"")</f>
        <v/>
      </c>
      <c r="M114" s="51"/>
      <c r="N114" s="49"/>
      <c r="O114" s="50" t="str">
        <f>IF(AK93&gt;4,IF(AK92&gt;4,"/",""),"")</f>
        <v/>
      </c>
      <c r="P114" s="51"/>
      <c r="Q114" s="49"/>
      <c r="R114" s="50" t="str">
        <f>IF(AK93&gt;5,IF(AK92&gt;4,"/",""),"")</f>
        <v/>
      </c>
      <c r="S114" s="51"/>
      <c r="T114" s="49"/>
      <c r="U114" s="50" t="str">
        <f>IF(AK93&gt;6,IF(AK92&gt;4,"/",""),"")</f>
        <v/>
      </c>
      <c r="V114" s="51"/>
      <c r="W114" s="49"/>
      <c r="X114" s="50" t="str">
        <f>IF(AK93&gt;7,IF(AK92&gt;4,"/",""),"")</f>
        <v/>
      </c>
      <c r="Y114" s="51"/>
      <c r="Z114" s="49"/>
      <c r="AA114" s="50" t="str">
        <f>IF(AK93&gt;8,IF(AK92&gt;4,"/",""),"")</f>
        <v/>
      </c>
      <c r="AB114" s="51"/>
      <c r="AC114" s="49"/>
      <c r="AD114" s="50" t="str">
        <f>IF(AK93&gt;9,IF(AK92&gt;4,"/",""),"")</f>
        <v/>
      </c>
      <c r="AE114" s="5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</row>
    <row r="115" spans="1:49" hidden="1" x14ac:dyDescent="0.2">
      <c r="A115" s="53"/>
      <c r="B115" s="53">
        <f>IF($AK92=5,SUM(B110:B114),IF($AK92=4,SUM(B110:B113),IF($AK92=3,SUM(B110:B112),IF($AK92=2,SUM(B110:B111),B110))))</f>
        <v>49</v>
      </c>
      <c r="C115" s="53"/>
      <c r="D115" s="53">
        <f>IF($AK92=5,SUM(D110:D114),IF($AK92=4,SUM(D110:D113),IF($AK92=3,SUM(D110:D112),IF($AK92=2,SUM(D110:D111),D110))))</f>
        <v>48</v>
      </c>
      <c r="E115" s="53">
        <f>IF($AK92=5,SUM(E110:E114),IF($AK92=4,SUM(E110:E113),IF($AK92=3,SUM(E110:E112),IF($AK92=2,SUM(E110:E111),E110))))</f>
        <v>36</v>
      </c>
      <c r="F115" s="53"/>
      <c r="G115" s="53">
        <f>IF($AK92=5,SUM(G110:G114),IF($AK92=4,SUM(G110:G113),IF($AK92=3,SUM(G110:G112),IF($AK92=2,SUM(G110:G111),G110))))</f>
        <v>50</v>
      </c>
      <c r="H115" s="53">
        <f>IF($AK92=5,SUM(H110:H114),IF($AK92=4,SUM(H110:H113),IF($AK92=3,SUM(H110:H112),IF($AK92=2,SUM(H110:H111),H110))))</f>
        <v>34</v>
      </c>
      <c r="I115" s="53"/>
      <c r="J115" s="53">
        <f>IF($AK92=5,SUM(J110:J114),IF($AK92=4,SUM(J110:J113),IF($AK92=3,SUM(J110:J112),IF($AK92=2,SUM(J110:J111),J110))))</f>
        <v>50</v>
      </c>
      <c r="K115" s="53">
        <f>IF($AK92=5,SUM(K110:K114),IF($AK92=4,SUM(K110:K113),IF($AK92=3,SUM(K110:K112),IF($AK92=2,SUM(K110:K111),K110))))</f>
        <v>37</v>
      </c>
      <c r="L115" s="53"/>
      <c r="M115" s="53">
        <f>IF($AK92=5,SUM(M110:M114),IF($AK92=4,SUM(M110:M113),IF($AK92=3,SUM(M110:M112),IF($AK92=2,SUM(M110:M111),M110))))</f>
        <v>50</v>
      </c>
      <c r="N115" s="53">
        <f>IF($AK92=5,SUM(N110:N114),IF($AK92=4,SUM(N110:N113),IF($AK92=3,SUM(N110:N112),IF($AK92=2,SUM(N110:N111),N110))))</f>
        <v>43</v>
      </c>
      <c r="O115" s="53"/>
      <c r="P115" s="53">
        <f>IF($AK92=5,SUM(P110:P114),IF($AK92=4,SUM(P110:P113),IF($AK92=3,SUM(P110:P112),IF($AK92=2,SUM(P110:P111),P110))))</f>
        <v>44</v>
      </c>
      <c r="Q115" s="53">
        <f>IF($AK92=5,SUM(Q110:Q114),IF($AK92=4,SUM(Q110:Q113),IF($AK92=3,SUM(Q110:Q112),IF($AK92=2,SUM(Q110:Q111),Q110))))</f>
        <v>50</v>
      </c>
      <c r="R115" s="53"/>
      <c r="S115" s="53">
        <f>IF($AK92=5,SUM(S110:S114),IF($AK92=4,SUM(S110:S113),IF($AK92=3,SUM(S110:S112),IF($AK92=2,SUM(S110:S111),S110))))</f>
        <v>36</v>
      </c>
      <c r="T115" s="53">
        <f>IF($AK92=5,SUM(T110:T114),IF($AK92=4,SUM(T110:T113),IF($AK92=3,SUM(T110:T112),IF($AK92=2,SUM(T110:T111),T110))))</f>
        <v>50</v>
      </c>
      <c r="U115" s="53"/>
      <c r="V115" s="53">
        <f>IF($AK92=5,SUM(V110:V114),IF($AK92=4,SUM(V110:V113),IF($AK92=3,SUM(V110:V112),IF($AK92=2,SUM(V110:V111),V110))))</f>
        <v>42</v>
      </c>
      <c r="W115" s="53">
        <f>IF($AK92=5,SUM(W110:W114),IF($AK92=4,SUM(W110:W113),IF($AK92=3,SUM(W110:W112),IF($AK92=2,SUM(W110:W111),W110))))</f>
        <v>52</v>
      </c>
      <c r="X115" s="53"/>
      <c r="Y115" s="53">
        <f>IF($AK92=5,SUM(Y110:Y114),IF($AK92=4,SUM(Y110:Y113),IF($AK92=3,SUM(Y110:Y112),IF($AK92=2,SUM(Y110:Y111),Y110))))</f>
        <v>39</v>
      </c>
      <c r="Z115" s="53">
        <f>IF($AK92=5,SUM(Z110:Z114),IF($AK92=4,SUM(Z110:Z113),IF($AK92=3,SUM(Z110:Z112),IF($AK92=2,SUM(Z110:Z111),Z110))))</f>
        <v>26</v>
      </c>
      <c r="AA115" s="53"/>
      <c r="AB115" s="53">
        <f>IF($AK92=5,SUM(AB110:AB114),IF($AK92=4,SUM(AB110:AB113),IF($AK92=3,SUM(AB110:AB112),IF($AK92=2,SUM(AB110:AB111),AB110))))</f>
        <v>50</v>
      </c>
      <c r="AC115" s="53">
        <f>IF($AK92=5,SUM(AC110:AC114),IF($AK92=4,SUM(AC110:AC113),IF($AK92=3,SUM(AC110:AC112),IF($AK92=2,SUM(AC110:AC111),AC110))))</f>
        <v>47</v>
      </c>
      <c r="AD115" s="53"/>
      <c r="AE115" s="53">
        <f>IF($AK92=5,SUM(AE110:AE114),IF($AK92=4,SUM(AE110:AE113),IF($AK92=3,SUM(AE110:AE112),IF($AK92=2,SUM(AE110:AE111),AE110))))</f>
        <v>46</v>
      </c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</row>
    <row r="116" spans="1:49" s="54" customFormat="1" ht="12.75" hidden="1" customHeight="1" x14ac:dyDescent="0.2">
      <c r="A116" s="54" t="s">
        <v>54</v>
      </c>
      <c r="B116" s="55">
        <f>IF(AND(B110&gt;D110,$AK93&gt;0,ISNUMBER(B110),ISNUMBER(D110)),1,0)</f>
        <v>0</v>
      </c>
      <c r="C116" s="55"/>
      <c r="D116" s="56">
        <f>IF(AND(D110&gt;B110,$AK93&gt;0,ISNUMBER(B110),ISNUMBER(D110)),1,0)</f>
        <v>1</v>
      </c>
      <c r="E116" s="55">
        <f>IF(AND(E110&gt;G110,$AK93&gt;1,ISNUMBER(E110),ISNUMBER(G110)),1,0)</f>
        <v>0</v>
      </c>
      <c r="F116" s="55"/>
      <c r="G116" s="56">
        <f>IF(AND(G110&gt;E110,$AK93&gt;1,ISNUMBER(E110),ISNUMBER(G110)),1,0)</f>
        <v>1</v>
      </c>
      <c r="H116" s="55">
        <f>IF(AND(H110&gt;J110,$AK93&gt;2,ISNUMBER(H110),ISNUMBER(J110)),1,0)</f>
        <v>0</v>
      </c>
      <c r="I116" s="55"/>
      <c r="J116" s="56">
        <f>IF(AND(J110&gt;H110,$AK93&gt;2,ISNUMBER(H110),ISNUMBER(J110)),1,0)</f>
        <v>1</v>
      </c>
      <c r="K116" s="55">
        <f>IF(AND(K110&gt;M110,$AK93&gt;3,ISNUMBER(K110),ISNUMBER(M110)),1,0)</f>
        <v>0</v>
      </c>
      <c r="L116" s="55"/>
      <c r="M116" s="56">
        <f>IF(AND(M110&gt;K110,$AK93&gt;3,ISNUMBER(K110),ISNUMBER(M110)),1,0)</f>
        <v>1</v>
      </c>
      <c r="N116" s="55">
        <f>IF(AND(N110&gt;P110,$AK93&gt;4,ISNUMBER(N110),ISNUMBER(P110)),1,0)</f>
        <v>1</v>
      </c>
      <c r="O116" s="55"/>
      <c r="P116" s="56">
        <f>IF(AND(P110&gt;N110,$AK93&gt;4,ISNUMBER(N110),ISNUMBER(P110)),1,0)</f>
        <v>0</v>
      </c>
      <c r="Q116" s="55">
        <f>IF(AND(Q110&gt;S110,$AK93&gt;5,ISNUMBER(Q110),ISNUMBER(S110)),1,0)</f>
        <v>1</v>
      </c>
      <c r="R116" s="55"/>
      <c r="S116" s="56">
        <f>IF(AND(S110&gt;Q110,$AK93&gt;5,ISNUMBER(Q110),ISNUMBER(S110)),1,0)</f>
        <v>0</v>
      </c>
      <c r="T116" s="55">
        <f>IF(AND(T110&gt;V110,$AK93&gt;6,ISNUMBER(T110),ISNUMBER(V110)),1,0)</f>
        <v>1</v>
      </c>
      <c r="U116" s="55"/>
      <c r="V116" s="56">
        <f>IF(AND(V110&gt;T110,$AK93&gt;6,ISNUMBER(T110),ISNUMBER(V110)),1,0)</f>
        <v>0</v>
      </c>
      <c r="W116" s="55">
        <f>IF(AND(W110&gt;Y110,$AK93&gt;7,ISNUMBER(W110),ISNUMBER(Y110)),1,0)</f>
        <v>1</v>
      </c>
      <c r="X116" s="55"/>
      <c r="Y116" s="56">
        <f>IF(AND(Y110&gt;W110,$AK93&gt;7,ISNUMBER(W110),ISNUMBER(Y110)),1,0)</f>
        <v>0</v>
      </c>
      <c r="Z116" s="55">
        <f>IF(AND(Z110&gt;AB110,$AK93&gt;8,ISNUMBER(Z110),ISNUMBER(AB110)),1,0)</f>
        <v>0</v>
      </c>
      <c r="AA116" s="55"/>
      <c r="AB116" s="56">
        <f>IF(AND(AB110&gt;Z110,$AK93&gt;8,ISNUMBER(Z110),ISNUMBER(AB110)),1,0)</f>
        <v>1</v>
      </c>
      <c r="AC116" s="55">
        <f>IF(AND(AC110&gt;AE110,$AK93&gt;9,ISNUMBER(AC110),ISNUMBER(AE110)),1,0)</f>
        <v>1</v>
      </c>
      <c r="AD116" s="55"/>
      <c r="AE116" s="56">
        <f>IF(AND(AE110&gt;AC110,$AK93&gt;9,ISNUMBER(AC110),ISNUMBER(AE110)),1,0)</f>
        <v>0</v>
      </c>
      <c r="AW116" s="146"/>
    </row>
    <row r="117" spans="1:49" s="54" customFormat="1" ht="12.75" hidden="1" customHeight="1" x14ac:dyDescent="0.2">
      <c r="A117" s="54" t="s">
        <v>55</v>
      </c>
      <c r="B117" s="55">
        <f>IF(AND(B111&gt;D111,$AK93&gt;0,$AK92&gt;1,ISNUMBER(B111),ISNUMBER(D111)),1,0)</f>
        <v>1</v>
      </c>
      <c r="C117" s="55"/>
      <c r="D117" s="56">
        <f>IF(AND(D111&gt;B111,$AK93&gt;0,$AK92&gt;1,ISNUMBER(B111),ISNUMBER(D111)),1,0)</f>
        <v>0</v>
      </c>
      <c r="E117" s="55">
        <f>IF(AND(E111&gt;G111,$AK93&gt;1,$AK92&gt;1,ISNUMBER(E111),ISNUMBER(G111)),1,0)</f>
        <v>0</v>
      </c>
      <c r="F117" s="55"/>
      <c r="G117" s="56">
        <f>IF(AND(G111&gt;E111,$AK93&gt;1,$AK92&gt;1,ISNUMBER(E111),ISNUMBER(G111)),1,0)</f>
        <v>1</v>
      </c>
      <c r="H117" s="55">
        <f>IF(AND(H111&gt;J111,$AK93&gt;2,$AK92&gt;1,ISNUMBER(H111),ISNUMBER(J111)),1,0)</f>
        <v>0</v>
      </c>
      <c r="I117" s="55"/>
      <c r="J117" s="56">
        <f>IF(AND(J111&gt;H111,$AK93&gt;2,$AK92&gt;1,ISNUMBER(H111),ISNUMBER(J111)),1,0)</f>
        <v>1</v>
      </c>
      <c r="K117" s="55">
        <f>IF(AND(K111&gt;M111,$AK93&gt;3,$AK92&gt;1,ISNUMBER(K111),ISNUMBER(M111)),1,0)</f>
        <v>0</v>
      </c>
      <c r="L117" s="55"/>
      <c r="M117" s="56">
        <f>IF(AND(M111&gt;K111,$AK93&gt;3,$AK92&gt;1,ISNUMBER(K111),ISNUMBER(M111)),1,0)</f>
        <v>1</v>
      </c>
      <c r="N117" s="55">
        <f>IF(AND(N111&gt;P111,$AK93&gt;4,$AK92&gt;1,ISNUMBER(N111),ISNUMBER(P111)),1,0)</f>
        <v>0</v>
      </c>
      <c r="O117" s="55"/>
      <c r="P117" s="56">
        <f>IF(AND(P111&gt;N111,$AK93&gt;4,$AK92&gt;1,ISNUMBER(N111),ISNUMBER(P111)),1,0)</f>
        <v>1</v>
      </c>
      <c r="Q117" s="55">
        <f>IF(AND(Q111&gt;S111,$AK93&gt;5,$AK92&gt;1,ISNUMBER(Q111),ISNUMBER(S111)),1,0)</f>
        <v>1</v>
      </c>
      <c r="R117" s="55"/>
      <c r="S117" s="56">
        <f>IF(AND(S111&gt;Q111,$AK93&gt;5,$AK92&gt;1,ISNUMBER(Q111),ISNUMBER(S111)),1,0)</f>
        <v>0</v>
      </c>
      <c r="T117" s="55">
        <f>IF(AND(T111&gt;V111,$AK93&gt;6,$AK92&gt;1,ISNUMBER(T111),ISNUMBER(V111)),1,0)</f>
        <v>1</v>
      </c>
      <c r="U117" s="55"/>
      <c r="V117" s="56">
        <f>IF(AND(V111&gt;T111,$AK93&gt;6,$AK92&gt;1,ISNUMBER(T111),ISNUMBER(V111)),1,0)</f>
        <v>0</v>
      </c>
      <c r="W117" s="55">
        <f>IF(AND(W111&gt;Y111,$AK93&gt;7,$AK92&gt;1,ISNUMBER(W111),ISNUMBER(Y111)),1,0)</f>
        <v>1</v>
      </c>
      <c r="X117" s="55"/>
      <c r="Y117" s="56">
        <f>IF(AND(Y111&gt;W111,$AK93&gt;7,$AK92&gt;1,ISNUMBER(W111),ISNUMBER(Y111)),1,0)</f>
        <v>0</v>
      </c>
      <c r="Z117" s="55">
        <f>IF(AND(Z111&gt;AB111,$AK93&gt;8,$AK92&gt;1,ISNUMBER(Z111),ISNUMBER(AB111)),1,0)</f>
        <v>0</v>
      </c>
      <c r="AA117" s="55"/>
      <c r="AB117" s="56">
        <f>IF(AND(AB111&gt;Z111,$AK93&gt;8,$AK92&gt;1,ISNUMBER(Z111),ISNUMBER(AB111)),1,0)</f>
        <v>1</v>
      </c>
      <c r="AC117" s="55">
        <f>IF(AND(AC111&gt;AE111,$AK93&gt;9,$AK92&gt;1,ISNUMBER(AC111),ISNUMBER(AE111)),1,0)</f>
        <v>0</v>
      </c>
      <c r="AD117" s="55"/>
      <c r="AE117" s="56">
        <f>IF(AND(AE111&gt;AC111,$AK93&gt;9,$AK92&gt;1,ISNUMBER(AC111),ISNUMBER(AE111)),1,0)</f>
        <v>1</v>
      </c>
      <c r="AW117" s="146"/>
    </row>
    <row r="118" spans="1:49" s="54" customFormat="1" ht="12.75" hidden="1" customHeight="1" x14ac:dyDescent="0.2">
      <c r="A118" s="54" t="s">
        <v>56</v>
      </c>
      <c r="B118" s="55">
        <f>IF(AND(B112&gt;D112,$AK93&gt;0,$AK92&gt;2,ISNUMBER(B112),ISNUMBER(D112)),1,0)</f>
        <v>0</v>
      </c>
      <c r="C118" s="55"/>
      <c r="D118" s="56">
        <f>IF(AND(D112&gt;B112,$AK93&gt;0,$AK92&gt;2,ISNUMBER(B112),ISNUMBER(D112)),1,0)</f>
        <v>0</v>
      </c>
      <c r="E118" s="55">
        <f>IF(AND(E112&gt;G112,$AK93&gt;1,$AK92&gt;2,ISNUMBER(E112),ISNUMBER(G112)),1,0)</f>
        <v>0</v>
      </c>
      <c r="F118" s="55"/>
      <c r="G118" s="56">
        <f>IF(AND(G112&gt;E112,$AK93&gt;1,$AK92&gt;2,ISNUMBER(E112),ISNUMBER(G112)),1,0)</f>
        <v>0</v>
      </c>
      <c r="H118" s="55">
        <f>IF(AND(H112&gt;J112,$AK93&gt;2,$AK92&gt;2,ISNUMBER(H112),ISNUMBER(J112)),1,0)</f>
        <v>0</v>
      </c>
      <c r="I118" s="55"/>
      <c r="J118" s="56">
        <f>IF(AND(J112&gt;H112,$AK93&gt;2,$AK92&gt;2,ISNUMBER(H112),ISNUMBER(J112)),1,0)</f>
        <v>0</v>
      </c>
      <c r="K118" s="55">
        <f>IF(AND(K112&gt;M112,$AK93&gt;3,$AK92&gt;2,ISNUMBER(K112),ISNUMBER(M112)),1,0)</f>
        <v>0</v>
      </c>
      <c r="L118" s="55"/>
      <c r="M118" s="56">
        <f>IF(AND(M112&gt;K112,$AK93&gt;3,$AK92&gt;2,ISNUMBER(K112),ISNUMBER(M112)),1,0)</f>
        <v>0</v>
      </c>
      <c r="N118" s="55">
        <f>IF(AND(N112&gt;P112,$AK93&gt;4,$AK92&gt;2,ISNUMBER(N112),ISNUMBER(P112)),1,0)</f>
        <v>0</v>
      </c>
      <c r="O118" s="55"/>
      <c r="P118" s="56">
        <f>IF(AND(P112&gt;N112,$AK93&gt;4,$AK92&gt;2,ISNUMBER(N112),ISNUMBER(P112)),1,0)</f>
        <v>0</v>
      </c>
      <c r="Q118" s="55">
        <f>IF(AND(Q112&gt;S112,$AK93&gt;5,$AK92&gt;2,ISNUMBER(Q112),ISNUMBER(S112)),1,0)</f>
        <v>0</v>
      </c>
      <c r="R118" s="55"/>
      <c r="S118" s="56">
        <f>IF(AND(S112&gt;Q112,$AK93&gt;5,$AK92&gt;2,ISNUMBER(Q112),ISNUMBER(S112)),1,0)</f>
        <v>0</v>
      </c>
      <c r="T118" s="55">
        <f>IF(AND(T112&gt;V112,$AK93&gt;6,$AK92&gt;2,ISNUMBER(T112),ISNUMBER(V112)),1,0)</f>
        <v>0</v>
      </c>
      <c r="U118" s="55"/>
      <c r="V118" s="56">
        <f>IF(AND(V112&gt;T112,$AK93&gt;6,$AK92&gt;2,ISNUMBER(T112),ISNUMBER(V112)),1,0)</f>
        <v>0</v>
      </c>
      <c r="W118" s="55">
        <f>IF(AND(W112&gt;Y112,$AK93&gt;7,$AK92&gt;2,ISNUMBER(W112),ISNUMBER(Y112)),1,0)</f>
        <v>0</v>
      </c>
      <c r="X118" s="55"/>
      <c r="Y118" s="56">
        <f>IF(AND(Y112&gt;W112,$AK93&gt;7,$AK92&gt;2,ISNUMBER(W112),ISNUMBER(Y112)),1,0)</f>
        <v>0</v>
      </c>
      <c r="Z118" s="55">
        <f>IF(AND(Z112&gt;AB112,$AK93&gt;8,$AK92&gt;2,ISNUMBER(Z112),ISNUMBER(AB112)),1,0)</f>
        <v>0</v>
      </c>
      <c r="AA118" s="55"/>
      <c r="AB118" s="56">
        <f>IF(AND(AB112&gt;Z112,$AK93&gt;8,$AK92&gt;2,ISNUMBER(Z112),ISNUMBER(AB112)),1,0)</f>
        <v>0</v>
      </c>
      <c r="AC118" s="55">
        <f>IF(AND(AC112&gt;AE112,$AK93&gt;9,$AK92&gt;2,ISNUMBER(AC112),ISNUMBER(AE112)),1,0)</f>
        <v>0</v>
      </c>
      <c r="AD118" s="55"/>
      <c r="AE118" s="56">
        <f>IF(AND(AE112&gt;AC112,$AK93&gt;9,$AK92&gt;2,ISNUMBER(AC112),ISNUMBER(AE112)),1,0)</f>
        <v>0</v>
      </c>
      <c r="AW118" s="146"/>
    </row>
    <row r="119" spans="1:49" s="54" customFormat="1" ht="12.75" hidden="1" customHeight="1" x14ac:dyDescent="0.2">
      <c r="A119" s="54" t="s">
        <v>57</v>
      </c>
      <c r="B119" s="55">
        <f>IF(AND(B113&gt;D113,$AK93&gt;0,$AK92&gt;3,ISNUMBER(B113),ISNUMBER(D113)),1,0)</f>
        <v>0</v>
      </c>
      <c r="C119" s="55"/>
      <c r="D119" s="56">
        <f>IF(AND(D113&gt;B113,$AK93&gt;0,$AK92&gt;3,ISNUMBER(B113),ISNUMBER(D113)),1,0)</f>
        <v>0</v>
      </c>
      <c r="E119" s="55">
        <f>IF(AND(E113&gt;G113,$AK93&gt;1,$AK92&gt;3,ISNUMBER(E113),ISNUMBER(G113)),1,0)</f>
        <v>0</v>
      </c>
      <c r="F119" s="55"/>
      <c r="G119" s="56">
        <f>IF(AND(G113&gt;E113,$AK93&gt;1,$AK92&gt;3,ISNUMBER(E113),ISNUMBER(G113)),1,0)</f>
        <v>0</v>
      </c>
      <c r="H119" s="55">
        <f>IF(AND(H113&gt;J113,$AK93&gt;2,$AK92&gt;3,ISNUMBER(H113),ISNUMBER(J113)),1,0)</f>
        <v>0</v>
      </c>
      <c r="I119" s="55"/>
      <c r="J119" s="56">
        <f>IF(AND(J113&gt;H113,$AK93&gt;2,$AK92&gt;3,ISNUMBER(H113),ISNUMBER(J113)),1,0)</f>
        <v>0</v>
      </c>
      <c r="K119" s="55">
        <f>IF(AND(K113&gt;M113,$AK93&gt;3,$AK92&gt;3,ISNUMBER(K113),ISNUMBER(M113)),1,0)</f>
        <v>0</v>
      </c>
      <c r="L119" s="55"/>
      <c r="M119" s="56">
        <f>IF(AND(M113&gt;K113,$AK93&gt;3,$AK92&gt;3,ISNUMBER(K113),ISNUMBER(M113)),1,0)</f>
        <v>0</v>
      </c>
      <c r="N119" s="55">
        <f>IF(AND(N113&gt;P113,$AK93&gt;4,$AK92&gt;3,ISNUMBER(N113),ISNUMBER(P113)),1,0)</f>
        <v>0</v>
      </c>
      <c r="O119" s="55"/>
      <c r="P119" s="56">
        <f>IF(AND(P113&gt;N113,$AK93&gt;4,$AK92&gt;3,ISNUMBER(N113),ISNUMBER(P113)),1,0)</f>
        <v>0</v>
      </c>
      <c r="Q119" s="55">
        <f>IF(AND(Q113&gt;S113,$AK93&gt;5,$AK92&gt;3,ISNUMBER(Q113),ISNUMBER(S113)),1,0)</f>
        <v>0</v>
      </c>
      <c r="R119" s="55"/>
      <c r="S119" s="56">
        <f>IF(AND(S113&gt;Q113,$AK93&gt;5,$AK92&gt;3,ISNUMBER(Q113),ISNUMBER(S113)),1,0)</f>
        <v>0</v>
      </c>
      <c r="T119" s="55">
        <f>IF(AND(T113&gt;V113,$AK93&gt;6,$AK92&gt;3,ISNUMBER(T113),ISNUMBER(V113)),1,0)</f>
        <v>0</v>
      </c>
      <c r="U119" s="55"/>
      <c r="V119" s="56">
        <f>IF(AND(V113&gt;T113,$AK93&gt;6,$AK92&gt;3,ISNUMBER(T113),ISNUMBER(V113)),1,0)</f>
        <v>0</v>
      </c>
      <c r="W119" s="55">
        <f>IF(AND(W113&gt;Y113,$AK93&gt;7,$AK92&gt;3,ISNUMBER(W113),ISNUMBER(Y113)),1,0)</f>
        <v>0</v>
      </c>
      <c r="X119" s="55"/>
      <c r="Y119" s="56">
        <f>IF(AND(Y113&gt;W113,$AK93&gt;7,$AK92&gt;3,ISNUMBER(W113),ISNUMBER(Y113)),1,0)</f>
        <v>0</v>
      </c>
      <c r="Z119" s="55">
        <f>IF(AND(Z113&gt;AB113,$AK93&gt;8,$AK92&gt;3,ISNUMBER(Z113),ISNUMBER(AB113)),1,0)</f>
        <v>0</v>
      </c>
      <c r="AA119" s="55"/>
      <c r="AB119" s="56">
        <f>IF(AND(AB113&gt;Z113,$AK93&gt;8,$AK92&gt;3,ISNUMBER(Z113),ISNUMBER(AB113)),1,0)</f>
        <v>0</v>
      </c>
      <c r="AC119" s="55">
        <f>IF(AND(AC113&gt;AE113,$AK93&gt;9,$AK92&gt;3,ISNUMBER(AC113),ISNUMBER(AE113)),1,0)</f>
        <v>0</v>
      </c>
      <c r="AD119" s="55"/>
      <c r="AE119" s="56">
        <f>IF(AND(AE113&gt;AC113,$AK93&gt;9,$AK92&gt;3,ISNUMBER(AC113),ISNUMBER(AE113)),1,0)</f>
        <v>0</v>
      </c>
      <c r="AW119" s="146"/>
    </row>
    <row r="120" spans="1:49" s="54" customFormat="1" ht="12.75" hidden="1" customHeight="1" x14ac:dyDescent="0.2">
      <c r="A120" s="54" t="s">
        <v>58</v>
      </c>
      <c r="B120" s="55">
        <f>IF(AND(B114&gt;D114,$AK93&gt;0,$AK92&gt;4,ISNUMBER(B114),ISNUMBER(D114)),1,0)</f>
        <v>0</v>
      </c>
      <c r="C120" s="55"/>
      <c r="D120" s="56">
        <f>IF(AND(D114&gt;B114,$AK93&gt;0,$AK92&gt;4,ISNUMBER(B114),ISNUMBER(D114)),1,0)</f>
        <v>0</v>
      </c>
      <c r="E120" s="55">
        <f>IF(AND(E114&gt;G114,$AK93&gt;1,$AK92&gt;4,ISNUMBER(E114),ISNUMBER(G114)),1,0)</f>
        <v>0</v>
      </c>
      <c r="F120" s="55"/>
      <c r="G120" s="56">
        <f>IF(AND(G114&gt;E114,$AK93&gt;1,$AK92&gt;4,ISNUMBER(E114),ISNUMBER(G114)),1,0)</f>
        <v>0</v>
      </c>
      <c r="H120" s="55">
        <f>IF(AND(H114&gt;J114,$AK93&gt;2,$AK92&gt;4,ISNUMBER(H114),ISNUMBER(J114)),1,0)</f>
        <v>0</v>
      </c>
      <c r="I120" s="55"/>
      <c r="J120" s="56">
        <f>IF(AND(J114&gt;H114,$AK93&gt;2,$AK92&gt;4,ISNUMBER(H114),ISNUMBER(J114)),1,0)</f>
        <v>0</v>
      </c>
      <c r="K120" s="55">
        <f>IF(AND(K114&gt;M114,$AK93&gt;3,$AK92&gt;4,ISNUMBER(K114),ISNUMBER(M114)),1,0)</f>
        <v>0</v>
      </c>
      <c r="L120" s="55"/>
      <c r="M120" s="56">
        <f>IF(AND(M114&gt;K114,$AK93&gt;3,$AK92&gt;4,ISNUMBER(K114),ISNUMBER(M114)),1,0)</f>
        <v>0</v>
      </c>
      <c r="N120" s="55">
        <f>IF(AND(N114&gt;P114,$AK93&gt;4,$AK92&gt;4,ISNUMBER(N114),ISNUMBER(P114)),1,0)</f>
        <v>0</v>
      </c>
      <c r="O120" s="55"/>
      <c r="P120" s="56">
        <f>IF(AND(P114&gt;N114,$AK93&gt;4,$AK92&gt;4,ISNUMBER(N114),ISNUMBER(P114)),1,0)</f>
        <v>0</v>
      </c>
      <c r="Q120" s="55">
        <f>IF(AND(Q114&gt;S114,$AK93&gt;5,$AK92&gt;4,ISNUMBER(Q114),ISNUMBER(S114)),1,0)</f>
        <v>0</v>
      </c>
      <c r="R120" s="55"/>
      <c r="S120" s="56">
        <f>IF(AND(S114&gt;Q114,$AK93&gt;5,$AK92&gt;4,ISNUMBER(Q114),ISNUMBER(S114)),1,0)</f>
        <v>0</v>
      </c>
      <c r="T120" s="55">
        <f>IF(AND(T114&gt;V114,$AK93&gt;6,$AK92&gt;4,ISNUMBER(T114),ISNUMBER(V114)),1,0)</f>
        <v>0</v>
      </c>
      <c r="U120" s="55"/>
      <c r="V120" s="56">
        <f>IF(AND(V114&gt;T114,$AK93&gt;6,$AK92&gt;4,ISNUMBER(T114),ISNUMBER(V114)),1,0)</f>
        <v>0</v>
      </c>
      <c r="W120" s="55">
        <f>IF(AND(W114&gt;Y114,$AK93&gt;7,$AK92&gt;4,ISNUMBER(W114),ISNUMBER(Y114)),1,0)</f>
        <v>0</v>
      </c>
      <c r="X120" s="55"/>
      <c r="Y120" s="56">
        <f>IF(AND(Y114&gt;W114,$AK93&gt;7,$AK92&gt;4,ISNUMBER(W114),ISNUMBER(Y114)),1,0)</f>
        <v>0</v>
      </c>
      <c r="Z120" s="55">
        <f>IF(AND(Z114&gt;AB114,$AK93&gt;8,$AK92&gt;4,ISNUMBER(Z114),ISNUMBER(AB114)),1,0)</f>
        <v>0</v>
      </c>
      <c r="AA120" s="55"/>
      <c r="AB120" s="56">
        <f>IF(AND(AB114&gt;Z114,$AK93&gt;8,$AK92&gt;4,ISNUMBER(Z114),ISNUMBER(AB114)),1,0)</f>
        <v>0</v>
      </c>
      <c r="AC120" s="55">
        <f>IF(AND(AC114&gt;AE114,$AK93&gt;9,$AK92&gt;4,ISNUMBER(AC114),ISNUMBER(AE114)),1,0)</f>
        <v>0</v>
      </c>
      <c r="AD120" s="55"/>
      <c r="AE120" s="56">
        <f>IF(AND(AE114&gt;AC114,$AK93&gt;9,$AK92&gt;4,ISNUMBER(AC114),ISNUMBER(AE114)),1,0)</f>
        <v>0</v>
      </c>
      <c r="AW120" s="146"/>
    </row>
    <row r="121" spans="1:49" s="54" customFormat="1" ht="38.25" hidden="1" customHeight="1" x14ac:dyDescent="0.2">
      <c r="A121" s="57" t="s">
        <v>59</v>
      </c>
      <c r="B121" s="54">
        <f>SUM(B116:B120)</f>
        <v>1</v>
      </c>
      <c r="D121" s="58">
        <f>SUM(D116:D120)</f>
        <v>1</v>
      </c>
      <c r="E121" s="54">
        <f>SUM(E116:E120)</f>
        <v>0</v>
      </c>
      <c r="G121" s="58">
        <f>SUM(G116:G120)</f>
        <v>2</v>
      </c>
      <c r="H121" s="54">
        <f>SUM(H116:H120)</f>
        <v>0</v>
      </c>
      <c r="J121" s="58">
        <f>SUM(J116:J120)</f>
        <v>2</v>
      </c>
      <c r="K121" s="54">
        <f>SUM(K116:K120)</f>
        <v>0</v>
      </c>
      <c r="M121" s="58">
        <f>SUM(M116:M120)</f>
        <v>2</v>
      </c>
      <c r="N121" s="54">
        <f>SUM(N116:N120)</f>
        <v>1</v>
      </c>
      <c r="P121" s="58">
        <f>SUM(P116:P120)</f>
        <v>1</v>
      </c>
      <c r="Q121" s="54">
        <f>SUM(Q116:Q120)</f>
        <v>2</v>
      </c>
      <c r="S121" s="58">
        <f>SUM(S116:S120)</f>
        <v>0</v>
      </c>
      <c r="T121" s="54">
        <f>SUM(T116:T120)</f>
        <v>2</v>
      </c>
      <c r="V121" s="58">
        <f>SUM(V116:V120)</f>
        <v>0</v>
      </c>
      <c r="W121" s="54">
        <f>SUM(W116:W120)</f>
        <v>2</v>
      </c>
      <c r="Y121" s="58">
        <f>SUM(Y116:Y120)</f>
        <v>0</v>
      </c>
      <c r="Z121" s="54">
        <f>SUM(Z116:Z120)</f>
        <v>0</v>
      </c>
      <c r="AB121" s="58">
        <f>SUM(AB116:AB120)</f>
        <v>2</v>
      </c>
      <c r="AC121" s="54">
        <f>SUM(AC116:AC120)</f>
        <v>1</v>
      </c>
      <c r="AE121" s="58">
        <f>SUM(AE116:AE120)</f>
        <v>1</v>
      </c>
      <c r="AW121" s="146"/>
    </row>
    <row r="122" spans="1:49" s="54" customFormat="1" ht="25.5" hidden="1" customHeight="1" x14ac:dyDescent="0.2">
      <c r="A122" s="57" t="s">
        <v>60</v>
      </c>
      <c r="B122" s="54">
        <f>IF(B121&gt;D121,IF(C156=AK92,1,IF(C156=AK92-1,1,0)),0)</f>
        <v>0</v>
      </c>
      <c r="C122" s="54">
        <f>B122+D122</f>
        <v>0</v>
      </c>
      <c r="D122" s="58">
        <f>IF(D121&gt;B121,IF(C156=AK92,1,IF(C156=AK92-1,1,0)),0)</f>
        <v>0</v>
      </c>
      <c r="E122" s="54">
        <f>IF(E121&gt;G121,IF(F156=AK92,1,IF(F156=AK92-1,1,0)),0)</f>
        <v>0</v>
      </c>
      <c r="F122" s="54">
        <f>E122+G122</f>
        <v>1</v>
      </c>
      <c r="G122" s="58">
        <f>IF(G121&gt;E121,IF(F156=AK92,1,IF(F156=AK92-1,1,0)),0)</f>
        <v>1</v>
      </c>
      <c r="H122" s="54">
        <f>IF(H121&gt;J121,IF(I156=AK92,1,IF(I156=AK92-1,1,0)),0)</f>
        <v>0</v>
      </c>
      <c r="I122" s="54">
        <f>H122+J122</f>
        <v>1</v>
      </c>
      <c r="J122" s="58">
        <f>IF(J121&gt;H121,IF(I156=AK92,1,IF(I156=AK92-1,1,0)),0)</f>
        <v>1</v>
      </c>
      <c r="K122" s="54">
        <f>IF(K121&gt;M121,IF(L156=AK92,1,IF(L156=AK92-1,1,0)),0)</f>
        <v>0</v>
      </c>
      <c r="L122" s="54">
        <f>K122+M122</f>
        <v>1</v>
      </c>
      <c r="M122" s="58">
        <f>IF(M121&gt;K121,IF(L156=AK92,1,IF(L156=AK92-1,1,0)),0)</f>
        <v>1</v>
      </c>
      <c r="N122" s="54">
        <f>IF(N121&gt;P121,IF(O156=AK92,1,IF(O156=AK92-1,1,0)),0)</f>
        <v>0</v>
      </c>
      <c r="O122" s="54">
        <f>N122+P122</f>
        <v>0</v>
      </c>
      <c r="P122" s="58">
        <f>IF(P121&gt;N121,IF(O156=AK92,1,IF(O156=AK92-1,1,0)),0)</f>
        <v>0</v>
      </c>
      <c r="Q122" s="54">
        <f>IF(Q121&gt;S121,IF(R156=AK92,1,IF(R156=AK92-1,1,0)),0)</f>
        <v>1</v>
      </c>
      <c r="R122" s="54">
        <f>Q122+S122</f>
        <v>1</v>
      </c>
      <c r="S122" s="58">
        <f>IF(S121&gt;Q121,IF(R156=AK92,1,IF(R156=AK92-1,1,0)),0)</f>
        <v>0</v>
      </c>
      <c r="T122" s="54">
        <f>IF(T121&gt;V121,IF(U156=AK92,1,IF(U156=AK92-1,1,0)),0)</f>
        <v>1</v>
      </c>
      <c r="U122" s="54">
        <f>T122+V122</f>
        <v>1</v>
      </c>
      <c r="V122" s="58">
        <f>IF(V121&gt;T121,IF(U156=AK92,1,IF(U156=AK92-1,1,0)),0)</f>
        <v>0</v>
      </c>
      <c r="W122" s="54">
        <f>IF(W121&gt;Y121,IF(X156=AK92,1,IF(X156=AK92-1,1,0)),0)</f>
        <v>1</v>
      </c>
      <c r="X122" s="54">
        <f>W122+Y122</f>
        <v>1</v>
      </c>
      <c r="Y122" s="58">
        <f>IF(Y121&gt;W121,IF(X156=AK92,1,IF(X156=AK92-1,1,0)),0)</f>
        <v>0</v>
      </c>
      <c r="Z122" s="54">
        <f>IF(Z121&gt;AB121,IF(AA156=AK92,1,IF(AA156=AK92-1,1,0)),0)</f>
        <v>0</v>
      </c>
      <c r="AA122" s="54">
        <f>Z122+AB122</f>
        <v>1</v>
      </c>
      <c r="AB122" s="58">
        <f>IF(AB121&gt;Z121,IF(AA156=AK92,1,IF(AA156=AK92-1,1,0)),0)</f>
        <v>1</v>
      </c>
      <c r="AC122" s="54">
        <f>IF(AC121&gt;AE121,IF(AD156=AK92,1,IF(AD156=AK92-1,1,0)),0)</f>
        <v>0</v>
      </c>
      <c r="AD122" s="54">
        <f>AC122+AE122</f>
        <v>0</v>
      </c>
      <c r="AE122" s="58">
        <f>IF(AE121&gt;AC121,IF(AD156=AK92,1,IF(AD156=AK92-1,1,0)),0)</f>
        <v>0</v>
      </c>
      <c r="AW122" s="146"/>
    </row>
    <row r="123" spans="1:49" s="54" customFormat="1" ht="25.5" hidden="1" customHeight="1" x14ac:dyDescent="0.2">
      <c r="A123" s="57"/>
      <c r="D123" s="58"/>
      <c r="G123" s="58"/>
      <c r="J123" s="58"/>
      <c r="M123" s="58"/>
      <c r="P123" s="58"/>
      <c r="S123" s="58"/>
      <c r="V123" s="58"/>
      <c r="Y123" s="58"/>
      <c r="AB123" s="58"/>
      <c r="AE123" s="58"/>
      <c r="AW123" s="146"/>
    </row>
    <row r="124" spans="1:49" s="54" customFormat="1" ht="12.75" hidden="1" customHeight="1" x14ac:dyDescent="0.2">
      <c r="A124" s="54" t="s">
        <v>61</v>
      </c>
      <c r="B124" s="54">
        <f>IF(B116=1,B110,0)</f>
        <v>0</v>
      </c>
      <c r="D124" s="58">
        <f t="shared" ref="D124:E128" si="12">IF(D116=1,D110,0)</f>
        <v>26</v>
      </c>
      <c r="E124" s="54">
        <f t="shared" si="12"/>
        <v>0</v>
      </c>
      <c r="G124" s="58">
        <f t="shared" ref="G124:H128" si="13">IF(G116=1,G110,0)</f>
        <v>25</v>
      </c>
      <c r="H124" s="54">
        <f t="shared" si="13"/>
        <v>0</v>
      </c>
      <c r="J124" s="58">
        <f t="shared" ref="J124:K128" si="14">IF(J116=1,J110,0)</f>
        <v>25</v>
      </c>
      <c r="K124" s="54">
        <f t="shared" si="14"/>
        <v>0</v>
      </c>
      <c r="M124" s="58">
        <f t="shared" ref="M124:N128" si="15">IF(M116=1,M110,0)</f>
        <v>25</v>
      </c>
      <c r="N124" s="54">
        <f t="shared" si="15"/>
        <v>25</v>
      </c>
      <c r="P124" s="58">
        <f t="shared" ref="P124:Q128" si="16">IF(P116=1,P110,0)</f>
        <v>0</v>
      </c>
      <c r="Q124" s="54">
        <f t="shared" si="16"/>
        <v>25</v>
      </c>
      <c r="S124" s="58">
        <f t="shared" ref="S124:T128" si="17">IF(S116=1,S110,0)</f>
        <v>0</v>
      </c>
      <c r="T124" s="54">
        <f t="shared" si="17"/>
        <v>25</v>
      </c>
      <c r="V124" s="58">
        <f t="shared" ref="V124:W128" si="18">IF(V116=1,V110,0)</f>
        <v>0</v>
      </c>
      <c r="W124" s="54">
        <f t="shared" si="18"/>
        <v>25</v>
      </c>
      <c r="Y124" s="58">
        <f t="shared" ref="Y124:Z128" si="19">IF(Y116=1,Y110,0)</f>
        <v>0</v>
      </c>
      <c r="Z124" s="54">
        <f t="shared" si="19"/>
        <v>0</v>
      </c>
      <c r="AB124" s="58">
        <f t="shared" ref="AB124:AC128" si="20">IF(AB116=1,AB110,0)</f>
        <v>25</v>
      </c>
      <c r="AC124" s="54">
        <f t="shared" si="20"/>
        <v>25</v>
      </c>
      <c r="AE124" s="58">
        <f>IF(AE116=1,AE110,0)</f>
        <v>0</v>
      </c>
      <c r="AW124" s="146"/>
    </row>
    <row r="125" spans="1:49" s="54" customFormat="1" ht="12.75" hidden="1" customHeight="1" x14ac:dyDescent="0.2">
      <c r="A125" s="54" t="s">
        <v>62</v>
      </c>
      <c r="B125" s="54">
        <f>IF(B117=1,B111,0)</f>
        <v>25</v>
      </c>
      <c r="D125" s="58">
        <f t="shared" si="12"/>
        <v>0</v>
      </c>
      <c r="E125" s="54">
        <f t="shared" si="12"/>
        <v>0</v>
      </c>
      <c r="G125" s="58">
        <f t="shared" si="13"/>
        <v>25</v>
      </c>
      <c r="H125" s="54">
        <f t="shared" si="13"/>
        <v>0</v>
      </c>
      <c r="J125" s="58">
        <f t="shared" si="14"/>
        <v>25</v>
      </c>
      <c r="K125" s="54">
        <f t="shared" si="14"/>
        <v>0</v>
      </c>
      <c r="M125" s="58">
        <f t="shared" si="15"/>
        <v>25</v>
      </c>
      <c r="N125" s="54">
        <f t="shared" si="15"/>
        <v>0</v>
      </c>
      <c r="P125" s="58">
        <f t="shared" si="16"/>
        <v>25</v>
      </c>
      <c r="Q125" s="54">
        <f t="shared" si="16"/>
        <v>25</v>
      </c>
      <c r="S125" s="58">
        <f t="shared" si="17"/>
        <v>0</v>
      </c>
      <c r="T125" s="54">
        <f t="shared" si="17"/>
        <v>25</v>
      </c>
      <c r="V125" s="58">
        <f t="shared" si="18"/>
        <v>0</v>
      </c>
      <c r="W125" s="54">
        <f t="shared" si="18"/>
        <v>27</v>
      </c>
      <c r="Y125" s="58">
        <f t="shared" si="19"/>
        <v>0</v>
      </c>
      <c r="Z125" s="54">
        <f t="shared" si="19"/>
        <v>0</v>
      </c>
      <c r="AB125" s="58">
        <f t="shared" si="20"/>
        <v>25</v>
      </c>
      <c r="AC125" s="54">
        <f t="shared" si="20"/>
        <v>0</v>
      </c>
      <c r="AE125" s="58">
        <f>IF(AE117=1,AE111,0)</f>
        <v>25</v>
      </c>
      <c r="AW125" s="146"/>
    </row>
    <row r="126" spans="1:49" s="54" customFormat="1" ht="12.75" hidden="1" customHeight="1" x14ac:dyDescent="0.2">
      <c r="A126" s="54" t="s">
        <v>63</v>
      </c>
      <c r="B126" s="54">
        <f>IF(B118=1,B112,0)</f>
        <v>0</v>
      </c>
      <c r="D126" s="58">
        <f t="shared" si="12"/>
        <v>0</v>
      </c>
      <c r="E126" s="54">
        <f t="shared" si="12"/>
        <v>0</v>
      </c>
      <c r="G126" s="58">
        <f t="shared" si="13"/>
        <v>0</v>
      </c>
      <c r="H126" s="54">
        <f t="shared" si="13"/>
        <v>0</v>
      </c>
      <c r="J126" s="58">
        <f t="shared" si="14"/>
        <v>0</v>
      </c>
      <c r="K126" s="54">
        <f t="shared" si="14"/>
        <v>0</v>
      </c>
      <c r="M126" s="58">
        <f t="shared" si="15"/>
        <v>0</v>
      </c>
      <c r="N126" s="54">
        <f t="shared" si="15"/>
        <v>0</v>
      </c>
      <c r="P126" s="58">
        <f t="shared" si="16"/>
        <v>0</v>
      </c>
      <c r="Q126" s="54">
        <f t="shared" si="16"/>
        <v>0</v>
      </c>
      <c r="S126" s="58">
        <f t="shared" si="17"/>
        <v>0</v>
      </c>
      <c r="T126" s="54">
        <f t="shared" si="17"/>
        <v>0</v>
      </c>
      <c r="V126" s="58">
        <f t="shared" si="18"/>
        <v>0</v>
      </c>
      <c r="W126" s="54">
        <f t="shared" si="18"/>
        <v>0</v>
      </c>
      <c r="Y126" s="58">
        <f t="shared" si="19"/>
        <v>0</v>
      </c>
      <c r="Z126" s="54">
        <f t="shared" si="19"/>
        <v>0</v>
      </c>
      <c r="AB126" s="58">
        <f t="shared" si="20"/>
        <v>0</v>
      </c>
      <c r="AC126" s="54">
        <f t="shared" si="20"/>
        <v>0</v>
      </c>
      <c r="AE126" s="58">
        <f>IF(AE118=1,AE112,0)</f>
        <v>0</v>
      </c>
      <c r="AW126" s="146"/>
    </row>
    <row r="127" spans="1:49" s="54" customFormat="1" ht="12.75" hidden="1" customHeight="1" x14ac:dyDescent="0.2">
      <c r="A127" s="54" t="s">
        <v>64</v>
      </c>
      <c r="B127" s="54">
        <f>IF(B119=1,B113,0)</f>
        <v>0</v>
      </c>
      <c r="D127" s="58">
        <f t="shared" si="12"/>
        <v>0</v>
      </c>
      <c r="E127" s="54">
        <f t="shared" si="12"/>
        <v>0</v>
      </c>
      <c r="G127" s="58">
        <f t="shared" si="13"/>
        <v>0</v>
      </c>
      <c r="H127" s="54">
        <f t="shared" si="13"/>
        <v>0</v>
      </c>
      <c r="J127" s="58">
        <f t="shared" si="14"/>
        <v>0</v>
      </c>
      <c r="K127" s="54">
        <f t="shared" si="14"/>
        <v>0</v>
      </c>
      <c r="M127" s="58">
        <f t="shared" si="15"/>
        <v>0</v>
      </c>
      <c r="N127" s="54">
        <f t="shared" si="15"/>
        <v>0</v>
      </c>
      <c r="P127" s="58">
        <f t="shared" si="16"/>
        <v>0</v>
      </c>
      <c r="Q127" s="54">
        <f t="shared" si="16"/>
        <v>0</v>
      </c>
      <c r="S127" s="58">
        <f t="shared" si="17"/>
        <v>0</v>
      </c>
      <c r="T127" s="54">
        <f t="shared" si="17"/>
        <v>0</v>
      </c>
      <c r="V127" s="58">
        <f t="shared" si="18"/>
        <v>0</v>
      </c>
      <c r="W127" s="54">
        <f t="shared" si="18"/>
        <v>0</v>
      </c>
      <c r="Y127" s="58">
        <f t="shared" si="19"/>
        <v>0</v>
      </c>
      <c r="Z127" s="54">
        <f t="shared" si="19"/>
        <v>0</v>
      </c>
      <c r="AB127" s="58">
        <f t="shared" si="20"/>
        <v>0</v>
      </c>
      <c r="AC127" s="54">
        <f t="shared" si="20"/>
        <v>0</v>
      </c>
      <c r="AE127" s="58">
        <f>IF(AE119=1,AE113,0)</f>
        <v>0</v>
      </c>
      <c r="AW127" s="146"/>
    </row>
    <row r="128" spans="1:49" s="54" customFormat="1" ht="12.75" hidden="1" customHeight="1" x14ac:dyDescent="0.2">
      <c r="A128" s="54" t="s">
        <v>65</v>
      </c>
      <c r="B128" s="54">
        <f>IF(B120=1,B114,0)</f>
        <v>0</v>
      </c>
      <c r="D128" s="58">
        <f t="shared" si="12"/>
        <v>0</v>
      </c>
      <c r="E128" s="54">
        <f t="shared" si="12"/>
        <v>0</v>
      </c>
      <c r="G128" s="58">
        <f t="shared" si="13"/>
        <v>0</v>
      </c>
      <c r="H128" s="54">
        <f t="shared" si="13"/>
        <v>0</v>
      </c>
      <c r="J128" s="58">
        <f t="shared" si="14"/>
        <v>0</v>
      </c>
      <c r="K128" s="54">
        <f t="shared" si="14"/>
        <v>0</v>
      </c>
      <c r="M128" s="58">
        <f t="shared" si="15"/>
        <v>0</v>
      </c>
      <c r="N128" s="54">
        <f t="shared" si="15"/>
        <v>0</v>
      </c>
      <c r="P128" s="58">
        <f t="shared" si="16"/>
        <v>0</v>
      </c>
      <c r="Q128" s="54">
        <f t="shared" si="16"/>
        <v>0</v>
      </c>
      <c r="S128" s="58">
        <f t="shared" si="17"/>
        <v>0</v>
      </c>
      <c r="T128" s="54">
        <f t="shared" si="17"/>
        <v>0</v>
      </c>
      <c r="V128" s="58">
        <f t="shared" si="18"/>
        <v>0</v>
      </c>
      <c r="W128" s="54">
        <f t="shared" si="18"/>
        <v>0</v>
      </c>
      <c r="Y128" s="58">
        <f t="shared" si="19"/>
        <v>0</v>
      </c>
      <c r="Z128" s="54">
        <f t="shared" si="19"/>
        <v>0</v>
      </c>
      <c r="AB128" s="58">
        <f t="shared" si="20"/>
        <v>0</v>
      </c>
      <c r="AC128" s="54">
        <f t="shared" si="20"/>
        <v>0</v>
      </c>
      <c r="AE128" s="58">
        <f>IF(AE120=1,AE114,0)</f>
        <v>0</v>
      </c>
      <c r="AW128" s="146"/>
    </row>
    <row r="129" spans="1:49" s="54" customFormat="1" ht="38.25" hidden="1" customHeight="1" x14ac:dyDescent="0.2">
      <c r="A129" s="57" t="s">
        <v>66</v>
      </c>
      <c r="B129" s="54">
        <f>SUM(B124:D128)</f>
        <v>51</v>
      </c>
      <c r="D129" s="58"/>
      <c r="E129" s="54">
        <f>SUM(E124:G128)</f>
        <v>50</v>
      </c>
      <c r="G129" s="58"/>
      <c r="H129" s="54">
        <f>SUM(H124:J128)</f>
        <v>50</v>
      </c>
      <c r="J129" s="58"/>
      <c r="K129" s="54">
        <f>SUM(K124:M128)</f>
        <v>50</v>
      </c>
      <c r="M129" s="58"/>
      <c r="N129" s="54">
        <f>SUM(N124:P128)</f>
        <v>50</v>
      </c>
      <c r="P129" s="58"/>
      <c r="Q129" s="54">
        <f>SUM(Q124:S128)</f>
        <v>50</v>
      </c>
      <c r="S129" s="58"/>
      <c r="T129" s="54">
        <f>SUM(T124:V128)</f>
        <v>50</v>
      </c>
      <c r="V129" s="58"/>
      <c r="W129" s="54">
        <f>SUM(W124:Y128)</f>
        <v>52</v>
      </c>
      <c r="Y129" s="58"/>
      <c r="Z129" s="54">
        <f>SUM(Z124:AB128)</f>
        <v>50</v>
      </c>
      <c r="AB129" s="58"/>
      <c r="AC129" s="54">
        <f>SUM(AC124:AE128)</f>
        <v>50</v>
      </c>
      <c r="AE129" s="58"/>
      <c r="AW129" s="146"/>
    </row>
    <row r="130" spans="1:49" s="54" customFormat="1" ht="38.25" hidden="1" customHeight="1" x14ac:dyDescent="0.2">
      <c r="A130" s="54" t="s">
        <v>67</v>
      </c>
      <c r="D130" s="58"/>
      <c r="G130" s="58"/>
      <c r="J130" s="58"/>
      <c r="M130" s="58"/>
      <c r="P130" s="58"/>
      <c r="S130" s="58"/>
      <c r="V130" s="58"/>
      <c r="Y130" s="58"/>
      <c r="AB130" s="58"/>
      <c r="AE130" s="58"/>
      <c r="AF130" s="57" t="s">
        <v>68</v>
      </c>
      <c r="AG130" s="54" t="s">
        <v>69</v>
      </c>
      <c r="AW130" s="146"/>
    </row>
    <row r="131" spans="1:49" s="54" customFormat="1" ht="12.75" hidden="1" customHeight="1" x14ac:dyDescent="0.2">
      <c r="A131" s="54" t="s">
        <v>70</v>
      </c>
      <c r="B131" s="54">
        <f>IF(B109=1,IF(B122=1,1,0),0)</f>
        <v>0</v>
      </c>
      <c r="D131" s="58">
        <f>IF(D109=1,IF(D122=1,1,0),0)</f>
        <v>0</v>
      </c>
      <c r="E131" s="54">
        <f>IF(E109=1,IF(E122=1,1,0),0)</f>
        <v>0</v>
      </c>
      <c r="G131" s="58">
        <f>IF(G109=1,IF(G122=1,1,0),0)</f>
        <v>0</v>
      </c>
      <c r="H131" s="54">
        <f>IF(H109=1,IF(H122=1,1,0),0)</f>
        <v>0</v>
      </c>
      <c r="J131" s="58">
        <f>IF(J109=1,IF(J122=1,1,0),0)</f>
        <v>0</v>
      </c>
      <c r="K131" s="54">
        <f>IF(K109=1,IF(K122=1,1,0),0)</f>
        <v>0</v>
      </c>
      <c r="M131" s="58">
        <f>IF(M109=1,IF(M122=1,1,0),0)</f>
        <v>0</v>
      </c>
      <c r="N131" s="54">
        <f>IF(N109=1,IF(N122=1,1,0),0)</f>
        <v>0</v>
      </c>
      <c r="P131" s="58">
        <f>IF(P109=1,IF(P122=1,1,0),0)</f>
        <v>0</v>
      </c>
      <c r="Q131" s="54">
        <f>IF(Q109=1,IF(Q122=1,1,0),0)</f>
        <v>0</v>
      </c>
      <c r="S131" s="58">
        <f>IF(S109=1,IF(S122=1,1,0),0)</f>
        <v>0</v>
      </c>
      <c r="T131" s="54">
        <f>IF(T109=1,IF(T122=1,1,0),0)</f>
        <v>0</v>
      </c>
      <c r="V131" s="58">
        <f>IF(V109=1,IF(V122=1,1,0),0)</f>
        <v>0</v>
      </c>
      <c r="W131" s="54">
        <f>IF(W109=1,IF(W122=1,1,0),0)</f>
        <v>1</v>
      </c>
      <c r="Y131" s="58">
        <f>IF(Y109=1,IF(Y122=1,1,0),0)</f>
        <v>0</v>
      </c>
      <c r="Z131" s="54">
        <f>IF(Z109=1,IF(Z122=1,1,0),0)</f>
        <v>0</v>
      </c>
      <c r="AB131" s="58">
        <f>IF(AB109=1,IF(AB122=1,1,0),0)</f>
        <v>0</v>
      </c>
      <c r="AC131" s="54">
        <f>IF(AC109=1,IF(AC122=1,1,0),0)</f>
        <v>0</v>
      </c>
      <c r="AE131" s="58">
        <f>IF(AE109=1,IF(AE122=1,1,0),0)</f>
        <v>0</v>
      </c>
      <c r="AF131" s="54">
        <f>SUM(B131:AE131)</f>
        <v>1</v>
      </c>
      <c r="AG131" s="54">
        <f>AF137-AF131</f>
        <v>1</v>
      </c>
      <c r="AW131" s="146"/>
    </row>
    <row r="132" spans="1:49" s="54" customFormat="1" ht="12.75" hidden="1" customHeight="1" x14ac:dyDescent="0.2">
      <c r="A132" s="54" t="s">
        <v>71</v>
      </c>
      <c r="B132" s="54">
        <f>IF(B109=2,IF(B122=1,1,0),0)</f>
        <v>0</v>
      </c>
      <c r="D132" s="58">
        <f>IF(D109=2,IF(D122=1,1,0),0)</f>
        <v>0</v>
      </c>
      <c r="E132" s="54">
        <f>IF(E109=2,IF(E122=1,1,0),0)</f>
        <v>0</v>
      </c>
      <c r="G132" s="58">
        <f>IF(G109=2,IF(G122=1,1,0),0)</f>
        <v>0</v>
      </c>
      <c r="H132" s="54">
        <f>IF(H109=2,IF(H122=1,1,0),0)</f>
        <v>0</v>
      </c>
      <c r="J132" s="58">
        <f>IF(J109=2,IF(J122=1,1,0),0)</f>
        <v>0</v>
      </c>
      <c r="K132" s="54">
        <f>IF(K109=2,IF(K122=1,1,0),0)</f>
        <v>0</v>
      </c>
      <c r="M132" s="58">
        <f>IF(M109=2,IF(M122=1,1,0),0)</f>
        <v>0</v>
      </c>
      <c r="N132" s="54">
        <f>IF(N109=2,IF(N122=1,1,0),0)</f>
        <v>0</v>
      </c>
      <c r="P132" s="58">
        <f>IF(P109=2,IF(P122=1,1,0),0)</f>
        <v>0</v>
      </c>
      <c r="Q132" s="54">
        <f>IF(Q109=2,IF(Q122=1,1,0),0)</f>
        <v>0</v>
      </c>
      <c r="S132" s="58">
        <f>IF(S109=2,IF(S122=1,1,0),0)</f>
        <v>0</v>
      </c>
      <c r="T132" s="54">
        <f>IF(T109=2,IF(T122=1,1,0),0)</f>
        <v>1</v>
      </c>
      <c r="V132" s="58">
        <f>IF(V109=2,IF(V122=1,1,0),0)</f>
        <v>0</v>
      </c>
      <c r="W132" s="54">
        <f>IF(W109=2,IF(W122=1,1,0),0)</f>
        <v>0</v>
      </c>
      <c r="Y132" s="58">
        <f>IF(Y109=2,IF(Y122=1,1,0),0)</f>
        <v>0</v>
      </c>
      <c r="Z132" s="54">
        <f>IF(Z109=2,IF(Z122=1,1,0),0)</f>
        <v>0</v>
      </c>
      <c r="AB132" s="58">
        <f>IF(AB109=2,IF(AB122=1,1,0),0)</f>
        <v>0</v>
      </c>
      <c r="AC132" s="54">
        <f>IF(AC109=2,IF(AC122=1,1,0),0)</f>
        <v>0</v>
      </c>
      <c r="AE132" s="58">
        <f>IF(AE109=2,IF(AE122=1,1,0),0)</f>
        <v>0</v>
      </c>
      <c r="AF132" s="54">
        <f>SUM(B132:AE132)</f>
        <v>1</v>
      </c>
      <c r="AG132" s="54">
        <f>AF138-AF132</f>
        <v>1</v>
      </c>
      <c r="AW132" s="146"/>
    </row>
    <row r="133" spans="1:49" s="54" customFormat="1" ht="12.75" hidden="1" customHeight="1" x14ac:dyDescent="0.2">
      <c r="A133" s="54" t="s">
        <v>72</v>
      </c>
      <c r="B133" s="54">
        <f>IF(B109=3,IF(B122=1,1,0),0)</f>
        <v>0</v>
      </c>
      <c r="D133" s="58">
        <f>IF(D109=3,IF(D122=1,1,0),0)</f>
        <v>0</v>
      </c>
      <c r="E133" s="54">
        <f>IF(E109=3,IF(E122=1,1,0),0)</f>
        <v>0</v>
      </c>
      <c r="G133" s="58">
        <f>IF(G109=3,IF(G122=1,1,0),0)</f>
        <v>0</v>
      </c>
      <c r="H133" s="54">
        <f>IF(H109=3,IF(H122=1,1,0),0)</f>
        <v>0</v>
      </c>
      <c r="J133" s="58">
        <f>IF(J109=3,IF(J122=1,1,0),0)</f>
        <v>0</v>
      </c>
      <c r="K133" s="54">
        <f>IF(K109=3,IF(K122=1,1,0),0)</f>
        <v>0</v>
      </c>
      <c r="M133" s="58">
        <f>IF(M109=3,IF(M122=1,1,0),0)</f>
        <v>0</v>
      </c>
      <c r="N133" s="54">
        <f>IF(N109=3,IF(N122=1,1,0),0)</f>
        <v>0</v>
      </c>
      <c r="P133" s="58">
        <f>IF(P109=3,IF(P122=1,1,0),0)</f>
        <v>0</v>
      </c>
      <c r="Q133" s="54">
        <f>IF(Q109=3,IF(Q122=1,1,0),0)</f>
        <v>0</v>
      </c>
      <c r="S133" s="58">
        <f>IF(S109=3,IF(S122=1,1,0),0)</f>
        <v>0</v>
      </c>
      <c r="T133" s="54">
        <f>IF(T109=3,IF(T122=1,1,0),0)</f>
        <v>0</v>
      </c>
      <c r="V133" s="58">
        <f>IF(V109=3,IF(V122=1,1,0),0)</f>
        <v>0</v>
      </c>
      <c r="W133" s="54">
        <f>IF(W109=3,IF(W122=1,1,0),0)</f>
        <v>0</v>
      </c>
      <c r="Y133" s="58">
        <f>IF(Y109=3,IF(Y122=1,1,0),0)</f>
        <v>0</v>
      </c>
      <c r="Z133" s="54">
        <f>IF(Z109=3,IF(Z122=1,1,0),0)</f>
        <v>0</v>
      </c>
      <c r="AB133" s="58">
        <f>IF(AB109=3,IF(AB122=1,1,0),0)</f>
        <v>0</v>
      </c>
      <c r="AC133" s="54">
        <f>IF(AC109=3,IF(AC122=1,1,0),0)</f>
        <v>0</v>
      </c>
      <c r="AE133" s="58">
        <f>IF(AE109=3,IF(AE122=1,1,0),0)</f>
        <v>0</v>
      </c>
      <c r="AF133" s="54">
        <f>SUM(B133:AE133)</f>
        <v>0</v>
      </c>
      <c r="AG133" s="54">
        <f>AF139-AF133</f>
        <v>3</v>
      </c>
      <c r="AW133" s="146"/>
    </row>
    <row r="134" spans="1:49" s="54" customFormat="1" ht="12.75" hidden="1" customHeight="1" x14ac:dyDescent="0.2">
      <c r="A134" s="54" t="s">
        <v>73</v>
      </c>
      <c r="B134" s="54">
        <f>IF(B109=4,IF(B122=1,1,0),0)</f>
        <v>0</v>
      </c>
      <c r="D134" s="58">
        <f>IF(D109=4,IF(D122=1,1,0),0)</f>
        <v>0</v>
      </c>
      <c r="E134" s="54">
        <f>IF(E109=4,IF(E122=1,1,0),0)</f>
        <v>0</v>
      </c>
      <c r="G134" s="58">
        <f>IF(G109=4,IF(G122=1,1,0),0)</f>
        <v>1</v>
      </c>
      <c r="H134" s="54">
        <f>IF(H109=4,IF(H122=1,1,0),0)</f>
        <v>0</v>
      </c>
      <c r="J134" s="58">
        <f>IF(J109=4,IF(J122=1,1,0),0)</f>
        <v>0</v>
      </c>
      <c r="K134" s="54">
        <f>IF(K109=4,IF(K122=1,1,0),0)</f>
        <v>0</v>
      </c>
      <c r="M134" s="58">
        <f>IF(M109=4,IF(M122=1,1,0),0)</f>
        <v>1</v>
      </c>
      <c r="N134" s="54">
        <f>IF(N109=4,IF(N122=1,1,0),0)</f>
        <v>0</v>
      </c>
      <c r="P134" s="58">
        <f>IF(P109=4,IF(P122=1,1,0),0)</f>
        <v>0</v>
      </c>
      <c r="Q134" s="54">
        <f>IF(Q109=4,IF(Q122=1,1,0),0)</f>
        <v>1</v>
      </c>
      <c r="S134" s="58">
        <f>IF(S109=4,IF(S122=1,1,0),0)</f>
        <v>0</v>
      </c>
      <c r="T134" s="54">
        <f>IF(T109=4,IF(T122=1,1,0),0)</f>
        <v>0</v>
      </c>
      <c r="V134" s="58">
        <f>IF(V109=4,IF(V122=1,1,0),0)</f>
        <v>0</v>
      </c>
      <c r="W134" s="54">
        <f>IF(W109=4,IF(W122=1,1,0),0)</f>
        <v>0</v>
      </c>
      <c r="Y134" s="58">
        <f>IF(Y109=4,IF(Y122=1,1,0),0)</f>
        <v>0</v>
      </c>
      <c r="Z134" s="54">
        <f>IF(Z109=4,IF(Z122=1,1,0),0)</f>
        <v>0</v>
      </c>
      <c r="AB134" s="58">
        <f>IF(AB109=4,IF(AB122=1,1,0),0)</f>
        <v>1</v>
      </c>
      <c r="AC134" s="54">
        <f>IF(AC109=4,IF(AC122=1,1,0),0)</f>
        <v>0</v>
      </c>
      <c r="AE134" s="58">
        <f>IF(AE109=4,IF(AE122=1,1,0),0)</f>
        <v>0</v>
      </c>
      <c r="AF134" s="54">
        <f>SUM(B134:AE134)</f>
        <v>4</v>
      </c>
      <c r="AG134" s="54">
        <f>AF140-AF134</f>
        <v>0</v>
      </c>
      <c r="AW134" s="146"/>
    </row>
    <row r="135" spans="1:49" s="54" customFormat="1" ht="12.75" hidden="1" customHeight="1" x14ac:dyDescent="0.2">
      <c r="A135" s="54" t="s">
        <v>74</v>
      </c>
      <c r="B135" s="54">
        <f>IF(B109=5,IF(B122=1,1,0),0)</f>
        <v>0</v>
      </c>
      <c r="D135" s="58">
        <f>IF(D109=5,IF(D122=1,1,0),0)</f>
        <v>0</v>
      </c>
      <c r="E135" s="54">
        <f>IF(E109=5,IF(E122=1,1,0),0)</f>
        <v>0</v>
      </c>
      <c r="G135" s="58">
        <f>IF(G109=5,IF(G122=1,1,0),0)</f>
        <v>0</v>
      </c>
      <c r="H135" s="54">
        <f>IF(H109=5,IF(H122=1,1,0),0)</f>
        <v>0</v>
      </c>
      <c r="J135" s="58">
        <f>IF(J109=5,IF(J122=1,1,0),0)</f>
        <v>1</v>
      </c>
      <c r="K135" s="54">
        <f>IF(K109=5,IF(K122=1,1,0),0)</f>
        <v>0</v>
      </c>
      <c r="M135" s="58">
        <f>IF(M109=5,IF(M122=1,1,0),0)</f>
        <v>0</v>
      </c>
      <c r="N135" s="54">
        <f>IF(N109=5,IF(N122=1,1,0),0)</f>
        <v>0</v>
      </c>
      <c r="P135" s="58">
        <f>IF(P109=5,IF(P122=1,1,0),0)</f>
        <v>0</v>
      </c>
      <c r="Q135" s="54">
        <f>IF(Q109=5,IF(Q122=1,1,0),0)</f>
        <v>0</v>
      </c>
      <c r="S135" s="58">
        <f>IF(S109=5,IF(S122=1,1,0),0)</f>
        <v>0</v>
      </c>
      <c r="T135" s="54">
        <f>IF(T109=5,IF(T122=1,1,0),0)</f>
        <v>0</v>
      </c>
      <c r="V135" s="58">
        <f>IF(V109=5,IF(V122=1,1,0),0)</f>
        <v>0</v>
      </c>
      <c r="W135" s="54">
        <f>IF(W109=5,IF(W122=1,1,0),0)</f>
        <v>0</v>
      </c>
      <c r="Y135" s="58">
        <f>IF(Y109=5,IF(Y122=1,1,0),0)</f>
        <v>0</v>
      </c>
      <c r="Z135" s="54">
        <f>IF(Z109=5,IF(Z122=1,1,0),0)</f>
        <v>0</v>
      </c>
      <c r="AB135" s="58">
        <f>IF(AB109=5,IF(AB122=1,1,0),0)</f>
        <v>0</v>
      </c>
      <c r="AC135" s="54">
        <f>IF(AC109=5,IF(AC122=1,1,0),0)</f>
        <v>0</v>
      </c>
      <c r="AE135" s="58">
        <f>IF(AE109=5,IF(AE122=1,1,0),0)</f>
        <v>0</v>
      </c>
      <c r="AF135" s="54">
        <f>SUM(B135:AE135)</f>
        <v>1</v>
      </c>
      <c r="AG135" s="54">
        <f>AF141-AF135</f>
        <v>2</v>
      </c>
      <c r="AW135" s="146"/>
    </row>
    <row r="136" spans="1:49" s="54" customFormat="1" ht="38.25" hidden="1" customHeight="1" x14ac:dyDescent="0.2">
      <c r="A136" s="57"/>
      <c r="D136" s="58"/>
      <c r="G136" s="58"/>
      <c r="J136" s="58"/>
      <c r="M136" s="58"/>
      <c r="P136" s="58"/>
      <c r="S136" s="58"/>
      <c r="V136" s="58"/>
      <c r="Y136" s="58"/>
      <c r="AB136" s="58"/>
      <c r="AE136" s="58"/>
      <c r="AF136" s="57" t="s">
        <v>75</v>
      </c>
      <c r="AW136" s="146"/>
    </row>
    <row r="137" spans="1:49" s="54" customFormat="1" ht="12.75" hidden="1" customHeight="1" x14ac:dyDescent="0.2">
      <c r="A137" s="54" t="s">
        <v>76</v>
      </c>
      <c r="B137" s="54">
        <f>IF(B109=1,IF(C122=1,1,0),0)</f>
        <v>0</v>
      </c>
      <c r="D137" s="58">
        <f>IF(D109=1,IF(C122=1,1,0),0)</f>
        <v>0</v>
      </c>
      <c r="E137" s="54">
        <f>IF(E109=1,IF(F122=1,1,0),0)</f>
        <v>1</v>
      </c>
      <c r="G137" s="58">
        <f>IF(G109=1,IF(F122=1,1,0),0)</f>
        <v>0</v>
      </c>
      <c r="H137" s="54">
        <f>IF(H109=1,IF(I122=1,1,0),0)</f>
        <v>0</v>
      </c>
      <c r="J137" s="58">
        <f>IF(J109=1,IF(I122=1,1,0),0)</f>
        <v>0</v>
      </c>
      <c r="K137" s="54">
        <f>IF(K109=1,IF(L122=1,1,0),0)</f>
        <v>0</v>
      </c>
      <c r="M137" s="58">
        <f>IF(M109=1,IF(L122=1,1,0),0)</f>
        <v>0</v>
      </c>
      <c r="N137" s="54">
        <f>IF(N109=1,IF(O122=1,1,0),0)</f>
        <v>0</v>
      </c>
      <c r="P137" s="58">
        <f>IF(P109=1,IF(O122=1,1,0),0)</f>
        <v>0</v>
      </c>
      <c r="Q137" s="54">
        <f>IF(Q109=1,IF(R122=1,1,0),0)</f>
        <v>0</v>
      </c>
      <c r="S137" s="58">
        <f>IF(S109=1,IF(R122=1,1,0),0)</f>
        <v>0</v>
      </c>
      <c r="T137" s="54">
        <f>IF(T109=1,IF(U122=1,1,0),0)</f>
        <v>0</v>
      </c>
      <c r="V137" s="58">
        <f>IF(V109=1,IF(U122=1,1,0),0)</f>
        <v>0</v>
      </c>
      <c r="W137" s="54">
        <f>IF(W109=1,IF(X122=1,1,0),0)</f>
        <v>1</v>
      </c>
      <c r="Y137" s="58">
        <f>IF(Y109=1,IF(X122=1,1,0),0)</f>
        <v>0</v>
      </c>
      <c r="Z137" s="54">
        <f>IF(Z109=1,IF(AA122=1,1,0),0)</f>
        <v>0</v>
      </c>
      <c r="AB137" s="58">
        <f>IF(AB109=1,IF(AA122=1,1,0),0)</f>
        <v>0</v>
      </c>
      <c r="AC137" s="54">
        <f>IF(AC109=1,IF(AD122=1,1,0),0)</f>
        <v>0</v>
      </c>
      <c r="AE137" s="58">
        <f>IF(AE109=1,IF(AD122=1,1,0),0)</f>
        <v>0</v>
      </c>
      <c r="AF137" s="54">
        <f>SUM(B137:AE137)</f>
        <v>2</v>
      </c>
      <c r="AW137" s="146"/>
    </row>
    <row r="138" spans="1:49" s="54" customFormat="1" ht="12.75" hidden="1" customHeight="1" x14ac:dyDescent="0.2">
      <c r="A138" s="54" t="s">
        <v>77</v>
      </c>
      <c r="B138" s="54">
        <f>IF(B109=2,IF(C122=1,1,0),0)</f>
        <v>0</v>
      </c>
      <c r="D138" s="58">
        <f>IF(D109=2,IF(C122=1,1,0),0)</f>
        <v>0</v>
      </c>
      <c r="E138" s="54">
        <f>IF(E109=2,IF(F122=1,1,0),0)</f>
        <v>0</v>
      </c>
      <c r="G138" s="58">
        <f>IF(G109=2,IF(F122=1,1,0),0)</f>
        <v>0</v>
      </c>
      <c r="H138" s="54">
        <f>IF(H109=2,IF(I122=1,1,0),0)</f>
        <v>0</v>
      </c>
      <c r="J138" s="58">
        <f>IF(J109=2,IF(I122=1,1,0),0)</f>
        <v>0</v>
      </c>
      <c r="K138" s="54">
        <f>IF(K109=2,IF(L122=1,1,0),0)</f>
        <v>1</v>
      </c>
      <c r="M138" s="58">
        <f>IF(M109=2,IF(L122=1,1,0),0)</f>
        <v>0</v>
      </c>
      <c r="N138" s="54">
        <f>IF(N109=2,IF(O122=1,1,0),0)</f>
        <v>0</v>
      </c>
      <c r="P138" s="58">
        <f>IF(P109=2,IF(O122=1,1,0),0)</f>
        <v>0</v>
      </c>
      <c r="Q138" s="54">
        <f>IF(Q109=2,IF(R122=1,1,0),0)</f>
        <v>0</v>
      </c>
      <c r="S138" s="58">
        <f>IF(S109=2,IF(R122=1,1,0),0)</f>
        <v>0</v>
      </c>
      <c r="T138" s="54">
        <f>IF(T109=2,IF(U122=1,1,0),0)</f>
        <v>1</v>
      </c>
      <c r="V138" s="58">
        <f>IF(V109=2,IF(U122=1,1,0),0)</f>
        <v>0</v>
      </c>
      <c r="W138" s="54">
        <f>IF(W109=2,IF(X122=1,1,0),0)</f>
        <v>0</v>
      </c>
      <c r="Y138" s="58">
        <f>IF(Y109=2,IF(X122=1,1,0),0)</f>
        <v>0</v>
      </c>
      <c r="Z138" s="54">
        <f>IF(Z109=2,IF(AA122=1,1,0),0)</f>
        <v>0</v>
      </c>
      <c r="AB138" s="58">
        <f>IF(AB109=2,IF(AA122=1,1,0),0)</f>
        <v>0</v>
      </c>
      <c r="AC138" s="54">
        <f>IF(AC109=2,IF(AD122=1,1,0),0)</f>
        <v>0</v>
      </c>
      <c r="AE138" s="58">
        <f>IF(AE109=2,IF(AD122=1,1,0),0)</f>
        <v>0</v>
      </c>
      <c r="AF138" s="54">
        <f>SUM(B138:AE138)</f>
        <v>2</v>
      </c>
      <c r="AW138" s="146"/>
    </row>
    <row r="139" spans="1:49" s="54" customFormat="1" ht="12.75" hidden="1" customHeight="1" x14ac:dyDescent="0.2">
      <c r="A139" s="54" t="s">
        <v>78</v>
      </c>
      <c r="B139" s="54">
        <f>IF(B109=3,IF(C122=1,1,0),0)</f>
        <v>0</v>
      </c>
      <c r="D139" s="58">
        <f>IF(D109=3,IF(C122=1,1,0),0)</f>
        <v>0</v>
      </c>
      <c r="E139" s="54">
        <f>IF(E109=3,IF(F122=1,1,0),0)</f>
        <v>0</v>
      </c>
      <c r="G139" s="58">
        <f>IF(G109=3,IF(F122=1,1,0),0)</f>
        <v>0</v>
      </c>
      <c r="H139" s="54">
        <f>IF(H109=3,IF(I122=1,1,0),0)</f>
        <v>1</v>
      </c>
      <c r="J139" s="58">
        <f>IF(J109=3,IF(I122=1,1,0),0)</f>
        <v>0</v>
      </c>
      <c r="K139" s="54">
        <f>IF(K109=3,IF(L122=1,1,0),0)</f>
        <v>0</v>
      </c>
      <c r="M139" s="58">
        <f>IF(M109=3,IF(L122=1,1,0),0)</f>
        <v>0</v>
      </c>
      <c r="N139" s="54">
        <f>IF(N109=3,IF(O122=1,1,0),0)</f>
        <v>0</v>
      </c>
      <c r="P139" s="58">
        <f>IF(P109=3,IF(O122=1,1,0),0)</f>
        <v>0</v>
      </c>
      <c r="Q139" s="54">
        <f>IF(Q109=3,IF(R122=1,1,0),0)</f>
        <v>0</v>
      </c>
      <c r="S139" s="58">
        <f>IF(S109=3,IF(R122=1,1,0),0)</f>
        <v>0</v>
      </c>
      <c r="T139" s="54">
        <f>IF(T109=3,IF(U122=1,1,0),0)</f>
        <v>0</v>
      </c>
      <c r="V139" s="58">
        <f>IF(V109=3,IF(U122=1,1,0),0)</f>
        <v>1</v>
      </c>
      <c r="W139" s="54">
        <f>IF(W109=3,IF(X122=1,1,0),0)</f>
        <v>0</v>
      </c>
      <c r="Y139" s="58">
        <f>IF(Y109=3,IF(X122=1,1,0),0)</f>
        <v>0</v>
      </c>
      <c r="Z139" s="54">
        <f>IF(Z109=3,IF(AA122=1,1,0),0)</f>
        <v>1</v>
      </c>
      <c r="AB139" s="58">
        <f>IF(AB109=3,IF(AA122=1,1,0),0)</f>
        <v>0</v>
      </c>
      <c r="AC139" s="54">
        <f>IF(AC109=3,IF(AD122=1,1,0),0)</f>
        <v>0</v>
      </c>
      <c r="AE139" s="58">
        <f>IF(AE109=3,IF(AD122=1,1,0),0)</f>
        <v>0</v>
      </c>
      <c r="AF139" s="54">
        <f>SUM(B139:AE139)</f>
        <v>3</v>
      </c>
      <c r="AW139" s="146"/>
    </row>
    <row r="140" spans="1:49" s="54" customFormat="1" ht="12.75" hidden="1" customHeight="1" x14ac:dyDescent="0.2">
      <c r="A140" s="54" t="s">
        <v>79</v>
      </c>
      <c r="B140" s="54">
        <f>IF(B109=4,IF(C122=1,1,0),0)</f>
        <v>0</v>
      </c>
      <c r="D140" s="58">
        <f>IF(D109=4,IF(C122=1,1,0),0)</f>
        <v>0</v>
      </c>
      <c r="E140" s="54">
        <f>IF(E109=4,IF(F122=1,1,0),0)</f>
        <v>0</v>
      </c>
      <c r="G140" s="58">
        <f>IF(G109=4,IF(F122=1,1,0),0)</f>
        <v>1</v>
      </c>
      <c r="H140" s="54">
        <f>IF(H109=4,IF(I122=1,1,0),0)</f>
        <v>0</v>
      </c>
      <c r="J140" s="58">
        <f>IF(J109=4,IF(I122=1,1,0),0)</f>
        <v>0</v>
      </c>
      <c r="K140" s="54">
        <f>IF(K109=4,IF(L122=1,1,0),0)</f>
        <v>0</v>
      </c>
      <c r="M140" s="58">
        <f>IF(M109=4,IF(L122=1,1,0),0)</f>
        <v>1</v>
      </c>
      <c r="N140" s="54">
        <f>IF(N109=4,IF(O122=1,1,0),0)</f>
        <v>0</v>
      </c>
      <c r="P140" s="58">
        <f>IF(P109=4,IF(O122=1,1,0),0)</f>
        <v>0</v>
      </c>
      <c r="Q140" s="54">
        <f>IF(Q109=4,IF(R122=1,1,0),0)</f>
        <v>1</v>
      </c>
      <c r="S140" s="58">
        <f>IF(S109=4,IF(R122=1,1,0),0)</f>
        <v>0</v>
      </c>
      <c r="T140" s="54">
        <f>IF(T109=4,IF(U122=1,1,0),0)</f>
        <v>0</v>
      </c>
      <c r="V140" s="58">
        <f>IF(V109=4,IF(U122=1,1,0),0)</f>
        <v>0</v>
      </c>
      <c r="W140" s="54">
        <f>IF(W109=4,IF(X122=1,1,0),0)</f>
        <v>0</v>
      </c>
      <c r="Y140" s="58">
        <f>IF(Y109=4,IF(X122=1,1,0),0)</f>
        <v>0</v>
      </c>
      <c r="Z140" s="54">
        <f>IF(Z109=4,IF(AA122=1,1,0),0)</f>
        <v>0</v>
      </c>
      <c r="AB140" s="58">
        <f>IF(AB109=4,IF(AA122=1,1,0),0)</f>
        <v>1</v>
      </c>
      <c r="AC140" s="54">
        <f>IF(AC109=4,IF(AD122=1,1,0),0)</f>
        <v>0</v>
      </c>
      <c r="AE140" s="58">
        <f>IF(AE109=4,IF(AD122=1,1,0),0)</f>
        <v>0</v>
      </c>
      <c r="AF140" s="54">
        <f>SUM(B140:AE140)</f>
        <v>4</v>
      </c>
      <c r="AW140" s="146"/>
    </row>
    <row r="141" spans="1:49" s="54" customFormat="1" ht="12.75" hidden="1" customHeight="1" x14ac:dyDescent="0.2">
      <c r="A141" s="54" t="s">
        <v>80</v>
      </c>
      <c r="B141" s="54">
        <f>IF(B109=5,IF(C122=1,1,0),0)</f>
        <v>0</v>
      </c>
      <c r="D141" s="58">
        <f>IF(D109=5,IF(C122=1,1,0),0)</f>
        <v>0</v>
      </c>
      <c r="E141" s="54">
        <f>IF(E109=5,IF(F122=1,1,0),0)</f>
        <v>0</v>
      </c>
      <c r="G141" s="58">
        <f>IF(G109=5,IF(F122=1,1,0),0)</f>
        <v>0</v>
      </c>
      <c r="H141" s="54">
        <f>IF(H109=5,IF(I122=1,1,0),0)</f>
        <v>0</v>
      </c>
      <c r="J141" s="58">
        <f>IF(J109=5,IF(I122=1,1,0),0)</f>
        <v>1</v>
      </c>
      <c r="K141" s="54">
        <f>IF(K109=5,IF(L122=1,1,0),0)</f>
        <v>0</v>
      </c>
      <c r="M141" s="58">
        <f>IF(M109=5,IF(L122=1,1,0),0)</f>
        <v>0</v>
      </c>
      <c r="N141" s="54">
        <f>IF(N109=5,IF(O122=1,1,0),0)</f>
        <v>0</v>
      </c>
      <c r="P141" s="58">
        <f>IF(P109=5,IF(O122=1,1,0),0)</f>
        <v>0</v>
      </c>
      <c r="Q141" s="54">
        <f>IF(Q109=5,IF(R122=1,1,0),0)</f>
        <v>0</v>
      </c>
      <c r="S141" s="58">
        <f>IF(S109=5,IF(R122=1,1,0),0)</f>
        <v>1</v>
      </c>
      <c r="T141" s="54">
        <f>IF(T109=5,IF(U122=1,1,0),0)</f>
        <v>0</v>
      </c>
      <c r="V141" s="58">
        <f>IF(V109=5,IF(U122=1,1,0),0)</f>
        <v>0</v>
      </c>
      <c r="W141" s="54">
        <f>IF(W109=5,IF(X122=1,1,0),0)</f>
        <v>0</v>
      </c>
      <c r="Y141" s="58">
        <f>IF(Y109=5,IF(X122=1,1,0),0)</f>
        <v>1</v>
      </c>
      <c r="Z141" s="54">
        <f>IF(Z109=5,IF(AA122=1,1,0),0)</f>
        <v>0</v>
      </c>
      <c r="AB141" s="58">
        <f>IF(AB109=5,IF(AA122=1,1,0),0)</f>
        <v>0</v>
      </c>
      <c r="AC141" s="54">
        <f>IF(AC109=5,IF(AD122=1,1,0),0)</f>
        <v>0</v>
      </c>
      <c r="AE141" s="58">
        <f>IF(AE109=5,IF(AD122=1,1,0),0)</f>
        <v>0</v>
      </c>
      <c r="AF141" s="54">
        <f>SUM(B141:AE141)</f>
        <v>3</v>
      </c>
      <c r="AW141" s="146"/>
    </row>
    <row r="142" spans="1:49" s="54" customFormat="1" ht="38.25" hidden="1" customHeight="1" x14ac:dyDescent="0.2">
      <c r="A142" s="57"/>
      <c r="D142" s="58"/>
      <c r="G142" s="58"/>
      <c r="J142" s="58"/>
      <c r="M142" s="58"/>
      <c r="P142" s="58"/>
      <c r="S142" s="58"/>
      <c r="V142" s="58"/>
      <c r="Y142" s="58"/>
      <c r="AB142" s="58"/>
      <c r="AE142" s="58"/>
      <c r="AF142" s="57" t="s">
        <v>81</v>
      </c>
      <c r="AG142" s="789"/>
      <c r="AH142" s="789"/>
      <c r="AI142" s="789"/>
      <c r="AJ142" s="789"/>
      <c r="AK142" s="789"/>
      <c r="AW142" s="146"/>
    </row>
    <row r="143" spans="1:49" s="54" customFormat="1" ht="12.75" hidden="1" customHeight="1" x14ac:dyDescent="0.2">
      <c r="A143" s="54" t="s">
        <v>76</v>
      </c>
      <c r="B143" s="54">
        <f>IF(B109=1,B129,0)</f>
        <v>0</v>
      </c>
      <c r="D143" s="58">
        <f>IF(D109=1,B129,0)</f>
        <v>0</v>
      </c>
      <c r="E143" s="54">
        <f>IF(E109=1,E129,0)</f>
        <v>50</v>
      </c>
      <c r="G143" s="58">
        <f>IF(G109=1,E129,0)</f>
        <v>0</v>
      </c>
      <c r="H143" s="54">
        <f>IF(H109=1,H129,0)</f>
        <v>0</v>
      </c>
      <c r="J143" s="58">
        <f>IF(J109=1,H129,0)</f>
        <v>0</v>
      </c>
      <c r="K143" s="54">
        <f>IF(K109=1,K129,0)</f>
        <v>0</v>
      </c>
      <c r="M143" s="58">
        <f>IF(M109=1,K129,0)</f>
        <v>0</v>
      </c>
      <c r="N143" s="54">
        <f>IF(N109=1,N129,0)</f>
        <v>50</v>
      </c>
      <c r="P143" s="58">
        <f>IF(P109=1,N129,0)</f>
        <v>0</v>
      </c>
      <c r="Q143" s="54">
        <f>IF(Q109=1,Q129,0)</f>
        <v>0</v>
      </c>
      <c r="S143" s="58">
        <f>IF(S109=1,Q129,0)</f>
        <v>0</v>
      </c>
      <c r="T143" s="54">
        <f>IF(T109=1,T129,0)</f>
        <v>0</v>
      </c>
      <c r="V143" s="58">
        <f>IF(V109=1,T129,0)</f>
        <v>0</v>
      </c>
      <c r="W143" s="54">
        <f>IF(W109=1,W129,0)</f>
        <v>52</v>
      </c>
      <c r="Y143" s="58">
        <f>IF(Y109=1,W129,0)</f>
        <v>0</v>
      </c>
      <c r="Z143" s="54">
        <f>IF(Z109=1,Z129,0)</f>
        <v>0</v>
      </c>
      <c r="AB143" s="58">
        <f>IF(AB109=1,Z129,0)</f>
        <v>0</v>
      </c>
      <c r="AC143" s="54">
        <f>IF(AC109=1,AC129,0)</f>
        <v>50</v>
      </c>
      <c r="AE143" s="58">
        <f>IF(AE109=1,AC129,0)</f>
        <v>0</v>
      </c>
      <c r="AF143" s="54">
        <f>SUM(B143:AE143)</f>
        <v>202</v>
      </c>
      <c r="AW143" s="146"/>
    </row>
    <row r="144" spans="1:49" s="54" customFormat="1" ht="12.75" hidden="1" customHeight="1" x14ac:dyDescent="0.2">
      <c r="A144" s="54" t="s">
        <v>77</v>
      </c>
      <c r="B144" s="54">
        <f>IF(B109=2,B129,0)</f>
        <v>51</v>
      </c>
      <c r="D144" s="58">
        <f>IF(D109=2,B129,0)</f>
        <v>0</v>
      </c>
      <c r="E144" s="54">
        <f>IF(E109=2,E129,0)</f>
        <v>0</v>
      </c>
      <c r="G144" s="58">
        <f>IF(G109=2,E129,0)</f>
        <v>0</v>
      </c>
      <c r="H144" s="54">
        <f>IF(H109=2,H129,0)</f>
        <v>0</v>
      </c>
      <c r="J144" s="58">
        <f>IF(J109=2,H129,0)</f>
        <v>0</v>
      </c>
      <c r="K144" s="54">
        <f>IF(K109=2,K129,0)</f>
        <v>50</v>
      </c>
      <c r="M144" s="58">
        <f>IF(M109=2,K129,0)</f>
        <v>0</v>
      </c>
      <c r="N144" s="54">
        <f>IF(N109=2,N129,0)</f>
        <v>0</v>
      </c>
      <c r="P144" s="58">
        <f>IF(P109=2,N129,0)</f>
        <v>0</v>
      </c>
      <c r="Q144" s="54">
        <f>IF(Q109=2,Q129,0)</f>
        <v>0</v>
      </c>
      <c r="S144" s="58">
        <f>IF(S109=2,Q129,0)</f>
        <v>0</v>
      </c>
      <c r="T144" s="54">
        <f>IF(T109=2,T129,0)</f>
        <v>50</v>
      </c>
      <c r="V144" s="58">
        <f>IF(V109=2,T129,0)</f>
        <v>0</v>
      </c>
      <c r="W144" s="54">
        <f>IF(W109=2,W129,0)</f>
        <v>0</v>
      </c>
      <c r="Y144" s="58">
        <f>IF(Y109=2,W129,0)</f>
        <v>0</v>
      </c>
      <c r="Z144" s="54">
        <f>IF(Z109=2,Z129,0)</f>
        <v>0</v>
      </c>
      <c r="AB144" s="58">
        <f>IF(AB109=2,Z129,0)</f>
        <v>0</v>
      </c>
      <c r="AC144" s="54">
        <f>IF(AC109=2,AC129,0)</f>
        <v>0</v>
      </c>
      <c r="AE144" s="58">
        <f>IF(AE109=2,AC129,0)</f>
        <v>50</v>
      </c>
      <c r="AF144" s="54">
        <f>SUM(B144:AE144)</f>
        <v>201</v>
      </c>
      <c r="AW144" s="146"/>
    </row>
    <row r="145" spans="1:49" s="54" customFormat="1" ht="12.75" hidden="1" customHeight="1" x14ac:dyDescent="0.2">
      <c r="A145" s="54" t="s">
        <v>78</v>
      </c>
      <c r="B145" s="54">
        <f>IF(B109=3,B129,0)</f>
        <v>0</v>
      </c>
      <c r="D145" s="58">
        <f>IF(D109=3,B129,0)</f>
        <v>0</v>
      </c>
      <c r="E145" s="54">
        <f>IF(E109=3,E129,0)</f>
        <v>0</v>
      </c>
      <c r="G145" s="58">
        <f>IF(G109=3,E129,0)</f>
        <v>0</v>
      </c>
      <c r="H145" s="54">
        <f>IF(H109=3,H129,0)</f>
        <v>50</v>
      </c>
      <c r="J145" s="58">
        <f>IF(J109=3,H129,0)</f>
        <v>0</v>
      </c>
      <c r="K145" s="54">
        <f>IF(K109=3,K129,0)</f>
        <v>0</v>
      </c>
      <c r="M145" s="58">
        <f>IF(M109=3,K129,0)</f>
        <v>0</v>
      </c>
      <c r="N145" s="54">
        <f>IF(N109=3,N129,0)</f>
        <v>0</v>
      </c>
      <c r="P145" s="58">
        <f>IF(P109=3,N129,0)</f>
        <v>50</v>
      </c>
      <c r="Q145" s="54">
        <f>IF(Q109=3,Q129,0)</f>
        <v>0</v>
      </c>
      <c r="S145" s="58">
        <f>IF(S109=3,Q129,0)</f>
        <v>0</v>
      </c>
      <c r="T145" s="54">
        <f>IF(T109=3,T129,0)</f>
        <v>0</v>
      </c>
      <c r="V145" s="58">
        <f>IF(V109=3,T129,0)</f>
        <v>50</v>
      </c>
      <c r="W145" s="54">
        <f>IF(W109=3,W129,0)</f>
        <v>0</v>
      </c>
      <c r="Y145" s="58">
        <f>IF(Y109=3,W129,0)</f>
        <v>0</v>
      </c>
      <c r="Z145" s="54">
        <f>IF(Z109=3,Z129,0)</f>
        <v>50</v>
      </c>
      <c r="AB145" s="58">
        <f>IF(AB109=3,Z129,0)</f>
        <v>0</v>
      </c>
      <c r="AC145" s="54">
        <f>IF(AC109=3,AC129,0)</f>
        <v>0</v>
      </c>
      <c r="AE145" s="58">
        <f>IF(AE109=3,AC129,0)</f>
        <v>0</v>
      </c>
      <c r="AF145" s="54">
        <f>SUM(B145:AE145)</f>
        <v>200</v>
      </c>
      <c r="AW145" s="146"/>
    </row>
    <row r="146" spans="1:49" s="54" customFormat="1" ht="12.75" hidden="1" customHeight="1" x14ac:dyDescent="0.2">
      <c r="A146" s="54" t="s">
        <v>79</v>
      </c>
      <c r="B146" s="54">
        <f>IF(B109=4,B129,0)</f>
        <v>0</v>
      </c>
      <c r="D146" s="58">
        <f>IF(D109=4,B129,0)</f>
        <v>0</v>
      </c>
      <c r="E146" s="54">
        <f>IF(E109=4,E129,0)</f>
        <v>0</v>
      </c>
      <c r="G146" s="58">
        <f>IF(G109=4,E129,0)</f>
        <v>50</v>
      </c>
      <c r="H146" s="54">
        <f>IF(H109=4,H129,0)</f>
        <v>0</v>
      </c>
      <c r="J146" s="58">
        <f>IF(J109=4,H129,0)</f>
        <v>0</v>
      </c>
      <c r="K146" s="54">
        <f>IF(K109=4,K129,0)</f>
        <v>0</v>
      </c>
      <c r="M146" s="58">
        <f>IF(M109=4,K129,0)</f>
        <v>50</v>
      </c>
      <c r="N146" s="54">
        <f>IF(N109=4,N129,0)</f>
        <v>0</v>
      </c>
      <c r="P146" s="58">
        <f>IF(P109=4,N129,0)</f>
        <v>0</v>
      </c>
      <c r="Q146" s="54">
        <f>IF(Q109=4,Q129,0)</f>
        <v>50</v>
      </c>
      <c r="S146" s="58">
        <f>IF(S109=4,Q129,0)</f>
        <v>0</v>
      </c>
      <c r="T146" s="54">
        <f>IF(T109=4,T129,0)</f>
        <v>0</v>
      </c>
      <c r="V146" s="58">
        <f>IF(V109=4,T129,0)</f>
        <v>0</v>
      </c>
      <c r="W146" s="54">
        <f>IF(W109=4,W129,0)</f>
        <v>0</v>
      </c>
      <c r="Y146" s="58">
        <f>IF(Y109=4,W129,0)</f>
        <v>0</v>
      </c>
      <c r="Z146" s="54">
        <f>IF(Z109=4,Z129,0)</f>
        <v>0</v>
      </c>
      <c r="AB146" s="58">
        <f>IF(AB109=4,Z129,0)</f>
        <v>50</v>
      </c>
      <c r="AC146" s="54">
        <f>IF(AC109=4,AC129,0)</f>
        <v>0</v>
      </c>
      <c r="AE146" s="58">
        <f>IF(AE109=4,AC129,0)</f>
        <v>0</v>
      </c>
      <c r="AF146" s="54">
        <f>SUM(B146:AE146)</f>
        <v>200</v>
      </c>
      <c r="AW146" s="146"/>
    </row>
    <row r="147" spans="1:49" s="54" customFormat="1" ht="12.75" hidden="1" customHeight="1" x14ac:dyDescent="0.2">
      <c r="A147" s="54" t="s">
        <v>80</v>
      </c>
      <c r="B147" s="54">
        <f>IF(B109=5,B129,0)</f>
        <v>0</v>
      </c>
      <c r="D147" s="58">
        <f>IF(D109=5,B129,0)</f>
        <v>51</v>
      </c>
      <c r="E147" s="54">
        <f>IF(E109=5,E129,0)</f>
        <v>0</v>
      </c>
      <c r="G147" s="58">
        <f>IF(G109=5,E129,0)</f>
        <v>0</v>
      </c>
      <c r="H147" s="54">
        <f>IF(H109=5,H129,0)</f>
        <v>0</v>
      </c>
      <c r="J147" s="58">
        <f>IF(J109=5,H129,0)</f>
        <v>50</v>
      </c>
      <c r="K147" s="54">
        <f>IF(K109=5,K129,0)</f>
        <v>0</v>
      </c>
      <c r="M147" s="58">
        <f>IF(M109=5,K129,0)</f>
        <v>0</v>
      </c>
      <c r="N147" s="54">
        <f>IF(N109=5,N129,0)</f>
        <v>0</v>
      </c>
      <c r="P147" s="58">
        <f>IF(P109=5,N129,0)</f>
        <v>0</v>
      </c>
      <c r="Q147" s="54">
        <f>IF(Q109=5,Q129,0)</f>
        <v>0</v>
      </c>
      <c r="S147" s="58">
        <f>IF(S109=5,Q129,0)</f>
        <v>50</v>
      </c>
      <c r="T147" s="54">
        <f>IF(T109=5,T129,0)</f>
        <v>0</v>
      </c>
      <c r="V147" s="58">
        <f>IF(V109=5,T129,0)</f>
        <v>0</v>
      </c>
      <c r="W147" s="54">
        <f>IF(W109=5,W129,0)</f>
        <v>0</v>
      </c>
      <c r="Y147" s="58">
        <f>IF(Y109=5,W129,0)</f>
        <v>52</v>
      </c>
      <c r="Z147" s="54">
        <f>IF(Z109=5,Z129,0)</f>
        <v>0</v>
      </c>
      <c r="AB147" s="58">
        <f>IF(AB109=5,Z129,0)</f>
        <v>0</v>
      </c>
      <c r="AC147" s="54">
        <f>IF(AC109=5,AC129,0)</f>
        <v>0</v>
      </c>
      <c r="AE147" s="58">
        <f>IF(AE109=5,AC129,0)</f>
        <v>0</v>
      </c>
      <c r="AF147" s="54">
        <f>SUM(B147:AE147)</f>
        <v>203</v>
      </c>
      <c r="AW147" s="146"/>
    </row>
    <row r="148" spans="1:49" s="54" customFormat="1" ht="38.25" hidden="1" customHeight="1" x14ac:dyDescent="0.2">
      <c r="A148" s="54" t="s">
        <v>82</v>
      </c>
      <c r="D148" s="58"/>
      <c r="G148" s="58"/>
      <c r="J148" s="58"/>
      <c r="M148" s="58"/>
      <c r="P148" s="58"/>
      <c r="S148" s="58"/>
      <c r="V148" s="58"/>
      <c r="Y148" s="58"/>
      <c r="AB148" s="58"/>
      <c r="AE148" s="58"/>
      <c r="AF148" s="57" t="s">
        <v>83</v>
      </c>
      <c r="AG148" s="54" t="s">
        <v>84</v>
      </c>
      <c r="AW148" s="146"/>
    </row>
    <row r="149" spans="1:49" s="54" customFormat="1" ht="12.75" hidden="1" customHeight="1" x14ac:dyDescent="0.2">
      <c r="A149" s="54" t="s">
        <v>70</v>
      </c>
      <c r="B149" s="54">
        <f>IF(B109=1,SUMIF(B116:B120,"&gt;0"),0)</f>
        <v>0</v>
      </c>
      <c r="D149" s="58">
        <f>IF(D109=1,SUMIF(D116:D120,"&gt;0"),0)</f>
        <v>0</v>
      </c>
      <c r="E149" s="54">
        <f>IF(E109=1,SUMIF(E116:E120,"&gt;0"),0)</f>
        <v>0</v>
      </c>
      <c r="G149" s="58">
        <f>IF(G109=1,SUMIF(G116:G120,"&gt;0"),0)</f>
        <v>0</v>
      </c>
      <c r="H149" s="54">
        <f>IF(H109=1,SUMIF(H116:H120,"&gt;0"),0)</f>
        <v>0</v>
      </c>
      <c r="J149" s="58">
        <f>IF(J109=1,SUMIF(J116:J120,"&gt;0"),0)</f>
        <v>0</v>
      </c>
      <c r="K149" s="54">
        <f>IF(K109=1,SUMIF(K116:K120,"&gt;0"),0)</f>
        <v>0</v>
      </c>
      <c r="M149" s="58">
        <f>IF(M109=1,SUMIF(M116:M120,"&gt;0"),0)</f>
        <v>0</v>
      </c>
      <c r="N149" s="54">
        <f>IF(N109=1,SUMIF(N116:N120,"&gt;0"),0)</f>
        <v>1</v>
      </c>
      <c r="P149" s="58">
        <f>IF(P109=1,SUMIF(P116:P120,"&gt;0"),0)</f>
        <v>0</v>
      </c>
      <c r="Q149" s="54">
        <f>IF(Q109=1,SUMIF(Q116:Q120,"&gt;0"),0)</f>
        <v>0</v>
      </c>
      <c r="S149" s="58">
        <f>IF(S109=1,SUMIF(S116:S120,"&gt;0"),0)</f>
        <v>0</v>
      </c>
      <c r="T149" s="54">
        <f>IF(T109=1,SUMIF(T116:T120,"&gt;0"),0)</f>
        <v>0</v>
      </c>
      <c r="V149" s="58">
        <f>IF(V109=1,SUMIF(V116:V120,"&gt;0"),0)</f>
        <v>0</v>
      </c>
      <c r="W149" s="54">
        <f>IF(W109=1,SUMIF(W116:W120,"&gt;0"),0)</f>
        <v>2</v>
      </c>
      <c r="Y149" s="58">
        <f>IF(Y109=1,SUMIF(Y116:Y120,"&gt;0"),0)</f>
        <v>0</v>
      </c>
      <c r="Z149" s="54">
        <f>IF(Z109=1,SUMIF(Z116:Z120,"&gt;0"),0)</f>
        <v>0</v>
      </c>
      <c r="AB149" s="58">
        <f>IF(AB109=1,SUMIF(AB116:AB120,"&gt;0"),0)</f>
        <v>0</v>
      </c>
      <c r="AC149" s="54">
        <f>IF(AC109=1,SUMIF(AC116:AC120,"&gt;0"),0)</f>
        <v>1</v>
      </c>
      <c r="AE149" s="58">
        <f>IF(AE109=1,SUMIF(AE116:AE120,"&gt;0"),0)</f>
        <v>0</v>
      </c>
      <c r="AF149" s="54">
        <f>SUM(B149:AE149)</f>
        <v>4</v>
      </c>
      <c r="AG149" s="54">
        <f>AF157-AF149</f>
        <v>4</v>
      </c>
      <c r="AW149" s="146"/>
    </row>
    <row r="150" spans="1:49" s="54" customFormat="1" ht="12.75" hidden="1" customHeight="1" x14ac:dyDescent="0.2">
      <c r="A150" s="54" t="s">
        <v>71</v>
      </c>
      <c r="B150" s="54">
        <f>IF(B109=2,SUMIF(B116:B120,"&gt;0"),0)</f>
        <v>1</v>
      </c>
      <c r="D150" s="58">
        <f>IF(D109=2,SUMIF(D116:D120,"&gt;0"),0)</f>
        <v>0</v>
      </c>
      <c r="E150" s="54">
        <f>IF(E109=2,SUMIF(E116:E120,"&gt;0"),0)</f>
        <v>0</v>
      </c>
      <c r="G150" s="58">
        <f>IF(G109=2,SUMIF(G116:G120,"&gt;0"),0)</f>
        <v>0</v>
      </c>
      <c r="H150" s="54">
        <f>IF(H109=2,SUMIF(H116:H120,"&gt;0"),0)</f>
        <v>0</v>
      </c>
      <c r="J150" s="58">
        <f>IF(J109=2,SUMIF(J116:J120,"&gt;0"),0)</f>
        <v>0</v>
      </c>
      <c r="K150" s="54">
        <f>IF(K109=2,SUMIF(K116:K120,"&gt;0"),0)</f>
        <v>0</v>
      </c>
      <c r="M150" s="58">
        <f>IF(M109=2,SUMIF(M116:M120,"&gt;0"),0)</f>
        <v>0</v>
      </c>
      <c r="N150" s="54">
        <f>IF(N109=2,SUMIF(N116:N120,"&gt;0"),0)</f>
        <v>0</v>
      </c>
      <c r="P150" s="58">
        <f>IF(P109=2,SUMIF(P116:P120,"&gt;0"),0)</f>
        <v>0</v>
      </c>
      <c r="Q150" s="54">
        <f>IF(Q109=2,SUMIF(Q116:Q120,"&gt;0"),0)</f>
        <v>0</v>
      </c>
      <c r="S150" s="58">
        <f>IF(S109=2,SUMIF(S116:S120,"&gt;0"),0)</f>
        <v>0</v>
      </c>
      <c r="T150" s="54">
        <f>IF(T109=2,SUMIF(T116:T120,"&gt;0"),0)</f>
        <v>2</v>
      </c>
      <c r="V150" s="58">
        <f>IF(V109=2,SUMIF(V116:V120,"&gt;0"),0)</f>
        <v>0</v>
      </c>
      <c r="W150" s="54">
        <f>IF(W109=2,SUMIF(W116:W120,"&gt;0"),0)</f>
        <v>0</v>
      </c>
      <c r="Y150" s="58">
        <f>IF(Y109=2,SUMIF(Y116:Y120,"&gt;0"),0)</f>
        <v>0</v>
      </c>
      <c r="Z150" s="54">
        <f>IF(Z109=2,SUMIF(Z116:Z120,"&gt;0"),0)</f>
        <v>0</v>
      </c>
      <c r="AB150" s="58">
        <f>IF(AB109=2,SUMIF(AB116:AB120,"&gt;0"),0)</f>
        <v>0</v>
      </c>
      <c r="AC150" s="54">
        <f>IF(AC109=2,SUMIF(AC116:AC120,"&gt;0"),0)</f>
        <v>0</v>
      </c>
      <c r="AE150" s="58">
        <f>IF(AE109=2,SUMIF(AE116:AE120,"&gt;0"),0)</f>
        <v>1</v>
      </c>
      <c r="AF150" s="54">
        <f>SUM(B150:AE150)</f>
        <v>4</v>
      </c>
      <c r="AG150" s="54">
        <f>AF158-AF150</f>
        <v>4</v>
      </c>
      <c r="AW150" s="146"/>
    </row>
    <row r="151" spans="1:49" s="54" customFormat="1" ht="12.75" hidden="1" customHeight="1" x14ac:dyDescent="0.2">
      <c r="A151" s="54" t="s">
        <v>72</v>
      </c>
      <c r="B151" s="54">
        <f>IF(B109=3,SUMIF(B116:B120,"&gt;0"),0)</f>
        <v>0</v>
      </c>
      <c r="D151" s="58">
        <f>IF(D109=3,SUMIF(D116:D120,"&gt;0"),0)</f>
        <v>0</v>
      </c>
      <c r="E151" s="54">
        <f>IF(E109=3,SUMIF(E116:E120,"&gt;0"),0)</f>
        <v>0</v>
      </c>
      <c r="G151" s="58">
        <f>IF(G109=3,SUMIF(G116:G120,"&gt;0"),0)</f>
        <v>0</v>
      </c>
      <c r="H151" s="54">
        <f>IF(H109=3,SUMIF(H116:H120,"&gt;0"),0)</f>
        <v>0</v>
      </c>
      <c r="J151" s="58">
        <f>IF(J109=3,SUMIF(J116:J120,"&gt;0"),0)</f>
        <v>0</v>
      </c>
      <c r="K151" s="54">
        <f>IF(K109=3,SUMIF(K116:K120,"&gt;0"),0)</f>
        <v>0</v>
      </c>
      <c r="M151" s="58">
        <f>IF(M109=3,SUMIF(M116:M120,"&gt;0"),0)</f>
        <v>0</v>
      </c>
      <c r="N151" s="54">
        <f>IF(N109=3,SUMIF(N116:N120,"&gt;0"),0)</f>
        <v>0</v>
      </c>
      <c r="P151" s="58">
        <f>IF(P109=3,SUMIF(P116:P120,"&gt;0"),0)</f>
        <v>1</v>
      </c>
      <c r="Q151" s="54">
        <f>IF(Q109=3,SUMIF(Q116:Q120,"&gt;0"),0)</f>
        <v>0</v>
      </c>
      <c r="S151" s="58">
        <f>IF(S109=3,SUMIF(S116:S120,"&gt;0"),0)</f>
        <v>0</v>
      </c>
      <c r="T151" s="54">
        <f>IF(T109=3,SUMIF(T116:T120,"&gt;0"),0)</f>
        <v>0</v>
      </c>
      <c r="V151" s="58">
        <f>IF(V109=3,SUMIF(V116:V120,"&gt;0"),0)</f>
        <v>0</v>
      </c>
      <c r="W151" s="54">
        <f>IF(W109=3,SUMIF(W116:W120,"&gt;0"),0)</f>
        <v>0</v>
      </c>
      <c r="Y151" s="58">
        <f>IF(Y109=3,SUMIF(Y116:Y120,"&gt;0"),0)</f>
        <v>0</v>
      </c>
      <c r="Z151" s="54">
        <f>IF(Z109=3,SUMIF(Z116:Z120,"&gt;0"),0)</f>
        <v>0</v>
      </c>
      <c r="AB151" s="58">
        <f>IF(AB109=3,SUMIF(AB116:AB120,"&gt;0"),0)</f>
        <v>0</v>
      </c>
      <c r="AC151" s="54">
        <f>IF(AC109=3,SUMIF(AC116:AC120,"&gt;0"),0)</f>
        <v>0</v>
      </c>
      <c r="AE151" s="58">
        <f>IF(AE109=3,SUMIF(AE116:AE120,"&gt;0"),0)</f>
        <v>0</v>
      </c>
      <c r="AF151" s="54">
        <f>SUM(B151:AE151)</f>
        <v>1</v>
      </c>
      <c r="AG151" s="54">
        <f>AF159-AF151</f>
        <v>7</v>
      </c>
      <c r="AW151" s="146"/>
    </row>
    <row r="152" spans="1:49" s="54" customFormat="1" ht="12.75" hidden="1" customHeight="1" x14ac:dyDescent="0.2">
      <c r="A152" s="54" t="s">
        <v>73</v>
      </c>
      <c r="B152" s="54">
        <f>IF(B109=4,SUMIF(B116:B120,"&gt;0"),0)</f>
        <v>0</v>
      </c>
      <c r="D152" s="58">
        <f>IF(D109=4,SUMIF(D116:D120,"&gt;0"),0)</f>
        <v>0</v>
      </c>
      <c r="E152" s="54">
        <f>IF(E109=4,SUMIF(E116:E120,"&gt;0"),0)</f>
        <v>0</v>
      </c>
      <c r="G152" s="58">
        <f>IF(G109=4,SUMIF(G116:G120,"&gt;0"),0)</f>
        <v>2</v>
      </c>
      <c r="H152" s="54">
        <f>IF(H109=4,SUMIF(H116:H120,"&gt;0"),0)</f>
        <v>0</v>
      </c>
      <c r="J152" s="58">
        <f>IF(J109=4,SUMIF(J116:J120,"&gt;0"),0)</f>
        <v>0</v>
      </c>
      <c r="K152" s="54">
        <f>IF(K109=4,SUMIF(K116:K120,"&gt;0"),0)</f>
        <v>0</v>
      </c>
      <c r="M152" s="58">
        <f>IF(M109=4,SUMIF(M116:M120,"&gt;0"),0)</f>
        <v>2</v>
      </c>
      <c r="N152" s="54">
        <f>IF(N109=4,SUMIF(N116:N120,"&gt;0"),0)</f>
        <v>0</v>
      </c>
      <c r="P152" s="58">
        <f>IF(P109=4,SUMIF(P116:P120,"&gt;0"),0)</f>
        <v>0</v>
      </c>
      <c r="Q152" s="54">
        <f>IF(Q109=4,SUMIF(Q116:Q120,"&gt;0"),0)</f>
        <v>2</v>
      </c>
      <c r="S152" s="58">
        <f>IF(S109=4,SUMIF(S116:S120,"&gt;0"),0)</f>
        <v>0</v>
      </c>
      <c r="T152" s="54">
        <f>IF(T109=4,SUMIF(T116:T120,"&gt;0"),0)</f>
        <v>0</v>
      </c>
      <c r="V152" s="58">
        <f>IF(V109=4,SUMIF(V116:V120,"&gt;0"),0)</f>
        <v>0</v>
      </c>
      <c r="W152" s="54">
        <f>IF(W109=4,SUMIF(W116:W120,"&gt;0"),0)</f>
        <v>0</v>
      </c>
      <c r="Y152" s="58">
        <f>IF(Y109=4,SUMIF(Y116:Y120,"&gt;0"),0)</f>
        <v>0</v>
      </c>
      <c r="Z152" s="54">
        <f>IF(Z109=4,SUMIF(Z116:Z120,"&gt;0"),0)</f>
        <v>0</v>
      </c>
      <c r="AB152" s="58">
        <f>IF(AB109=4,SUMIF(AB116:AB120,"&gt;0"),0)</f>
        <v>2</v>
      </c>
      <c r="AC152" s="54">
        <f>IF(AC109=4,SUMIF(AC116:AC120,"&gt;0"),0)</f>
        <v>0</v>
      </c>
      <c r="AE152" s="58">
        <f>IF(AE109=4,SUMIF(AE116:AE120,"&gt;0"),0)</f>
        <v>0</v>
      </c>
      <c r="AF152" s="54">
        <f>SUM(B152:AE152)</f>
        <v>8</v>
      </c>
      <c r="AG152" s="54">
        <f>AF160-AF152</f>
        <v>0</v>
      </c>
      <c r="AW152" s="146"/>
    </row>
    <row r="153" spans="1:49" s="54" customFormat="1" ht="12.75" hidden="1" customHeight="1" x14ac:dyDescent="0.2">
      <c r="A153" s="54" t="s">
        <v>74</v>
      </c>
      <c r="B153" s="54">
        <f>IF(B109=5,SUMIF(B116:B120,"&gt;0"),0)</f>
        <v>0</v>
      </c>
      <c r="D153" s="58">
        <f>IF(D109=5,SUMIF(D116:D120,"&gt;0"),0)</f>
        <v>1</v>
      </c>
      <c r="E153" s="54">
        <f>IF(E109=5,SUMIF(E116:E120,"&gt;0"),0)</f>
        <v>0</v>
      </c>
      <c r="G153" s="58">
        <f>IF(G109=5,SUMIF(G116:G120,"&gt;0"),0)</f>
        <v>0</v>
      </c>
      <c r="H153" s="54">
        <f>IF(H109=5,SUMIF(H116:H120,"&gt;0"),0)</f>
        <v>0</v>
      </c>
      <c r="J153" s="58">
        <f>IF(J109=5,SUMIF(J116:J120,"&gt;0"),0)</f>
        <v>2</v>
      </c>
      <c r="K153" s="54">
        <f>IF(K109=5,SUMIF(K116:K120,"&gt;0"),0)</f>
        <v>0</v>
      </c>
      <c r="M153" s="58">
        <f>IF(M109=5,SUMIF(M116:M120,"&gt;0"),0)</f>
        <v>0</v>
      </c>
      <c r="N153" s="54">
        <f>IF(N109=5,SUMIF(N116:N120,"&gt;0"),0)</f>
        <v>0</v>
      </c>
      <c r="P153" s="58">
        <f>IF(P109=5,SUMIF(P116:P120,"&gt;0"),0)</f>
        <v>0</v>
      </c>
      <c r="Q153" s="54">
        <f>IF(Q109=5,SUMIF(Q116:Q120,"&gt;0"),0)</f>
        <v>0</v>
      </c>
      <c r="S153" s="58">
        <f>IF(S109=5,SUMIF(S116:S120,"&gt;0"),0)</f>
        <v>0</v>
      </c>
      <c r="T153" s="54">
        <f>IF(T109=5,SUMIF(T116:T120,"&gt;0"),0)</f>
        <v>0</v>
      </c>
      <c r="V153" s="58">
        <f>IF(V109=5,SUMIF(V116:V120,"&gt;0"),0)</f>
        <v>0</v>
      </c>
      <c r="W153" s="54">
        <f>IF(W109=5,SUMIF(W116:W120,"&gt;0"),0)</f>
        <v>0</v>
      </c>
      <c r="Y153" s="58">
        <f>IF(Y109=5,SUMIF(Y116:Y120,"&gt;0"),0)</f>
        <v>0</v>
      </c>
      <c r="Z153" s="54">
        <f>IF(Z109=5,SUMIF(Z116:Z120,"&gt;0"),0)</f>
        <v>0</v>
      </c>
      <c r="AB153" s="58">
        <f>IF(AB109=5,SUMIF(AB116:AB120,"&gt;0"),0)</f>
        <v>0</v>
      </c>
      <c r="AC153" s="54">
        <f>IF(AC109=5,SUMIF(AC116:AC120,"&gt;0"),0)</f>
        <v>0</v>
      </c>
      <c r="AE153" s="58">
        <f>IF(AE109=5,SUMIF(AE116:AE120,"&gt;0"),0)</f>
        <v>0</v>
      </c>
      <c r="AF153" s="54">
        <f>SUM(B153:AE153)</f>
        <v>3</v>
      </c>
      <c r="AG153" s="54">
        <f>AF161-AF153</f>
        <v>5</v>
      </c>
      <c r="AW153" s="146"/>
    </row>
    <row r="154" spans="1:49" s="54" customFormat="1" ht="12.75" hidden="1" customHeight="1" x14ac:dyDescent="0.2">
      <c r="D154" s="58"/>
      <c r="G154" s="58"/>
      <c r="J154" s="58"/>
      <c r="M154" s="58"/>
      <c r="P154" s="58"/>
      <c r="S154" s="58"/>
      <c r="V154" s="58"/>
      <c r="Y154" s="58"/>
      <c r="AB154" s="58"/>
      <c r="AE154" s="58"/>
      <c r="AW154" s="146"/>
    </row>
    <row r="155" spans="1:49" s="54" customFormat="1" ht="12.75" hidden="1" customHeight="1" x14ac:dyDescent="0.2">
      <c r="D155" s="58"/>
      <c r="G155" s="58"/>
      <c r="J155" s="58"/>
      <c r="M155" s="58"/>
      <c r="P155" s="58"/>
      <c r="S155" s="58"/>
      <c r="V155" s="58"/>
      <c r="Y155" s="58"/>
      <c r="AB155" s="58"/>
      <c r="AE155" s="58"/>
      <c r="AW155" s="146"/>
    </row>
    <row r="156" spans="1:49" s="54" customFormat="1" ht="51" hidden="1" customHeight="1" x14ac:dyDescent="0.2">
      <c r="A156" s="57" t="s">
        <v>85</v>
      </c>
      <c r="C156" s="54">
        <f>SUMIF(B149:D153,"&gt;0")</f>
        <v>2</v>
      </c>
      <c r="D156" s="58"/>
      <c r="F156" s="54">
        <f>SUMIF(E149:G153,"&gt;0")</f>
        <v>2</v>
      </c>
      <c r="G156" s="58"/>
      <c r="I156" s="54">
        <f>SUMIF(H149:J153,"&gt;0")</f>
        <v>2</v>
      </c>
      <c r="J156" s="58"/>
      <c r="L156" s="54">
        <f>SUMIF(K149:M153,"&gt;0")</f>
        <v>2</v>
      </c>
      <c r="M156" s="58"/>
      <c r="O156" s="54">
        <f>SUMIF(N149:P153,"&gt;0")</f>
        <v>2</v>
      </c>
      <c r="P156" s="58"/>
      <c r="R156" s="54">
        <f>SUMIF(Q149:S153,"&gt;0")</f>
        <v>2</v>
      </c>
      <c r="S156" s="58"/>
      <c r="U156" s="54">
        <f>SUMIF(T149:V153,"&gt;0")</f>
        <v>2</v>
      </c>
      <c r="V156" s="58"/>
      <c r="X156" s="54">
        <f>SUMIF(W149:Y153,"&gt;0")</f>
        <v>2</v>
      </c>
      <c r="Y156" s="58"/>
      <c r="AA156" s="54">
        <f>SUMIF(Z149:AB153,"&gt;0")</f>
        <v>2</v>
      </c>
      <c r="AB156" s="58"/>
      <c r="AD156" s="54">
        <f>SUMIF(AC149:AE153,"&gt;0")</f>
        <v>2</v>
      </c>
      <c r="AE156" s="58"/>
      <c r="AF156" s="57" t="s">
        <v>86</v>
      </c>
      <c r="AW156" s="146"/>
    </row>
    <row r="157" spans="1:49" s="54" customFormat="1" ht="12.75" hidden="1" customHeight="1" x14ac:dyDescent="0.2">
      <c r="A157" s="54" t="s">
        <v>76</v>
      </c>
      <c r="B157" s="54">
        <f>IF(B109=1,C156,0)</f>
        <v>0</v>
      </c>
      <c r="D157" s="58">
        <f>IF(D109=1,C156,0)</f>
        <v>0</v>
      </c>
      <c r="E157" s="54">
        <f>IF(E109=1,F156,0)</f>
        <v>2</v>
      </c>
      <c r="G157" s="58">
        <f>IF(G109=1,F156,0)</f>
        <v>0</v>
      </c>
      <c r="H157" s="54">
        <f>IF(H109=1,I156,0)</f>
        <v>0</v>
      </c>
      <c r="J157" s="58">
        <f>IF(J109=1,I156,0)</f>
        <v>0</v>
      </c>
      <c r="K157" s="54">
        <f>IF(K109=1,L156,0)</f>
        <v>0</v>
      </c>
      <c r="M157" s="58">
        <f>IF(M109=1,L156,0)</f>
        <v>0</v>
      </c>
      <c r="N157" s="54">
        <f>IF(N109=1,O156,0)</f>
        <v>2</v>
      </c>
      <c r="P157" s="58">
        <f>IF(P109=1,O156,0)</f>
        <v>0</v>
      </c>
      <c r="Q157" s="54">
        <f>IF(Q109=1,R156,0)</f>
        <v>0</v>
      </c>
      <c r="S157" s="58">
        <f>IF(S109=1,R156,0)</f>
        <v>0</v>
      </c>
      <c r="T157" s="54">
        <f>IF(T109=1,U156,0)</f>
        <v>0</v>
      </c>
      <c r="V157" s="58">
        <f>IF(V109=1,U156,0)</f>
        <v>0</v>
      </c>
      <c r="W157" s="54">
        <f>IF(W109=1,X156,0)</f>
        <v>2</v>
      </c>
      <c r="Y157" s="58">
        <f>IF(Y109=1,X156,0)</f>
        <v>0</v>
      </c>
      <c r="Z157" s="54">
        <f>IF(Z109=1,AA156,0)</f>
        <v>0</v>
      </c>
      <c r="AB157" s="58">
        <f>IF(AB109=1,AA156,0)</f>
        <v>0</v>
      </c>
      <c r="AC157" s="54">
        <f>IF(AC109=1,AD156,0)</f>
        <v>2</v>
      </c>
      <c r="AE157" s="58">
        <f>IF(AE109=1,AD156,0)</f>
        <v>0</v>
      </c>
      <c r="AF157" s="54">
        <f>SUM(B157:AE157)</f>
        <v>8</v>
      </c>
      <c r="AW157" s="146"/>
    </row>
    <row r="158" spans="1:49" s="54" customFormat="1" ht="12.75" hidden="1" customHeight="1" x14ac:dyDescent="0.2">
      <c r="A158" s="54" t="s">
        <v>77</v>
      </c>
      <c r="B158" s="54">
        <f>IF(B109=2,C156,0)</f>
        <v>2</v>
      </c>
      <c r="D158" s="58">
        <f>IF(D109=2,C156,0)</f>
        <v>0</v>
      </c>
      <c r="E158" s="54">
        <f>IF(E109=2,F156,0)</f>
        <v>0</v>
      </c>
      <c r="G158" s="58">
        <f>IF(G109=2,F156,0)</f>
        <v>0</v>
      </c>
      <c r="H158" s="54">
        <f>IF(H109=2,I156,0)</f>
        <v>0</v>
      </c>
      <c r="J158" s="58">
        <f>IF(J109=2,I156,0)</f>
        <v>0</v>
      </c>
      <c r="K158" s="54">
        <f>IF(K109=2,L156,0)</f>
        <v>2</v>
      </c>
      <c r="M158" s="58">
        <f>IF(M109=2,L156,0)</f>
        <v>0</v>
      </c>
      <c r="N158" s="54">
        <f>IF(N109=2,O156,0)</f>
        <v>0</v>
      </c>
      <c r="P158" s="58">
        <f>IF(P109=2,O156,0)</f>
        <v>0</v>
      </c>
      <c r="Q158" s="54">
        <f>IF(Q109=2,R156,0)</f>
        <v>0</v>
      </c>
      <c r="S158" s="58">
        <f>IF(S109=2,R156,0)</f>
        <v>0</v>
      </c>
      <c r="T158" s="54">
        <f>IF(T109=2,U156,0)</f>
        <v>2</v>
      </c>
      <c r="V158" s="58">
        <f>IF(V109=2,U156,0)</f>
        <v>0</v>
      </c>
      <c r="W158" s="54">
        <f>IF(W109=2,X156,0)</f>
        <v>0</v>
      </c>
      <c r="Y158" s="58">
        <f>IF(Y109=2,X156,0)</f>
        <v>0</v>
      </c>
      <c r="Z158" s="54">
        <f>IF(Z109=2,AA156,0)</f>
        <v>0</v>
      </c>
      <c r="AB158" s="58">
        <f>IF(AB109=2,AA156,0)</f>
        <v>0</v>
      </c>
      <c r="AC158" s="54">
        <f>IF(AC109=2,AD156,0)</f>
        <v>0</v>
      </c>
      <c r="AE158" s="58">
        <f>IF(AE109=2,AD156,0)</f>
        <v>2</v>
      </c>
      <c r="AF158" s="54">
        <f>SUM(B158:AE158)</f>
        <v>8</v>
      </c>
      <c r="AW158" s="146"/>
    </row>
    <row r="159" spans="1:49" s="54" customFormat="1" ht="12.75" hidden="1" customHeight="1" x14ac:dyDescent="0.2">
      <c r="A159" s="54" t="s">
        <v>78</v>
      </c>
      <c r="B159" s="54">
        <f>IF(B109=3,C156,0)</f>
        <v>0</v>
      </c>
      <c r="D159" s="58">
        <f>IF(D109=3,C156,0)</f>
        <v>0</v>
      </c>
      <c r="E159" s="54">
        <f>IF(E109=3,F156,0)</f>
        <v>0</v>
      </c>
      <c r="G159" s="58">
        <f>IF(G109=3,F156,0)</f>
        <v>0</v>
      </c>
      <c r="H159" s="54">
        <f>IF(H109=3,I156,0)</f>
        <v>2</v>
      </c>
      <c r="J159" s="58">
        <f>IF(J109=3,I156,0)</f>
        <v>0</v>
      </c>
      <c r="K159" s="54">
        <f>IF(K109=3,L156,0)</f>
        <v>0</v>
      </c>
      <c r="M159" s="58">
        <f>IF(M109=3,L156,0)</f>
        <v>0</v>
      </c>
      <c r="N159" s="54">
        <f>IF(N109=3,O156,0)</f>
        <v>0</v>
      </c>
      <c r="P159" s="58">
        <f>IF(P109=3,O156,0)</f>
        <v>2</v>
      </c>
      <c r="Q159" s="54">
        <f>IF(Q109=3,R156,0)</f>
        <v>0</v>
      </c>
      <c r="S159" s="58">
        <f>IF(S109=3,R156,0)</f>
        <v>0</v>
      </c>
      <c r="T159" s="54">
        <f>IF(T109=3,U156,0)</f>
        <v>0</v>
      </c>
      <c r="V159" s="58">
        <f>IF(V109=3,U156,0)</f>
        <v>2</v>
      </c>
      <c r="W159" s="54">
        <f>IF(W109=3,X156,0)</f>
        <v>0</v>
      </c>
      <c r="Y159" s="58">
        <f>IF(Y109=3,X156,0)</f>
        <v>0</v>
      </c>
      <c r="Z159" s="54">
        <f>IF(Z109=3,AA156,0)</f>
        <v>2</v>
      </c>
      <c r="AB159" s="58">
        <f>IF(AB109=3,AA156,0)</f>
        <v>0</v>
      </c>
      <c r="AC159" s="54">
        <f>IF(AC109=3,AD156,0)</f>
        <v>0</v>
      </c>
      <c r="AE159" s="58">
        <f>IF(AE109=3,AD156,0)</f>
        <v>0</v>
      </c>
      <c r="AF159" s="54">
        <f>SUM(B159:AE159)</f>
        <v>8</v>
      </c>
      <c r="AW159" s="146"/>
    </row>
    <row r="160" spans="1:49" s="54" customFormat="1" ht="12.75" hidden="1" customHeight="1" x14ac:dyDescent="0.2">
      <c r="A160" s="54" t="s">
        <v>79</v>
      </c>
      <c r="B160" s="54">
        <f>IF(B109=4,C156,0)</f>
        <v>0</v>
      </c>
      <c r="D160" s="58">
        <f>IF(D109=4,C156,0)</f>
        <v>0</v>
      </c>
      <c r="E160" s="54">
        <f>IF(E109=4,F156,0)</f>
        <v>0</v>
      </c>
      <c r="G160" s="58">
        <f>IF(G109=4,F156,0)</f>
        <v>2</v>
      </c>
      <c r="H160" s="54">
        <f>IF(H109=4,I156,0)</f>
        <v>0</v>
      </c>
      <c r="J160" s="58">
        <f>IF(J109=4,I156,0)</f>
        <v>0</v>
      </c>
      <c r="K160" s="54">
        <f>IF(K109=4,L156,0)</f>
        <v>0</v>
      </c>
      <c r="M160" s="58">
        <f>IF(M109=4,L156,0)</f>
        <v>2</v>
      </c>
      <c r="N160" s="54">
        <f>IF(N109=4,O156,0)</f>
        <v>0</v>
      </c>
      <c r="P160" s="58">
        <f>IF(P109=4,O156,0)</f>
        <v>0</v>
      </c>
      <c r="Q160" s="54">
        <f>IF(Q109=4,R156,0)</f>
        <v>2</v>
      </c>
      <c r="S160" s="58">
        <f>IF(S109=4,R156,0)</f>
        <v>0</v>
      </c>
      <c r="T160" s="54">
        <f>IF(T109=4,U156,0)</f>
        <v>0</v>
      </c>
      <c r="V160" s="58">
        <f>IF(V109=4,U156,0)</f>
        <v>0</v>
      </c>
      <c r="W160" s="54">
        <f>IF(W109=4,X156,0)</f>
        <v>0</v>
      </c>
      <c r="Y160" s="58">
        <f>IF(Y109=4,X156,0)</f>
        <v>0</v>
      </c>
      <c r="Z160" s="54">
        <f>IF(Z109=4,AA156,0)</f>
        <v>0</v>
      </c>
      <c r="AB160" s="58">
        <f>IF(AB109=4,AA156,0)</f>
        <v>2</v>
      </c>
      <c r="AC160" s="54">
        <f>IF(AC109=4,AD156,0)</f>
        <v>0</v>
      </c>
      <c r="AE160" s="58">
        <f>IF(AE109=4,AD156,0)</f>
        <v>0</v>
      </c>
      <c r="AF160" s="54">
        <f>SUM(B160:AE160)</f>
        <v>8</v>
      </c>
      <c r="AW160" s="146"/>
    </row>
    <row r="161" spans="1:54" s="54" customFormat="1" ht="12.75" hidden="1" customHeight="1" x14ac:dyDescent="0.2">
      <c r="A161" s="54" t="s">
        <v>80</v>
      </c>
      <c r="B161" s="54">
        <f>IF(B109=5,C156,0)</f>
        <v>0</v>
      </c>
      <c r="D161" s="58">
        <f>IF(D109=5,C156,0)</f>
        <v>2</v>
      </c>
      <c r="E161" s="54">
        <f>IF(E109=5,F156,0)</f>
        <v>0</v>
      </c>
      <c r="G161" s="58">
        <f>IF(G109=5,F156,0)</f>
        <v>0</v>
      </c>
      <c r="H161" s="54">
        <f>IF(H109=5,I156,0)</f>
        <v>0</v>
      </c>
      <c r="J161" s="58">
        <f>IF(J109=5,I156,0)</f>
        <v>2</v>
      </c>
      <c r="K161" s="54">
        <f>IF(K109=5,L156,0)</f>
        <v>0</v>
      </c>
      <c r="M161" s="58">
        <f>IF(M109=5,L156,0)</f>
        <v>0</v>
      </c>
      <c r="N161" s="54">
        <f>IF(N109=5,O156,0)</f>
        <v>0</v>
      </c>
      <c r="P161" s="58">
        <f>IF(P109=5,O156,0)</f>
        <v>0</v>
      </c>
      <c r="Q161" s="54">
        <f>IF(Q109=5,R156,0)</f>
        <v>0</v>
      </c>
      <c r="S161" s="58">
        <f>IF(S109=5,R156,0)</f>
        <v>2</v>
      </c>
      <c r="T161" s="54">
        <f>IF(T109=5,U156,0)</f>
        <v>0</v>
      </c>
      <c r="V161" s="58">
        <f>IF(V109=5,U156,0)</f>
        <v>0</v>
      </c>
      <c r="W161" s="54">
        <f>IF(W109=5,X156,0)</f>
        <v>0</v>
      </c>
      <c r="Y161" s="58">
        <f>IF(Y109=5,X156,0)</f>
        <v>2</v>
      </c>
      <c r="Z161" s="54">
        <f>IF(Z109=5,AA156,0)</f>
        <v>0</v>
      </c>
      <c r="AB161" s="58">
        <f>IF(AB109=5,AA156,0)</f>
        <v>0</v>
      </c>
      <c r="AC161" s="54">
        <f>IF(AC109=5,AD156,0)</f>
        <v>0</v>
      </c>
      <c r="AE161" s="58">
        <f>IF(AE109=5,AD156,0)</f>
        <v>0</v>
      </c>
      <c r="AF161" s="54">
        <f>SUM(B161:AE161)</f>
        <v>8</v>
      </c>
      <c r="AW161" s="146"/>
    </row>
    <row r="162" spans="1:54" hidden="1" x14ac:dyDescent="0.2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  <c r="AB162" s="59"/>
      <c r="AC162" s="59"/>
      <c r="AD162" s="59"/>
      <c r="AE162" s="59"/>
      <c r="AF162" s="59"/>
      <c r="AG162" s="59"/>
      <c r="AH162" s="59"/>
      <c r="AI162" s="59"/>
      <c r="AJ162" s="59"/>
      <c r="AK162" s="59"/>
      <c r="AL162" s="59"/>
      <c r="AM162" s="59"/>
      <c r="AN162" s="60"/>
      <c r="AO162" s="60"/>
      <c r="AP162" s="60"/>
      <c r="AQ162" s="60"/>
      <c r="AR162" s="61"/>
      <c r="AS162" s="61"/>
      <c r="AT162" s="61"/>
      <c r="AU162" s="61"/>
      <c r="AV162" s="61"/>
      <c r="BB162" s="62"/>
    </row>
    <row r="163" spans="1:54" s="61" customFormat="1" hidden="1" x14ac:dyDescent="0.2">
      <c r="A163" s="63"/>
      <c r="B163" s="63"/>
      <c r="C163" s="63" t="s">
        <v>87</v>
      </c>
      <c r="D163" s="63">
        <v>1</v>
      </c>
      <c r="E163" s="63"/>
      <c r="F163" s="63"/>
      <c r="G163" s="63">
        <v>2</v>
      </c>
      <c r="H163" s="63"/>
      <c r="I163" s="63"/>
      <c r="J163" s="63">
        <v>3</v>
      </c>
      <c r="K163" s="63"/>
      <c r="L163" s="63"/>
      <c r="M163" s="63">
        <v>4</v>
      </c>
      <c r="N163" s="63"/>
      <c r="O163" s="63"/>
      <c r="P163" s="63">
        <v>5</v>
      </c>
      <c r="Q163" s="63"/>
      <c r="R163" s="63"/>
      <c r="S163" s="63">
        <v>6</v>
      </c>
      <c r="T163" s="63"/>
      <c r="U163" s="63"/>
      <c r="V163" s="63">
        <v>7</v>
      </c>
      <c r="W163" s="63"/>
      <c r="X163" s="63"/>
      <c r="Y163" s="63">
        <v>8</v>
      </c>
      <c r="Z163" s="63"/>
      <c r="AA163" s="63"/>
      <c r="AB163" s="63">
        <v>9</v>
      </c>
      <c r="AC163" s="63"/>
      <c r="AD163" s="63"/>
      <c r="AE163" s="63">
        <v>10</v>
      </c>
      <c r="AF163" s="4"/>
      <c r="AG163" s="63"/>
      <c r="AI163" s="64"/>
      <c r="AJ163" s="4"/>
      <c r="AK163" s="4"/>
      <c r="AL163" s="4"/>
      <c r="AM163" s="4"/>
      <c r="AN163" s="4"/>
      <c r="AO163" s="4"/>
      <c r="AT163" s="64" t="s">
        <v>88</v>
      </c>
      <c r="AW163" s="65"/>
      <c r="BB163" s="65"/>
    </row>
    <row r="164" spans="1:54" s="61" customFormat="1" hidden="1" x14ac:dyDescent="0.2">
      <c r="A164" s="66">
        <v>1</v>
      </c>
      <c r="B164" s="66" t="str">
        <f>E93</f>
        <v>SVBC Blazers 18</v>
      </c>
      <c r="C164" s="66">
        <f>VLOOKUP(B164,AU$3:BB$33,3,FALSE)</f>
        <v>2679.7684181029094</v>
      </c>
      <c r="D164" s="66">
        <f>IF(B157,B172,IF(D157,D172,C164))</f>
        <v>2679.7684181029094</v>
      </c>
      <c r="E164" s="66"/>
      <c r="F164" s="66"/>
      <c r="G164" s="66">
        <f>IF(E157,E172,IF(G157,G172,D164))</f>
        <v>2668.9552797198803</v>
      </c>
      <c r="H164" s="66"/>
      <c r="I164" s="66"/>
      <c r="J164" s="66">
        <f>IF(H157,H172,IF(J157,J172,G164))</f>
        <v>2668.9552797198803</v>
      </c>
      <c r="K164" s="66"/>
      <c r="L164" s="66"/>
      <c r="M164" s="66">
        <f>IF(K157,K172,IF(M157,M172,J164))</f>
        <v>2668.9552797198803</v>
      </c>
      <c r="N164" s="66"/>
      <c r="O164" s="66"/>
      <c r="P164" s="66">
        <f>IF(N157,N172,IF(P157,P172,M164))</f>
        <v>2649.3894925660884</v>
      </c>
      <c r="Q164" s="66"/>
      <c r="R164" s="66"/>
      <c r="S164" s="66">
        <f>IF(Q157,Q172,IF(S157,S172,P164))</f>
        <v>2649.3894925660884</v>
      </c>
      <c r="T164" s="66"/>
      <c r="U164" s="66"/>
      <c r="V164" s="66">
        <f>IF(T157,T172,IF(V157,V172,S164))</f>
        <v>2649.3894925660884</v>
      </c>
      <c r="W164" s="66"/>
      <c r="X164" s="66"/>
      <c r="Y164" s="66">
        <f>IF(W157,W172,IF(Y157,Y172,V164))</f>
        <v>2668.236285807056</v>
      </c>
      <c r="Z164" s="66"/>
      <c r="AA164" s="66"/>
      <c r="AB164" s="66">
        <f>IF(Z157,Z172,IF(AB157,AB172,Y164))</f>
        <v>2668.236285807056</v>
      </c>
      <c r="AC164" s="66"/>
      <c r="AD164" s="66"/>
      <c r="AE164" s="66">
        <f>IF(AC157,AC172,IF(AE157,AE172,AB164))</f>
        <v>2654.8178449854754</v>
      </c>
      <c r="AF164" s="4"/>
      <c r="AG164" s="4"/>
      <c r="AJ164" s="4"/>
      <c r="AK164" s="4"/>
      <c r="AL164" s="4"/>
      <c r="AM164" s="4"/>
      <c r="AN164" s="4"/>
      <c r="AO164" s="4"/>
      <c r="AT164" s="61" t="str">
        <f>B164</f>
        <v>SVBC Blazers 18</v>
      </c>
      <c r="AU164" s="61">
        <f>AE164</f>
        <v>2654.8178449854754</v>
      </c>
      <c r="AW164" s="65"/>
      <c r="BB164" s="65"/>
    </row>
    <row r="165" spans="1:54" s="61" customFormat="1" hidden="1" x14ac:dyDescent="0.2">
      <c r="A165" s="66">
        <v>2</v>
      </c>
      <c r="B165" s="66" t="str">
        <f>E95</f>
        <v>Augusta Elite 17U</v>
      </c>
      <c r="C165" s="66">
        <f>VLOOKUP(B165,AU$3:BB$33,3,FALSE)</f>
        <v>2490.7546597563824</v>
      </c>
      <c r="D165" s="66">
        <f>IF(B158,B172,IF(D158,D172,C165))</f>
        <v>2488.7946137112781</v>
      </c>
      <c r="E165" s="66"/>
      <c r="F165" s="66"/>
      <c r="G165" s="66">
        <f>IF(E158,E172,IF(G158,G172,D165))</f>
        <v>2488.7946137112781</v>
      </c>
      <c r="H165" s="66"/>
      <c r="I165" s="66"/>
      <c r="J165" s="66">
        <f>IF(H158,H172,IF(J158,J172,G165))</f>
        <v>2488.7946137112781</v>
      </c>
      <c r="K165" s="66"/>
      <c r="L165" s="66"/>
      <c r="M165" s="66">
        <f>IF(K158,K172,IF(M158,M172,J165))</f>
        <v>2484.965763723766</v>
      </c>
      <c r="N165" s="66"/>
      <c r="O165" s="66"/>
      <c r="P165" s="66">
        <f>IF(N158,N172,IF(P158,P172,M165))</f>
        <v>2484.965763723766</v>
      </c>
      <c r="Q165" s="66"/>
      <c r="R165" s="66"/>
      <c r="S165" s="66">
        <f>IF(Q158,Q172,IF(S158,S172,P165))</f>
        <v>2484.965763723766</v>
      </c>
      <c r="T165" s="66"/>
      <c r="U165" s="66"/>
      <c r="V165" s="66">
        <f>IF(T158,T172,IF(V158,V172,S165))</f>
        <v>2512.976258475504</v>
      </c>
      <c r="W165" s="66"/>
      <c r="X165" s="66"/>
      <c r="Y165" s="66">
        <f>IF(W158,W172,IF(Y158,Y172,V165))</f>
        <v>2512.976258475504</v>
      </c>
      <c r="Z165" s="66"/>
      <c r="AA165" s="66"/>
      <c r="AB165" s="66">
        <f>IF(Z158,Z172,IF(AB158,AB172,Y165))</f>
        <v>2512.976258475504</v>
      </c>
      <c r="AC165" s="66"/>
      <c r="AD165" s="66"/>
      <c r="AE165" s="66">
        <f>IF(AC158,AC172,IF(AE158,AE172,AB165))</f>
        <v>2526.3946992970846</v>
      </c>
      <c r="AF165" s="4"/>
      <c r="AG165" s="4"/>
      <c r="AJ165" s="4"/>
      <c r="AL165" s="4"/>
      <c r="AM165" s="4"/>
      <c r="AN165" s="4"/>
      <c r="AO165" s="4"/>
      <c r="AT165" s="61" t="str">
        <f>B165</f>
        <v>Augusta Elite 17U</v>
      </c>
      <c r="AU165" s="61">
        <f>AE165</f>
        <v>2526.3946992970846</v>
      </c>
      <c r="AW165" s="65"/>
      <c r="BB165" s="65"/>
    </row>
    <row r="166" spans="1:54" s="61" customFormat="1" hidden="1" x14ac:dyDescent="0.2">
      <c r="A166" s="66">
        <v>3</v>
      </c>
      <c r="B166" s="66" t="str">
        <f>E97</f>
        <v>CSRA Heat 17 Gold</v>
      </c>
      <c r="C166" s="66">
        <f>VLOOKUP(B166,AU$3:BB$33,3,FALSE)</f>
        <v>2452.0796475240045</v>
      </c>
      <c r="D166" s="66">
        <f>IF(B159,B172,IF(D159,D172,C166))</f>
        <v>2452.0796475240045</v>
      </c>
      <c r="E166" s="66"/>
      <c r="F166" s="66"/>
      <c r="G166" s="66">
        <f>IF(E159,E172,IF(G159,G172,D166))</f>
        <v>2452.0796475240045</v>
      </c>
      <c r="H166" s="66"/>
      <c r="I166" s="66"/>
      <c r="J166" s="66">
        <f>IF(H159,H172,IF(J159,J172,G166))</f>
        <v>2421.8579379588377</v>
      </c>
      <c r="K166" s="66"/>
      <c r="L166" s="66"/>
      <c r="M166" s="66">
        <f>IF(K159,K172,IF(M159,M172,J166))</f>
        <v>2421.8579379588377</v>
      </c>
      <c r="N166" s="66"/>
      <c r="O166" s="66"/>
      <c r="P166" s="66">
        <f>IF(N159,N172,IF(P159,P172,M166))</f>
        <v>2441.4237251126297</v>
      </c>
      <c r="Q166" s="66"/>
      <c r="R166" s="66"/>
      <c r="S166" s="66">
        <f>IF(Q159,Q172,IF(S159,S172,P166))</f>
        <v>2441.4237251126297</v>
      </c>
      <c r="T166" s="66"/>
      <c r="U166" s="66"/>
      <c r="V166" s="66">
        <f>IF(T159,T172,IF(V159,V172,S166))</f>
        <v>2413.4132303608917</v>
      </c>
      <c r="W166" s="66"/>
      <c r="X166" s="66"/>
      <c r="Y166" s="66">
        <f>IF(W159,W172,IF(Y159,Y172,V166))</f>
        <v>2413.4132303608917</v>
      </c>
      <c r="Z166" s="66"/>
      <c r="AA166" s="66"/>
      <c r="AB166" s="66">
        <f>IF(Z159,Z172,IF(AB159,AB172,Y166))</f>
        <v>2410.9866305444343</v>
      </c>
      <c r="AC166" s="66"/>
      <c r="AD166" s="66"/>
      <c r="AE166" s="66">
        <f>IF(AC159,AC172,IF(AE159,AE172,AB166))</f>
        <v>2410.9866305444343</v>
      </c>
      <c r="AF166" s="4"/>
      <c r="AG166" s="4"/>
      <c r="AJ166" s="4"/>
      <c r="AL166" s="4"/>
      <c r="AM166" s="4"/>
      <c r="AN166" s="4"/>
      <c r="AO166" s="4"/>
      <c r="AT166" s="61" t="str">
        <f>B166</f>
        <v>CSRA Heat 17 Gold</v>
      </c>
      <c r="AU166" s="61">
        <f>AE166</f>
        <v>2410.9866305444343</v>
      </c>
      <c r="AW166" s="65"/>
      <c r="BB166" s="65"/>
    </row>
    <row r="167" spans="1:54" s="61" customFormat="1" hidden="1" x14ac:dyDescent="0.2">
      <c r="A167" s="66">
        <v>4</v>
      </c>
      <c r="B167" s="66" t="str">
        <f>E99</f>
        <v>KVC17-1</v>
      </c>
      <c r="C167" s="66">
        <f>VLOOKUP(B167,AU$3:BB$33,3,FALSE)</f>
        <v>2956.509459619655</v>
      </c>
      <c r="D167" s="66">
        <f>IF(B160,B172,IF(D160,D172,C167))</f>
        <v>2956.509459619655</v>
      </c>
      <c r="E167" s="66"/>
      <c r="F167" s="66"/>
      <c r="G167" s="66">
        <f>IF(E160,E172,IF(G160,G172,D167))</f>
        <v>2967.3225980026846</v>
      </c>
      <c r="H167" s="66"/>
      <c r="I167" s="66"/>
      <c r="J167" s="66">
        <f>IF(H160,H172,IF(J160,J172,G167))</f>
        <v>2967.3225980026846</v>
      </c>
      <c r="K167" s="66"/>
      <c r="L167" s="66"/>
      <c r="M167" s="66">
        <f>IF(K160,K172,IF(M160,M172,J167))</f>
        <v>2971.1514479901966</v>
      </c>
      <c r="N167" s="66"/>
      <c r="O167" s="66"/>
      <c r="P167" s="66">
        <f>IF(N160,N172,IF(P160,P172,M167))</f>
        <v>2971.1514479901966</v>
      </c>
      <c r="Q167" s="66"/>
      <c r="R167" s="66"/>
      <c r="S167" s="66">
        <f>IF(Q160,Q172,IF(S160,S172,P167))</f>
        <v>2975.1712208767754</v>
      </c>
      <c r="T167" s="66"/>
      <c r="U167" s="66"/>
      <c r="V167" s="66">
        <f>IF(T160,T172,IF(V160,V172,S167))</f>
        <v>2975.1712208767754</v>
      </c>
      <c r="W167" s="66"/>
      <c r="X167" s="66"/>
      <c r="Y167" s="66">
        <f>IF(W160,W172,IF(Y160,Y172,V167))</f>
        <v>2975.1712208767754</v>
      </c>
      <c r="Z167" s="66"/>
      <c r="AA167" s="66"/>
      <c r="AB167" s="66">
        <f>IF(Z160,Z172,IF(AB160,AB172,Y167))</f>
        <v>2977.5978206932327</v>
      </c>
      <c r="AC167" s="66"/>
      <c r="AD167" s="66"/>
      <c r="AE167" s="66">
        <f>IF(AC160,AC172,IF(AE160,AE172,AB167))</f>
        <v>2977.5978206932327</v>
      </c>
      <c r="AF167" s="4"/>
      <c r="AG167" s="4"/>
      <c r="AJ167" s="4"/>
      <c r="AL167" s="4"/>
      <c r="AM167" s="4"/>
      <c r="AN167" s="4"/>
      <c r="AO167" s="4"/>
      <c r="AT167" s="61" t="str">
        <f>B167</f>
        <v>KVC17-1</v>
      </c>
      <c r="AU167" s="61">
        <f>AE167</f>
        <v>2977.5978206932327</v>
      </c>
      <c r="AW167" s="65"/>
      <c r="BB167" s="65"/>
    </row>
    <row r="168" spans="1:54" s="61" customFormat="1" hidden="1" x14ac:dyDescent="0.2">
      <c r="A168" s="66">
        <v>5</v>
      </c>
      <c r="B168" s="66" t="str">
        <f>E101</f>
        <v>SMVC Royals 17</v>
      </c>
      <c r="C168" s="66">
        <f>VLOOKUP(B168,AU$3:BB$33,3,FALSE)</f>
        <v>2469.4470566494815</v>
      </c>
      <c r="D168" s="66">
        <f>IF(B161,B172,IF(D161,D172,C168))</f>
        <v>2471.4071026945858</v>
      </c>
      <c r="E168" s="66"/>
      <c r="F168" s="66"/>
      <c r="G168" s="66">
        <f>IF(E161,E172,IF(G161,G172,D168))</f>
        <v>2471.4071026945858</v>
      </c>
      <c r="H168" s="66"/>
      <c r="I168" s="66"/>
      <c r="J168" s="66">
        <f>IF(H161,H172,IF(J161,J172,G168))</f>
        <v>2501.6288122597525</v>
      </c>
      <c r="K168" s="66"/>
      <c r="L168" s="66"/>
      <c r="M168" s="66">
        <f>IF(K161,K172,IF(M161,M172,J168))</f>
        <v>2501.6288122597525</v>
      </c>
      <c r="N168" s="66"/>
      <c r="O168" s="66"/>
      <c r="P168" s="66">
        <f>IF(N161,N172,IF(P161,P172,M168))</f>
        <v>2501.6288122597525</v>
      </c>
      <c r="Q168" s="66"/>
      <c r="R168" s="66"/>
      <c r="S168" s="66">
        <f>IF(Q161,Q172,IF(S161,S172,P168))</f>
        <v>2497.6090393731738</v>
      </c>
      <c r="T168" s="66"/>
      <c r="U168" s="66"/>
      <c r="V168" s="66">
        <f>IF(T161,T172,IF(V161,V172,S168))</f>
        <v>2497.6090393731738</v>
      </c>
      <c r="W168" s="66"/>
      <c r="X168" s="66"/>
      <c r="Y168" s="66">
        <f>IF(W161,W172,IF(Y161,Y172,V168))</f>
        <v>2478.7622461322062</v>
      </c>
      <c r="Z168" s="66"/>
      <c r="AA168" s="66"/>
      <c r="AB168" s="66">
        <f>IF(Z161,Z172,IF(AB161,AB172,Y168))</f>
        <v>2478.7622461322062</v>
      </c>
      <c r="AC168" s="66"/>
      <c r="AD168" s="66"/>
      <c r="AE168" s="66">
        <f>IF(AC161,AC172,IF(AE161,AE172,AB168))</f>
        <v>2478.7622461322062</v>
      </c>
      <c r="AF168" s="4"/>
      <c r="AG168" s="4"/>
      <c r="AJ168" s="4"/>
      <c r="AL168" s="4"/>
      <c r="AM168" s="4"/>
      <c r="AN168" s="4"/>
      <c r="AO168" s="4"/>
      <c r="AT168" s="61" t="str">
        <f>B168</f>
        <v>SMVC Royals 17</v>
      </c>
      <c r="AU168" s="61">
        <f>AE168</f>
        <v>2478.7622461322062</v>
      </c>
      <c r="AW168" s="65"/>
      <c r="BB168" s="65"/>
    </row>
    <row r="169" spans="1:54" s="61" customFormat="1" hidden="1" x14ac:dyDescent="0.2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  <c r="AA169" s="66"/>
      <c r="AB169" s="66"/>
      <c r="AC169" s="66"/>
      <c r="AD169" s="66"/>
      <c r="AE169" s="66"/>
      <c r="AF169" s="4"/>
      <c r="AG169" s="4"/>
      <c r="AJ169" s="4"/>
      <c r="AL169" s="4"/>
      <c r="AM169" s="4"/>
      <c r="AN169" s="4"/>
      <c r="AO169" s="4"/>
      <c r="AW169" s="65"/>
      <c r="BB169" s="65"/>
    </row>
    <row r="170" spans="1:54" s="61" customFormat="1" hidden="1" x14ac:dyDescent="0.2">
      <c r="A170" s="66" t="s">
        <v>89</v>
      </c>
      <c r="B170" s="66">
        <f>VLOOKUP(B109,$A164:$AE168,3,FALSE)</f>
        <v>2490.7546597563824</v>
      </c>
      <c r="C170" s="66">
        <v>1</v>
      </c>
      <c r="D170" s="66">
        <f>VLOOKUP(D109,$A164:$AE168,3,FALSE)</f>
        <v>2469.4470566494815</v>
      </c>
      <c r="E170" s="66">
        <f>VLOOKUP(E109,$A164:$AE168,4,FALSE)</f>
        <v>2679.7684181029094</v>
      </c>
      <c r="F170" s="66">
        <v>2</v>
      </c>
      <c r="G170" s="66">
        <f>VLOOKUP(G109,$A164:$AE168,4,FALSE)</f>
        <v>2956.509459619655</v>
      </c>
      <c r="H170" s="66">
        <f>VLOOKUP(H109,$A164:$AE168,7,FALSE)</f>
        <v>2452.0796475240045</v>
      </c>
      <c r="I170" s="66">
        <v>3</v>
      </c>
      <c r="J170" s="66">
        <f>VLOOKUP(J109,$A164:$AE168,7,FALSE)</f>
        <v>2471.4071026945858</v>
      </c>
      <c r="K170" s="66">
        <f>VLOOKUP(K109,$A164:$AE168,10,FALSE)</f>
        <v>2488.7946137112781</v>
      </c>
      <c r="L170" s="66">
        <v>4</v>
      </c>
      <c r="M170" s="66">
        <f>VLOOKUP(M109,$A164:$AE168,10,FALSE)</f>
        <v>2967.3225980026846</v>
      </c>
      <c r="N170" s="66">
        <f>VLOOKUP(N109,$A164:$AE168,13,FALSE)</f>
        <v>2668.9552797198803</v>
      </c>
      <c r="O170" s="66">
        <v>5</v>
      </c>
      <c r="P170" s="66">
        <f>VLOOKUP(P109,$A164:$AE168,13,FALSE)</f>
        <v>2421.8579379588377</v>
      </c>
      <c r="Q170" s="66">
        <f>VLOOKUP(Q109,$A164:$AE168,16,FALSE)</f>
        <v>2971.1514479901966</v>
      </c>
      <c r="R170" s="66">
        <v>6</v>
      </c>
      <c r="S170" s="66">
        <f>VLOOKUP(S109,$A164:$AE168,16,FALSE)</f>
        <v>2501.6288122597525</v>
      </c>
      <c r="T170" s="66">
        <f>VLOOKUP(T109,$A164:$AE168,19,FALSE)</f>
        <v>2484.965763723766</v>
      </c>
      <c r="U170" s="66">
        <v>7</v>
      </c>
      <c r="V170" s="66">
        <f>VLOOKUP(V109,$A164:$AE168,19,FALSE)</f>
        <v>2441.4237251126297</v>
      </c>
      <c r="W170" s="66">
        <f>VLOOKUP(W109,$A164:$AE168,22,FALSE)</f>
        <v>2649.3894925660884</v>
      </c>
      <c r="X170" s="66">
        <v>8</v>
      </c>
      <c r="Y170" s="66">
        <f>VLOOKUP(Y109,$A164:$AE168,22,FALSE)</f>
        <v>2497.6090393731738</v>
      </c>
      <c r="Z170" s="66">
        <f>VLOOKUP(Z109,$A164:$AE168,25,FALSE)</f>
        <v>2413.4132303608917</v>
      </c>
      <c r="AA170" s="66">
        <v>9</v>
      </c>
      <c r="AB170" s="66">
        <f>VLOOKUP(AB109,$A164:$AE168,25,FALSE)</f>
        <v>2975.1712208767754</v>
      </c>
      <c r="AC170" s="66">
        <f>VLOOKUP(AC109,$A164:$AE168,28,FALSE)</f>
        <v>2668.236285807056</v>
      </c>
      <c r="AD170" s="66">
        <v>10</v>
      </c>
      <c r="AE170" s="66">
        <f>VLOOKUP(AE109,$A164:$AE168,28,FALSE)</f>
        <v>2512.976258475504</v>
      </c>
      <c r="AF170" s="4"/>
      <c r="AG170" s="59"/>
      <c r="AH170" s="59"/>
      <c r="AI170" s="59"/>
      <c r="AJ170" s="59"/>
      <c r="AK170" s="59"/>
      <c r="AL170" s="59"/>
      <c r="AM170" s="59"/>
      <c r="AN170" s="60"/>
      <c r="AO170" s="60"/>
      <c r="AP170" s="60"/>
      <c r="AQ170" s="60"/>
      <c r="AW170" s="65"/>
      <c r="BB170" s="65"/>
    </row>
    <row r="171" spans="1:54" s="71" customFormat="1" hidden="1" x14ac:dyDescent="0.2">
      <c r="A171" s="67" t="s">
        <v>90</v>
      </c>
      <c r="B171" s="67">
        <f>1/(1+(10^-((B170-D170)/400)))*(B121+D121)</f>
        <v>1.0612514389095087</v>
      </c>
      <c r="C171" s="67"/>
      <c r="D171" s="67">
        <f>1/(1+(10^-((D170-B170)/400)))*(B121+D121)</f>
        <v>0.93874856109049132</v>
      </c>
      <c r="E171" s="67">
        <f>1/(1+(10^-((E170-G170)/400)))*(E121+G121)</f>
        <v>0.33791057446966727</v>
      </c>
      <c r="F171" s="67"/>
      <c r="G171" s="67">
        <f>1/(1+(10^-((G170-E170)/400)))*(E121+G121)</f>
        <v>1.6620894255303327</v>
      </c>
      <c r="H171" s="67">
        <f>1/(1+(10^-((H170-J170)/400)))*(H121+J121)</f>
        <v>0.94442842391146464</v>
      </c>
      <c r="I171" s="67"/>
      <c r="J171" s="67">
        <f>1/(1+(10^-((J170-H170)/400)))*(H121+J121)</f>
        <v>1.0555715760885354</v>
      </c>
      <c r="K171" s="67">
        <f>1/(1+(10^-((K170-M170)/400)))*(K121+M121)</f>
        <v>0.11965156210974905</v>
      </c>
      <c r="L171" s="67"/>
      <c r="M171" s="67">
        <f>1/(1+(10^-((M170-K170)/400)))*(K121+M121)</f>
        <v>1.8803484378902509</v>
      </c>
      <c r="N171" s="67">
        <f>1/(1+(10^-((N170-P170)/400)))*(N121+P121)</f>
        <v>1.6114308485559983</v>
      </c>
      <c r="O171" s="67"/>
      <c r="P171" s="67">
        <f>1/(1+(10^-((P170-N170)/400)))*(N121+P121)</f>
        <v>0.38856915144400161</v>
      </c>
      <c r="Q171" s="67">
        <f>1/(1+(10^-((Q170-S170)/400)))*(Q121+S121)</f>
        <v>1.8743820972944125</v>
      </c>
      <c r="R171" s="67"/>
      <c r="S171" s="67">
        <f>1/(1+(10^-((S170-Q170)/400)))*(Q121+S121)</f>
        <v>0.12561790270558751</v>
      </c>
      <c r="T171" s="67">
        <f>1/(1+(10^-((T170-V170)/400)))*(T121+V121)</f>
        <v>1.1246720390081884</v>
      </c>
      <c r="U171" s="67"/>
      <c r="V171" s="67">
        <f>1/(1+(10^-((V170-T170)/400)))*(T121+V121)</f>
        <v>0.87532796099181154</v>
      </c>
      <c r="W171" s="67">
        <f>1/(1+(10^-((W170-Y170)/400)))*(W121+Y121)</f>
        <v>1.4110377112197576</v>
      </c>
      <c r="X171" s="67"/>
      <c r="Y171" s="67">
        <f>1/(1+(10^-((Y170-W170)/400)))*(W121+Y121)</f>
        <v>0.58896228878024237</v>
      </c>
      <c r="Z171" s="67">
        <f>1/(1+(10^-((Z170-AB170)/400)))*(Z121+AB121)</f>
        <v>7.5831244264288805E-2</v>
      </c>
      <c r="AA171" s="67"/>
      <c r="AB171" s="67">
        <f>1/(1+(10^-((AB170-Z170)/400)))*(Z121+AB121)</f>
        <v>1.9241687557357112</v>
      </c>
      <c r="AC171" s="67">
        <f>1/(1+(10^-((AC170-AE170)/400)))*(AC121+AE121)</f>
        <v>1.4193262756743887</v>
      </c>
      <c r="AD171" s="67"/>
      <c r="AE171" s="67">
        <f>1/(1+(10^-((AE170-AC170)/400)))*(AC121+AE121)</f>
        <v>0.58067372432561126</v>
      </c>
      <c r="AF171" s="68"/>
      <c r="AG171" s="69"/>
      <c r="AH171" s="69"/>
      <c r="AI171" s="69"/>
      <c r="AJ171" s="69"/>
      <c r="AK171" s="69"/>
      <c r="AL171" s="69"/>
      <c r="AM171" s="69"/>
      <c r="AN171" s="70"/>
      <c r="AO171" s="70"/>
      <c r="AP171" s="70"/>
      <c r="AQ171" s="70"/>
      <c r="AW171" s="72"/>
      <c r="BB171" s="72"/>
    </row>
    <row r="172" spans="1:54" s="77" customFormat="1" hidden="1" x14ac:dyDescent="0.2">
      <c r="A172" s="73" t="s">
        <v>91</v>
      </c>
      <c r="B172" s="73">
        <f>B170+(B121-B171)*$BA$1</f>
        <v>2488.7946137112781</v>
      </c>
      <c r="C172" s="73"/>
      <c r="D172" s="73">
        <f>D170+(D121-D171)*$BA$1</f>
        <v>2471.4071026945858</v>
      </c>
      <c r="E172" s="73">
        <f>E170+(E121-E171)*$BA$1</f>
        <v>2668.9552797198803</v>
      </c>
      <c r="F172" s="73"/>
      <c r="G172" s="73">
        <f>G170+(G121-G171)*$BA$1</f>
        <v>2967.3225980026846</v>
      </c>
      <c r="H172" s="73">
        <f>H170+(H121-H171)*$BA$1</f>
        <v>2421.8579379588377</v>
      </c>
      <c r="I172" s="73"/>
      <c r="J172" s="73">
        <f>J170+(J121-J171)*$BA$1</f>
        <v>2501.6288122597525</v>
      </c>
      <c r="K172" s="73">
        <f>K170+(K121-K171)*$BA$1</f>
        <v>2484.965763723766</v>
      </c>
      <c r="L172" s="73"/>
      <c r="M172" s="73">
        <f>M170+(M121-M171)*$BA$1</f>
        <v>2971.1514479901966</v>
      </c>
      <c r="N172" s="73">
        <f>N170+(N121-N171)*$BA$1</f>
        <v>2649.3894925660884</v>
      </c>
      <c r="O172" s="73"/>
      <c r="P172" s="73">
        <f>P170+(P121-P171)*$BA$1</f>
        <v>2441.4237251126297</v>
      </c>
      <c r="Q172" s="73">
        <f>Q170+(Q121-Q171)*$BA$1</f>
        <v>2975.1712208767754</v>
      </c>
      <c r="R172" s="73"/>
      <c r="S172" s="73">
        <f>S170+(S121-S171)*$BA$1</f>
        <v>2497.6090393731738</v>
      </c>
      <c r="T172" s="73">
        <f>T170+(T121-T171)*$BA$1</f>
        <v>2512.976258475504</v>
      </c>
      <c r="U172" s="73"/>
      <c r="V172" s="73">
        <f>V170+(V121-V171)*$BA$1</f>
        <v>2413.4132303608917</v>
      </c>
      <c r="W172" s="73">
        <f>W170+(W121-W171)*$BA$1</f>
        <v>2668.236285807056</v>
      </c>
      <c r="X172" s="73"/>
      <c r="Y172" s="73">
        <f>Y170+(Y121-Y171)*$BA$1</f>
        <v>2478.7622461322062</v>
      </c>
      <c r="Z172" s="73">
        <f>Z170+(Z121-Z171)*$BA$1</f>
        <v>2410.9866305444343</v>
      </c>
      <c r="AA172" s="73"/>
      <c r="AB172" s="73">
        <f>AB170+(AB121-AB171)*$BA$1</f>
        <v>2977.5978206932327</v>
      </c>
      <c r="AC172" s="73">
        <f>AC170+(AC121-AC171)*$BA$1</f>
        <v>2654.8178449854754</v>
      </c>
      <c r="AD172" s="73"/>
      <c r="AE172" s="73">
        <f>AE170+(AE121-AE171)*$BA$1</f>
        <v>2526.3946992970846</v>
      </c>
      <c r="AF172" s="74"/>
      <c r="AG172" s="75"/>
      <c r="AH172" s="75"/>
      <c r="AI172" s="75"/>
      <c r="AJ172" s="75"/>
      <c r="AK172" s="75"/>
      <c r="AL172" s="75"/>
      <c r="AM172" s="75"/>
      <c r="AN172" s="76"/>
      <c r="AO172" s="76"/>
      <c r="AP172" s="76"/>
      <c r="AQ172" s="76"/>
      <c r="AW172" s="78"/>
      <c r="BB172" s="78"/>
    </row>
    <row r="173" spans="1:54" s="77" customFormat="1" hidden="1" x14ac:dyDescent="0.2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  <c r="AA173" s="73"/>
      <c r="AB173" s="73"/>
      <c r="AC173" s="73"/>
      <c r="AD173" s="73"/>
      <c r="AE173" s="73"/>
      <c r="AF173" s="74"/>
      <c r="AG173" s="75"/>
      <c r="AH173" s="75"/>
      <c r="AI173" s="75"/>
      <c r="AJ173" s="75"/>
      <c r="AK173" s="75"/>
      <c r="AL173" s="75"/>
      <c r="AM173" s="75"/>
      <c r="AN173" s="76"/>
      <c r="AO173" s="76"/>
      <c r="AP173" s="76"/>
      <c r="AQ173" s="76"/>
      <c r="AW173" s="78"/>
      <c r="BB173" s="78"/>
    </row>
    <row r="174" spans="1:54" s="61" customFormat="1" x14ac:dyDescent="0.2">
      <c r="A174" s="790" t="str">
        <f>IF($AK95=1,"Pool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174" s="790"/>
      <c r="C174" s="790"/>
      <c r="D174" s="790"/>
      <c r="E174" s="790"/>
      <c r="F174" s="790"/>
      <c r="G174" s="790"/>
      <c r="H174" s="790"/>
      <c r="I174" s="790"/>
      <c r="J174" s="790"/>
      <c r="K174" s="790"/>
      <c r="L174" s="790"/>
      <c r="M174" s="790"/>
      <c r="N174" s="790"/>
      <c r="O174" s="790"/>
      <c r="P174" s="790"/>
      <c r="Q174" s="790"/>
      <c r="R174" s="790"/>
      <c r="S174" s="790"/>
      <c r="T174" s="790"/>
      <c r="U174" s="790"/>
      <c r="V174" s="790"/>
      <c r="W174" s="790"/>
      <c r="X174" s="790"/>
      <c r="Y174" s="790"/>
      <c r="Z174" s="790"/>
      <c r="AA174" s="790"/>
      <c r="AB174" s="790"/>
      <c r="AC174" s="790"/>
      <c r="AD174" s="790"/>
      <c r="AE174" s="790"/>
      <c r="AF174" s="790"/>
      <c r="AG174" s="790"/>
      <c r="AH174" s="790"/>
      <c r="AI174" s="790"/>
      <c r="AJ174" s="790"/>
      <c r="AK174" s="790"/>
      <c r="AL174" s="790"/>
      <c r="AM174" s="790"/>
      <c r="AN174" s="768"/>
      <c r="AO174" s="768"/>
      <c r="AP174" s="768"/>
      <c r="AQ174" s="768"/>
      <c r="AW174" s="65"/>
    </row>
    <row r="175" spans="1:54" s="61" customFormat="1" ht="13.5" thickBot="1" x14ac:dyDescent="0.25">
      <c r="A175" s="791"/>
      <c r="B175" s="791"/>
      <c r="C175" s="791"/>
      <c r="D175" s="791"/>
      <c r="E175" s="791"/>
      <c r="F175" s="791"/>
      <c r="G175" s="791"/>
      <c r="H175" s="791"/>
      <c r="I175" s="791"/>
      <c r="J175" s="791"/>
      <c r="K175" s="791"/>
      <c r="L175" s="791"/>
      <c r="M175" s="791"/>
      <c r="N175" s="791"/>
      <c r="O175" s="791"/>
      <c r="P175" s="791"/>
      <c r="Q175" s="791"/>
      <c r="R175" s="791"/>
      <c r="S175" s="791"/>
      <c r="T175" s="791"/>
      <c r="U175" s="791"/>
      <c r="V175" s="791"/>
      <c r="W175" s="791"/>
      <c r="X175" s="791"/>
      <c r="Y175" s="791"/>
      <c r="Z175" s="791"/>
      <c r="AA175" s="791"/>
      <c r="AB175" s="791"/>
      <c r="AC175" s="791"/>
      <c r="AD175" s="791"/>
      <c r="AE175" s="791"/>
      <c r="AF175" s="791"/>
      <c r="AG175" s="791"/>
      <c r="AH175" s="791"/>
      <c r="AI175" s="791"/>
      <c r="AJ175" s="791"/>
      <c r="AK175" s="791"/>
      <c r="AL175" s="791"/>
      <c r="AM175" s="791"/>
      <c r="AN175" s="791"/>
      <c r="AO175" s="791"/>
      <c r="AP175" s="791"/>
      <c r="AQ175" s="791"/>
      <c r="AW175" s="65"/>
    </row>
    <row r="176" spans="1:54" ht="24" customHeight="1" thickBot="1" x14ac:dyDescent="0.25">
      <c r="A176" s="22" t="s">
        <v>22</v>
      </c>
      <c r="B176" s="23" t="s">
        <v>142</v>
      </c>
      <c r="C176" s="862" t="s">
        <v>24</v>
      </c>
      <c r="D176" s="863"/>
      <c r="E176" s="863"/>
      <c r="F176" s="863"/>
      <c r="G176" s="863"/>
      <c r="H176" s="864"/>
      <c r="I176" s="865">
        <v>3</v>
      </c>
      <c r="J176" s="866"/>
      <c r="K176" s="867" t="str">
        <f>"Pool "&amp;B176&amp;" - Round 1 - Court "&amp;I176</f>
        <v>Pool C - Round 1 - Court 3</v>
      </c>
      <c r="L176" s="868"/>
      <c r="M176" s="868"/>
      <c r="N176" s="868"/>
      <c r="O176" s="868"/>
      <c r="P176" s="868"/>
      <c r="Q176" s="868"/>
      <c r="R176" s="868"/>
      <c r="S176" s="868"/>
      <c r="T176" s="868"/>
      <c r="U176" s="868"/>
      <c r="V176" s="868"/>
      <c r="W176" s="868"/>
      <c r="X176" s="868"/>
      <c r="Y176" s="868"/>
      <c r="Z176" s="868"/>
      <c r="AA176" s="868"/>
      <c r="AB176" s="868"/>
      <c r="AC176" s="868"/>
      <c r="AD176" s="868"/>
      <c r="AE176" s="868"/>
      <c r="AF176" s="868"/>
      <c r="AG176" s="868"/>
      <c r="AH176" s="868"/>
      <c r="AI176" s="869"/>
      <c r="AJ176" s="11"/>
      <c r="AK176" s="11"/>
      <c r="AL176" s="11"/>
      <c r="AM176" s="11"/>
      <c r="AN176" s="11"/>
      <c r="AO176" s="11"/>
      <c r="AP176" s="11"/>
      <c r="AQ176" s="11"/>
    </row>
    <row r="177" spans="1:44" ht="27" customHeight="1" thickBot="1" x14ac:dyDescent="0.25">
      <c r="A177" s="24" t="s">
        <v>25</v>
      </c>
      <c r="B177" s="870" t="s">
        <v>7</v>
      </c>
      <c r="C177" s="871"/>
      <c r="D177" s="871"/>
      <c r="E177" s="871"/>
      <c r="F177" s="871"/>
      <c r="G177" s="871"/>
      <c r="H177" s="871"/>
      <c r="I177" s="871"/>
      <c r="J177" s="871"/>
      <c r="K177" s="871"/>
      <c r="L177" s="870" t="str">
        <f>IF($AK180=0,"Games Won","Matches Won")</f>
        <v>Games Won</v>
      </c>
      <c r="M177" s="871"/>
      <c r="N177" s="871"/>
      <c r="O177" s="871"/>
      <c r="P177" s="871"/>
      <c r="Q177" s="872"/>
      <c r="R177" s="870" t="str">
        <f>IF($AK180=0,"Games Lost","Matches Lost")</f>
        <v>Games Lost</v>
      </c>
      <c r="S177" s="873"/>
      <c r="T177" s="873"/>
      <c r="U177" s="873"/>
      <c r="V177" s="874"/>
      <c r="W177" s="875" t="s">
        <v>26</v>
      </c>
      <c r="X177" s="876"/>
      <c r="Y177" s="877"/>
      <c r="Z177" s="875" t="s">
        <v>27</v>
      </c>
      <c r="AA177" s="876"/>
      <c r="AB177" s="877"/>
      <c r="AC177" s="878" t="s">
        <v>28</v>
      </c>
      <c r="AD177" s="879"/>
      <c r="AE177" s="880"/>
      <c r="AF177" s="25" t="s">
        <v>29</v>
      </c>
      <c r="AG177" s="26" t="s">
        <v>6</v>
      </c>
      <c r="AH177" s="860" t="s">
        <v>30</v>
      </c>
      <c r="AI177" s="861"/>
      <c r="AJ177" s="27"/>
      <c r="AK177" s="28">
        <v>2</v>
      </c>
      <c r="AL177" s="29" t="s">
        <v>31</v>
      </c>
      <c r="AM177" s="29"/>
      <c r="AN177" s="29"/>
      <c r="AO177" s="29"/>
      <c r="AP177" s="29"/>
      <c r="AQ177" s="29"/>
      <c r="AR177" s="30"/>
    </row>
    <row r="178" spans="1:44" ht="18.75" customHeight="1" x14ac:dyDescent="0.2">
      <c r="A178" s="829" t="str">
        <f>IF($AK179&gt;0,"1","")</f>
        <v>1</v>
      </c>
      <c r="B178" s="857" t="s">
        <v>7</v>
      </c>
      <c r="C178" s="858"/>
      <c r="D178" s="859"/>
      <c r="E178" s="833" t="str">
        <f>AU5</f>
        <v>Branchville Juniors 18U</v>
      </c>
      <c r="F178" s="834"/>
      <c r="G178" s="834"/>
      <c r="H178" s="834"/>
      <c r="I178" s="834"/>
      <c r="J178" s="834"/>
      <c r="K178" s="835"/>
      <c r="L178" s="836">
        <f>IF($AK180=0,AF234,AF216)</f>
        <v>3</v>
      </c>
      <c r="M178" s="837"/>
      <c r="N178" s="837"/>
      <c r="O178" s="837"/>
      <c r="P178" s="837"/>
      <c r="Q178" s="872"/>
      <c r="R178" s="836">
        <f>IF($AK180=0,AG234,AG216)</f>
        <v>5</v>
      </c>
      <c r="S178" s="837"/>
      <c r="T178" s="837"/>
      <c r="U178" s="837"/>
      <c r="V178" s="837"/>
      <c r="W178" s="836">
        <f>AQ194</f>
        <v>7</v>
      </c>
      <c r="X178" s="837"/>
      <c r="Y178" s="837"/>
      <c r="Z178" s="809">
        <f>IF(AF228&gt;0,(AQ194/AF228),0)</f>
        <v>3.4482758620689655E-2</v>
      </c>
      <c r="AA178" s="810"/>
      <c r="AB178" s="810"/>
      <c r="AC178" s="813">
        <f>IF(AF242=0,0,(AF234/AF242))</f>
        <v>0.375</v>
      </c>
      <c r="AD178" s="814"/>
      <c r="AE178" s="815"/>
      <c r="AF178" s="819">
        <v>4</v>
      </c>
      <c r="AG178" s="819">
        <v>1</v>
      </c>
      <c r="AH178" s="821">
        <v>10</v>
      </c>
      <c r="AI178" s="822"/>
      <c r="AJ178" s="27"/>
      <c r="AK178" s="28">
        <v>10</v>
      </c>
      <c r="AL178" s="29" t="s">
        <v>32</v>
      </c>
      <c r="AM178" s="29"/>
      <c r="AN178" s="29"/>
      <c r="AO178" s="29"/>
      <c r="AP178" s="29"/>
      <c r="AQ178" s="29"/>
      <c r="AR178" s="30"/>
    </row>
    <row r="179" spans="1:44" ht="18.75" customHeight="1" thickBot="1" x14ac:dyDescent="0.25">
      <c r="A179" s="830"/>
      <c r="B179" s="854" t="s">
        <v>8</v>
      </c>
      <c r="C179" s="855"/>
      <c r="D179" s="856"/>
      <c r="E179" s="850" t="str">
        <f>AV5</f>
        <v>fj8branc3pm</v>
      </c>
      <c r="F179" s="851"/>
      <c r="G179" s="851"/>
      <c r="H179" s="851"/>
      <c r="I179" s="851"/>
      <c r="J179" s="851"/>
      <c r="K179" s="851"/>
      <c r="L179" s="852"/>
      <c r="M179" s="853"/>
      <c r="N179" s="853"/>
      <c r="O179" s="853"/>
      <c r="P179" s="853"/>
      <c r="Q179" s="872"/>
      <c r="R179" s="852"/>
      <c r="S179" s="853"/>
      <c r="T179" s="853"/>
      <c r="U179" s="853"/>
      <c r="V179" s="853"/>
      <c r="W179" s="852"/>
      <c r="X179" s="853"/>
      <c r="Y179" s="853"/>
      <c r="Z179" s="840"/>
      <c r="AA179" s="841"/>
      <c r="AB179" s="841"/>
      <c r="AC179" s="842"/>
      <c r="AD179" s="843"/>
      <c r="AE179" s="844"/>
      <c r="AF179" s="845"/>
      <c r="AG179" s="845"/>
      <c r="AH179" s="846"/>
      <c r="AI179" s="847"/>
      <c r="AJ179" s="27"/>
      <c r="AK179" s="28">
        <v>5</v>
      </c>
      <c r="AL179" s="29" t="s">
        <v>33</v>
      </c>
      <c r="AM179" s="27"/>
      <c r="AN179" s="27"/>
      <c r="AO179" s="27"/>
      <c r="AP179" s="27"/>
      <c r="AQ179" s="27"/>
      <c r="AR179" s="3"/>
    </row>
    <row r="180" spans="1:44" ht="18.75" customHeight="1" x14ac:dyDescent="0.2">
      <c r="A180" s="829" t="str">
        <f>IF($AK179&gt;1,"2","")</f>
        <v>2</v>
      </c>
      <c r="B180" s="857" t="s">
        <v>7</v>
      </c>
      <c r="C180" s="858"/>
      <c r="D180" s="859"/>
      <c r="E180" s="833" t="str">
        <f>AU6</f>
        <v>Sumter VBC 18</v>
      </c>
      <c r="F180" s="834"/>
      <c r="G180" s="834"/>
      <c r="H180" s="834"/>
      <c r="I180" s="834"/>
      <c r="J180" s="834"/>
      <c r="K180" s="835"/>
      <c r="L180" s="836">
        <f>IF($AK180=0,AF235,AF217)</f>
        <v>1</v>
      </c>
      <c r="M180" s="837"/>
      <c r="N180" s="837"/>
      <c r="O180" s="837"/>
      <c r="P180" s="837"/>
      <c r="Q180" s="872"/>
      <c r="R180" s="836">
        <f>IF($AK180=0,AG235,AG217)</f>
        <v>7</v>
      </c>
      <c r="S180" s="837"/>
      <c r="T180" s="837"/>
      <c r="U180" s="837"/>
      <c r="V180" s="837"/>
      <c r="W180" s="836">
        <f>AQ195</f>
        <v>-47</v>
      </c>
      <c r="X180" s="837"/>
      <c r="Y180" s="837"/>
      <c r="Z180" s="809">
        <f>IF(AF229&gt;0,(AQ195/AF229),0)</f>
        <v>-0.23267326732673269</v>
      </c>
      <c r="AA180" s="810"/>
      <c r="AB180" s="810"/>
      <c r="AC180" s="813">
        <f>IF(AF243=0,0,(AF235/AF243))</f>
        <v>0.125</v>
      </c>
      <c r="AD180" s="814"/>
      <c r="AE180" s="815"/>
      <c r="AF180" s="819">
        <v>5</v>
      </c>
      <c r="AG180" s="819">
        <v>1</v>
      </c>
      <c r="AH180" s="821">
        <v>13</v>
      </c>
      <c r="AI180" s="822"/>
      <c r="AJ180" s="27"/>
      <c r="AK180" s="28">
        <v>0</v>
      </c>
      <c r="AL180" s="29" t="s">
        <v>34</v>
      </c>
      <c r="AM180" s="29"/>
      <c r="AN180" s="29"/>
      <c r="AO180" s="29"/>
      <c r="AP180" s="29"/>
      <c r="AQ180" s="29"/>
      <c r="AR180" s="30"/>
    </row>
    <row r="181" spans="1:44" ht="18.75" customHeight="1" thickBot="1" x14ac:dyDescent="0.25">
      <c r="A181" s="830"/>
      <c r="B181" s="848" t="s">
        <v>8</v>
      </c>
      <c r="C181" s="849"/>
      <c r="D181" s="849"/>
      <c r="E181" s="850" t="str">
        <f>AV6</f>
        <v>fj8sumtr1pm</v>
      </c>
      <c r="F181" s="851"/>
      <c r="G181" s="851"/>
      <c r="H181" s="851"/>
      <c r="I181" s="851"/>
      <c r="J181" s="851"/>
      <c r="K181" s="851"/>
      <c r="L181" s="852"/>
      <c r="M181" s="853"/>
      <c r="N181" s="853"/>
      <c r="O181" s="853"/>
      <c r="P181" s="853"/>
      <c r="Q181" s="872"/>
      <c r="R181" s="852"/>
      <c r="S181" s="853"/>
      <c r="T181" s="853"/>
      <c r="U181" s="853"/>
      <c r="V181" s="853"/>
      <c r="W181" s="852"/>
      <c r="X181" s="853"/>
      <c r="Y181" s="853"/>
      <c r="Z181" s="840"/>
      <c r="AA181" s="841"/>
      <c r="AB181" s="841"/>
      <c r="AC181" s="842"/>
      <c r="AD181" s="843"/>
      <c r="AE181" s="844"/>
      <c r="AF181" s="845"/>
      <c r="AG181" s="845"/>
      <c r="AH181" s="846"/>
      <c r="AI181" s="847"/>
      <c r="AJ181" s="27"/>
      <c r="AK181" s="28">
        <v>1</v>
      </c>
      <c r="AL181" s="29" t="s">
        <v>35</v>
      </c>
      <c r="AM181" s="27"/>
      <c r="AN181" s="27"/>
      <c r="AO181" s="27"/>
      <c r="AP181" s="27"/>
      <c r="AQ181" s="27"/>
      <c r="AR181" s="3"/>
    </row>
    <row r="182" spans="1:44" ht="18.75" customHeight="1" x14ac:dyDescent="0.2">
      <c r="A182" s="829" t="str">
        <f>IF($AK179&gt;2,"3","")</f>
        <v>3</v>
      </c>
      <c r="B182" s="831" t="s">
        <v>7</v>
      </c>
      <c r="C182" s="832"/>
      <c r="D182" s="832"/>
      <c r="E182" s="833" t="str">
        <f>AU11</f>
        <v>Kershaw 17 White</v>
      </c>
      <c r="F182" s="834"/>
      <c r="G182" s="834"/>
      <c r="H182" s="834"/>
      <c r="I182" s="834"/>
      <c r="J182" s="834"/>
      <c r="K182" s="835"/>
      <c r="L182" s="836">
        <f>IF($AK180=0,AF236,AF218)</f>
        <v>4</v>
      </c>
      <c r="M182" s="837"/>
      <c r="N182" s="837"/>
      <c r="O182" s="837"/>
      <c r="P182" s="837"/>
      <c r="Q182" s="872"/>
      <c r="R182" s="836">
        <f>IF($AK180=0,AG236,AG218)</f>
        <v>4</v>
      </c>
      <c r="S182" s="837"/>
      <c r="T182" s="837"/>
      <c r="U182" s="837"/>
      <c r="V182" s="837"/>
      <c r="W182" s="836">
        <f>AQ196</f>
        <v>2</v>
      </c>
      <c r="X182" s="837"/>
      <c r="Y182" s="837"/>
      <c r="Z182" s="809">
        <f>IF(AF230&gt;0,(AQ196/AF230),0)</f>
        <v>9.9009900990099011E-3</v>
      </c>
      <c r="AA182" s="810"/>
      <c r="AB182" s="810"/>
      <c r="AC182" s="813">
        <f>IF(AF244=0,0,(AF236/AF244))</f>
        <v>0.5</v>
      </c>
      <c r="AD182" s="814"/>
      <c r="AE182" s="815"/>
      <c r="AF182" s="819">
        <v>3</v>
      </c>
      <c r="AG182" s="819">
        <v>1</v>
      </c>
      <c r="AH182" s="821">
        <v>7</v>
      </c>
      <c r="AI182" s="822"/>
      <c r="AJ182" s="36"/>
      <c r="AK182" s="28">
        <v>8</v>
      </c>
      <c r="AL182" s="37" t="s">
        <v>36</v>
      </c>
      <c r="AM182" s="29"/>
      <c r="AN182" s="29"/>
      <c r="AO182" s="29"/>
      <c r="AP182" s="29"/>
      <c r="AQ182" s="29"/>
      <c r="AR182" s="30"/>
    </row>
    <row r="183" spans="1:44" ht="18.75" customHeight="1" thickBot="1" x14ac:dyDescent="0.25">
      <c r="A183" s="830"/>
      <c r="B183" s="848" t="s">
        <v>8</v>
      </c>
      <c r="C183" s="849"/>
      <c r="D183" s="849"/>
      <c r="E183" s="850" t="str">
        <f>AV11</f>
        <v>fj7kersh2pm</v>
      </c>
      <c r="F183" s="851"/>
      <c r="G183" s="851"/>
      <c r="H183" s="851"/>
      <c r="I183" s="851"/>
      <c r="J183" s="851"/>
      <c r="K183" s="851"/>
      <c r="L183" s="852"/>
      <c r="M183" s="853"/>
      <c r="N183" s="853"/>
      <c r="O183" s="853"/>
      <c r="P183" s="853"/>
      <c r="Q183" s="872"/>
      <c r="R183" s="852"/>
      <c r="S183" s="853"/>
      <c r="T183" s="853"/>
      <c r="U183" s="853"/>
      <c r="V183" s="853"/>
      <c r="W183" s="852"/>
      <c r="X183" s="853"/>
      <c r="Y183" s="853"/>
      <c r="Z183" s="840"/>
      <c r="AA183" s="841"/>
      <c r="AB183" s="841"/>
      <c r="AC183" s="842"/>
      <c r="AD183" s="843"/>
      <c r="AE183" s="844"/>
      <c r="AF183" s="845"/>
      <c r="AG183" s="845"/>
      <c r="AH183" s="846"/>
      <c r="AI183" s="847"/>
      <c r="AJ183" s="36"/>
      <c r="AK183" s="38"/>
      <c r="AL183" s="39"/>
      <c r="AM183" s="39"/>
      <c r="AN183" s="39"/>
      <c r="AO183" s="39"/>
      <c r="AP183" s="39"/>
      <c r="AQ183" s="27"/>
      <c r="AR183" s="3"/>
    </row>
    <row r="184" spans="1:44" ht="18.75" customHeight="1" x14ac:dyDescent="0.2">
      <c r="A184" s="829" t="str">
        <f>IF($AK179&gt;3,"4","")</f>
        <v>4</v>
      </c>
      <c r="B184" s="831" t="s">
        <v>7</v>
      </c>
      <c r="C184" s="832"/>
      <c r="D184" s="832"/>
      <c r="E184" s="833" t="str">
        <f>AU12</f>
        <v>Vision 17 Regional</v>
      </c>
      <c r="F184" s="834"/>
      <c r="G184" s="834"/>
      <c r="H184" s="834"/>
      <c r="I184" s="834"/>
      <c r="J184" s="834"/>
      <c r="K184" s="835"/>
      <c r="L184" s="836">
        <f>IF($AK180=0,AF237,AF219)</f>
        <v>7</v>
      </c>
      <c r="M184" s="837"/>
      <c r="N184" s="837"/>
      <c r="O184" s="837"/>
      <c r="P184" s="837"/>
      <c r="Q184" s="872"/>
      <c r="R184" s="836">
        <f>IF($AK180=0,AG237,AG219)</f>
        <v>1</v>
      </c>
      <c r="S184" s="837"/>
      <c r="T184" s="837"/>
      <c r="U184" s="837"/>
      <c r="V184" s="837"/>
      <c r="W184" s="836">
        <f>AQ197</f>
        <v>17</v>
      </c>
      <c r="X184" s="837"/>
      <c r="Y184" s="837"/>
      <c r="Z184" s="809">
        <f>IF(AF231&gt;0,(AQ197/AF231),0)</f>
        <v>8.4158415841584164E-2</v>
      </c>
      <c r="AA184" s="810"/>
      <c r="AB184" s="810"/>
      <c r="AC184" s="813">
        <f>IF(AF245=0,0,(AF237/AF245))</f>
        <v>0.875</v>
      </c>
      <c r="AD184" s="814"/>
      <c r="AE184" s="815"/>
      <c r="AF184" s="819">
        <v>1</v>
      </c>
      <c r="AG184" s="819">
        <v>1</v>
      </c>
      <c r="AH184" s="821">
        <v>3</v>
      </c>
      <c r="AI184" s="822"/>
      <c r="AJ184" s="11"/>
      <c r="AK184" s="39"/>
      <c r="AL184" s="39"/>
      <c r="AM184" s="39"/>
      <c r="AN184" s="39"/>
      <c r="AO184" s="39"/>
      <c r="AP184" s="39"/>
      <c r="AQ184" s="29"/>
      <c r="AR184" s="30"/>
    </row>
    <row r="185" spans="1:44" ht="18.75" customHeight="1" thickBot="1" x14ac:dyDescent="0.25">
      <c r="A185" s="830"/>
      <c r="B185" s="848" t="s">
        <v>8</v>
      </c>
      <c r="C185" s="849"/>
      <c r="D185" s="849"/>
      <c r="E185" s="850" t="str">
        <f>AV12</f>
        <v>fj7vison1pm</v>
      </c>
      <c r="F185" s="851"/>
      <c r="G185" s="851"/>
      <c r="H185" s="851"/>
      <c r="I185" s="851"/>
      <c r="J185" s="851"/>
      <c r="K185" s="851"/>
      <c r="L185" s="852"/>
      <c r="M185" s="853"/>
      <c r="N185" s="853"/>
      <c r="O185" s="853"/>
      <c r="P185" s="853"/>
      <c r="Q185" s="872"/>
      <c r="R185" s="852"/>
      <c r="S185" s="853"/>
      <c r="T185" s="853"/>
      <c r="U185" s="853"/>
      <c r="V185" s="853"/>
      <c r="W185" s="852"/>
      <c r="X185" s="853"/>
      <c r="Y185" s="853"/>
      <c r="Z185" s="840"/>
      <c r="AA185" s="841"/>
      <c r="AB185" s="841"/>
      <c r="AC185" s="842"/>
      <c r="AD185" s="843"/>
      <c r="AE185" s="844"/>
      <c r="AF185" s="845"/>
      <c r="AG185" s="845"/>
      <c r="AH185" s="846"/>
      <c r="AI185" s="847"/>
      <c r="AJ185" s="11"/>
      <c r="AK185" s="39"/>
      <c r="AL185" s="39"/>
      <c r="AM185" s="39"/>
      <c r="AN185" s="39"/>
      <c r="AO185" s="39"/>
      <c r="AP185" s="39"/>
      <c r="AQ185" s="11"/>
      <c r="AR185" s="3"/>
    </row>
    <row r="186" spans="1:44" ht="18.75" customHeight="1" x14ac:dyDescent="0.2">
      <c r="A186" s="829" t="str">
        <f>IF($AK179&gt;4,"5","")</f>
        <v>5</v>
      </c>
      <c r="B186" s="831" t="s">
        <v>7</v>
      </c>
      <c r="C186" s="832"/>
      <c r="D186" s="832"/>
      <c r="E186" s="833" t="str">
        <f>AU17</f>
        <v>MEVC17Power</v>
      </c>
      <c r="F186" s="834"/>
      <c r="G186" s="834"/>
      <c r="H186" s="834"/>
      <c r="I186" s="834"/>
      <c r="J186" s="834"/>
      <c r="K186" s="835"/>
      <c r="L186" s="836">
        <f>IF($AK180=0,AF238,AF220)</f>
        <v>5</v>
      </c>
      <c r="M186" s="837"/>
      <c r="N186" s="837"/>
      <c r="O186" s="837"/>
      <c r="P186" s="837"/>
      <c r="Q186" s="872"/>
      <c r="R186" s="836">
        <f>IF($AK180=0,AG238,AG220)</f>
        <v>3</v>
      </c>
      <c r="S186" s="837"/>
      <c r="T186" s="837"/>
      <c r="U186" s="837"/>
      <c r="V186" s="837"/>
      <c r="W186" s="836">
        <f>AQ198</f>
        <v>21</v>
      </c>
      <c r="X186" s="837"/>
      <c r="Y186" s="837"/>
      <c r="Z186" s="809">
        <f>IF(AF232&gt;0,(AQ198/AF232),0)</f>
        <v>0.1044776119402985</v>
      </c>
      <c r="AA186" s="810"/>
      <c r="AB186" s="810"/>
      <c r="AC186" s="813">
        <f>IF(AF246=0,0,(AF238/AF246))</f>
        <v>0.625</v>
      </c>
      <c r="AD186" s="814"/>
      <c r="AE186" s="815"/>
      <c r="AF186" s="819">
        <v>2</v>
      </c>
      <c r="AG186" s="819">
        <v>1</v>
      </c>
      <c r="AH186" s="821">
        <v>5</v>
      </c>
      <c r="AI186" s="822"/>
      <c r="AJ186" s="11"/>
      <c r="AK186" s="39"/>
      <c r="AL186" s="39"/>
      <c r="AM186" s="39"/>
      <c r="AN186" s="39"/>
      <c r="AO186" s="39"/>
      <c r="AP186" s="39"/>
      <c r="AQ186" s="11"/>
      <c r="AR186" s="3"/>
    </row>
    <row r="187" spans="1:44" ht="18.75" customHeight="1" thickBot="1" x14ac:dyDescent="0.25">
      <c r="A187" s="830"/>
      <c r="B187" s="825" t="s">
        <v>8</v>
      </c>
      <c r="C187" s="826"/>
      <c r="D187" s="826"/>
      <c r="E187" s="827" t="str">
        <f>AV17</f>
        <v>fj7mtnel1pm</v>
      </c>
      <c r="F187" s="828"/>
      <c r="G187" s="828"/>
      <c r="H187" s="828"/>
      <c r="I187" s="828"/>
      <c r="J187" s="828"/>
      <c r="K187" s="828"/>
      <c r="L187" s="838"/>
      <c r="M187" s="839"/>
      <c r="N187" s="839"/>
      <c r="O187" s="839"/>
      <c r="P187" s="839"/>
      <c r="Q187" s="872"/>
      <c r="R187" s="838"/>
      <c r="S187" s="839"/>
      <c r="T187" s="839"/>
      <c r="U187" s="839"/>
      <c r="V187" s="839"/>
      <c r="W187" s="838"/>
      <c r="X187" s="839"/>
      <c r="Y187" s="839"/>
      <c r="Z187" s="811"/>
      <c r="AA187" s="812"/>
      <c r="AB187" s="812"/>
      <c r="AC187" s="816"/>
      <c r="AD187" s="817"/>
      <c r="AE187" s="818"/>
      <c r="AF187" s="820"/>
      <c r="AG187" s="820"/>
      <c r="AH187" s="823"/>
      <c r="AI187" s="824"/>
      <c r="AJ187" s="11"/>
      <c r="AK187" s="39"/>
      <c r="AL187" s="39"/>
      <c r="AM187" s="39"/>
      <c r="AN187" s="39"/>
      <c r="AO187" s="39"/>
      <c r="AP187" s="39"/>
      <c r="AQ187" s="11"/>
      <c r="AR187" s="3"/>
    </row>
    <row r="188" spans="1:44" ht="21" customHeight="1" thickTop="1" thickBot="1" x14ac:dyDescent="0.25">
      <c r="A188" s="40"/>
      <c r="B188" s="806" t="s">
        <v>168</v>
      </c>
      <c r="C188" s="807"/>
      <c r="D188" s="807"/>
      <c r="E188" s="807"/>
      <c r="F188" s="807"/>
      <c r="G188" s="807"/>
      <c r="H188" s="807"/>
      <c r="I188" s="807"/>
      <c r="J188" s="807"/>
      <c r="K188" s="807"/>
      <c r="L188" s="807"/>
      <c r="M188" s="807"/>
      <c r="N188" s="807"/>
      <c r="O188" s="807"/>
      <c r="P188" s="807"/>
      <c r="Q188" s="807"/>
      <c r="R188" s="807"/>
      <c r="S188" s="807"/>
      <c r="T188" s="807"/>
      <c r="U188" s="807"/>
      <c r="V188" s="807"/>
      <c r="W188" s="807"/>
      <c r="X188" s="807"/>
      <c r="Y188" s="807"/>
      <c r="Z188" s="807"/>
      <c r="AA188" s="807"/>
      <c r="AB188" s="807"/>
      <c r="AC188" s="807"/>
      <c r="AD188" s="807"/>
      <c r="AE188" s="807"/>
      <c r="AF188" s="807"/>
      <c r="AG188" s="807"/>
      <c r="AH188" s="807"/>
      <c r="AI188" s="808"/>
      <c r="AJ188" s="11"/>
      <c r="AK188" s="39"/>
      <c r="AL188" s="39"/>
      <c r="AM188" s="39"/>
      <c r="AN188" s="39"/>
      <c r="AO188" s="39"/>
      <c r="AP188" s="39"/>
      <c r="AQ188" s="11"/>
      <c r="AR188" s="3"/>
    </row>
    <row r="189" spans="1:44" ht="13.5" thickTop="1" x14ac:dyDescent="0.2">
      <c r="A189" s="4" t="s">
        <v>39</v>
      </c>
      <c r="B189" s="795">
        <v>0.35416666666666669</v>
      </c>
      <c r="C189" s="796"/>
      <c r="D189" s="797"/>
      <c r="E189" s="795">
        <v>0.38194444444444442</v>
      </c>
      <c r="F189" s="796"/>
      <c r="G189" s="797"/>
      <c r="H189" s="795">
        <v>0.40972222222222227</v>
      </c>
      <c r="I189" s="796"/>
      <c r="J189" s="797"/>
      <c r="K189" s="795">
        <v>0.4375</v>
      </c>
      <c r="L189" s="796"/>
      <c r="M189" s="797"/>
      <c r="N189" s="795">
        <v>0.46527777777777773</v>
      </c>
      <c r="O189" s="796"/>
      <c r="P189" s="797"/>
      <c r="Q189" s="795">
        <v>0.49305555555555558</v>
      </c>
      <c r="R189" s="796"/>
      <c r="S189" s="797"/>
      <c r="T189" s="795">
        <v>0.52083333333333337</v>
      </c>
      <c r="U189" s="796"/>
      <c r="V189" s="797"/>
      <c r="W189" s="795">
        <v>4.8611111111111112E-2</v>
      </c>
      <c r="X189" s="796"/>
      <c r="Y189" s="797"/>
      <c r="Z189" s="795">
        <v>7.6388888888888895E-2</v>
      </c>
      <c r="AA189" s="796"/>
      <c r="AB189" s="797"/>
      <c r="AC189" s="795">
        <v>0.10416666666666667</v>
      </c>
      <c r="AD189" s="796"/>
      <c r="AE189" s="797"/>
      <c r="AF189" s="798" t="s">
        <v>40</v>
      </c>
      <c r="AG189" s="799"/>
      <c r="AH189" s="799"/>
      <c r="AI189" s="799"/>
      <c r="AJ189" s="800"/>
      <c r="AK189" s="800"/>
      <c r="AL189" s="800"/>
      <c r="AM189" s="800"/>
      <c r="AN189" s="800"/>
      <c r="AO189" s="800"/>
      <c r="AP189" s="800"/>
      <c r="AQ189" s="801"/>
    </row>
    <row r="190" spans="1:44" x14ac:dyDescent="0.2">
      <c r="A190" s="41" t="s">
        <v>41</v>
      </c>
      <c r="B190" s="792">
        <v>0.35416666666666669</v>
      </c>
      <c r="C190" s="793"/>
      <c r="D190" s="794"/>
      <c r="E190" s="792">
        <v>0.3979166666666667</v>
      </c>
      <c r="F190" s="793"/>
      <c r="G190" s="794"/>
      <c r="H190" s="792">
        <v>0.4236111111111111</v>
      </c>
      <c r="I190" s="793"/>
      <c r="J190" s="794"/>
      <c r="K190" s="792">
        <v>0.45069444444444445</v>
      </c>
      <c r="L190" s="793"/>
      <c r="M190" s="794"/>
      <c r="N190" s="792">
        <v>0.48680555555555555</v>
      </c>
      <c r="O190" s="793"/>
      <c r="P190" s="794"/>
      <c r="Q190" s="792"/>
      <c r="R190" s="793"/>
      <c r="S190" s="794"/>
      <c r="T190" s="792"/>
      <c r="U190" s="793"/>
      <c r="V190" s="794"/>
      <c r="W190" s="792"/>
      <c r="X190" s="793"/>
      <c r="Y190" s="794"/>
      <c r="Z190" s="792"/>
      <c r="AA190" s="793"/>
      <c r="AB190" s="794"/>
      <c r="AC190" s="792"/>
      <c r="AD190" s="793"/>
      <c r="AE190" s="794"/>
      <c r="AF190" s="798"/>
      <c r="AG190" s="799"/>
      <c r="AH190" s="799"/>
      <c r="AI190" s="799"/>
      <c r="AJ190" s="799"/>
      <c r="AK190" s="799"/>
      <c r="AL190" s="799"/>
      <c r="AM190" s="799"/>
      <c r="AN190" s="799"/>
      <c r="AO190" s="799"/>
      <c r="AP190" s="799"/>
      <c r="AQ190" s="802"/>
    </row>
    <row r="191" spans="1:44" x14ac:dyDescent="0.2">
      <c r="A191" s="41" t="s">
        <v>42</v>
      </c>
      <c r="B191" s="792">
        <v>0.37152777777777773</v>
      </c>
      <c r="C191" s="793"/>
      <c r="D191" s="794"/>
      <c r="E191" s="792">
        <v>0.41319444444444442</v>
      </c>
      <c r="F191" s="793"/>
      <c r="G191" s="794"/>
      <c r="H191" s="792">
        <v>0.44791666666666669</v>
      </c>
      <c r="I191" s="793"/>
      <c r="J191" s="794"/>
      <c r="K191" s="792">
        <v>0.47222222222222227</v>
      </c>
      <c r="L191" s="793"/>
      <c r="M191" s="794"/>
      <c r="N191" s="792">
        <v>0.50208333333333333</v>
      </c>
      <c r="O191" s="793"/>
      <c r="P191" s="794"/>
      <c r="Q191" s="792"/>
      <c r="R191" s="793"/>
      <c r="S191" s="794"/>
      <c r="T191" s="792"/>
      <c r="U191" s="793"/>
      <c r="V191" s="794"/>
      <c r="W191" s="792"/>
      <c r="X191" s="793"/>
      <c r="Y191" s="794"/>
      <c r="Z191" s="792"/>
      <c r="AA191" s="793"/>
      <c r="AB191" s="794"/>
      <c r="AC191" s="792"/>
      <c r="AD191" s="793"/>
      <c r="AE191" s="794"/>
      <c r="AF191" s="798"/>
      <c r="AG191" s="799"/>
      <c r="AH191" s="799"/>
      <c r="AI191" s="799"/>
      <c r="AJ191" s="799"/>
      <c r="AK191" s="799"/>
      <c r="AL191" s="799"/>
      <c r="AM191" s="799"/>
      <c r="AN191" s="799"/>
      <c r="AO191" s="799"/>
      <c r="AP191" s="799"/>
      <c r="AQ191" s="802"/>
    </row>
    <row r="192" spans="1:44" ht="13.5" thickBot="1" x14ac:dyDescent="0.25">
      <c r="A192" s="11"/>
      <c r="B192" s="684" t="s">
        <v>43</v>
      </c>
      <c r="C192" s="685"/>
      <c r="D192" s="691"/>
      <c r="E192" s="684" t="str">
        <f>IF(AK178&gt;1,"Match 2","")</f>
        <v>Match 2</v>
      </c>
      <c r="F192" s="685"/>
      <c r="G192" s="691"/>
      <c r="H192" s="684" t="str">
        <f>IF(AK178&gt;2,"Match 3","")</f>
        <v>Match 3</v>
      </c>
      <c r="I192" s="685"/>
      <c r="J192" s="691"/>
      <c r="K192" s="684" t="str">
        <f>IF(AK178&gt;3,"Match 4","")</f>
        <v>Match 4</v>
      </c>
      <c r="L192" s="685"/>
      <c r="M192" s="691"/>
      <c r="N192" s="684" t="str">
        <f>IF(AK178&gt;4,"Match 5","")</f>
        <v>Match 5</v>
      </c>
      <c r="O192" s="685"/>
      <c r="P192" s="691"/>
      <c r="Q192" s="684" t="str">
        <f>IF(AK178&gt;5,"Match 6","")</f>
        <v>Match 6</v>
      </c>
      <c r="R192" s="685"/>
      <c r="S192" s="691"/>
      <c r="T192" s="684" t="str">
        <f>IF(AK178&gt;6,"Match 7","")</f>
        <v>Match 7</v>
      </c>
      <c r="U192" s="685"/>
      <c r="V192" s="691"/>
      <c r="W192" s="684" t="str">
        <f>IF(AK178&gt;7,"Match 8","")</f>
        <v>Match 8</v>
      </c>
      <c r="X192" s="685"/>
      <c r="Y192" s="691"/>
      <c r="Z192" s="684" t="str">
        <f>IF(AK178&gt;8,"Match 9","")</f>
        <v>Match 9</v>
      </c>
      <c r="AA192" s="685"/>
      <c r="AB192" s="691"/>
      <c r="AC192" s="684" t="str">
        <f>IF(AK178&gt;9,"Match 10","")</f>
        <v>Match 10</v>
      </c>
      <c r="AD192" s="685"/>
      <c r="AE192" s="691"/>
      <c r="AF192" s="803"/>
      <c r="AG192" s="804"/>
      <c r="AH192" s="804"/>
      <c r="AI192" s="804"/>
      <c r="AJ192" s="804"/>
      <c r="AK192" s="804"/>
      <c r="AL192" s="804"/>
      <c r="AM192" s="804"/>
      <c r="AN192" s="804"/>
      <c r="AO192" s="804"/>
      <c r="AP192" s="804"/>
      <c r="AQ192" s="805"/>
    </row>
    <row r="193" spans="1:49" ht="15.75" x14ac:dyDescent="0.25">
      <c r="A193" s="11"/>
      <c r="B193" s="786" t="s">
        <v>44</v>
      </c>
      <c r="C193" s="787"/>
      <c r="D193" s="788"/>
      <c r="E193" s="786" t="s">
        <v>45</v>
      </c>
      <c r="F193" s="787"/>
      <c r="G193" s="788"/>
      <c r="H193" s="786" t="s">
        <v>46</v>
      </c>
      <c r="I193" s="787"/>
      <c r="J193" s="788"/>
      <c r="K193" s="786" t="s">
        <v>47</v>
      </c>
      <c r="L193" s="787"/>
      <c r="M193" s="788"/>
      <c r="N193" s="786" t="s">
        <v>48</v>
      </c>
      <c r="O193" s="787"/>
      <c r="P193" s="788"/>
      <c r="Q193" s="786" t="s">
        <v>46</v>
      </c>
      <c r="R193" s="787"/>
      <c r="S193" s="788"/>
      <c r="T193" s="786" t="s">
        <v>44</v>
      </c>
      <c r="U193" s="787"/>
      <c r="V193" s="788"/>
      <c r="W193" s="786" t="s">
        <v>48</v>
      </c>
      <c r="X193" s="787"/>
      <c r="Y193" s="788"/>
      <c r="Z193" s="786" t="s">
        <v>47</v>
      </c>
      <c r="AA193" s="787"/>
      <c r="AB193" s="788"/>
      <c r="AC193" s="786" t="s">
        <v>45</v>
      </c>
      <c r="AD193" s="787"/>
      <c r="AE193" s="788"/>
      <c r="AF193" s="42" t="s">
        <v>49</v>
      </c>
      <c r="AG193" s="43">
        <v>1</v>
      </c>
      <c r="AH193" s="43">
        <v>2</v>
      </c>
      <c r="AI193" s="43">
        <v>3</v>
      </c>
      <c r="AJ193" s="43">
        <v>4</v>
      </c>
      <c r="AK193" s="43">
        <v>5</v>
      </c>
      <c r="AL193" s="43">
        <v>6</v>
      </c>
      <c r="AM193" s="43">
        <v>7</v>
      </c>
      <c r="AN193" s="43">
        <v>8</v>
      </c>
      <c r="AO193" s="43">
        <v>9</v>
      </c>
      <c r="AP193" s="43">
        <v>10</v>
      </c>
      <c r="AQ193" s="44" t="s">
        <v>50</v>
      </c>
    </row>
    <row r="194" spans="1:49" ht="15.75" x14ac:dyDescent="0.25">
      <c r="A194" s="11"/>
      <c r="B194" s="45">
        <v>2</v>
      </c>
      <c r="C194" s="46" t="s">
        <v>51</v>
      </c>
      <c r="D194" s="47">
        <v>5</v>
      </c>
      <c r="E194" s="45">
        <v>1</v>
      </c>
      <c r="F194" s="46" t="str">
        <f>IF(AK178&gt;1,"v","")</f>
        <v>v</v>
      </c>
      <c r="G194" s="47">
        <v>4</v>
      </c>
      <c r="H194" s="45">
        <v>3</v>
      </c>
      <c r="I194" s="46" t="str">
        <f>IF(AK178&gt;2,"v","")</f>
        <v>v</v>
      </c>
      <c r="J194" s="47">
        <v>5</v>
      </c>
      <c r="K194" s="45">
        <v>2</v>
      </c>
      <c r="L194" s="46" t="str">
        <f>IF(AK178&gt;3,"v","")</f>
        <v>v</v>
      </c>
      <c r="M194" s="47">
        <v>4</v>
      </c>
      <c r="N194" s="45">
        <v>1</v>
      </c>
      <c r="O194" s="46" t="str">
        <f>IF(AK178&gt;4,"v","")</f>
        <v>v</v>
      </c>
      <c r="P194" s="47">
        <v>3</v>
      </c>
      <c r="Q194" s="45">
        <v>4</v>
      </c>
      <c r="R194" s="46" t="str">
        <f>IF(AK178&gt;5,"v","")</f>
        <v>v</v>
      </c>
      <c r="S194" s="47">
        <v>5</v>
      </c>
      <c r="T194" s="45">
        <v>2</v>
      </c>
      <c r="U194" s="46" t="str">
        <f>IF(AK178&gt;6,"v","")</f>
        <v>v</v>
      </c>
      <c r="V194" s="47">
        <v>3</v>
      </c>
      <c r="W194" s="45">
        <v>1</v>
      </c>
      <c r="X194" s="46" t="str">
        <f>IF(AK178&gt;7,"v","")</f>
        <v>v</v>
      </c>
      <c r="Y194" s="47">
        <v>5</v>
      </c>
      <c r="Z194" s="45">
        <v>3</v>
      </c>
      <c r="AA194" s="46" t="str">
        <f>IF(AK178&gt;8,"v","")</f>
        <v>v</v>
      </c>
      <c r="AB194" s="47">
        <v>4</v>
      </c>
      <c r="AC194" s="45">
        <v>1</v>
      </c>
      <c r="AD194" s="46" t="str">
        <f>IF(AK178&gt;9,"v","")</f>
        <v>v</v>
      </c>
      <c r="AE194" s="47">
        <v>2</v>
      </c>
      <c r="AF194" s="42" t="str">
        <f>IF(AK179&gt;0,"Team 1","")</f>
        <v>Team 1</v>
      </c>
      <c r="AG194" s="48" t="str">
        <f>IF(AK179&lt;1,"",IF(AK178&lt;1,"",IF(B194=1,B200-D200,IF(D194=1,D200-B200,""))))</f>
        <v/>
      </c>
      <c r="AH194" s="48">
        <f>IF(AK179&lt;1,"",IF(AK178&lt;2,"",IF(E194=1,E200-G200,IF(G194=1,G200-E200,""))))</f>
        <v>7</v>
      </c>
      <c r="AI194" s="48" t="str">
        <f>IF(AK179&lt;1,"",IF(AK178&lt;3,"",IF(H194=1,H200-J200,IF(J194=1,J200-H200,""))))</f>
        <v/>
      </c>
      <c r="AJ194" s="48" t="str">
        <f>IF(AK179&lt;1,"",IF(AK178&lt;4,"",IF(K194=1,K200-M200,IF(M194=1,M200-K200,""))))</f>
        <v/>
      </c>
      <c r="AK194" s="48">
        <f>IF(AK179&lt;1,"",IF(AK178&lt;5,"",IF(N194=1,N200-P200,IF(P194=1,P200-N200,""))))</f>
        <v>3</v>
      </c>
      <c r="AL194" s="48" t="str">
        <f>IF(AK179&lt;1,"",IF(AK178&lt;6,"",IF(Q194=1,Q200-S200,IF(S194=1,S200-Q200,""))))</f>
        <v/>
      </c>
      <c r="AM194" s="48" t="str">
        <f>IF(AK179&lt;1,"",IF(AK178&lt;7,"",IF(T194=1,T200-V200,IF(V194=1,V200-T200,""))))</f>
        <v/>
      </c>
      <c r="AN194" s="48">
        <f>IF(AK179&lt;1,"",IF(AK178&lt;8,"",IF(W194=1,W200-Y200,IF(Y194=1,Y200-W200,""))))</f>
        <v>-4</v>
      </c>
      <c r="AO194" s="48" t="str">
        <f>IF(AK179&lt;1,"",IF(AK178&lt;9,"",IF(Z194=1,Z200-AB200,IF(AB194=1,AB200-Z200,""))))</f>
        <v/>
      </c>
      <c r="AP194" s="48">
        <f>IF(AK179&lt;1,"",IF(AK178&lt;10,"",IF(AC194=1,AC200-AE200,IF(AE194=1,AE200-AC200,""))))</f>
        <v>1</v>
      </c>
      <c r="AQ194" s="44">
        <f>SUM(AG194:AP194)</f>
        <v>7</v>
      </c>
    </row>
    <row r="195" spans="1:49" ht="15" x14ac:dyDescent="0.2">
      <c r="A195" s="4" t="s">
        <v>52</v>
      </c>
      <c r="B195" s="49">
        <v>14</v>
      </c>
      <c r="C195" s="50" t="s">
        <v>53</v>
      </c>
      <c r="D195" s="51">
        <v>25</v>
      </c>
      <c r="E195" s="49">
        <v>23</v>
      </c>
      <c r="F195" s="50" t="str">
        <f>IF(AK178&gt;1,"/","")</f>
        <v>/</v>
      </c>
      <c r="G195" s="51">
        <v>25</v>
      </c>
      <c r="H195" s="49">
        <v>25</v>
      </c>
      <c r="I195" s="50" t="str">
        <f>IF(AK178&gt;2,"/","")</f>
        <v>/</v>
      </c>
      <c r="J195" s="51">
        <v>18</v>
      </c>
      <c r="K195" s="49">
        <v>21</v>
      </c>
      <c r="L195" s="50" t="str">
        <f>IF(AK178&gt;3,"/","")</f>
        <v>/</v>
      </c>
      <c r="M195" s="51">
        <v>25</v>
      </c>
      <c r="N195" s="49">
        <v>25</v>
      </c>
      <c r="O195" s="50" t="str">
        <f>IF(AK178&gt;4,"/","")</f>
        <v>/</v>
      </c>
      <c r="P195" s="51">
        <v>20</v>
      </c>
      <c r="Q195" s="49">
        <v>25</v>
      </c>
      <c r="R195" s="50" t="str">
        <f>IF(AK178&gt;5,"/","")</f>
        <v>/</v>
      </c>
      <c r="S195" s="51">
        <v>18</v>
      </c>
      <c r="T195" s="49">
        <v>22</v>
      </c>
      <c r="U195" s="50" t="str">
        <f>IF(AK178&gt;6,"/","")</f>
        <v>/</v>
      </c>
      <c r="V195" s="51">
        <v>25</v>
      </c>
      <c r="W195" s="49">
        <v>23</v>
      </c>
      <c r="X195" s="50" t="str">
        <f>IF(AK178&gt;7,"/","")</f>
        <v>/</v>
      </c>
      <c r="Y195" s="51">
        <v>25</v>
      </c>
      <c r="Z195" s="49">
        <v>22</v>
      </c>
      <c r="AA195" s="50" t="str">
        <f>IF(AK178&gt;8,"/","")</f>
        <v>/</v>
      </c>
      <c r="AB195" s="51">
        <v>25</v>
      </c>
      <c r="AC195" s="49">
        <v>25</v>
      </c>
      <c r="AD195" s="50" t="str">
        <f>IF(AK178&gt;9,"/","")</f>
        <v>/</v>
      </c>
      <c r="AE195" s="51">
        <v>19</v>
      </c>
      <c r="AF195" s="42" t="str">
        <f>IF(AK179&gt;1,"Team 2","")</f>
        <v>Team 2</v>
      </c>
      <c r="AG195" s="48">
        <f>IF(AK179&lt;2,"",IF(AK178&lt;1,"",IF(B194=2,B200-D200,IF(D194=2,D200-B200,""))))</f>
        <v>-26</v>
      </c>
      <c r="AH195" s="48" t="str">
        <f>IF(AK179&lt;2,"",IF(AK178&lt;2,"",IF(E194=2,E200-G200,IF(G194=2,G200-E200,""))))</f>
        <v/>
      </c>
      <c r="AI195" s="48" t="str">
        <f>IF(AK179&lt;2,"",IF(AK178&lt;3,"",IF(H194=2,H200-J200,IF(J194=2,J200-H200,""))))</f>
        <v/>
      </c>
      <c r="AJ195" s="48">
        <f>IF(AK179&lt;2,"",IF(AK178&lt;4,"",IF(K194=2,K200-M200,IF(M194=2,M200-K200,""))))</f>
        <v>-6</v>
      </c>
      <c r="AK195" s="48" t="str">
        <f>IF(AK179&lt;2,"",IF(AK178&lt;5,"",IF(N194=2,N200-P200,IF(P194=2,P200-N200,""))))</f>
        <v/>
      </c>
      <c r="AL195" s="48" t="str">
        <f>IF(AK179&lt;2,"",IF(AK178&lt;6,"",IF(Q194=2,Q200-S200,IF(S194=2,S200-Q200,""))))</f>
        <v/>
      </c>
      <c r="AM195" s="48">
        <f>IF(AK179&lt;2,"",IF(AK178&lt;7,"",IF(T194=2,T200-V200,IF(V194=2,V200-T200,""))))</f>
        <v>-14</v>
      </c>
      <c r="AN195" s="48" t="str">
        <f>IF(AK179&lt;2,"",IF(AK178&lt;8,"",IF(W194=2,W200-Y200,IF(Y194=2,Y200-W200,""))))</f>
        <v/>
      </c>
      <c r="AO195" s="48" t="str">
        <f>IF(AK179&lt;2,"",IF(AK178&lt;9,"",IF(Z194=2,Z200-AB200,IF(AB194=2,AB200-Z200,""))))</f>
        <v/>
      </c>
      <c r="AP195" s="48">
        <f>IF(AK179&lt;2,"",IF(AK178&lt;10,"",IF(AC194=2,AC200-AE200,IF(AE194=2,AE200-AC200,""))))</f>
        <v>-1</v>
      </c>
      <c r="AQ195" s="44">
        <f>SUM(AG195:AP195)</f>
        <v>-47</v>
      </c>
    </row>
    <row r="196" spans="1:49" ht="15" x14ac:dyDescent="0.2">
      <c r="A196" s="3" t="str">
        <f>IF(AK177&gt;1,"Game 2","")</f>
        <v>Game 2</v>
      </c>
      <c r="B196" s="49">
        <v>10</v>
      </c>
      <c r="C196" s="50" t="s">
        <v>53</v>
      </c>
      <c r="D196" s="51">
        <v>25</v>
      </c>
      <c r="E196" s="49">
        <v>25</v>
      </c>
      <c r="F196" s="50" t="str">
        <f>IF(AK178&gt;1,IF(AK177&gt;1,"/",""),"")</f>
        <v>/</v>
      </c>
      <c r="G196" s="51">
        <v>16</v>
      </c>
      <c r="H196" s="49">
        <v>16</v>
      </c>
      <c r="I196" s="50" t="str">
        <f>IF(AK178&gt;2,IF(AK177&gt;1,"/",""),"")</f>
        <v>/</v>
      </c>
      <c r="J196" s="51">
        <v>25</v>
      </c>
      <c r="K196" s="49">
        <v>25</v>
      </c>
      <c r="L196" s="50" t="str">
        <f>IF(AK178&gt;3,IF(AK177&gt;1,"/",""),"")</f>
        <v>/</v>
      </c>
      <c r="M196" s="51">
        <v>27</v>
      </c>
      <c r="N196" s="49">
        <v>25</v>
      </c>
      <c r="O196" s="50" t="str">
        <f>IF(AK178&gt;4,IF(AK177&gt;1,"/",""),"")</f>
        <v>/</v>
      </c>
      <c r="P196" s="51">
        <v>27</v>
      </c>
      <c r="Q196" s="49">
        <v>25</v>
      </c>
      <c r="R196" s="50" t="str">
        <f>IF(AK178&gt;5,IF(AK177&gt;1,"/",""),"")</f>
        <v>/</v>
      </c>
      <c r="S196" s="51">
        <v>21</v>
      </c>
      <c r="T196" s="49">
        <v>14</v>
      </c>
      <c r="U196" s="50" t="str">
        <f>IF(AK178&gt;6,IF(AK177&gt;1,"/",""),"")</f>
        <v>/</v>
      </c>
      <c r="V196" s="51">
        <v>25</v>
      </c>
      <c r="W196" s="49">
        <v>24</v>
      </c>
      <c r="X196" s="50" t="str">
        <f>IF(AK178&gt;7,IF(AK177&gt;1,"/",""),"")</f>
        <v>/</v>
      </c>
      <c r="Y196" s="51">
        <v>26</v>
      </c>
      <c r="Z196" s="49">
        <v>21</v>
      </c>
      <c r="AA196" s="50" t="str">
        <f>IF(AK178&gt;8,IF(AK177&gt;1,"/",""),"")</f>
        <v>/</v>
      </c>
      <c r="AB196" s="51">
        <v>25</v>
      </c>
      <c r="AC196" s="49">
        <v>20</v>
      </c>
      <c r="AD196" s="50" t="str">
        <f>IF(AK178&gt;9,IF(AK177&gt;1,"/",""),"")</f>
        <v>/</v>
      </c>
      <c r="AE196" s="51">
        <v>25</v>
      </c>
      <c r="AF196" s="42" t="str">
        <f>IF(AK179&gt;2,"Team 3","")</f>
        <v>Team 3</v>
      </c>
      <c r="AG196" s="48" t="str">
        <f>IF(AK179&lt;3,"",IF(AK178&lt;1,"",IF(B194=3,B200-D200,IF(D194=3,D200-B200,""))))</f>
        <v/>
      </c>
      <c r="AH196" s="48" t="str">
        <f>IF(AK179&lt;3,"",IF(AK178&lt;2,"",IF(E194=3,E200-G200,IF(G194=3,G200-E200,""))))</f>
        <v/>
      </c>
      <c r="AI196" s="48">
        <f>IF(AK179&lt;3,"",IF(AK178&lt;3,"",IF(H194=3,H200-J200,IF(J194=3,J200-H200,""))))</f>
        <v>-2</v>
      </c>
      <c r="AJ196" s="48" t="str">
        <f>IF(AK179&lt;3,"",IF(AK178&lt;4,"",IF(K194=3,K200-M200,IF(M194=3,M200-K200,""))))</f>
        <v/>
      </c>
      <c r="AK196" s="48">
        <f>IF(AK179&lt;3,"",IF(AK178&lt;5,"",IF(N194=3,N200-P200,IF(P194=3,P200-N200,""))))</f>
        <v>-3</v>
      </c>
      <c r="AL196" s="48" t="str">
        <f>IF(AK179&lt;3,"",IF(AK178&lt;6,"",IF(Q194=3,Q200-S200,IF(S194=3,S200-Q200,""))))</f>
        <v/>
      </c>
      <c r="AM196" s="48">
        <f>IF(AK179&lt;3,"",IF(AK178&lt;7,"",IF(T194=3,T200-V200,IF(V194=3,V200-T200,""))))</f>
        <v>14</v>
      </c>
      <c r="AN196" s="48" t="str">
        <f>IF(AK179&lt;3,"",IF(AK178&lt;8,"",IF(W194=3,W200-Y200,IF(Y194=3,Y200-W200,""))))</f>
        <v/>
      </c>
      <c r="AO196" s="48">
        <f>IF(AK179&lt;3,"",IF(AK178&lt;9,"",IF(Z194=3,Z200-AB200,IF(AB194=3,AB200-Z200,""))))</f>
        <v>-7</v>
      </c>
      <c r="AP196" s="48" t="str">
        <f>IF(AK179&lt;3,"",IF(AK178&lt;9,"",IF(AC194=3,AC200-AE200,IF(AE194=3,AE200-AC200,""))))</f>
        <v/>
      </c>
      <c r="AQ196" s="44">
        <f>SUM(AG196:AP196)</f>
        <v>2</v>
      </c>
    </row>
    <row r="197" spans="1:49" ht="15" x14ac:dyDescent="0.2">
      <c r="A197" s="3" t="str">
        <f>IF(AK177&gt;2,"Game 3","")</f>
        <v/>
      </c>
      <c r="B197" s="49"/>
      <c r="C197" s="50" t="s">
        <v>53</v>
      </c>
      <c r="D197" s="51"/>
      <c r="E197" s="49"/>
      <c r="F197" s="50" t="str">
        <f>IF(AK178&gt;1,IF(AK177&gt;2,"/",""),"")</f>
        <v/>
      </c>
      <c r="G197" s="51"/>
      <c r="H197" s="49"/>
      <c r="I197" s="50" t="str">
        <f>IF(AK178&gt;2,IF(AK177&gt;2,"/",""),"")</f>
        <v/>
      </c>
      <c r="J197" s="51"/>
      <c r="K197" s="49"/>
      <c r="L197" s="50" t="str">
        <f>IF(AK178&gt;3,IF(AK177&gt;2,"/",""),"")</f>
        <v/>
      </c>
      <c r="M197" s="51"/>
      <c r="N197" s="49"/>
      <c r="O197" s="50" t="str">
        <f>IF(AK178&gt;4,IF(AK177&gt;2,"/",""),"")</f>
        <v/>
      </c>
      <c r="P197" s="51"/>
      <c r="Q197" s="49"/>
      <c r="R197" s="50" t="str">
        <f>IF(AK178&gt;5,IF(AK177&gt;2,"/",""),"")</f>
        <v/>
      </c>
      <c r="S197" s="51"/>
      <c r="T197" s="49"/>
      <c r="U197" s="50" t="str">
        <f>IF(AK178&gt;6,IF(AK177&gt;2,"/",""),"")</f>
        <v/>
      </c>
      <c r="V197" s="51"/>
      <c r="W197" s="49"/>
      <c r="X197" s="50" t="str">
        <f>IF(AK178&gt;7,IF(AK177&gt;2,"/",""),"")</f>
        <v/>
      </c>
      <c r="Y197" s="51"/>
      <c r="Z197" s="49"/>
      <c r="AA197" s="50" t="str">
        <f>IF(AK178&gt;8,IF(AK177&gt;2,"/",""),"")</f>
        <v/>
      </c>
      <c r="AB197" s="51"/>
      <c r="AC197" s="49"/>
      <c r="AD197" s="50" t="str">
        <f>IF(AK178&gt;9,IF(AK177&gt;2,"/",""),"")</f>
        <v/>
      </c>
      <c r="AE197" s="51"/>
      <c r="AF197" s="42" t="str">
        <f>IF(AK179&gt;3,"Team 4","")</f>
        <v>Team 4</v>
      </c>
      <c r="AG197" s="48" t="str">
        <f>IF(AK179&lt;4,"",IF(AK178&lt;1,"",IF(B194=4,B200-D200,IF(D194=4,D200-B200,""))))</f>
        <v/>
      </c>
      <c r="AH197" s="48">
        <f>IF(AK179&lt;4,"",IF(AK178&lt;2,"",IF(E194=4,E200-G200,IF(G194=4,G200-E200,""))))</f>
        <v>-7</v>
      </c>
      <c r="AI197" s="48" t="str">
        <f>IF(AK179&lt;4,"",IF(AK178&lt;3,"",IF(H194=4,H200-J200,IF(J194=4,J200-H200,""))))</f>
        <v/>
      </c>
      <c r="AJ197" s="48">
        <f>IF(AK179&lt;4,"",IF(AK178&lt;4,"",IF(K194=4,K200-M200,IF(M194=4,M200-K200,""))))</f>
        <v>6</v>
      </c>
      <c r="AK197" s="48" t="str">
        <f>IF(AK179&lt;4,"",IF(AK178&lt;5,"",IF(N194=4,N200-P200,IF(P194=4,P200-N200,""))))</f>
        <v/>
      </c>
      <c r="AL197" s="48">
        <f>IF(AK179&lt;4,"",IF(AK178&lt;6,"",IF(Q194=4,Q200-S200,IF(S194=4,S200-Q200,""))))</f>
        <v>11</v>
      </c>
      <c r="AM197" s="48" t="str">
        <f>IF(AK179&lt;4,"",IF(AK178&lt;7,"",IF(T194=4,T200-V200,IF(V194=4,V200-T200,""))))</f>
        <v/>
      </c>
      <c r="AN197" s="48" t="str">
        <f>IF(AK179&lt;4,"",IF(AK178&lt;8,"",IF(W194=4,W200-Y200,IF(Y194=4,Y200-W200,""))))</f>
        <v/>
      </c>
      <c r="AO197" s="48">
        <f>IF(AK179&lt;4,"",IF(AK178&lt;9,"",IF(Z194=4,Z200-AB200,IF(AB194=4,AB200-Z200,""))))</f>
        <v>7</v>
      </c>
      <c r="AP197" s="48" t="str">
        <f>IF(AK179&lt;4,"",IF(AK178&lt;10,"",IF(AC194=4,AC200-AE200,IF(AE194=4,AE200-AC200,""))))</f>
        <v/>
      </c>
      <c r="AQ197" s="44">
        <f>SUM(AG197:AP197)</f>
        <v>17</v>
      </c>
    </row>
    <row r="198" spans="1:49" ht="15" x14ac:dyDescent="0.2">
      <c r="A198" s="3" t="str">
        <f>IF(AK177&gt;3,"Game 4","")</f>
        <v/>
      </c>
      <c r="B198" s="49"/>
      <c r="C198" s="50" t="s">
        <v>53</v>
      </c>
      <c r="D198" s="51"/>
      <c r="E198" s="49"/>
      <c r="F198" s="50" t="str">
        <f>IF(AK178&gt;1,IF(AK177&gt;3,"/",""),"")</f>
        <v/>
      </c>
      <c r="G198" s="51"/>
      <c r="H198" s="49"/>
      <c r="I198" s="50" t="str">
        <f>IF(AK178&gt;2,IF(AK177&gt;3,"/",""),"")</f>
        <v/>
      </c>
      <c r="J198" s="51"/>
      <c r="K198" s="49"/>
      <c r="L198" s="50" t="str">
        <f>IF(AK178&gt;3,IF(AK177&gt;3,"/",""),"")</f>
        <v/>
      </c>
      <c r="M198" s="51"/>
      <c r="N198" s="49"/>
      <c r="O198" s="50" t="str">
        <f>IF(AK178&gt;4,IF(AK177&gt;3,"/",""),"")</f>
        <v/>
      </c>
      <c r="P198" s="51"/>
      <c r="Q198" s="49"/>
      <c r="R198" s="50" t="str">
        <f>IF(AK178&gt;5,IF(AK177&gt;3,"/",""),"")</f>
        <v/>
      </c>
      <c r="S198" s="51"/>
      <c r="T198" s="49"/>
      <c r="U198" s="50" t="str">
        <f>IF(AK178&gt;6,IF(AK177&gt;3,"/",""),"")</f>
        <v/>
      </c>
      <c r="V198" s="51"/>
      <c r="W198" s="49"/>
      <c r="X198" s="50" t="str">
        <f>IF(AK178&gt;7,IF(AK177&gt;3,"/",""),"")</f>
        <v/>
      </c>
      <c r="Y198" s="51"/>
      <c r="Z198" s="49"/>
      <c r="AA198" s="50" t="str">
        <f>IF(AK178&gt;8,IF(AK177&gt;3,"/",""),"")</f>
        <v/>
      </c>
      <c r="AB198" s="51"/>
      <c r="AC198" s="49"/>
      <c r="AD198" s="50" t="str">
        <f>IF(AK178&gt;9,IF(AK177&gt;3,"/",""),"")</f>
        <v/>
      </c>
      <c r="AE198" s="51"/>
      <c r="AF198" s="42" t="str">
        <f>IF(AK179&gt;4,"Team 5","")</f>
        <v>Team 5</v>
      </c>
      <c r="AG198" s="52">
        <f>IF(AK179&lt;5,"",IF(AK178&lt;1,"",IF(B194=5,B200-D200,IF(D194=5,D200-B200,""))))</f>
        <v>26</v>
      </c>
      <c r="AH198" s="48" t="str">
        <f>IF(AK179&lt;5,"",IF(AK178&lt;2,"",IF(E194=5,E200-G200,IF(G194=5,G200-E200,""))))</f>
        <v/>
      </c>
      <c r="AI198" s="48">
        <f>IF(AK179&lt;5,"",IF(AK178&lt;3,"",IF(H194=5,H200-J200,IF(J194=5,J200-H200,""))))</f>
        <v>2</v>
      </c>
      <c r="AJ198" s="48" t="str">
        <f>IF(AK179&lt;5,"",IF(AK178&lt;4,"",IF(K194=5,K200-M200,IF(M194=5,M200-K200,""))))</f>
        <v/>
      </c>
      <c r="AK198" s="48" t="str">
        <f>IF(AK179&lt;5,"",IF(AK178&lt;5,"",IF(N194=5,N200-P200,IF(P194=5,P200-N200,""))))</f>
        <v/>
      </c>
      <c r="AL198" s="48">
        <f>IF(AK179&lt;5,"",IF(AK178&lt;6,"",IF(Q194=5,Q200-S200,IF(S194=5,S200-Q200,""))))</f>
        <v>-11</v>
      </c>
      <c r="AM198" s="48" t="str">
        <f>IF(AK179&lt;5,"",IF(AK178&lt;7,"",IF(T194=5,T200-V200,IF(V194=5,V200-T200,""))))</f>
        <v/>
      </c>
      <c r="AN198" s="48">
        <f>IF(AK179&lt;5,"",IF(AK178&lt;8,"",IF(W194=5,W200-Y200,IF(Y194=5,Y200-W200,""))))</f>
        <v>4</v>
      </c>
      <c r="AO198" s="48" t="str">
        <f>IF(AK179&lt;5,"",IF(AK178&lt;9,"",IF(Z194=5,Z200-AB200,IF(AB194=5,AB200-Z200,""))))</f>
        <v/>
      </c>
      <c r="AP198" s="48" t="str">
        <f>IF(AK179&lt;5,"",IF(AK178&lt;10,"",IF(AC194=5,AC200-AE200,IF(AE194=5,AE200-AC200,""))))</f>
        <v/>
      </c>
      <c r="AQ198" s="44">
        <f>SUM(AG198:AP198)</f>
        <v>21</v>
      </c>
    </row>
    <row r="199" spans="1:49" ht="15" x14ac:dyDescent="0.2">
      <c r="A199" s="3" t="str">
        <f>IF(AK177&gt;4,"Game 5","")</f>
        <v/>
      </c>
      <c r="B199" s="49"/>
      <c r="C199" s="50" t="s">
        <v>53</v>
      </c>
      <c r="D199" s="51"/>
      <c r="E199" s="49"/>
      <c r="F199" s="50" t="str">
        <f>IF(AK178&gt;1,IF(AK177&gt;4,"/",""),"")</f>
        <v/>
      </c>
      <c r="G199" s="51"/>
      <c r="H199" s="49"/>
      <c r="I199" s="50" t="str">
        <f>IF(AK178&gt;2,IF(AK177&gt;4,"/",""),"")</f>
        <v/>
      </c>
      <c r="J199" s="51"/>
      <c r="K199" s="49"/>
      <c r="L199" s="50" t="str">
        <f>IF(AK178&gt;3,IF(AK177&gt;4,"/",""),"")</f>
        <v/>
      </c>
      <c r="M199" s="51"/>
      <c r="N199" s="49"/>
      <c r="O199" s="50" t="str">
        <f>IF(AK178&gt;4,IF(AK177&gt;4,"/",""),"")</f>
        <v/>
      </c>
      <c r="P199" s="51"/>
      <c r="Q199" s="49"/>
      <c r="R199" s="50" t="str">
        <f>IF(AK178&gt;5,IF(AK177&gt;4,"/",""),"")</f>
        <v/>
      </c>
      <c r="S199" s="51"/>
      <c r="T199" s="49"/>
      <c r="U199" s="50" t="str">
        <f>IF(AK178&gt;6,IF(AK177&gt;4,"/",""),"")</f>
        <v/>
      </c>
      <c r="V199" s="51"/>
      <c r="W199" s="49"/>
      <c r="X199" s="50" t="str">
        <f>IF(AK178&gt;7,IF(AK177&gt;4,"/",""),"")</f>
        <v/>
      </c>
      <c r="Y199" s="51"/>
      <c r="Z199" s="49"/>
      <c r="AA199" s="50" t="str">
        <f>IF(AK178&gt;8,IF(AK177&gt;4,"/",""),"")</f>
        <v/>
      </c>
      <c r="AB199" s="51"/>
      <c r="AC199" s="49"/>
      <c r="AD199" s="50" t="str">
        <f>IF(AK178&gt;9,IF(AK177&gt;4,"/",""),"")</f>
        <v/>
      </c>
      <c r="AE199" s="5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</row>
    <row r="200" spans="1:49" hidden="1" x14ac:dyDescent="0.2">
      <c r="A200" s="53"/>
      <c r="B200" s="53">
        <f>IF($AK177=5,SUM(B195:B199),IF($AK177=4,SUM(B195:B198),IF($AK177=3,SUM(B195:B197),IF($AK177=2,SUM(B195:B196),B195))))</f>
        <v>24</v>
      </c>
      <c r="C200" s="53"/>
      <c r="D200" s="53">
        <f>IF($AK177=5,SUM(D195:D199),IF($AK177=4,SUM(D195:D198),IF($AK177=3,SUM(D195:D197),IF($AK177=2,SUM(D195:D196),D195))))</f>
        <v>50</v>
      </c>
      <c r="E200" s="53">
        <f>IF($AK177=5,SUM(E195:E199),IF($AK177=4,SUM(E195:E198),IF($AK177=3,SUM(E195:E197),IF($AK177=2,SUM(E195:E196),E195))))</f>
        <v>48</v>
      </c>
      <c r="F200" s="53"/>
      <c r="G200" s="53">
        <f>IF($AK177=5,SUM(G195:G199),IF($AK177=4,SUM(G195:G198),IF($AK177=3,SUM(G195:G197),IF($AK177=2,SUM(G195:G196),G195))))</f>
        <v>41</v>
      </c>
      <c r="H200" s="53">
        <f>IF($AK177=5,SUM(H195:H199),IF($AK177=4,SUM(H195:H198),IF($AK177=3,SUM(H195:H197),IF($AK177=2,SUM(H195:H196),H195))))</f>
        <v>41</v>
      </c>
      <c r="I200" s="53"/>
      <c r="J200" s="53">
        <f>IF($AK177=5,SUM(J195:J199),IF($AK177=4,SUM(J195:J198),IF($AK177=3,SUM(J195:J197),IF($AK177=2,SUM(J195:J196),J195))))</f>
        <v>43</v>
      </c>
      <c r="K200" s="53">
        <f>IF($AK177=5,SUM(K195:K199),IF($AK177=4,SUM(K195:K198),IF($AK177=3,SUM(K195:K197),IF($AK177=2,SUM(K195:K196),K195))))</f>
        <v>46</v>
      </c>
      <c r="L200" s="53"/>
      <c r="M200" s="53">
        <f>IF($AK177=5,SUM(M195:M199),IF($AK177=4,SUM(M195:M198),IF($AK177=3,SUM(M195:M197),IF($AK177=2,SUM(M195:M196),M195))))</f>
        <v>52</v>
      </c>
      <c r="N200" s="53">
        <f>IF($AK177=5,SUM(N195:N199),IF($AK177=4,SUM(N195:N198),IF($AK177=3,SUM(N195:N197),IF($AK177=2,SUM(N195:N196),N195))))</f>
        <v>50</v>
      </c>
      <c r="O200" s="53"/>
      <c r="P200" s="53">
        <f>IF($AK177=5,SUM(P195:P199),IF($AK177=4,SUM(P195:P198),IF($AK177=3,SUM(P195:P197),IF($AK177=2,SUM(P195:P196),P195))))</f>
        <v>47</v>
      </c>
      <c r="Q200" s="53">
        <f>IF($AK177=5,SUM(Q195:Q199),IF($AK177=4,SUM(Q195:Q198),IF($AK177=3,SUM(Q195:Q197),IF($AK177=2,SUM(Q195:Q196),Q195))))</f>
        <v>50</v>
      </c>
      <c r="R200" s="53"/>
      <c r="S200" s="53">
        <f>IF($AK177=5,SUM(S195:S199),IF($AK177=4,SUM(S195:S198),IF($AK177=3,SUM(S195:S197),IF($AK177=2,SUM(S195:S196),S195))))</f>
        <v>39</v>
      </c>
      <c r="T200" s="53">
        <f>IF($AK177=5,SUM(T195:T199),IF($AK177=4,SUM(T195:T198),IF($AK177=3,SUM(T195:T197),IF($AK177=2,SUM(T195:T196),T195))))</f>
        <v>36</v>
      </c>
      <c r="U200" s="53"/>
      <c r="V200" s="53">
        <f>IF($AK177=5,SUM(V195:V199),IF($AK177=4,SUM(V195:V198),IF($AK177=3,SUM(V195:V197),IF($AK177=2,SUM(V195:V196),V195))))</f>
        <v>50</v>
      </c>
      <c r="W200" s="53">
        <f>IF($AK177=5,SUM(W195:W199),IF($AK177=4,SUM(W195:W198),IF($AK177=3,SUM(W195:W197),IF($AK177=2,SUM(W195:W196),W195))))</f>
        <v>47</v>
      </c>
      <c r="X200" s="53"/>
      <c r="Y200" s="53">
        <f>IF($AK177=5,SUM(Y195:Y199),IF($AK177=4,SUM(Y195:Y198),IF($AK177=3,SUM(Y195:Y197),IF($AK177=2,SUM(Y195:Y196),Y195))))</f>
        <v>51</v>
      </c>
      <c r="Z200" s="53">
        <f>IF($AK177=5,SUM(Z195:Z199),IF($AK177=4,SUM(Z195:Z198),IF($AK177=3,SUM(Z195:Z197),IF($AK177=2,SUM(Z195:Z196),Z195))))</f>
        <v>43</v>
      </c>
      <c r="AA200" s="53"/>
      <c r="AB200" s="53">
        <f>IF($AK177=5,SUM(AB195:AB199),IF($AK177=4,SUM(AB195:AB198),IF($AK177=3,SUM(AB195:AB197),IF($AK177=2,SUM(AB195:AB196),AB195))))</f>
        <v>50</v>
      </c>
      <c r="AC200" s="53">
        <f>IF($AK177=5,SUM(AC195:AC199),IF($AK177=4,SUM(AC195:AC198),IF($AK177=3,SUM(AC195:AC197),IF($AK177=2,SUM(AC195:AC196),AC195))))</f>
        <v>45</v>
      </c>
      <c r="AD200" s="53"/>
      <c r="AE200" s="53">
        <f>IF($AK177=5,SUM(AE195:AE199),IF($AK177=4,SUM(AE195:AE198),IF($AK177=3,SUM(AE195:AE197),IF($AK177=2,SUM(AE195:AE196),AE195))))</f>
        <v>44</v>
      </c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</row>
    <row r="201" spans="1:49" s="54" customFormat="1" ht="12.75" hidden="1" customHeight="1" x14ac:dyDescent="0.2">
      <c r="A201" s="54" t="s">
        <v>54</v>
      </c>
      <c r="B201" s="55">
        <f>IF(AND(B195&gt;D195,$AK178&gt;0,ISNUMBER(B195),ISNUMBER(D195)),1,0)</f>
        <v>0</v>
      </c>
      <c r="C201" s="55"/>
      <c r="D201" s="56">
        <f>IF(AND(D195&gt;B195,$AK178&gt;0,ISNUMBER(B195),ISNUMBER(D195)),1,0)</f>
        <v>1</v>
      </c>
      <c r="E201" s="55">
        <f>IF(AND(E195&gt;G195,$AK178&gt;1,ISNUMBER(E195),ISNUMBER(G195)),1,0)</f>
        <v>0</v>
      </c>
      <c r="F201" s="55"/>
      <c r="G201" s="56">
        <f>IF(AND(G195&gt;E195,$AK178&gt;1,ISNUMBER(E195),ISNUMBER(G195)),1,0)</f>
        <v>1</v>
      </c>
      <c r="H201" s="55">
        <f>IF(AND(H195&gt;J195,$AK178&gt;2,ISNUMBER(H195),ISNUMBER(J195)),1,0)</f>
        <v>1</v>
      </c>
      <c r="I201" s="55"/>
      <c r="J201" s="56">
        <f>IF(AND(J195&gt;H195,$AK178&gt;2,ISNUMBER(H195),ISNUMBER(J195)),1,0)</f>
        <v>0</v>
      </c>
      <c r="K201" s="55">
        <f>IF(AND(K195&gt;M195,$AK178&gt;3,ISNUMBER(K195),ISNUMBER(M195)),1,0)</f>
        <v>0</v>
      </c>
      <c r="L201" s="55"/>
      <c r="M201" s="56">
        <f>IF(AND(M195&gt;K195,$AK178&gt;3,ISNUMBER(K195),ISNUMBER(M195)),1,0)</f>
        <v>1</v>
      </c>
      <c r="N201" s="55">
        <f>IF(AND(N195&gt;P195,$AK178&gt;4,ISNUMBER(N195),ISNUMBER(P195)),1,0)</f>
        <v>1</v>
      </c>
      <c r="O201" s="55"/>
      <c r="P201" s="56">
        <f>IF(AND(P195&gt;N195,$AK178&gt;4,ISNUMBER(N195),ISNUMBER(P195)),1,0)</f>
        <v>0</v>
      </c>
      <c r="Q201" s="55">
        <f>IF(AND(Q195&gt;S195,$AK178&gt;5,ISNUMBER(Q195),ISNUMBER(S195)),1,0)</f>
        <v>1</v>
      </c>
      <c r="R201" s="55"/>
      <c r="S201" s="56">
        <f>IF(AND(S195&gt;Q195,$AK178&gt;5,ISNUMBER(Q195),ISNUMBER(S195)),1,0)</f>
        <v>0</v>
      </c>
      <c r="T201" s="55">
        <f>IF(AND(T195&gt;V195,$AK178&gt;6,ISNUMBER(T195),ISNUMBER(V195)),1,0)</f>
        <v>0</v>
      </c>
      <c r="U201" s="55"/>
      <c r="V201" s="56">
        <f>IF(AND(V195&gt;T195,$AK178&gt;6,ISNUMBER(T195),ISNUMBER(V195)),1,0)</f>
        <v>1</v>
      </c>
      <c r="W201" s="55">
        <f>IF(AND(W195&gt;Y195,$AK178&gt;7,ISNUMBER(W195),ISNUMBER(Y195)),1,0)</f>
        <v>0</v>
      </c>
      <c r="X201" s="55"/>
      <c r="Y201" s="56">
        <f>IF(AND(Y195&gt;W195,$AK178&gt;7,ISNUMBER(W195),ISNUMBER(Y195)),1,0)</f>
        <v>1</v>
      </c>
      <c r="Z201" s="55">
        <f>IF(AND(Z195&gt;AB195,$AK178&gt;8,ISNUMBER(Z195),ISNUMBER(AB195)),1,0)</f>
        <v>0</v>
      </c>
      <c r="AA201" s="55"/>
      <c r="AB201" s="56">
        <f>IF(AND(AB195&gt;Z195,$AK178&gt;8,ISNUMBER(Z195),ISNUMBER(AB195)),1,0)</f>
        <v>1</v>
      </c>
      <c r="AC201" s="55">
        <f>IF(AND(AC195&gt;AE195,$AK178&gt;9,ISNUMBER(AC195),ISNUMBER(AE195)),1,0)</f>
        <v>1</v>
      </c>
      <c r="AD201" s="55"/>
      <c r="AE201" s="56">
        <f>IF(AND(AE195&gt;AC195,$AK178&gt;9,ISNUMBER(AC195),ISNUMBER(AE195)),1,0)</f>
        <v>0</v>
      </c>
      <c r="AW201" s="146"/>
    </row>
    <row r="202" spans="1:49" s="54" customFormat="1" ht="12.75" hidden="1" customHeight="1" x14ac:dyDescent="0.2">
      <c r="A202" s="54" t="s">
        <v>55</v>
      </c>
      <c r="B202" s="55">
        <f>IF(AND(B196&gt;D196,$AK178&gt;0,$AK177&gt;1,ISNUMBER(B196),ISNUMBER(D196)),1,0)</f>
        <v>0</v>
      </c>
      <c r="C202" s="55"/>
      <c r="D202" s="56">
        <f>IF(AND(D196&gt;B196,$AK178&gt;0,$AK177&gt;1,ISNUMBER(B196),ISNUMBER(D196)),1,0)</f>
        <v>1</v>
      </c>
      <c r="E202" s="55">
        <f>IF(AND(E196&gt;G196,$AK178&gt;1,$AK177&gt;1,ISNUMBER(E196),ISNUMBER(G196)),1,0)</f>
        <v>1</v>
      </c>
      <c r="F202" s="55"/>
      <c r="G202" s="56">
        <f>IF(AND(G196&gt;E196,$AK178&gt;1,$AK177&gt;1,ISNUMBER(E196),ISNUMBER(G196)),1,0)</f>
        <v>0</v>
      </c>
      <c r="H202" s="55">
        <f>IF(AND(H196&gt;J196,$AK178&gt;2,$AK177&gt;1,ISNUMBER(H196),ISNUMBER(J196)),1,0)</f>
        <v>0</v>
      </c>
      <c r="I202" s="55"/>
      <c r="J202" s="56">
        <f>IF(AND(J196&gt;H196,$AK178&gt;2,$AK177&gt;1,ISNUMBER(H196),ISNUMBER(J196)),1,0)</f>
        <v>1</v>
      </c>
      <c r="K202" s="55">
        <f>IF(AND(K196&gt;M196,$AK178&gt;3,$AK177&gt;1,ISNUMBER(K196),ISNUMBER(M196)),1,0)</f>
        <v>0</v>
      </c>
      <c r="L202" s="55"/>
      <c r="M202" s="56">
        <f>IF(AND(M196&gt;K196,$AK178&gt;3,$AK177&gt;1,ISNUMBER(K196),ISNUMBER(M196)),1,0)</f>
        <v>1</v>
      </c>
      <c r="N202" s="55">
        <f>IF(AND(N196&gt;P196,$AK178&gt;4,$AK177&gt;1,ISNUMBER(N196),ISNUMBER(P196)),1,0)</f>
        <v>0</v>
      </c>
      <c r="O202" s="55"/>
      <c r="P202" s="56">
        <f>IF(AND(P196&gt;N196,$AK178&gt;4,$AK177&gt;1,ISNUMBER(N196),ISNUMBER(P196)),1,0)</f>
        <v>1</v>
      </c>
      <c r="Q202" s="55">
        <f>IF(AND(Q196&gt;S196,$AK178&gt;5,$AK177&gt;1,ISNUMBER(Q196),ISNUMBER(S196)),1,0)</f>
        <v>1</v>
      </c>
      <c r="R202" s="55"/>
      <c r="S202" s="56">
        <f>IF(AND(S196&gt;Q196,$AK178&gt;5,$AK177&gt;1,ISNUMBER(Q196),ISNUMBER(S196)),1,0)</f>
        <v>0</v>
      </c>
      <c r="T202" s="55">
        <f>IF(AND(T196&gt;V196,$AK178&gt;6,$AK177&gt;1,ISNUMBER(T196),ISNUMBER(V196)),1,0)</f>
        <v>0</v>
      </c>
      <c r="U202" s="55"/>
      <c r="V202" s="56">
        <f>IF(AND(V196&gt;T196,$AK178&gt;6,$AK177&gt;1,ISNUMBER(T196),ISNUMBER(V196)),1,0)</f>
        <v>1</v>
      </c>
      <c r="W202" s="55">
        <f>IF(AND(W196&gt;Y196,$AK178&gt;7,$AK177&gt;1,ISNUMBER(W196),ISNUMBER(Y196)),1,0)</f>
        <v>0</v>
      </c>
      <c r="X202" s="55"/>
      <c r="Y202" s="56">
        <f>IF(AND(Y196&gt;W196,$AK178&gt;7,$AK177&gt;1,ISNUMBER(W196),ISNUMBER(Y196)),1,0)</f>
        <v>1</v>
      </c>
      <c r="Z202" s="55">
        <f>IF(AND(Z196&gt;AB196,$AK178&gt;8,$AK177&gt;1,ISNUMBER(Z196),ISNUMBER(AB196)),1,0)</f>
        <v>0</v>
      </c>
      <c r="AA202" s="55"/>
      <c r="AB202" s="56">
        <f>IF(AND(AB196&gt;Z196,$AK178&gt;8,$AK177&gt;1,ISNUMBER(Z196),ISNUMBER(AB196)),1,0)</f>
        <v>1</v>
      </c>
      <c r="AC202" s="55">
        <f>IF(AND(AC196&gt;AE196,$AK178&gt;9,$AK177&gt;1,ISNUMBER(AC196),ISNUMBER(AE196)),1,0)</f>
        <v>0</v>
      </c>
      <c r="AD202" s="55"/>
      <c r="AE202" s="56">
        <f>IF(AND(AE196&gt;AC196,$AK178&gt;9,$AK177&gt;1,ISNUMBER(AC196),ISNUMBER(AE196)),1,0)</f>
        <v>1</v>
      </c>
      <c r="AW202" s="146"/>
    </row>
    <row r="203" spans="1:49" s="54" customFormat="1" ht="12.75" hidden="1" customHeight="1" x14ac:dyDescent="0.2">
      <c r="A203" s="54" t="s">
        <v>56</v>
      </c>
      <c r="B203" s="55">
        <f>IF(AND(B197&gt;D197,$AK178&gt;0,$AK177&gt;2,ISNUMBER(B197),ISNUMBER(D197)),1,0)</f>
        <v>0</v>
      </c>
      <c r="C203" s="55"/>
      <c r="D203" s="56">
        <f>IF(AND(D197&gt;B197,$AK178&gt;0,$AK177&gt;2,ISNUMBER(B197),ISNUMBER(D197)),1,0)</f>
        <v>0</v>
      </c>
      <c r="E203" s="55">
        <f>IF(AND(E197&gt;G197,$AK178&gt;1,$AK177&gt;2,ISNUMBER(E197),ISNUMBER(G197)),1,0)</f>
        <v>0</v>
      </c>
      <c r="F203" s="55"/>
      <c r="G203" s="56">
        <f>IF(AND(G197&gt;E197,$AK178&gt;1,$AK177&gt;2,ISNUMBER(E197),ISNUMBER(G197)),1,0)</f>
        <v>0</v>
      </c>
      <c r="H203" s="55">
        <f>IF(AND(H197&gt;J197,$AK178&gt;2,$AK177&gt;2,ISNUMBER(H197),ISNUMBER(J197)),1,0)</f>
        <v>0</v>
      </c>
      <c r="I203" s="55"/>
      <c r="J203" s="56">
        <f>IF(AND(J197&gt;H197,$AK178&gt;2,$AK177&gt;2,ISNUMBER(H197),ISNUMBER(J197)),1,0)</f>
        <v>0</v>
      </c>
      <c r="K203" s="55">
        <f>IF(AND(K197&gt;M197,$AK178&gt;3,$AK177&gt;2,ISNUMBER(K197),ISNUMBER(M197)),1,0)</f>
        <v>0</v>
      </c>
      <c r="L203" s="55"/>
      <c r="M203" s="56">
        <f>IF(AND(M197&gt;K197,$AK178&gt;3,$AK177&gt;2,ISNUMBER(K197),ISNUMBER(M197)),1,0)</f>
        <v>0</v>
      </c>
      <c r="N203" s="55">
        <f>IF(AND(N197&gt;P197,$AK178&gt;4,$AK177&gt;2,ISNUMBER(N197),ISNUMBER(P197)),1,0)</f>
        <v>0</v>
      </c>
      <c r="O203" s="55"/>
      <c r="P203" s="56">
        <f>IF(AND(P197&gt;N197,$AK178&gt;4,$AK177&gt;2,ISNUMBER(N197),ISNUMBER(P197)),1,0)</f>
        <v>0</v>
      </c>
      <c r="Q203" s="55">
        <f>IF(AND(Q197&gt;S197,$AK178&gt;5,$AK177&gt;2,ISNUMBER(Q197),ISNUMBER(S197)),1,0)</f>
        <v>0</v>
      </c>
      <c r="R203" s="55"/>
      <c r="S203" s="56">
        <f>IF(AND(S197&gt;Q197,$AK178&gt;5,$AK177&gt;2,ISNUMBER(Q197),ISNUMBER(S197)),1,0)</f>
        <v>0</v>
      </c>
      <c r="T203" s="55">
        <f>IF(AND(T197&gt;V197,$AK178&gt;6,$AK177&gt;2,ISNUMBER(T197),ISNUMBER(V197)),1,0)</f>
        <v>0</v>
      </c>
      <c r="U203" s="55"/>
      <c r="V203" s="56">
        <f>IF(AND(V197&gt;T197,$AK178&gt;6,$AK177&gt;2,ISNUMBER(T197),ISNUMBER(V197)),1,0)</f>
        <v>0</v>
      </c>
      <c r="W203" s="55">
        <f>IF(AND(W197&gt;Y197,$AK178&gt;7,$AK177&gt;2,ISNUMBER(W197),ISNUMBER(Y197)),1,0)</f>
        <v>0</v>
      </c>
      <c r="X203" s="55"/>
      <c r="Y203" s="56">
        <f>IF(AND(Y197&gt;W197,$AK178&gt;7,$AK177&gt;2,ISNUMBER(W197),ISNUMBER(Y197)),1,0)</f>
        <v>0</v>
      </c>
      <c r="Z203" s="55">
        <f>IF(AND(Z197&gt;AB197,$AK178&gt;8,$AK177&gt;2,ISNUMBER(Z197),ISNUMBER(AB197)),1,0)</f>
        <v>0</v>
      </c>
      <c r="AA203" s="55"/>
      <c r="AB203" s="56">
        <f>IF(AND(AB197&gt;Z197,$AK178&gt;8,$AK177&gt;2,ISNUMBER(Z197),ISNUMBER(AB197)),1,0)</f>
        <v>0</v>
      </c>
      <c r="AC203" s="55">
        <f>IF(AND(AC197&gt;AE197,$AK178&gt;9,$AK177&gt;2,ISNUMBER(AC197),ISNUMBER(AE197)),1,0)</f>
        <v>0</v>
      </c>
      <c r="AD203" s="55"/>
      <c r="AE203" s="56">
        <f>IF(AND(AE197&gt;AC197,$AK178&gt;9,$AK177&gt;2,ISNUMBER(AC197),ISNUMBER(AE197)),1,0)</f>
        <v>0</v>
      </c>
      <c r="AW203" s="146"/>
    </row>
    <row r="204" spans="1:49" s="54" customFormat="1" ht="12.75" hidden="1" customHeight="1" x14ac:dyDescent="0.2">
      <c r="A204" s="54" t="s">
        <v>57</v>
      </c>
      <c r="B204" s="55">
        <f>IF(AND(B198&gt;D198,$AK178&gt;0,$AK177&gt;3,ISNUMBER(B198),ISNUMBER(D198)),1,0)</f>
        <v>0</v>
      </c>
      <c r="C204" s="55"/>
      <c r="D204" s="56">
        <f>IF(AND(D198&gt;B198,$AK178&gt;0,$AK177&gt;3,ISNUMBER(B198),ISNUMBER(D198)),1,0)</f>
        <v>0</v>
      </c>
      <c r="E204" s="55">
        <f>IF(AND(E198&gt;G198,$AK178&gt;1,$AK177&gt;3,ISNUMBER(E198),ISNUMBER(G198)),1,0)</f>
        <v>0</v>
      </c>
      <c r="F204" s="55"/>
      <c r="G204" s="56">
        <f>IF(AND(G198&gt;E198,$AK178&gt;1,$AK177&gt;3,ISNUMBER(E198),ISNUMBER(G198)),1,0)</f>
        <v>0</v>
      </c>
      <c r="H204" s="55">
        <f>IF(AND(H198&gt;J198,$AK178&gt;2,$AK177&gt;3,ISNUMBER(H198),ISNUMBER(J198)),1,0)</f>
        <v>0</v>
      </c>
      <c r="I204" s="55"/>
      <c r="J204" s="56">
        <f>IF(AND(J198&gt;H198,$AK178&gt;2,$AK177&gt;3,ISNUMBER(H198),ISNUMBER(J198)),1,0)</f>
        <v>0</v>
      </c>
      <c r="K204" s="55">
        <f>IF(AND(K198&gt;M198,$AK178&gt;3,$AK177&gt;3,ISNUMBER(K198),ISNUMBER(M198)),1,0)</f>
        <v>0</v>
      </c>
      <c r="L204" s="55"/>
      <c r="M204" s="56">
        <f>IF(AND(M198&gt;K198,$AK178&gt;3,$AK177&gt;3,ISNUMBER(K198),ISNUMBER(M198)),1,0)</f>
        <v>0</v>
      </c>
      <c r="N204" s="55">
        <f>IF(AND(N198&gt;P198,$AK178&gt;4,$AK177&gt;3,ISNUMBER(N198),ISNUMBER(P198)),1,0)</f>
        <v>0</v>
      </c>
      <c r="O204" s="55"/>
      <c r="P204" s="56">
        <f>IF(AND(P198&gt;N198,$AK178&gt;4,$AK177&gt;3,ISNUMBER(N198),ISNUMBER(P198)),1,0)</f>
        <v>0</v>
      </c>
      <c r="Q204" s="55">
        <f>IF(AND(Q198&gt;S198,$AK178&gt;5,$AK177&gt;3,ISNUMBER(Q198),ISNUMBER(S198)),1,0)</f>
        <v>0</v>
      </c>
      <c r="R204" s="55"/>
      <c r="S204" s="56">
        <f>IF(AND(S198&gt;Q198,$AK178&gt;5,$AK177&gt;3,ISNUMBER(Q198),ISNUMBER(S198)),1,0)</f>
        <v>0</v>
      </c>
      <c r="T204" s="55">
        <f>IF(AND(T198&gt;V198,$AK178&gt;6,$AK177&gt;3,ISNUMBER(T198),ISNUMBER(V198)),1,0)</f>
        <v>0</v>
      </c>
      <c r="U204" s="55"/>
      <c r="V204" s="56">
        <f>IF(AND(V198&gt;T198,$AK178&gt;6,$AK177&gt;3,ISNUMBER(T198),ISNUMBER(V198)),1,0)</f>
        <v>0</v>
      </c>
      <c r="W204" s="55">
        <f>IF(AND(W198&gt;Y198,$AK178&gt;7,$AK177&gt;3,ISNUMBER(W198),ISNUMBER(Y198)),1,0)</f>
        <v>0</v>
      </c>
      <c r="X204" s="55"/>
      <c r="Y204" s="56">
        <f>IF(AND(Y198&gt;W198,$AK178&gt;7,$AK177&gt;3,ISNUMBER(W198),ISNUMBER(Y198)),1,0)</f>
        <v>0</v>
      </c>
      <c r="Z204" s="55">
        <f>IF(AND(Z198&gt;AB198,$AK178&gt;8,$AK177&gt;3,ISNUMBER(Z198),ISNUMBER(AB198)),1,0)</f>
        <v>0</v>
      </c>
      <c r="AA204" s="55"/>
      <c r="AB204" s="56">
        <f>IF(AND(AB198&gt;Z198,$AK178&gt;8,$AK177&gt;3,ISNUMBER(Z198),ISNUMBER(AB198)),1,0)</f>
        <v>0</v>
      </c>
      <c r="AC204" s="55">
        <f>IF(AND(AC198&gt;AE198,$AK178&gt;9,$AK177&gt;3,ISNUMBER(AC198),ISNUMBER(AE198)),1,0)</f>
        <v>0</v>
      </c>
      <c r="AD204" s="55"/>
      <c r="AE204" s="56">
        <f>IF(AND(AE198&gt;AC198,$AK178&gt;9,$AK177&gt;3,ISNUMBER(AC198),ISNUMBER(AE198)),1,0)</f>
        <v>0</v>
      </c>
      <c r="AW204" s="146"/>
    </row>
    <row r="205" spans="1:49" s="54" customFormat="1" ht="12.75" hidden="1" customHeight="1" x14ac:dyDescent="0.2">
      <c r="A205" s="54" t="s">
        <v>58</v>
      </c>
      <c r="B205" s="55">
        <f>IF(AND(B199&gt;D199,$AK178&gt;0,$AK177&gt;4,ISNUMBER(B199),ISNUMBER(D199)),1,0)</f>
        <v>0</v>
      </c>
      <c r="C205" s="55"/>
      <c r="D205" s="56">
        <f>IF(AND(D199&gt;B199,$AK178&gt;0,$AK177&gt;4,ISNUMBER(B199),ISNUMBER(D199)),1,0)</f>
        <v>0</v>
      </c>
      <c r="E205" s="55">
        <f>IF(AND(E199&gt;G199,$AK178&gt;1,$AK177&gt;4,ISNUMBER(E199),ISNUMBER(G199)),1,0)</f>
        <v>0</v>
      </c>
      <c r="F205" s="55"/>
      <c r="G205" s="56">
        <f>IF(AND(G199&gt;E199,$AK178&gt;1,$AK177&gt;4,ISNUMBER(E199),ISNUMBER(G199)),1,0)</f>
        <v>0</v>
      </c>
      <c r="H205" s="55">
        <f>IF(AND(H199&gt;J199,$AK178&gt;2,$AK177&gt;4,ISNUMBER(H199),ISNUMBER(J199)),1,0)</f>
        <v>0</v>
      </c>
      <c r="I205" s="55"/>
      <c r="J205" s="56">
        <f>IF(AND(J199&gt;H199,$AK178&gt;2,$AK177&gt;4,ISNUMBER(H199),ISNUMBER(J199)),1,0)</f>
        <v>0</v>
      </c>
      <c r="K205" s="55">
        <f>IF(AND(K199&gt;M199,$AK178&gt;3,$AK177&gt;4,ISNUMBER(K199),ISNUMBER(M199)),1,0)</f>
        <v>0</v>
      </c>
      <c r="L205" s="55"/>
      <c r="M205" s="56">
        <f>IF(AND(M199&gt;K199,$AK178&gt;3,$AK177&gt;4,ISNUMBER(K199),ISNUMBER(M199)),1,0)</f>
        <v>0</v>
      </c>
      <c r="N205" s="55">
        <f>IF(AND(N199&gt;P199,$AK178&gt;4,$AK177&gt;4,ISNUMBER(N199),ISNUMBER(P199)),1,0)</f>
        <v>0</v>
      </c>
      <c r="O205" s="55"/>
      <c r="P205" s="56">
        <f>IF(AND(P199&gt;N199,$AK178&gt;4,$AK177&gt;4,ISNUMBER(N199),ISNUMBER(P199)),1,0)</f>
        <v>0</v>
      </c>
      <c r="Q205" s="55">
        <f>IF(AND(Q199&gt;S199,$AK178&gt;5,$AK177&gt;4,ISNUMBER(Q199),ISNUMBER(S199)),1,0)</f>
        <v>0</v>
      </c>
      <c r="R205" s="55"/>
      <c r="S205" s="56">
        <f>IF(AND(S199&gt;Q199,$AK178&gt;5,$AK177&gt;4,ISNUMBER(Q199),ISNUMBER(S199)),1,0)</f>
        <v>0</v>
      </c>
      <c r="T205" s="55">
        <f>IF(AND(T199&gt;V199,$AK178&gt;6,$AK177&gt;4,ISNUMBER(T199),ISNUMBER(V199)),1,0)</f>
        <v>0</v>
      </c>
      <c r="U205" s="55"/>
      <c r="V205" s="56">
        <f>IF(AND(V199&gt;T199,$AK178&gt;6,$AK177&gt;4,ISNUMBER(T199),ISNUMBER(V199)),1,0)</f>
        <v>0</v>
      </c>
      <c r="W205" s="55">
        <f>IF(AND(W199&gt;Y199,$AK178&gt;7,$AK177&gt;4,ISNUMBER(W199),ISNUMBER(Y199)),1,0)</f>
        <v>0</v>
      </c>
      <c r="X205" s="55"/>
      <c r="Y205" s="56">
        <f>IF(AND(Y199&gt;W199,$AK178&gt;7,$AK177&gt;4,ISNUMBER(W199),ISNUMBER(Y199)),1,0)</f>
        <v>0</v>
      </c>
      <c r="Z205" s="55">
        <f>IF(AND(Z199&gt;AB199,$AK178&gt;8,$AK177&gt;4,ISNUMBER(Z199),ISNUMBER(AB199)),1,0)</f>
        <v>0</v>
      </c>
      <c r="AA205" s="55"/>
      <c r="AB205" s="56">
        <f>IF(AND(AB199&gt;Z199,$AK178&gt;8,$AK177&gt;4,ISNUMBER(Z199),ISNUMBER(AB199)),1,0)</f>
        <v>0</v>
      </c>
      <c r="AC205" s="55">
        <f>IF(AND(AC199&gt;AE199,$AK178&gt;9,$AK177&gt;4,ISNUMBER(AC199),ISNUMBER(AE199)),1,0)</f>
        <v>0</v>
      </c>
      <c r="AD205" s="55"/>
      <c r="AE205" s="56">
        <f>IF(AND(AE199&gt;AC199,$AK178&gt;9,$AK177&gt;4,ISNUMBER(AC199),ISNUMBER(AE199)),1,0)</f>
        <v>0</v>
      </c>
      <c r="AW205" s="146"/>
    </row>
    <row r="206" spans="1:49" s="54" customFormat="1" ht="38.25" hidden="1" customHeight="1" x14ac:dyDescent="0.2">
      <c r="A206" s="57" t="s">
        <v>59</v>
      </c>
      <c r="B206" s="54">
        <f>SUM(B201:B205)</f>
        <v>0</v>
      </c>
      <c r="D206" s="58">
        <f>SUM(D201:D205)</f>
        <v>2</v>
      </c>
      <c r="E206" s="54">
        <f>SUM(E201:E205)</f>
        <v>1</v>
      </c>
      <c r="G206" s="58">
        <f>SUM(G201:G205)</f>
        <v>1</v>
      </c>
      <c r="H206" s="54">
        <f>SUM(H201:H205)</f>
        <v>1</v>
      </c>
      <c r="J206" s="58">
        <f>SUM(J201:J205)</f>
        <v>1</v>
      </c>
      <c r="K206" s="54">
        <f>SUM(K201:K205)</f>
        <v>0</v>
      </c>
      <c r="M206" s="58">
        <f>SUM(M201:M205)</f>
        <v>2</v>
      </c>
      <c r="N206" s="54">
        <f>SUM(N201:N205)</f>
        <v>1</v>
      </c>
      <c r="P206" s="58">
        <f>SUM(P201:P205)</f>
        <v>1</v>
      </c>
      <c r="Q206" s="54">
        <f>SUM(Q201:Q205)</f>
        <v>2</v>
      </c>
      <c r="S206" s="58">
        <f>SUM(S201:S205)</f>
        <v>0</v>
      </c>
      <c r="T206" s="54">
        <f>SUM(T201:T205)</f>
        <v>0</v>
      </c>
      <c r="V206" s="58">
        <f>SUM(V201:V205)</f>
        <v>2</v>
      </c>
      <c r="W206" s="54">
        <f>SUM(W201:W205)</f>
        <v>0</v>
      </c>
      <c r="Y206" s="58">
        <f>SUM(Y201:Y205)</f>
        <v>2</v>
      </c>
      <c r="Z206" s="54">
        <f>SUM(Z201:Z205)</f>
        <v>0</v>
      </c>
      <c r="AB206" s="58">
        <f>SUM(AB201:AB205)</f>
        <v>2</v>
      </c>
      <c r="AC206" s="54">
        <f>SUM(AC201:AC205)</f>
        <v>1</v>
      </c>
      <c r="AE206" s="58">
        <f>SUM(AE201:AE205)</f>
        <v>1</v>
      </c>
      <c r="AW206" s="146"/>
    </row>
    <row r="207" spans="1:49" s="54" customFormat="1" ht="25.5" hidden="1" customHeight="1" x14ac:dyDescent="0.2">
      <c r="A207" s="57" t="s">
        <v>60</v>
      </c>
      <c r="B207" s="54">
        <f>IF(B206&gt;D206,IF(C241=AK177,1,IF(C241=AK177-1,1,0)),0)</f>
        <v>0</v>
      </c>
      <c r="C207" s="54">
        <f>B207+D207</f>
        <v>1</v>
      </c>
      <c r="D207" s="58">
        <f>IF(D206&gt;B206,IF(C241=AK177,1,IF(C241=AK177-1,1,0)),0)</f>
        <v>1</v>
      </c>
      <c r="E207" s="54">
        <f>IF(E206&gt;G206,IF(F241=AK177,1,IF(F241=AK177-1,1,0)),0)</f>
        <v>0</v>
      </c>
      <c r="F207" s="54">
        <f>E207+G207</f>
        <v>0</v>
      </c>
      <c r="G207" s="58">
        <f>IF(G206&gt;E206,IF(F241=AK177,1,IF(F241=AK177-1,1,0)),0)</f>
        <v>0</v>
      </c>
      <c r="H207" s="54">
        <f>IF(H206&gt;J206,IF(I241=AK177,1,IF(I241=AK177-1,1,0)),0)</f>
        <v>0</v>
      </c>
      <c r="I207" s="54">
        <f>H207+J207</f>
        <v>0</v>
      </c>
      <c r="J207" s="58">
        <f>IF(J206&gt;H206,IF(I241=AK177,1,IF(I241=AK177-1,1,0)),0)</f>
        <v>0</v>
      </c>
      <c r="K207" s="54">
        <f>IF(K206&gt;M206,IF(L241=AK177,1,IF(L241=AK177-1,1,0)),0)</f>
        <v>0</v>
      </c>
      <c r="L207" s="54">
        <f>K207+M207</f>
        <v>1</v>
      </c>
      <c r="M207" s="58">
        <f>IF(M206&gt;K206,IF(L241=AK177,1,IF(L241=AK177-1,1,0)),0)</f>
        <v>1</v>
      </c>
      <c r="N207" s="54">
        <f>IF(N206&gt;P206,IF(O241=AK177,1,IF(O241=AK177-1,1,0)),0)</f>
        <v>0</v>
      </c>
      <c r="O207" s="54">
        <f>N207+P207</f>
        <v>0</v>
      </c>
      <c r="P207" s="58">
        <f>IF(P206&gt;N206,IF(O241=AK177,1,IF(O241=AK177-1,1,0)),0)</f>
        <v>0</v>
      </c>
      <c r="Q207" s="54">
        <f>IF(Q206&gt;S206,IF(R241=AK177,1,IF(R241=AK177-1,1,0)),0)</f>
        <v>1</v>
      </c>
      <c r="R207" s="54">
        <f>Q207+S207</f>
        <v>1</v>
      </c>
      <c r="S207" s="58">
        <f>IF(S206&gt;Q206,IF(R241=AK177,1,IF(R241=AK177-1,1,0)),0)</f>
        <v>0</v>
      </c>
      <c r="T207" s="54">
        <f>IF(T206&gt;V206,IF(U241=AK177,1,IF(U241=AK177-1,1,0)),0)</f>
        <v>0</v>
      </c>
      <c r="U207" s="54">
        <f>T207+V207</f>
        <v>1</v>
      </c>
      <c r="V207" s="58">
        <f>IF(V206&gt;T206,IF(U241=AK177,1,IF(U241=AK177-1,1,0)),0)</f>
        <v>1</v>
      </c>
      <c r="W207" s="54">
        <f>IF(W206&gt;Y206,IF(X241=AK177,1,IF(X241=AK177-1,1,0)),0)</f>
        <v>0</v>
      </c>
      <c r="X207" s="54">
        <f>W207+Y207</f>
        <v>1</v>
      </c>
      <c r="Y207" s="58">
        <f>IF(Y206&gt;W206,IF(X241=AK177,1,IF(X241=AK177-1,1,0)),0)</f>
        <v>1</v>
      </c>
      <c r="Z207" s="54">
        <f>IF(Z206&gt;AB206,IF(AA241=AK177,1,IF(AA241=AK177-1,1,0)),0)</f>
        <v>0</v>
      </c>
      <c r="AA207" s="54">
        <f>Z207+AB207</f>
        <v>1</v>
      </c>
      <c r="AB207" s="58">
        <f>IF(AB206&gt;Z206,IF(AA241=AK177,1,IF(AA241=AK177-1,1,0)),0)</f>
        <v>1</v>
      </c>
      <c r="AC207" s="54">
        <f>IF(AC206&gt;AE206,IF(AD241=AK177,1,IF(AD241=AK177-1,1,0)),0)</f>
        <v>0</v>
      </c>
      <c r="AD207" s="54">
        <f>AC207+AE207</f>
        <v>0</v>
      </c>
      <c r="AE207" s="58">
        <f>IF(AE206&gt;AC206,IF(AD241=AK177,1,IF(AD241=AK177-1,1,0)),0)</f>
        <v>0</v>
      </c>
      <c r="AW207" s="146"/>
    </row>
    <row r="208" spans="1:49" s="54" customFormat="1" ht="25.5" hidden="1" customHeight="1" x14ac:dyDescent="0.2">
      <c r="A208" s="57"/>
      <c r="D208" s="58"/>
      <c r="G208" s="58"/>
      <c r="J208" s="58"/>
      <c r="M208" s="58"/>
      <c r="P208" s="58"/>
      <c r="S208" s="58"/>
      <c r="V208" s="58"/>
      <c r="Y208" s="58"/>
      <c r="AB208" s="58"/>
      <c r="AE208" s="58"/>
      <c r="AW208" s="146"/>
    </row>
    <row r="209" spans="1:49" s="54" customFormat="1" ht="12.75" hidden="1" customHeight="1" x14ac:dyDescent="0.2">
      <c r="A209" s="54" t="s">
        <v>61</v>
      </c>
      <c r="B209" s="54">
        <f>IF(B201=1,B195,0)</f>
        <v>0</v>
      </c>
      <c r="D209" s="58">
        <f t="shared" ref="D209:E213" si="21">IF(D201=1,D195,0)</f>
        <v>25</v>
      </c>
      <c r="E209" s="54">
        <f t="shared" si="21"/>
        <v>0</v>
      </c>
      <c r="G209" s="58">
        <f t="shared" ref="G209:H213" si="22">IF(G201=1,G195,0)</f>
        <v>25</v>
      </c>
      <c r="H209" s="54">
        <f t="shared" si="22"/>
        <v>25</v>
      </c>
      <c r="J209" s="58">
        <f t="shared" ref="J209:K213" si="23">IF(J201=1,J195,0)</f>
        <v>0</v>
      </c>
      <c r="K209" s="54">
        <f t="shared" si="23"/>
        <v>0</v>
      </c>
      <c r="M209" s="58">
        <f t="shared" ref="M209:N213" si="24">IF(M201=1,M195,0)</f>
        <v>25</v>
      </c>
      <c r="N209" s="54">
        <f t="shared" si="24"/>
        <v>25</v>
      </c>
      <c r="P209" s="58">
        <f t="shared" ref="P209:Q213" si="25">IF(P201=1,P195,0)</f>
        <v>0</v>
      </c>
      <c r="Q209" s="54">
        <f t="shared" si="25"/>
        <v>25</v>
      </c>
      <c r="S209" s="58">
        <f t="shared" ref="S209:T213" si="26">IF(S201=1,S195,0)</f>
        <v>0</v>
      </c>
      <c r="T209" s="54">
        <f t="shared" si="26"/>
        <v>0</v>
      </c>
      <c r="V209" s="58">
        <f t="shared" ref="V209:W213" si="27">IF(V201=1,V195,0)</f>
        <v>25</v>
      </c>
      <c r="W209" s="54">
        <f t="shared" si="27"/>
        <v>0</v>
      </c>
      <c r="Y209" s="58">
        <f t="shared" ref="Y209:Z213" si="28">IF(Y201=1,Y195,0)</f>
        <v>25</v>
      </c>
      <c r="Z209" s="54">
        <f t="shared" si="28"/>
        <v>0</v>
      </c>
      <c r="AB209" s="58">
        <f t="shared" ref="AB209:AC213" si="29">IF(AB201=1,AB195,0)</f>
        <v>25</v>
      </c>
      <c r="AC209" s="54">
        <f t="shared" si="29"/>
        <v>25</v>
      </c>
      <c r="AE209" s="58">
        <f>IF(AE201=1,AE195,0)</f>
        <v>0</v>
      </c>
      <c r="AW209" s="146"/>
    </row>
    <row r="210" spans="1:49" s="54" customFormat="1" ht="12.75" hidden="1" customHeight="1" x14ac:dyDescent="0.2">
      <c r="A210" s="54" t="s">
        <v>62</v>
      </c>
      <c r="B210" s="54">
        <f>IF(B202=1,B196,0)</f>
        <v>0</v>
      </c>
      <c r="D210" s="58">
        <f t="shared" si="21"/>
        <v>25</v>
      </c>
      <c r="E210" s="54">
        <f t="shared" si="21"/>
        <v>25</v>
      </c>
      <c r="G210" s="58">
        <f t="shared" si="22"/>
        <v>0</v>
      </c>
      <c r="H210" s="54">
        <f t="shared" si="22"/>
        <v>0</v>
      </c>
      <c r="J210" s="58">
        <f t="shared" si="23"/>
        <v>25</v>
      </c>
      <c r="K210" s="54">
        <f t="shared" si="23"/>
        <v>0</v>
      </c>
      <c r="M210" s="58">
        <f t="shared" si="24"/>
        <v>27</v>
      </c>
      <c r="N210" s="54">
        <f t="shared" si="24"/>
        <v>0</v>
      </c>
      <c r="P210" s="58">
        <f t="shared" si="25"/>
        <v>27</v>
      </c>
      <c r="Q210" s="54">
        <f t="shared" si="25"/>
        <v>25</v>
      </c>
      <c r="S210" s="58">
        <f t="shared" si="26"/>
        <v>0</v>
      </c>
      <c r="T210" s="54">
        <f t="shared" si="26"/>
        <v>0</v>
      </c>
      <c r="V210" s="58">
        <f t="shared" si="27"/>
        <v>25</v>
      </c>
      <c r="W210" s="54">
        <f t="shared" si="27"/>
        <v>0</v>
      </c>
      <c r="Y210" s="58">
        <f t="shared" si="28"/>
        <v>26</v>
      </c>
      <c r="Z210" s="54">
        <f t="shared" si="28"/>
        <v>0</v>
      </c>
      <c r="AB210" s="58">
        <f t="shared" si="29"/>
        <v>25</v>
      </c>
      <c r="AC210" s="54">
        <f t="shared" si="29"/>
        <v>0</v>
      </c>
      <c r="AE210" s="58">
        <f>IF(AE202=1,AE196,0)</f>
        <v>25</v>
      </c>
      <c r="AW210" s="146"/>
    </row>
    <row r="211" spans="1:49" s="54" customFormat="1" ht="12.75" hidden="1" customHeight="1" x14ac:dyDescent="0.2">
      <c r="A211" s="54" t="s">
        <v>63</v>
      </c>
      <c r="B211" s="54">
        <f>IF(B203=1,B197,0)</f>
        <v>0</v>
      </c>
      <c r="D211" s="58">
        <f t="shared" si="21"/>
        <v>0</v>
      </c>
      <c r="E211" s="54">
        <f t="shared" si="21"/>
        <v>0</v>
      </c>
      <c r="G211" s="58">
        <f t="shared" si="22"/>
        <v>0</v>
      </c>
      <c r="H211" s="54">
        <f t="shared" si="22"/>
        <v>0</v>
      </c>
      <c r="J211" s="58">
        <f t="shared" si="23"/>
        <v>0</v>
      </c>
      <c r="K211" s="54">
        <f t="shared" si="23"/>
        <v>0</v>
      </c>
      <c r="M211" s="58">
        <f t="shared" si="24"/>
        <v>0</v>
      </c>
      <c r="N211" s="54">
        <f t="shared" si="24"/>
        <v>0</v>
      </c>
      <c r="P211" s="58">
        <f t="shared" si="25"/>
        <v>0</v>
      </c>
      <c r="Q211" s="54">
        <f t="shared" si="25"/>
        <v>0</v>
      </c>
      <c r="S211" s="58">
        <f t="shared" si="26"/>
        <v>0</v>
      </c>
      <c r="T211" s="54">
        <f t="shared" si="26"/>
        <v>0</v>
      </c>
      <c r="V211" s="58">
        <f t="shared" si="27"/>
        <v>0</v>
      </c>
      <c r="W211" s="54">
        <f t="shared" si="27"/>
        <v>0</v>
      </c>
      <c r="Y211" s="58">
        <f t="shared" si="28"/>
        <v>0</v>
      </c>
      <c r="Z211" s="54">
        <f t="shared" si="28"/>
        <v>0</v>
      </c>
      <c r="AB211" s="58">
        <f t="shared" si="29"/>
        <v>0</v>
      </c>
      <c r="AC211" s="54">
        <f t="shared" si="29"/>
        <v>0</v>
      </c>
      <c r="AE211" s="58">
        <f>IF(AE203=1,AE197,0)</f>
        <v>0</v>
      </c>
      <c r="AW211" s="146"/>
    </row>
    <row r="212" spans="1:49" s="54" customFormat="1" ht="12.75" hidden="1" customHeight="1" x14ac:dyDescent="0.2">
      <c r="A212" s="54" t="s">
        <v>64</v>
      </c>
      <c r="B212" s="54">
        <f>IF(B204=1,B198,0)</f>
        <v>0</v>
      </c>
      <c r="D212" s="58">
        <f t="shared" si="21"/>
        <v>0</v>
      </c>
      <c r="E212" s="54">
        <f t="shared" si="21"/>
        <v>0</v>
      </c>
      <c r="G212" s="58">
        <f t="shared" si="22"/>
        <v>0</v>
      </c>
      <c r="H212" s="54">
        <f t="shared" si="22"/>
        <v>0</v>
      </c>
      <c r="J212" s="58">
        <f t="shared" si="23"/>
        <v>0</v>
      </c>
      <c r="K212" s="54">
        <f t="shared" si="23"/>
        <v>0</v>
      </c>
      <c r="M212" s="58">
        <f t="shared" si="24"/>
        <v>0</v>
      </c>
      <c r="N212" s="54">
        <f t="shared" si="24"/>
        <v>0</v>
      </c>
      <c r="P212" s="58">
        <f t="shared" si="25"/>
        <v>0</v>
      </c>
      <c r="Q212" s="54">
        <f t="shared" si="25"/>
        <v>0</v>
      </c>
      <c r="S212" s="58">
        <f t="shared" si="26"/>
        <v>0</v>
      </c>
      <c r="T212" s="54">
        <f t="shared" si="26"/>
        <v>0</v>
      </c>
      <c r="V212" s="58">
        <f t="shared" si="27"/>
        <v>0</v>
      </c>
      <c r="W212" s="54">
        <f t="shared" si="27"/>
        <v>0</v>
      </c>
      <c r="Y212" s="58">
        <f t="shared" si="28"/>
        <v>0</v>
      </c>
      <c r="Z212" s="54">
        <f t="shared" si="28"/>
        <v>0</v>
      </c>
      <c r="AB212" s="58">
        <f t="shared" si="29"/>
        <v>0</v>
      </c>
      <c r="AC212" s="54">
        <f t="shared" si="29"/>
        <v>0</v>
      </c>
      <c r="AE212" s="58">
        <f>IF(AE204=1,AE198,0)</f>
        <v>0</v>
      </c>
      <c r="AW212" s="146"/>
    </row>
    <row r="213" spans="1:49" s="54" customFormat="1" ht="12.75" hidden="1" customHeight="1" x14ac:dyDescent="0.2">
      <c r="A213" s="54" t="s">
        <v>65</v>
      </c>
      <c r="B213" s="54">
        <f>IF(B205=1,B199,0)</f>
        <v>0</v>
      </c>
      <c r="D213" s="58">
        <f t="shared" si="21"/>
        <v>0</v>
      </c>
      <c r="E213" s="54">
        <f t="shared" si="21"/>
        <v>0</v>
      </c>
      <c r="G213" s="58">
        <f t="shared" si="22"/>
        <v>0</v>
      </c>
      <c r="H213" s="54">
        <f t="shared" si="22"/>
        <v>0</v>
      </c>
      <c r="J213" s="58">
        <f t="shared" si="23"/>
        <v>0</v>
      </c>
      <c r="K213" s="54">
        <f t="shared" si="23"/>
        <v>0</v>
      </c>
      <c r="M213" s="58">
        <f t="shared" si="24"/>
        <v>0</v>
      </c>
      <c r="N213" s="54">
        <f t="shared" si="24"/>
        <v>0</v>
      </c>
      <c r="P213" s="58">
        <f t="shared" si="25"/>
        <v>0</v>
      </c>
      <c r="Q213" s="54">
        <f t="shared" si="25"/>
        <v>0</v>
      </c>
      <c r="S213" s="58">
        <f t="shared" si="26"/>
        <v>0</v>
      </c>
      <c r="T213" s="54">
        <f t="shared" si="26"/>
        <v>0</v>
      </c>
      <c r="V213" s="58">
        <f t="shared" si="27"/>
        <v>0</v>
      </c>
      <c r="W213" s="54">
        <f t="shared" si="27"/>
        <v>0</v>
      </c>
      <c r="Y213" s="58">
        <f t="shared" si="28"/>
        <v>0</v>
      </c>
      <c r="Z213" s="54">
        <f t="shared" si="28"/>
        <v>0</v>
      </c>
      <c r="AB213" s="58">
        <f t="shared" si="29"/>
        <v>0</v>
      </c>
      <c r="AC213" s="54">
        <f t="shared" si="29"/>
        <v>0</v>
      </c>
      <c r="AE213" s="58">
        <f>IF(AE205=1,AE199,0)</f>
        <v>0</v>
      </c>
      <c r="AW213" s="146"/>
    </row>
    <row r="214" spans="1:49" s="54" customFormat="1" ht="38.25" hidden="1" customHeight="1" x14ac:dyDescent="0.2">
      <c r="A214" s="57" t="s">
        <v>66</v>
      </c>
      <c r="B214" s="54">
        <f>SUM(B209:D213)</f>
        <v>50</v>
      </c>
      <c r="D214" s="58"/>
      <c r="E214" s="54">
        <f>SUM(E209:G213)</f>
        <v>50</v>
      </c>
      <c r="G214" s="58"/>
      <c r="H214" s="54">
        <f>SUM(H209:J213)</f>
        <v>50</v>
      </c>
      <c r="J214" s="58"/>
      <c r="K214" s="54">
        <f>SUM(K209:M213)</f>
        <v>52</v>
      </c>
      <c r="M214" s="58"/>
      <c r="N214" s="54">
        <f>SUM(N209:P213)</f>
        <v>52</v>
      </c>
      <c r="P214" s="58"/>
      <c r="Q214" s="54">
        <f>SUM(Q209:S213)</f>
        <v>50</v>
      </c>
      <c r="S214" s="58"/>
      <c r="T214" s="54">
        <f>SUM(T209:V213)</f>
        <v>50</v>
      </c>
      <c r="V214" s="58"/>
      <c r="W214" s="54">
        <f>SUM(W209:Y213)</f>
        <v>51</v>
      </c>
      <c r="Y214" s="58"/>
      <c r="Z214" s="54">
        <f>SUM(Z209:AB213)</f>
        <v>50</v>
      </c>
      <c r="AB214" s="58"/>
      <c r="AC214" s="54">
        <f>SUM(AC209:AE213)</f>
        <v>50</v>
      </c>
      <c r="AE214" s="58"/>
      <c r="AW214" s="146"/>
    </row>
    <row r="215" spans="1:49" s="54" customFormat="1" ht="38.25" hidden="1" customHeight="1" x14ac:dyDescent="0.2">
      <c r="A215" s="54" t="s">
        <v>67</v>
      </c>
      <c r="D215" s="58"/>
      <c r="G215" s="58"/>
      <c r="J215" s="58"/>
      <c r="M215" s="58"/>
      <c r="P215" s="58"/>
      <c r="S215" s="58"/>
      <c r="V215" s="58"/>
      <c r="Y215" s="58"/>
      <c r="AB215" s="58"/>
      <c r="AE215" s="58"/>
      <c r="AF215" s="57" t="s">
        <v>68</v>
      </c>
      <c r="AG215" s="54" t="s">
        <v>69</v>
      </c>
      <c r="AW215" s="146"/>
    </row>
    <row r="216" spans="1:49" s="54" customFormat="1" ht="12.75" hidden="1" customHeight="1" x14ac:dyDescent="0.2">
      <c r="A216" s="54" t="s">
        <v>70</v>
      </c>
      <c r="B216" s="54">
        <f>IF(B194=1,IF(B207=1,1,0),0)</f>
        <v>0</v>
      </c>
      <c r="D216" s="58">
        <f>IF(D194=1,IF(D207=1,1,0),0)</f>
        <v>0</v>
      </c>
      <c r="E216" s="54">
        <f>IF(E194=1,IF(E207=1,1,0),0)</f>
        <v>0</v>
      </c>
      <c r="G216" s="58">
        <f>IF(G194=1,IF(G207=1,1,0),0)</f>
        <v>0</v>
      </c>
      <c r="H216" s="54">
        <f>IF(H194=1,IF(H207=1,1,0),0)</f>
        <v>0</v>
      </c>
      <c r="J216" s="58">
        <f>IF(J194=1,IF(J207=1,1,0),0)</f>
        <v>0</v>
      </c>
      <c r="K216" s="54">
        <f>IF(K194=1,IF(K207=1,1,0),0)</f>
        <v>0</v>
      </c>
      <c r="M216" s="58">
        <f>IF(M194=1,IF(M207=1,1,0),0)</f>
        <v>0</v>
      </c>
      <c r="N216" s="54">
        <f>IF(N194=1,IF(N207=1,1,0),0)</f>
        <v>0</v>
      </c>
      <c r="P216" s="58">
        <f>IF(P194=1,IF(P207=1,1,0),0)</f>
        <v>0</v>
      </c>
      <c r="Q216" s="54">
        <f>IF(Q194=1,IF(Q207=1,1,0),0)</f>
        <v>0</v>
      </c>
      <c r="S216" s="58">
        <f>IF(S194=1,IF(S207=1,1,0),0)</f>
        <v>0</v>
      </c>
      <c r="T216" s="54">
        <f>IF(T194=1,IF(T207=1,1,0),0)</f>
        <v>0</v>
      </c>
      <c r="V216" s="58">
        <f>IF(V194=1,IF(V207=1,1,0),0)</f>
        <v>0</v>
      </c>
      <c r="W216" s="54">
        <f>IF(W194=1,IF(W207=1,1,0),0)</f>
        <v>0</v>
      </c>
      <c r="Y216" s="58">
        <f>IF(Y194=1,IF(Y207=1,1,0),0)</f>
        <v>0</v>
      </c>
      <c r="Z216" s="54">
        <f>IF(Z194=1,IF(Z207=1,1,0),0)</f>
        <v>0</v>
      </c>
      <c r="AB216" s="58">
        <f>IF(AB194=1,IF(AB207=1,1,0),0)</f>
        <v>0</v>
      </c>
      <c r="AC216" s="54">
        <f>IF(AC194=1,IF(AC207=1,1,0),0)</f>
        <v>0</v>
      </c>
      <c r="AE216" s="58">
        <f>IF(AE194=1,IF(AE207=1,1,0),0)</f>
        <v>0</v>
      </c>
      <c r="AF216" s="54">
        <f>SUM(B216:AE216)</f>
        <v>0</v>
      </c>
      <c r="AG216" s="54">
        <f>AF222-AF216</f>
        <v>1</v>
      </c>
      <c r="AW216" s="146"/>
    </row>
    <row r="217" spans="1:49" s="54" customFormat="1" ht="12.75" hidden="1" customHeight="1" x14ac:dyDescent="0.2">
      <c r="A217" s="54" t="s">
        <v>71</v>
      </c>
      <c r="B217" s="54">
        <f>IF(B194=2,IF(B207=1,1,0),0)</f>
        <v>0</v>
      </c>
      <c r="D217" s="58">
        <f>IF(D194=2,IF(D207=1,1,0),0)</f>
        <v>0</v>
      </c>
      <c r="E217" s="54">
        <f>IF(E194=2,IF(E207=1,1,0),0)</f>
        <v>0</v>
      </c>
      <c r="G217" s="58">
        <f>IF(G194=2,IF(G207=1,1,0),0)</f>
        <v>0</v>
      </c>
      <c r="H217" s="54">
        <f>IF(H194=2,IF(H207=1,1,0),0)</f>
        <v>0</v>
      </c>
      <c r="J217" s="58">
        <f>IF(J194=2,IF(J207=1,1,0),0)</f>
        <v>0</v>
      </c>
      <c r="K217" s="54">
        <f>IF(K194=2,IF(K207=1,1,0),0)</f>
        <v>0</v>
      </c>
      <c r="M217" s="58">
        <f>IF(M194=2,IF(M207=1,1,0),0)</f>
        <v>0</v>
      </c>
      <c r="N217" s="54">
        <f>IF(N194=2,IF(N207=1,1,0),0)</f>
        <v>0</v>
      </c>
      <c r="P217" s="58">
        <f>IF(P194=2,IF(P207=1,1,0),0)</f>
        <v>0</v>
      </c>
      <c r="Q217" s="54">
        <f>IF(Q194=2,IF(Q207=1,1,0),0)</f>
        <v>0</v>
      </c>
      <c r="S217" s="58">
        <f>IF(S194=2,IF(S207=1,1,0),0)</f>
        <v>0</v>
      </c>
      <c r="T217" s="54">
        <f>IF(T194=2,IF(T207=1,1,0),0)</f>
        <v>0</v>
      </c>
      <c r="V217" s="58">
        <f>IF(V194=2,IF(V207=1,1,0),0)</f>
        <v>0</v>
      </c>
      <c r="W217" s="54">
        <f>IF(W194=2,IF(W207=1,1,0),0)</f>
        <v>0</v>
      </c>
      <c r="Y217" s="58">
        <f>IF(Y194=2,IF(Y207=1,1,0),0)</f>
        <v>0</v>
      </c>
      <c r="Z217" s="54">
        <f>IF(Z194=2,IF(Z207=1,1,0),0)</f>
        <v>0</v>
      </c>
      <c r="AB217" s="58">
        <f>IF(AB194=2,IF(AB207=1,1,0),0)</f>
        <v>0</v>
      </c>
      <c r="AC217" s="54">
        <f>IF(AC194=2,IF(AC207=1,1,0),0)</f>
        <v>0</v>
      </c>
      <c r="AE217" s="58">
        <f>IF(AE194=2,IF(AE207=1,1,0),0)</f>
        <v>0</v>
      </c>
      <c r="AF217" s="54">
        <f>SUM(B217:AE217)</f>
        <v>0</v>
      </c>
      <c r="AG217" s="54">
        <f>AF223-AF217</f>
        <v>3</v>
      </c>
      <c r="AW217" s="146"/>
    </row>
    <row r="218" spans="1:49" s="54" customFormat="1" ht="12.75" hidden="1" customHeight="1" x14ac:dyDescent="0.2">
      <c r="A218" s="54" t="s">
        <v>72</v>
      </c>
      <c r="B218" s="54">
        <f>IF(B194=3,IF(B207=1,1,0),0)</f>
        <v>0</v>
      </c>
      <c r="D218" s="58">
        <f>IF(D194=3,IF(D207=1,1,0),0)</f>
        <v>0</v>
      </c>
      <c r="E218" s="54">
        <f>IF(E194=3,IF(E207=1,1,0),0)</f>
        <v>0</v>
      </c>
      <c r="G218" s="58">
        <f>IF(G194=3,IF(G207=1,1,0),0)</f>
        <v>0</v>
      </c>
      <c r="H218" s="54">
        <f>IF(H194=3,IF(H207=1,1,0),0)</f>
        <v>0</v>
      </c>
      <c r="J218" s="58">
        <f>IF(J194=3,IF(J207=1,1,0),0)</f>
        <v>0</v>
      </c>
      <c r="K218" s="54">
        <f>IF(K194=3,IF(K207=1,1,0),0)</f>
        <v>0</v>
      </c>
      <c r="M218" s="58">
        <f>IF(M194=3,IF(M207=1,1,0),0)</f>
        <v>0</v>
      </c>
      <c r="N218" s="54">
        <f>IF(N194=3,IF(N207=1,1,0),0)</f>
        <v>0</v>
      </c>
      <c r="P218" s="58">
        <f>IF(P194=3,IF(P207=1,1,0),0)</f>
        <v>0</v>
      </c>
      <c r="Q218" s="54">
        <f>IF(Q194=3,IF(Q207=1,1,0),0)</f>
        <v>0</v>
      </c>
      <c r="S218" s="58">
        <f>IF(S194=3,IF(S207=1,1,0),0)</f>
        <v>0</v>
      </c>
      <c r="T218" s="54">
        <f>IF(T194=3,IF(T207=1,1,0),0)</f>
        <v>0</v>
      </c>
      <c r="V218" s="58">
        <f>IF(V194=3,IF(V207=1,1,0),0)</f>
        <v>1</v>
      </c>
      <c r="W218" s="54">
        <f>IF(W194=3,IF(W207=1,1,0),0)</f>
        <v>0</v>
      </c>
      <c r="Y218" s="58">
        <f>IF(Y194=3,IF(Y207=1,1,0),0)</f>
        <v>0</v>
      </c>
      <c r="Z218" s="54">
        <f>IF(Z194=3,IF(Z207=1,1,0),0)</f>
        <v>0</v>
      </c>
      <c r="AB218" s="58">
        <f>IF(AB194=3,IF(AB207=1,1,0),0)</f>
        <v>0</v>
      </c>
      <c r="AC218" s="54">
        <f>IF(AC194=3,IF(AC207=1,1,0),0)</f>
        <v>0</v>
      </c>
      <c r="AE218" s="58">
        <f>IF(AE194=3,IF(AE207=1,1,0),0)</f>
        <v>0</v>
      </c>
      <c r="AF218" s="54">
        <f>SUM(B218:AE218)</f>
        <v>1</v>
      </c>
      <c r="AG218" s="54">
        <f>AF224-AF218</f>
        <v>1</v>
      </c>
      <c r="AW218" s="146"/>
    </row>
    <row r="219" spans="1:49" s="54" customFormat="1" ht="12.75" hidden="1" customHeight="1" x14ac:dyDescent="0.2">
      <c r="A219" s="54" t="s">
        <v>73</v>
      </c>
      <c r="B219" s="54">
        <f>IF(B194=4,IF(B207=1,1,0),0)</f>
        <v>0</v>
      </c>
      <c r="D219" s="58">
        <f>IF(D194=4,IF(D207=1,1,0),0)</f>
        <v>0</v>
      </c>
      <c r="E219" s="54">
        <f>IF(E194=4,IF(E207=1,1,0),0)</f>
        <v>0</v>
      </c>
      <c r="G219" s="58">
        <f>IF(G194=4,IF(G207=1,1,0),0)</f>
        <v>0</v>
      </c>
      <c r="H219" s="54">
        <f>IF(H194=4,IF(H207=1,1,0),0)</f>
        <v>0</v>
      </c>
      <c r="J219" s="58">
        <f>IF(J194=4,IF(J207=1,1,0),0)</f>
        <v>0</v>
      </c>
      <c r="K219" s="54">
        <f>IF(K194=4,IF(K207=1,1,0),0)</f>
        <v>0</v>
      </c>
      <c r="M219" s="58">
        <f>IF(M194=4,IF(M207=1,1,0),0)</f>
        <v>1</v>
      </c>
      <c r="N219" s="54">
        <f>IF(N194=4,IF(N207=1,1,0),0)</f>
        <v>0</v>
      </c>
      <c r="P219" s="58">
        <f>IF(P194=4,IF(P207=1,1,0),0)</f>
        <v>0</v>
      </c>
      <c r="Q219" s="54">
        <f>IF(Q194=4,IF(Q207=1,1,0),0)</f>
        <v>1</v>
      </c>
      <c r="S219" s="58">
        <f>IF(S194=4,IF(S207=1,1,0),0)</f>
        <v>0</v>
      </c>
      <c r="T219" s="54">
        <f>IF(T194=4,IF(T207=1,1,0),0)</f>
        <v>0</v>
      </c>
      <c r="V219" s="58">
        <f>IF(V194=4,IF(V207=1,1,0),0)</f>
        <v>0</v>
      </c>
      <c r="W219" s="54">
        <f>IF(W194=4,IF(W207=1,1,0),0)</f>
        <v>0</v>
      </c>
      <c r="Y219" s="58">
        <f>IF(Y194=4,IF(Y207=1,1,0),0)</f>
        <v>0</v>
      </c>
      <c r="Z219" s="54">
        <f>IF(Z194=4,IF(Z207=1,1,0),0)</f>
        <v>0</v>
      </c>
      <c r="AB219" s="58">
        <f>IF(AB194=4,IF(AB207=1,1,0),0)</f>
        <v>1</v>
      </c>
      <c r="AC219" s="54">
        <f>IF(AC194=4,IF(AC207=1,1,0),0)</f>
        <v>0</v>
      </c>
      <c r="AE219" s="58">
        <f>IF(AE194=4,IF(AE207=1,1,0),0)</f>
        <v>0</v>
      </c>
      <c r="AF219" s="54">
        <f>SUM(B219:AE219)</f>
        <v>3</v>
      </c>
      <c r="AG219" s="54">
        <f>AF225-AF219</f>
        <v>0</v>
      </c>
      <c r="AW219" s="146"/>
    </row>
    <row r="220" spans="1:49" s="54" customFormat="1" ht="12.75" hidden="1" customHeight="1" x14ac:dyDescent="0.2">
      <c r="A220" s="54" t="s">
        <v>74</v>
      </c>
      <c r="B220" s="54">
        <f>IF(B194=5,IF(B207=1,1,0),0)</f>
        <v>0</v>
      </c>
      <c r="D220" s="58">
        <f>IF(D194=5,IF(D207=1,1,0),0)</f>
        <v>1</v>
      </c>
      <c r="E220" s="54">
        <f>IF(E194=5,IF(E207=1,1,0),0)</f>
        <v>0</v>
      </c>
      <c r="G220" s="58">
        <f>IF(G194=5,IF(G207=1,1,0),0)</f>
        <v>0</v>
      </c>
      <c r="H220" s="54">
        <f>IF(H194=5,IF(H207=1,1,0),0)</f>
        <v>0</v>
      </c>
      <c r="J220" s="58">
        <f>IF(J194=5,IF(J207=1,1,0),0)</f>
        <v>0</v>
      </c>
      <c r="K220" s="54">
        <f>IF(K194=5,IF(K207=1,1,0),0)</f>
        <v>0</v>
      </c>
      <c r="M220" s="58">
        <f>IF(M194=5,IF(M207=1,1,0),0)</f>
        <v>0</v>
      </c>
      <c r="N220" s="54">
        <f>IF(N194=5,IF(N207=1,1,0),0)</f>
        <v>0</v>
      </c>
      <c r="P220" s="58">
        <f>IF(P194=5,IF(P207=1,1,0),0)</f>
        <v>0</v>
      </c>
      <c r="Q220" s="54">
        <f>IF(Q194=5,IF(Q207=1,1,0),0)</f>
        <v>0</v>
      </c>
      <c r="S220" s="58">
        <f>IF(S194=5,IF(S207=1,1,0),0)</f>
        <v>0</v>
      </c>
      <c r="T220" s="54">
        <f>IF(T194=5,IF(T207=1,1,0),0)</f>
        <v>0</v>
      </c>
      <c r="V220" s="58">
        <f>IF(V194=5,IF(V207=1,1,0),0)</f>
        <v>0</v>
      </c>
      <c r="W220" s="54">
        <f>IF(W194=5,IF(W207=1,1,0),0)</f>
        <v>0</v>
      </c>
      <c r="Y220" s="58">
        <f>IF(Y194=5,IF(Y207=1,1,0),0)</f>
        <v>1</v>
      </c>
      <c r="Z220" s="54">
        <f>IF(Z194=5,IF(Z207=1,1,0),0)</f>
        <v>0</v>
      </c>
      <c r="AB220" s="58">
        <f>IF(AB194=5,IF(AB207=1,1,0),0)</f>
        <v>0</v>
      </c>
      <c r="AC220" s="54">
        <f>IF(AC194=5,IF(AC207=1,1,0),0)</f>
        <v>0</v>
      </c>
      <c r="AE220" s="58">
        <f>IF(AE194=5,IF(AE207=1,1,0),0)</f>
        <v>0</v>
      </c>
      <c r="AF220" s="54">
        <f>SUM(B220:AE220)</f>
        <v>2</v>
      </c>
      <c r="AG220" s="54">
        <f>AF226-AF220</f>
        <v>1</v>
      </c>
      <c r="AW220" s="146"/>
    </row>
    <row r="221" spans="1:49" s="54" customFormat="1" ht="38.25" hidden="1" customHeight="1" x14ac:dyDescent="0.2">
      <c r="A221" s="57"/>
      <c r="D221" s="58"/>
      <c r="G221" s="58"/>
      <c r="J221" s="58"/>
      <c r="M221" s="58"/>
      <c r="P221" s="58"/>
      <c r="S221" s="58"/>
      <c r="V221" s="58"/>
      <c r="Y221" s="58"/>
      <c r="AB221" s="58"/>
      <c r="AE221" s="58"/>
      <c r="AF221" s="57" t="s">
        <v>75</v>
      </c>
      <c r="AW221" s="146"/>
    </row>
    <row r="222" spans="1:49" s="54" customFormat="1" ht="12.75" hidden="1" customHeight="1" x14ac:dyDescent="0.2">
      <c r="A222" s="54" t="s">
        <v>76</v>
      </c>
      <c r="B222" s="54">
        <f>IF(B194=1,IF(C207=1,1,0),0)</f>
        <v>0</v>
      </c>
      <c r="D222" s="58">
        <f>IF(D194=1,IF(C207=1,1,0),0)</f>
        <v>0</v>
      </c>
      <c r="E222" s="54">
        <f>IF(E194=1,IF(F207=1,1,0),0)</f>
        <v>0</v>
      </c>
      <c r="G222" s="58">
        <f>IF(G194=1,IF(F207=1,1,0),0)</f>
        <v>0</v>
      </c>
      <c r="H222" s="54">
        <f>IF(H194=1,IF(I207=1,1,0),0)</f>
        <v>0</v>
      </c>
      <c r="J222" s="58">
        <f>IF(J194=1,IF(I207=1,1,0),0)</f>
        <v>0</v>
      </c>
      <c r="K222" s="54">
        <f>IF(K194=1,IF(L207=1,1,0),0)</f>
        <v>0</v>
      </c>
      <c r="M222" s="58">
        <f>IF(M194=1,IF(L207=1,1,0),0)</f>
        <v>0</v>
      </c>
      <c r="N222" s="54">
        <f>IF(N194=1,IF(O207=1,1,0),0)</f>
        <v>0</v>
      </c>
      <c r="P222" s="58">
        <f>IF(P194=1,IF(O207=1,1,0),0)</f>
        <v>0</v>
      </c>
      <c r="Q222" s="54">
        <f>IF(Q194=1,IF(R207=1,1,0),0)</f>
        <v>0</v>
      </c>
      <c r="S222" s="58">
        <f>IF(S194=1,IF(R207=1,1,0),0)</f>
        <v>0</v>
      </c>
      <c r="T222" s="54">
        <f>IF(T194=1,IF(U207=1,1,0),0)</f>
        <v>0</v>
      </c>
      <c r="V222" s="58">
        <f>IF(V194=1,IF(U207=1,1,0),0)</f>
        <v>0</v>
      </c>
      <c r="W222" s="54">
        <f>IF(W194=1,IF(X207=1,1,0),0)</f>
        <v>1</v>
      </c>
      <c r="Y222" s="58">
        <f>IF(Y194=1,IF(X207=1,1,0),0)</f>
        <v>0</v>
      </c>
      <c r="Z222" s="54">
        <f>IF(Z194=1,IF(AA207=1,1,0),0)</f>
        <v>0</v>
      </c>
      <c r="AB222" s="58">
        <f>IF(AB194=1,IF(AA207=1,1,0),0)</f>
        <v>0</v>
      </c>
      <c r="AC222" s="54">
        <f>IF(AC194=1,IF(AD207=1,1,0),0)</f>
        <v>0</v>
      </c>
      <c r="AE222" s="58">
        <f>IF(AE194=1,IF(AD207=1,1,0),0)</f>
        <v>0</v>
      </c>
      <c r="AF222" s="54">
        <f>SUM(B222:AE222)</f>
        <v>1</v>
      </c>
      <c r="AW222" s="146"/>
    </row>
    <row r="223" spans="1:49" s="54" customFormat="1" ht="12.75" hidden="1" customHeight="1" x14ac:dyDescent="0.2">
      <c r="A223" s="54" t="s">
        <v>77</v>
      </c>
      <c r="B223" s="54">
        <f>IF(B194=2,IF(C207=1,1,0),0)</f>
        <v>1</v>
      </c>
      <c r="D223" s="58">
        <f>IF(D194=2,IF(C207=1,1,0),0)</f>
        <v>0</v>
      </c>
      <c r="E223" s="54">
        <f>IF(E194=2,IF(F207=1,1,0),0)</f>
        <v>0</v>
      </c>
      <c r="G223" s="58">
        <f>IF(G194=2,IF(F207=1,1,0),0)</f>
        <v>0</v>
      </c>
      <c r="H223" s="54">
        <f>IF(H194=2,IF(I207=1,1,0),0)</f>
        <v>0</v>
      </c>
      <c r="J223" s="58">
        <f>IF(J194=2,IF(I207=1,1,0),0)</f>
        <v>0</v>
      </c>
      <c r="K223" s="54">
        <f>IF(K194=2,IF(L207=1,1,0),0)</f>
        <v>1</v>
      </c>
      <c r="M223" s="58">
        <f>IF(M194=2,IF(L207=1,1,0),0)</f>
        <v>0</v>
      </c>
      <c r="N223" s="54">
        <f>IF(N194=2,IF(O207=1,1,0),0)</f>
        <v>0</v>
      </c>
      <c r="P223" s="58">
        <f>IF(P194=2,IF(O207=1,1,0),0)</f>
        <v>0</v>
      </c>
      <c r="Q223" s="54">
        <f>IF(Q194=2,IF(R207=1,1,0),0)</f>
        <v>0</v>
      </c>
      <c r="S223" s="58">
        <f>IF(S194=2,IF(R207=1,1,0),0)</f>
        <v>0</v>
      </c>
      <c r="T223" s="54">
        <f>IF(T194=2,IF(U207=1,1,0),0)</f>
        <v>1</v>
      </c>
      <c r="V223" s="58">
        <f>IF(V194=2,IF(U207=1,1,0),0)</f>
        <v>0</v>
      </c>
      <c r="W223" s="54">
        <f>IF(W194=2,IF(X207=1,1,0),0)</f>
        <v>0</v>
      </c>
      <c r="Y223" s="58">
        <f>IF(Y194=2,IF(X207=1,1,0),0)</f>
        <v>0</v>
      </c>
      <c r="Z223" s="54">
        <f>IF(Z194=2,IF(AA207=1,1,0),0)</f>
        <v>0</v>
      </c>
      <c r="AB223" s="58">
        <f>IF(AB194=2,IF(AA207=1,1,0),0)</f>
        <v>0</v>
      </c>
      <c r="AC223" s="54">
        <f>IF(AC194=2,IF(AD207=1,1,0),0)</f>
        <v>0</v>
      </c>
      <c r="AE223" s="58">
        <f>IF(AE194=2,IF(AD207=1,1,0),0)</f>
        <v>0</v>
      </c>
      <c r="AF223" s="54">
        <f>SUM(B223:AE223)</f>
        <v>3</v>
      </c>
      <c r="AW223" s="146"/>
    </row>
    <row r="224" spans="1:49" s="54" customFormat="1" ht="12.75" hidden="1" customHeight="1" x14ac:dyDescent="0.2">
      <c r="A224" s="54" t="s">
        <v>78</v>
      </c>
      <c r="B224" s="54">
        <f>IF(B194=3,IF(C207=1,1,0),0)</f>
        <v>0</v>
      </c>
      <c r="D224" s="58">
        <f>IF(D194=3,IF(C207=1,1,0),0)</f>
        <v>0</v>
      </c>
      <c r="E224" s="54">
        <f>IF(E194=3,IF(F207=1,1,0),0)</f>
        <v>0</v>
      </c>
      <c r="G224" s="58">
        <f>IF(G194=3,IF(F207=1,1,0),0)</f>
        <v>0</v>
      </c>
      <c r="H224" s="54">
        <f>IF(H194=3,IF(I207=1,1,0),0)</f>
        <v>0</v>
      </c>
      <c r="J224" s="58">
        <f>IF(J194=3,IF(I207=1,1,0),0)</f>
        <v>0</v>
      </c>
      <c r="K224" s="54">
        <f>IF(K194=3,IF(L207=1,1,0),0)</f>
        <v>0</v>
      </c>
      <c r="M224" s="58">
        <f>IF(M194=3,IF(L207=1,1,0),0)</f>
        <v>0</v>
      </c>
      <c r="N224" s="54">
        <f>IF(N194=3,IF(O207=1,1,0),0)</f>
        <v>0</v>
      </c>
      <c r="P224" s="58">
        <f>IF(P194=3,IF(O207=1,1,0),0)</f>
        <v>0</v>
      </c>
      <c r="Q224" s="54">
        <f>IF(Q194=3,IF(R207=1,1,0),0)</f>
        <v>0</v>
      </c>
      <c r="S224" s="58">
        <f>IF(S194=3,IF(R207=1,1,0),0)</f>
        <v>0</v>
      </c>
      <c r="T224" s="54">
        <f>IF(T194=3,IF(U207=1,1,0),0)</f>
        <v>0</v>
      </c>
      <c r="V224" s="58">
        <f>IF(V194=3,IF(U207=1,1,0),0)</f>
        <v>1</v>
      </c>
      <c r="W224" s="54">
        <f>IF(W194=3,IF(X207=1,1,0),0)</f>
        <v>0</v>
      </c>
      <c r="Y224" s="58">
        <f>IF(Y194=3,IF(X207=1,1,0),0)</f>
        <v>0</v>
      </c>
      <c r="Z224" s="54">
        <f>IF(Z194=3,IF(AA207=1,1,0),0)</f>
        <v>1</v>
      </c>
      <c r="AB224" s="58">
        <f>IF(AB194=3,IF(AA207=1,1,0),0)</f>
        <v>0</v>
      </c>
      <c r="AC224" s="54">
        <f>IF(AC194=3,IF(AD207=1,1,0),0)</f>
        <v>0</v>
      </c>
      <c r="AE224" s="58">
        <f>IF(AE194=3,IF(AD207=1,1,0),0)</f>
        <v>0</v>
      </c>
      <c r="AF224" s="54">
        <f>SUM(B224:AE224)</f>
        <v>2</v>
      </c>
      <c r="AW224" s="146"/>
    </row>
    <row r="225" spans="1:49" s="54" customFormat="1" ht="12.75" hidden="1" customHeight="1" x14ac:dyDescent="0.2">
      <c r="A225" s="54" t="s">
        <v>79</v>
      </c>
      <c r="B225" s="54">
        <f>IF(B194=4,IF(C207=1,1,0),0)</f>
        <v>0</v>
      </c>
      <c r="D225" s="58">
        <f>IF(D194=4,IF(C207=1,1,0),0)</f>
        <v>0</v>
      </c>
      <c r="E225" s="54">
        <f>IF(E194=4,IF(F207=1,1,0),0)</f>
        <v>0</v>
      </c>
      <c r="G225" s="58">
        <f>IF(G194=4,IF(F207=1,1,0),0)</f>
        <v>0</v>
      </c>
      <c r="H225" s="54">
        <f>IF(H194=4,IF(I207=1,1,0),0)</f>
        <v>0</v>
      </c>
      <c r="J225" s="58">
        <f>IF(J194=4,IF(I207=1,1,0),0)</f>
        <v>0</v>
      </c>
      <c r="K225" s="54">
        <f>IF(K194=4,IF(L207=1,1,0),0)</f>
        <v>0</v>
      </c>
      <c r="M225" s="58">
        <f>IF(M194=4,IF(L207=1,1,0),0)</f>
        <v>1</v>
      </c>
      <c r="N225" s="54">
        <f>IF(N194=4,IF(O207=1,1,0),0)</f>
        <v>0</v>
      </c>
      <c r="P225" s="58">
        <f>IF(P194=4,IF(O207=1,1,0),0)</f>
        <v>0</v>
      </c>
      <c r="Q225" s="54">
        <f>IF(Q194=4,IF(R207=1,1,0),0)</f>
        <v>1</v>
      </c>
      <c r="S225" s="58">
        <f>IF(S194=4,IF(R207=1,1,0),0)</f>
        <v>0</v>
      </c>
      <c r="T225" s="54">
        <f>IF(T194=4,IF(U207=1,1,0),0)</f>
        <v>0</v>
      </c>
      <c r="V225" s="58">
        <f>IF(V194=4,IF(U207=1,1,0),0)</f>
        <v>0</v>
      </c>
      <c r="W225" s="54">
        <f>IF(W194=4,IF(X207=1,1,0),0)</f>
        <v>0</v>
      </c>
      <c r="Y225" s="58">
        <f>IF(Y194=4,IF(X207=1,1,0),0)</f>
        <v>0</v>
      </c>
      <c r="Z225" s="54">
        <f>IF(Z194=4,IF(AA207=1,1,0),0)</f>
        <v>0</v>
      </c>
      <c r="AB225" s="58">
        <f>IF(AB194=4,IF(AA207=1,1,0),0)</f>
        <v>1</v>
      </c>
      <c r="AC225" s="54">
        <f>IF(AC194=4,IF(AD207=1,1,0),0)</f>
        <v>0</v>
      </c>
      <c r="AE225" s="58">
        <f>IF(AE194=4,IF(AD207=1,1,0),0)</f>
        <v>0</v>
      </c>
      <c r="AF225" s="54">
        <f>SUM(B225:AE225)</f>
        <v>3</v>
      </c>
      <c r="AW225" s="146"/>
    </row>
    <row r="226" spans="1:49" s="54" customFormat="1" ht="12.75" hidden="1" customHeight="1" x14ac:dyDescent="0.2">
      <c r="A226" s="54" t="s">
        <v>80</v>
      </c>
      <c r="B226" s="54">
        <f>IF(B194=5,IF(C207=1,1,0),0)</f>
        <v>0</v>
      </c>
      <c r="D226" s="58">
        <f>IF(D194=5,IF(C207=1,1,0),0)</f>
        <v>1</v>
      </c>
      <c r="E226" s="54">
        <f>IF(E194=5,IF(F207=1,1,0),0)</f>
        <v>0</v>
      </c>
      <c r="G226" s="58">
        <f>IF(G194=5,IF(F207=1,1,0),0)</f>
        <v>0</v>
      </c>
      <c r="H226" s="54">
        <f>IF(H194=5,IF(I207=1,1,0),0)</f>
        <v>0</v>
      </c>
      <c r="J226" s="58">
        <f>IF(J194=5,IF(I207=1,1,0),0)</f>
        <v>0</v>
      </c>
      <c r="K226" s="54">
        <f>IF(K194=5,IF(L207=1,1,0),0)</f>
        <v>0</v>
      </c>
      <c r="M226" s="58">
        <f>IF(M194=5,IF(L207=1,1,0),0)</f>
        <v>0</v>
      </c>
      <c r="N226" s="54">
        <f>IF(N194=5,IF(O207=1,1,0),0)</f>
        <v>0</v>
      </c>
      <c r="P226" s="58">
        <f>IF(P194=5,IF(O207=1,1,0),0)</f>
        <v>0</v>
      </c>
      <c r="Q226" s="54">
        <f>IF(Q194=5,IF(R207=1,1,0),0)</f>
        <v>0</v>
      </c>
      <c r="S226" s="58">
        <f>IF(S194=5,IF(R207=1,1,0),0)</f>
        <v>1</v>
      </c>
      <c r="T226" s="54">
        <f>IF(T194=5,IF(U207=1,1,0),0)</f>
        <v>0</v>
      </c>
      <c r="V226" s="58">
        <f>IF(V194=5,IF(U207=1,1,0),0)</f>
        <v>0</v>
      </c>
      <c r="W226" s="54">
        <f>IF(W194=5,IF(X207=1,1,0),0)</f>
        <v>0</v>
      </c>
      <c r="Y226" s="58">
        <f>IF(Y194=5,IF(X207=1,1,0),0)</f>
        <v>1</v>
      </c>
      <c r="Z226" s="54">
        <f>IF(Z194=5,IF(AA207=1,1,0),0)</f>
        <v>0</v>
      </c>
      <c r="AB226" s="58">
        <f>IF(AB194=5,IF(AA207=1,1,0),0)</f>
        <v>0</v>
      </c>
      <c r="AC226" s="54">
        <f>IF(AC194=5,IF(AD207=1,1,0),0)</f>
        <v>0</v>
      </c>
      <c r="AE226" s="58">
        <f>IF(AE194=5,IF(AD207=1,1,0),0)</f>
        <v>0</v>
      </c>
      <c r="AF226" s="54">
        <f>SUM(B226:AE226)</f>
        <v>3</v>
      </c>
      <c r="AW226" s="146"/>
    </row>
    <row r="227" spans="1:49" s="54" customFormat="1" ht="38.25" hidden="1" customHeight="1" x14ac:dyDescent="0.2">
      <c r="A227" s="57"/>
      <c r="D227" s="58"/>
      <c r="G227" s="58"/>
      <c r="J227" s="58"/>
      <c r="M227" s="58"/>
      <c r="P227" s="58"/>
      <c r="S227" s="58"/>
      <c r="V227" s="58"/>
      <c r="Y227" s="58"/>
      <c r="AB227" s="58"/>
      <c r="AE227" s="58"/>
      <c r="AF227" s="57" t="s">
        <v>81</v>
      </c>
      <c r="AG227" s="789"/>
      <c r="AH227" s="789"/>
      <c r="AI227" s="789"/>
      <c r="AJ227" s="789"/>
      <c r="AK227" s="789"/>
      <c r="AW227" s="146"/>
    </row>
    <row r="228" spans="1:49" s="54" customFormat="1" ht="12.75" hidden="1" customHeight="1" x14ac:dyDescent="0.2">
      <c r="A228" s="54" t="s">
        <v>76</v>
      </c>
      <c r="B228" s="54">
        <f>IF(B194=1,B214,0)</f>
        <v>0</v>
      </c>
      <c r="D228" s="58">
        <f>IF(D194=1,B214,0)</f>
        <v>0</v>
      </c>
      <c r="E228" s="54">
        <f>IF(E194=1,E214,0)</f>
        <v>50</v>
      </c>
      <c r="G228" s="58">
        <f>IF(G194=1,E214,0)</f>
        <v>0</v>
      </c>
      <c r="H228" s="54">
        <f>IF(H194=1,H214,0)</f>
        <v>0</v>
      </c>
      <c r="J228" s="58">
        <f>IF(J194=1,H214,0)</f>
        <v>0</v>
      </c>
      <c r="K228" s="54">
        <f>IF(K194=1,K214,0)</f>
        <v>0</v>
      </c>
      <c r="M228" s="58">
        <f>IF(M194=1,K214,0)</f>
        <v>0</v>
      </c>
      <c r="N228" s="54">
        <f>IF(N194=1,N214,0)</f>
        <v>52</v>
      </c>
      <c r="P228" s="58">
        <f>IF(P194=1,N214,0)</f>
        <v>0</v>
      </c>
      <c r="Q228" s="54">
        <f>IF(Q194=1,Q214,0)</f>
        <v>0</v>
      </c>
      <c r="S228" s="58">
        <f>IF(S194=1,Q214,0)</f>
        <v>0</v>
      </c>
      <c r="T228" s="54">
        <f>IF(T194=1,T214,0)</f>
        <v>0</v>
      </c>
      <c r="V228" s="58">
        <f>IF(V194=1,T214,0)</f>
        <v>0</v>
      </c>
      <c r="W228" s="54">
        <f>IF(W194=1,W214,0)</f>
        <v>51</v>
      </c>
      <c r="Y228" s="58">
        <f>IF(Y194=1,W214,0)</f>
        <v>0</v>
      </c>
      <c r="Z228" s="54">
        <f>IF(Z194=1,Z214,0)</f>
        <v>0</v>
      </c>
      <c r="AB228" s="58">
        <f>IF(AB194=1,Z214,0)</f>
        <v>0</v>
      </c>
      <c r="AC228" s="54">
        <f>IF(AC194=1,AC214,0)</f>
        <v>50</v>
      </c>
      <c r="AE228" s="58">
        <f>IF(AE194=1,AC214,0)</f>
        <v>0</v>
      </c>
      <c r="AF228" s="54">
        <f>SUM(B228:AE228)</f>
        <v>203</v>
      </c>
      <c r="AW228" s="146"/>
    </row>
    <row r="229" spans="1:49" s="54" customFormat="1" ht="12.75" hidden="1" customHeight="1" x14ac:dyDescent="0.2">
      <c r="A229" s="54" t="s">
        <v>77</v>
      </c>
      <c r="B229" s="54">
        <f>IF(B194=2,B214,0)</f>
        <v>50</v>
      </c>
      <c r="D229" s="58">
        <f>IF(D194=2,B214,0)</f>
        <v>0</v>
      </c>
      <c r="E229" s="54">
        <f>IF(E194=2,E214,0)</f>
        <v>0</v>
      </c>
      <c r="G229" s="58">
        <f>IF(G194=2,E214,0)</f>
        <v>0</v>
      </c>
      <c r="H229" s="54">
        <f>IF(H194=2,H214,0)</f>
        <v>0</v>
      </c>
      <c r="J229" s="58">
        <f>IF(J194=2,H214,0)</f>
        <v>0</v>
      </c>
      <c r="K229" s="54">
        <f>IF(K194=2,K214,0)</f>
        <v>52</v>
      </c>
      <c r="M229" s="58">
        <f>IF(M194=2,K214,0)</f>
        <v>0</v>
      </c>
      <c r="N229" s="54">
        <f>IF(N194=2,N214,0)</f>
        <v>0</v>
      </c>
      <c r="P229" s="58">
        <f>IF(P194=2,N214,0)</f>
        <v>0</v>
      </c>
      <c r="Q229" s="54">
        <f>IF(Q194=2,Q214,0)</f>
        <v>0</v>
      </c>
      <c r="S229" s="58">
        <f>IF(S194=2,Q214,0)</f>
        <v>0</v>
      </c>
      <c r="T229" s="54">
        <f>IF(T194=2,T214,0)</f>
        <v>50</v>
      </c>
      <c r="V229" s="58">
        <f>IF(V194=2,T214,0)</f>
        <v>0</v>
      </c>
      <c r="W229" s="54">
        <f>IF(W194=2,W214,0)</f>
        <v>0</v>
      </c>
      <c r="Y229" s="58">
        <f>IF(Y194=2,W214,0)</f>
        <v>0</v>
      </c>
      <c r="Z229" s="54">
        <f>IF(Z194=2,Z214,0)</f>
        <v>0</v>
      </c>
      <c r="AB229" s="58">
        <f>IF(AB194=2,Z214,0)</f>
        <v>0</v>
      </c>
      <c r="AC229" s="54">
        <f>IF(AC194=2,AC214,0)</f>
        <v>0</v>
      </c>
      <c r="AE229" s="58">
        <f>IF(AE194=2,AC214,0)</f>
        <v>50</v>
      </c>
      <c r="AF229" s="54">
        <f>SUM(B229:AE229)</f>
        <v>202</v>
      </c>
      <c r="AW229" s="146"/>
    </row>
    <row r="230" spans="1:49" s="54" customFormat="1" ht="12.75" hidden="1" customHeight="1" x14ac:dyDescent="0.2">
      <c r="A230" s="54" t="s">
        <v>78</v>
      </c>
      <c r="B230" s="54">
        <f>IF(B194=3,B214,0)</f>
        <v>0</v>
      </c>
      <c r="D230" s="58">
        <f>IF(D194=3,B214,0)</f>
        <v>0</v>
      </c>
      <c r="E230" s="54">
        <f>IF(E194=3,E214,0)</f>
        <v>0</v>
      </c>
      <c r="G230" s="58">
        <f>IF(G194=3,E214,0)</f>
        <v>0</v>
      </c>
      <c r="H230" s="54">
        <f>IF(H194=3,H214,0)</f>
        <v>50</v>
      </c>
      <c r="J230" s="58">
        <f>IF(J194=3,H214,0)</f>
        <v>0</v>
      </c>
      <c r="K230" s="54">
        <f>IF(K194=3,K214,0)</f>
        <v>0</v>
      </c>
      <c r="M230" s="58">
        <f>IF(M194=3,K214,0)</f>
        <v>0</v>
      </c>
      <c r="N230" s="54">
        <f>IF(N194=3,N214,0)</f>
        <v>0</v>
      </c>
      <c r="P230" s="58">
        <f>IF(P194=3,N214,0)</f>
        <v>52</v>
      </c>
      <c r="Q230" s="54">
        <f>IF(Q194=3,Q214,0)</f>
        <v>0</v>
      </c>
      <c r="S230" s="58">
        <f>IF(S194=3,Q214,0)</f>
        <v>0</v>
      </c>
      <c r="T230" s="54">
        <f>IF(T194=3,T214,0)</f>
        <v>0</v>
      </c>
      <c r="V230" s="58">
        <f>IF(V194=3,T214,0)</f>
        <v>50</v>
      </c>
      <c r="W230" s="54">
        <f>IF(W194=3,W214,0)</f>
        <v>0</v>
      </c>
      <c r="Y230" s="58">
        <f>IF(Y194=3,W214,0)</f>
        <v>0</v>
      </c>
      <c r="Z230" s="54">
        <f>IF(Z194=3,Z214,0)</f>
        <v>50</v>
      </c>
      <c r="AB230" s="58">
        <f>IF(AB194=3,Z214,0)</f>
        <v>0</v>
      </c>
      <c r="AC230" s="54">
        <f>IF(AC194=3,AC214,0)</f>
        <v>0</v>
      </c>
      <c r="AE230" s="58">
        <f>IF(AE194=3,AC214,0)</f>
        <v>0</v>
      </c>
      <c r="AF230" s="54">
        <f>SUM(B230:AE230)</f>
        <v>202</v>
      </c>
      <c r="AW230" s="146"/>
    </row>
    <row r="231" spans="1:49" s="54" customFormat="1" ht="12.75" hidden="1" customHeight="1" x14ac:dyDescent="0.2">
      <c r="A231" s="54" t="s">
        <v>79</v>
      </c>
      <c r="B231" s="54">
        <f>IF(B194=4,B214,0)</f>
        <v>0</v>
      </c>
      <c r="D231" s="58">
        <f>IF(D194=4,B214,0)</f>
        <v>0</v>
      </c>
      <c r="E231" s="54">
        <f>IF(E194=4,E214,0)</f>
        <v>0</v>
      </c>
      <c r="G231" s="58">
        <f>IF(G194=4,E214,0)</f>
        <v>50</v>
      </c>
      <c r="H231" s="54">
        <f>IF(H194=4,H214,0)</f>
        <v>0</v>
      </c>
      <c r="J231" s="58">
        <f>IF(J194=4,H214,0)</f>
        <v>0</v>
      </c>
      <c r="K231" s="54">
        <f>IF(K194=4,K214,0)</f>
        <v>0</v>
      </c>
      <c r="M231" s="58">
        <f>IF(M194=4,K214,0)</f>
        <v>52</v>
      </c>
      <c r="N231" s="54">
        <f>IF(N194=4,N214,0)</f>
        <v>0</v>
      </c>
      <c r="P231" s="58">
        <f>IF(P194=4,N214,0)</f>
        <v>0</v>
      </c>
      <c r="Q231" s="54">
        <f>IF(Q194=4,Q214,0)</f>
        <v>50</v>
      </c>
      <c r="S231" s="58">
        <f>IF(S194=4,Q214,0)</f>
        <v>0</v>
      </c>
      <c r="T231" s="54">
        <f>IF(T194=4,T214,0)</f>
        <v>0</v>
      </c>
      <c r="V231" s="58">
        <f>IF(V194=4,T214,0)</f>
        <v>0</v>
      </c>
      <c r="W231" s="54">
        <f>IF(W194=4,W214,0)</f>
        <v>0</v>
      </c>
      <c r="Y231" s="58">
        <f>IF(Y194=4,W214,0)</f>
        <v>0</v>
      </c>
      <c r="Z231" s="54">
        <f>IF(Z194=4,Z214,0)</f>
        <v>0</v>
      </c>
      <c r="AB231" s="58">
        <f>IF(AB194=4,Z214,0)</f>
        <v>50</v>
      </c>
      <c r="AC231" s="54">
        <f>IF(AC194=4,AC214,0)</f>
        <v>0</v>
      </c>
      <c r="AE231" s="58">
        <f>IF(AE194=4,AC214,0)</f>
        <v>0</v>
      </c>
      <c r="AF231" s="54">
        <f>SUM(B231:AE231)</f>
        <v>202</v>
      </c>
      <c r="AW231" s="146"/>
    </row>
    <row r="232" spans="1:49" s="54" customFormat="1" ht="12.75" hidden="1" customHeight="1" x14ac:dyDescent="0.2">
      <c r="A232" s="54" t="s">
        <v>80</v>
      </c>
      <c r="B232" s="54">
        <f>IF(B194=5,B214,0)</f>
        <v>0</v>
      </c>
      <c r="D232" s="58">
        <f>IF(D194=5,B214,0)</f>
        <v>50</v>
      </c>
      <c r="E232" s="54">
        <f>IF(E194=5,E214,0)</f>
        <v>0</v>
      </c>
      <c r="G232" s="58">
        <f>IF(G194=5,E214,0)</f>
        <v>0</v>
      </c>
      <c r="H232" s="54">
        <f>IF(H194=5,H214,0)</f>
        <v>0</v>
      </c>
      <c r="J232" s="58">
        <f>IF(J194=5,H214,0)</f>
        <v>50</v>
      </c>
      <c r="K232" s="54">
        <f>IF(K194=5,K214,0)</f>
        <v>0</v>
      </c>
      <c r="M232" s="58">
        <f>IF(M194=5,K214,0)</f>
        <v>0</v>
      </c>
      <c r="N232" s="54">
        <f>IF(N194=5,N214,0)</f>
        <v>0</v>
      </c>
      <c r="P232" s="58">
        <f>IF(P194=5,N214,0)</f>
        <v>0</v>
      </c>
      <c r="Q232" s="54">
        <f>IF(Q194=5,Q214,0)</f>
        <v>0</v>
      </c>
      <c r="S232" s="58">
        <f>IF(S194=5,Q214,0)</f>
        <v>50</v>
      </c>
      <c r="T232" s="54">
        <f>IF(T194=5,T214,0)</f>
        <v>0</v>
      </c>
      <c r="V232" s="58">
        <f>IF(V194=5,T214,0)</f>
        <v>0</v>
      </c>
      <c r="W232" s="54">
        <f>IF(W194=5,W214,0)</f>
        <v>0</v>
      </c>
      <c r="Y232" s="58">
        <f>IF(Y194=5,W214,0)</f>
        <v>51</v>
      </c>
      <c r="Z232" s="54">
        <f>IF(Z194=5,Z214,0)</f>
        <v>0</v>
      </c>
      <c r="AB232" s="58">
        <f>IF(AB194=5,Z214,0)</f>
        <v>0</v>
      </c>
      <c r="AC232" s="54">
        <f>IF(AC194=5,AC214,0)</f>
        <v>0</v>
      </c>
      <c r="AE232" s="58">
        <f>IF(AE194=5,AC214,0)</f>
        <v>0</v>
      </c>
      <c r="AF232" s="54">
        <f>SUM(B232:AE232)</f>
        <v>201</v>
      </c>
      <c r="AW232" s="146"/>
    </row>
    <row r="233" spans="1:49" s="54" customFormat="1" ht="38.25" hidden="1" customHeight="1" x14ac:dyDescent="0.2">
      <c r="A233" s="54" t="s">
        <v>82</v>
      </c>
      <c r="D233" s="58"/>
      <c r="G233" s="58"/>
      <c r="J233" s="58"/>
      <c r="M233" s="58"/>
      <c r="P233" s="58"/>
      <c r="S233" s="58"/>
      <c r="V233" s="58"/>
      <c r="Y233" s="58"/>
      <c r="AB233" s="58"/>
      <c r="AE233" s="58"/>
      <c r="AF233" s="57" t="s">
        <v>83</v>
      </c>
      <c r="AG233" s="54" t="s">
        <v>84</v>
      </c>
      <c r="AW233" s="146"/>
    </row>
    <row r="234" spans="1:49" s="54" customFormat="1" ht="12.75" hidden="1" customHeight="1" x14ac:dyDescent="0.2">
      <c r="A234" s="54" t="s">
        <v>70</v>
      </c>
      <c r="B234" s="54">
        <f>IF(B194=1,SUMIF(B201:B205,"&gt;0"),0)</f>
        <v>0</v>
      </c>
      <c r="D234" s="58">
        <f>IF(D194=1,SUMIF(D201:D205,"&gt;0"),0)</f>
        <v>0</v>
      </c>
      <c r="E234" s="54">
        <f>IF(E194=1,SUMIF(E201:E205,"&gt;0"),0)</f>
        <v>1</v>
      </c>
      <c r="G234" s="58">
        <f>IF(G194=1,SUMIF(G201:G205,"&gt;0"),0)</f>
        <v>0</v>
      </c>
      <c r="H234" s="54">
        <f>IF(H194=1,SUMIF(H201:H205,"&gt;0"),0)</f>
        <v>0</v>
      </c>
      <c r="J234" s="58">
        <f>IF(J194=1,SUMIF(J201:J205,"&gt;0"),0)</f>
        <v>0</v>
      </c>
      <c r="K234" s="54">
        <f>IF(K194=1,SUMIF(K201:K205,"&gt;0"),0)</f>
        <v>0</v>
      </c>
      <c r="M234" s="58">
        <f>IF(M194=1,SUMIF(M201:M205,"&gt;0"),0)</f>
        <v>0</v>
      </c>
      <c r="N234" s="54">
        <f>IF(N194=1,SUMIF(N201:N205,"&gt;0"),0)</f>
        <v>1</v>
      </c>
      <c r="P234" s="58">
        <f>IF(P194=1,SUMIF(P201:P205,"&gt;0"),0)</f>
        <v>0</v>
      </c>
      <c r="Q234" s="54">
        <f>IF(Q194=1,SUMIF(Q201:Q205,"&gt;0"),0)</f>
        <v>0</v>
      </c>
      <c r="S234" s="58">
        <f>IF(S194=1,SUMIF(S201:S205,"&gt;0"),0)</f>
        <v>0</v>
      </c>
      <c r="T234" s="54">
        <f>IF(T194=1,SUMIF(T201:T205,"&gt;0"),0)</f>
        <v>0</v>
      </c>
      <c r="V234" s="58">
        <f>IF(V194=1,SUMIF(V201:V205,"&gt;0"),0)</f>
        <v>0</v>
      </c>
      <c r="W234" s="54">
        <f>IF(W194=1,SUMIF(W201:W205,"&gt;0"),0)</f>
        <v>0</v>
      </c>
      <c r="Y234" s="58">
        <f>IF(Y194=1,SUMIF(Y201:Y205,"&gt;0"),0)</f>
        <v>0</v>
      </c>
      <c r="Z234" s="54">
        <f>IF(Z194=1,SUMIF(Z201:Z205,"&gt;0"),0)</f>
        <v>0</v>
      </c>
      <c r="AB234" s="58">
        <f>IF(AB194=1,SUMIF(AB201:AB205,"&gt;0"),0)</f>
        <v>0</v>
      </c>
      <c r="AC234" s="54">
        <f>IF(AC194=1,SUMIF(AC201:AC205,"&gt;0"),0)</f>
        <v>1</v>
      </c>
      <c r="AE234" s="58">
        <f>IF(AE194=1,SUMIF(AE201:AE205,"&gt;0"),0)</f>
        <v>0</v>
      </c>
      <c r="AF234" s="54">
        <f>SUM(B234:AE234)</f>
        <v>3</v>
      </c>
      <c r="AG234" s="54">
        <f>AF242-AF234</f>
        <v>5</v>
      </c>
      <c r="AW234" s="146"/>
    </row>
    <row r="235" spans="1:49" s="54" customFormat="1" ht="12.75" hidden="1" customHeight="1" x14ac:dyDescent="0.2">
      <c r="A235" s="54" t="s">
        <v>71</v>
      </c>
      <c r="B235" s="54">
        <f>IF(B194=2,SUMIF(B201:B205,"&gt;0"),0)</f>
        <v>0</v>
      </c>
      <c r="D235" s="58">
        <f>IF(D194=2,SUMIF(D201:D205,"&gt;0"),0)</f>
        <v>0</v>
      </c>
      <c r="E235" s="54">
        <f>IF(E194=2,SUMIF(E201:E205,"&gt;0"),0)</f>
        <v>0</v>
      </c>
      <c r="G235" s="58">
        <f>IF(G194=2,SUMIF(G201:G205,"&gt;0"),0)</f>
        <v>0</v>
      </c>
      <c r="H235" s="54">
        <f>IF(H194=2,SUMIF(H201:H205,"&gt;0"),0)</f>
        <v>0</v>
      </c>
      <c r="J235" s="58">
        <f>IF(J194=2,SUMIF(J201:J205,"&gt;0"),0)</f>
        <v>0</v>
      </c>
      <c r="K235" s="54">
        <f>IF(K194=2,SUMIF(K201:K205,"&gt;0"),0)</f>
        <v>0</v>
      </c>
      <c r="M235" s="58">
        <f>IF(M194=2,SUMIF(M201:M205,"&gt;0"),0)</f>
        <v>0</v>
      </c>
      <c r="N235" s="54">
        <f>IF(N194=2,SUMIF(N201:N205,"&gt;0"),0)</f>
        <v>0</v>
      </c>
      <c r="P235" s="58">
        <f>IF(P194=2,SUMIF(P201:P205,"&gt;0"),0)</f>
        <v>0</v>
      </c>
      <c r="Q235" s="54">
        <f>IF(Q194=2,SUMIF(Q201:Q205,"&gt;0"),0)</f>
        <v>0</v>
      </c>
      <c r="S235" s="58">
        <f>IF(S194=2,SUMIF(S201:S205,"&gt;0"),0)</f>
        <v>0</v>
      </c>
      <c r="T235" s="54">
        <f>IF(T194=2,SUMIF(T201:T205,"&gt;0"),0)</f>
        <v>0</v>
      </c>
      <c r="V235" s="58">
        <f>IF(V194=2,SUMIF(V201:V205,"&gt;0"),0)</f>
        <v>0</v>
      </c>
      <c r="W235" s="54">
        <f>IF(W194=2,SUMIF(W201:W205,"&gt;0"),0)</f>
        <v>0</v>
      </c>
      <c r="Y235" s="58">
        <f>IF(Y194=2,SUMIF(Y201:Y205,"&gt;0"),0)</f>
        <v>0</v>
      </c>
      <c r="Z235" s="54">
        <f>IF(Z194=2,SUMIF(Z201:Z205,"&gt;0"),0)</f>
        <v>0</v>
      </c>
      <c r="AB235" s="58">
        <f>IF(AB194=2,SUMIF(AB201:AB205,"&gt;0"),0)</f>
        <v>0</v>
      </c>
      <c r="AC235" s="54">
        <f>IF(AC194=2,SUMIF(AC201:AC205,"&gt;0"),0)</f>
        <v>0</v>
      </c>
      <c r="AE235" s="58">
        <f>IF(AE194=2,SUMIF(AE201:AE205,"&gt;0"),0)</f>
        <v>1</v>
      </c>
      <c r="AF235" s="54">
        <f>SUM(B235:AE235)</f>
        <v>1</v>
      </c>
      <c r="AG235" s="54">
        <f>AF243-AF235</f>
        <v>7</v>
      </c>
      <c r="AW235" s="146"/>
    </row>
    <row r="236" spans="1:49" s="54" customFormat="1" ht="12.75" hidden="1" customHeight="1" x14ac:dyDescent="0.2">
      <c r="A236" s="54" t="s">
        <v>72</v>
      </c>
      <c r="B236" s="54">
        <f>IF(B194=3,SUMIF(B201:B205,"&gt;0"),0)</f>
        <v>0</v>
      </c>
      <c r="D236" s="58">
        <f>IF(D194=3,SUMIF(D201:D205,"&gt;0"),0)</f>
        <v>0</v>
      </c>
      <c r="E236" s="54">
        <f>IF(E194=3,SUMIF(E201:E205,"&gt;0"),0)</f>
        <v>0</v>
      </c>
      <c r="G236" s="58">
        <f>IF(G194=3,SUMIF(G201:G205,"&gt;0"),0)</f>
        <v>0</v>
      </c>
      <c r="H236" s="54">
        <f>IF(H194=3,SUMIF(H201:H205,"&gt;0"),0)</f>
        <v>1</v>
      </c>
      <c r="J236" s="58">
        <f>IF(J194=3,SUMIF(J201:J205,"&gt;0"),0)</f>
        <v>0</v>
      </c>
      <c r="K236" s="54">
        <f>IF(K194=3,SUMIF(K201:K205,"&gt;0"),0)</f>
        <v>0</v>
      </c>
      <c r="M236" s="58">
        <f>IF(M194=3,SUMIF(M201:M205,"&gt;0"),0)</f>
        <v>0</v>
      </c>
      <c r="N236" s="54">
        <f>IF(N194=3,SUMIF(N201:N205,"&gt;0"),0)</f>
        <v>0</v>
      </c>
      <c r="P236" s="58">
        <f>IF(P194=3,SUMIF(P201:P205,"&gt;0"),0)</f>
        <v>1</v>
      </c>
      <c r="Q236" s="54">
        <f>IF(Q194=3,SUMIF(Q201:Q205,"&gt;0"),0)</f>
        <v>0</v>
      </c>
      <c r="S236" s="58">
        <f>IF(S194=3,SUMIF(S201:S205,"&gt;0"),0)</f>
        <v>0</v>
      </c>
      <c r="T236" s="54">
        <f>IF(T194=3,SUMIF(T201:T205,"&gt;0"),0)</f>
        <v>0</v>
      </c>
      <c r="V236" s="58">
        <f>IF(V194=3,SUMIF(V201:V205,"&gt;0"),0)</f>
        <v>2</v>
      </c>
      <c r="W236" s="54">
        <f>IF(W194=3,SUMIF(W201:W205,"&gt;0"),0)</f>
        <v>0</v>
      </c>
      <c r="Y236" s="58">
        <f>IF(Y194=3,SUMIF(Y201:Y205,"&gt;0"),0)</f>
        <v>0</v>
      </c>
      <c r="Z236" s="54">
        <f>IF(Z194=3,SUMIF(Z201:Z205,"&gt;0"),0)</f>
        <v>0</v>
      </c>
      <c r="AB236" s="58">
        <f>IF(AB194=3,SUMIF(AB201:AB205,"&gt;0"),0)</f>
        <v>0</v>
      </c>
      <c r="AC236" s="54">
        <f>IF(AC194=3,SUMIF(AC201:AC205,"&gt;0"),0)</f>
        <v>0</v>
      </c>
      <c r="AE236" s="58">
        <f>IF(AE194=3,SUMIF(AE201:AE205,"&gt;0"),0)</f>
        <v>0</v>
      </c>
      <c r="AF236" s="54">
        <f>SUM(B236:AE236)</f>
        <v>4</v>
      </c>
      <c r="AG236" s="54">
        <f>AF244-AF236</f>
        <v>4</v>
      </c>
      <c r="AW236" s="146"/>
    </row>
    <row r="237" spans="1:49" s="54" customFormat="1" ht="12.75" hidden="1" customHeight="1" x14ac:dyDescent="0.2">
      <c r="A237" s="54" t="s">
        <v>73</v>
      </c>
      <c r="B237" s="54">
        <f>IF(B194=4,SUMIF(B201:B205,"&gt;0"),0)</f>
        <v>0</v>
      </c>
      <c r="D237" s="58">
        <f>IF(D194=4,SUMIF(D201:D205,"&gt;0"),0)</f>
        <v>0</v>
      </c>
      <c r="E237" s="54">
        <f>IF(E194=4,SUMIF(E201:E205,"&gt;0"),0)</f>
        <v>0</v>
      </c>
      <c r="G237" s="58">
        <f>IF(G194=4,SUMIF(G201:G205,"&gt;0"),0)</f>
        <v>1</v>
      </c>
      <c r="H237" s="54">
        <f>IF(H194=4,SUMIF(H201:H205,"&gt;0"),0)</f>
        <v>0</v>
      </c>
      <c r="J237" s="58">
        <f>IF(J194=4,SUMIF(J201:J205,"&gt;0"),0)</f>
        <v>0</v>
      </c>
      <c r="K237" s="54">
        <f>IF(K194=4,SUMIF(K201:K205,"&gt;0"),0)</f>
        <v>0</v>
      </c>
      <c r="M237" s="58">
        <f>IF(M194=4,SUMIF(M201:M205,"&gt;0"),0)</f>
        <v>2</v>
      </c>
      <c r="N237" s="54">
        <f>IF(N194=4,SUMIF(N201:N205,"&gt;0"),0)</f>
        <v>0</v>
      </c>
      <c r="P237" s="58">
        <f>IF(P194=4,SUMIF(P201:P205,"&gt;0"),0)</f>
        <v>0</v>
      </c>
      <c r="Q237" s="54">
        <f>IF(Q194=4,SUMIF(Q201:Q205,"&gt;0"),0)</f>
        <v>2</v>
      </c>
      <c r="S237" s="58">
        <f>IF(S194=4,SUMIF(S201:S205,"&gt;0"),0)</f>
        <v>0</v>
      </c>
      <c r="T237" s="54">
        <f>IF(T194=4,SUMIF(T201:T205,"&gt;0"),0)</f>
        <v>0</v>
      </c>
      <c r="V237" s="58">
        <f>IF(V194=4,SUMIF(V201:V205,"&gt;0"),0)</f>
        <v>0</v>
      </c>
      <c r="W237" s="54">
        <f>IF(W194=4,SUMIF(W201:W205,"&gt;0"),0)</f>
        <v>0</v>
      </c>
      <c r="Y237" s="58">
        <f>IF(Y194=4,SUMIF(Y201:Y205,"&gt;0"),0)</f>
        <v>0</v>
      </c>
      <c r="Z237" s="54">
        <f>IF(Z194=4,SUMIF(Z201:Z205,"&gt;0"),0)</f>
        <v>0</v>
      </c>
      <c r="AB237" s="58">
        <f>IF(AB194=4,SUMIF(AB201:AB205,"&gt;0"),0)</f>
        <v>2</v>
      </c>
      <c r="AC237" s="54">
        <f>IF(AC194=4,SUMIF(AC201:AC205,"&gt;0"),0)</f>
        <v>0</v>
      </c>
      <c r="AE237" s="58">
        <f>IF(AE194=4,SUMIF(AE201:AE205,"&gt;0"),0)</f>
        <v>0</v>
      </c>
      <c r="AF237" s="54">
        <f>SUM(B237:AE237)</f>
        <v>7</v>
      </c>
      <c r="AG237" s="54">
        <f>AF245-AF237</f>
        <v>1</v>
      </c>
      <c r="AW237" s="146"/>
    </row>
    <row r="238" spans="1:49" s="54" customFormat="1" ht="12.75" hidden="1" customHeight="1" x14ac:dyDescent="0.2">
      <c r="A238" s="54" t="s">
        <v>74</v>
      </c>
      <c r="B238" s="54">
        <f>IF(B194=5,SUMIF(B201:B205,"&gt;0"),0)</f>
        <v>0</v>
      </c>
      <c r="D238" s="58">
        <f>IF(D194=5,SUMIF(D201:D205,"&gt;0"),0)</f>
        <v>2</v>
      </c>
      <c r="E238" s="54">
        <f>IF(E194=5,SUMIF(E201:E205,"&gt;0"),0)</f>
        <v>0</v>
      </c>
      <c r="G238" s="58">
        <f>IF(G194=5,SUMIF(G201:G205,"&gt;0"),0)</f>
        <v>0</v>
      </c>
      <c r="H238" s="54">
        <f>IF(H194=5,SUMIF(H201:H205,"&gt;0"),0)</f>
        <v>0</v>
      </c>
      <c r="J238" s="58">
        <f>IF(J194=5,SUMIF(J201:J205,"&gt;0"),0)</f>
        <v>1</v>
      </c>
      <c r="K238" s="54">
        <f>IF(K194=5,SUMIF(K201:K205,"&gt;0"),0)</f>
        <v>0</v>
      </c>
      <c r="M238" s="58">
        <f>IF(M194=5,SUMIF(M201:M205,"&gt;0"),0)</f>
        <v>0</v>
      </c>
      <c r="N238" s="54">
        <f>IF(N194=5,SUMIF(N201:N205,"&gt;0"),0)</f>
        <v>0</v>
      </c>
      <c r="P238" s="58">
        <f>IF(P194=5,SUMIF(P201:P205,"&gt;0"),0)</f>
        <v>0</v>
      </c>
      <c r="Q238" s="54">
        <f>IF(Q194=5,SUMIF(Q201:Q205,"&gt;0"),0)</f>
        <v>0</v>
      </c>
      <c r="S238" s="58">
        <f>IF(S194=5,SUMIF(S201:S205,"&gt;0"),0)</f>
        <v>0</v>
      </c>
      <c r="T238" s="54">
        <f>IF(T194=5,SUMIF(T201:T205,"&gt;0"),0)</f>
        <v>0</v>
      </c>
      <c r="V238" s="58">
        <f>IF(V194=5,SUMIF(V201:V205,"&gt;0"),0)</f>
        <v>0</v>
      </c>
      <c r="W238" s="54">
        <f>IF(W194=5,SUMIF(W201:W205,"&gt;0"),0)</f>
        <v>0</v>
      </c>
      <c r="Y238" s="58">
        <f>IF(Y194=5,SUMIF(Y201:Y205,"&gt;0"),0)</f>
        <v>2</v>
      </c>
      <c r="Z238" s="54">
        <f>IF(Z194=5,SUMIF(Z201:Z205,"&gt;0"),0)</f>
        <v>0</v>
      </c>
      <c r="AB238" s="58">
        <f>IF(AB194=5,SUMIF(AB201:AB205,"&gt;0"),0)</f>
        <v>0</v>
      </c>
      <c r="AC238" s="54">
        <f>IF(AC194=5,SUMIF(AC201:AC205,"&gt;0"),0)</f>
        <v>0</v>
      </c>
      <c r="AE238" s="58">
        <f>IF(AE194=5,SUMIF(AE201:AE205,"&gt;0"),0)</f>
        <v>0</v>
      </c>
      <c r="AF238" s="54">
        <f>SUM(B238:AE238)</f>
        <v>5</v>
      </c>
      <c r="AG238" s="54">
        <f>AF246-AF238</f>
        <v>3</v>
      </c>
      <c r="AW238" s="146"/>
    </row>
    <row r="239" spans="1:49" s="54" customFormat="1" ht="12.75" hidden="1" customHeight="1" x14ac:dyDescent="0.2">
      <c r="D239" s="58"/>
      <c r="G239" s="58"/>
      <c r="J239" s="58"/>
      <c r="M239" s="58"/>
      <c r="P239" s="58"/>
      <c r="S239" s="58"/>
      <c r="V239" s="58"/>
      <c r="Y239" s="58"/>
      <c r="AB239" s="58"/>
      <c r="AE239" s="58"/>
      <c r="AW239" s="146"/>
    </row>
    <row r="240" spans="1:49" s="54" customFormat="1" ht="12.75" hidden="1" customHeight="1" x14ac:dyDescent="0.2">
      <c r="D240" s="58"/>
      <c r="G240" s="58"/>
      <c r="J240" s="58"/>
      <c r="M240" s="58"/>
      <c r="P240" s="58"/>
      <c r="S240" s="58"/>
      <c r="V240" s="58"/>
      <c r="Y240" s="58"/>
      <c r="AB240" s="58"/>
      <c r="AE240" s="58"/>
      <c r="AW240" s="146"/>
    </row>
    <row r="241" spans="1:54" s="54" customFormat="1" ht="51" hidden="1" customHeight="1" x14ac:dyDescent="0.2">
      <c r="A241" s="57" t="s">
        <v>85</v>
      </c>
      <c r="C241" s="54">
        <f>SUMIF(B234:D238,"&gt;0")</f>
        <v>2</v>
      </c>
      <c r="D241" s="58"/>
      <c r="F241" s="54">
        <f>SUMIF(E234:G238,"&gt;0")</f>
        <v>2</v>
      </c>
      <c r="G241" s="58"/>
      <c r="I241" s="54">
        <f>SUMIF(H234:J238,"&gt;0")</f>
        <v>2</v>
      </c>
      <c r="J241" s="58"/>
      <c r="L241" s="54">
        <f>SUMIF(K234:M238,"&gt;0")</f>
        <v>2</v>
      </c>
      <c r="M241" s="58"/>
      <c r="O241" s="54">
        <f>SUMIF(N234:P238,"&gt;0")</f>
        <v>2</v>
      </c>
      <c r="P241" s="58"/>
      <c r="R241" s="54">
        <f>SUMIF(Q234:S238,"&gt;0")</f>
        <v>2</v>
      </c>
      <c r="S241" s="58"/>
      <c r="U241" s="54">
        <f>SUMIF(T234:V238,"&gt;0")</f>
        <v>2</v>
      </c>
      <c r="V241" s="58"/>
      <c r="X241" s="54">
        <f>SUMIF(W234:Y238,"&gt;0")</f>
        <v>2</v>
      </c>
      <c r="Y241" s="58"/>
      <c r="AA241" s="54">
        <f>SUMIF(Z234:AB238,"&gt;0")</f>
        <v>2</v>
      </c>
      <c r="AB241" s="58"/>
      <c r="AD241" s="54">
        <f>SUMIF(AC234:AE238,"&gt;0")</f>
        <v>2</v>
      </c>
      <c r="AE241" s="58"/>
      <c r="AF241" s="57" t="s">
        <v>86</v>
      </c>
      <c r="AW241" s="146"/>
    </row>
    <row r="242" spans="1:54" s="54" customFormat="1" ht="12.75" hidden="1" customHeight="1" x14ac:dyDescent="0.2">
      <c r="A242" s="54" t="s">
        <v>76</v>
      </c>
      <c r="B242" s="54">
        <f>IF(B194=1,C241,0)</f>
        <v>0</v>
      </c>
      <c r="D242" s="58">
        <f>IF(D194=1,C241,0)</f>
        <v>0</v>
      </c>
      <c r="E242" s="54">
        <f>IF(E194=1,F241,0)</f>
        <v>2</v>
      </c>
      <c r="G242" s="58">
        <f>IF(G194=1,F241,0)</f>
        <v>0</v>
      </c>
      <c r="H242" s="54">
        <f>IF(H194=1,I241,0)</f>
        <v>0</v>
      </c>
      <c r="J242" s="58">
        <f>IF(J194=1,I241,0)</f>
        <v>0</v>
      </c>
      <c r="K242" s="54">
        <f>IF(K194=1,L241,0)</f>
        <v>0</v>
      </c>
      <c r="M242" s="58">
        <f>IF(M194=1,L241,0)</f>
        <v>0</v>
      </c>
      <c r="N242" s="54">
        <f>IF(N194=1,O241,0)</f>
        <v>2</v>
      </c>
      <c r="P242" s="58">
        <f>IF(P194=1,O241,0)</f>
        <v>0</v>
      </c>
      <c r="Q242" s="54">
        <f>IF(Q194=1,R241,0)</f>
        <v>0</v>
      </c>
      <c r="S242" s="58">
        <f>IF(S194=1,R241,0)</f>
        <v>0</v>
      </c>
      <c r="T242" s="54">
        <f>IF(T194=1,U241,0)</f>
        <v>0</v>
      </c>
      <c r="V242" s="58">
        <f>IF(V194=1,U241,0)</f>
        <v>0</v>
      </c>
      <c r="W242" s="54">
        <f>IF(W194=1,X241,0)</f>
        <v>2</v>
      </c>
      <c r="Y242" s="58">
        <f>IF(Y194=1,X241,0)</f>
        <v>0</v>
      </c>
      <c r="Z242" s="54">
        <f>IF(Z194=1,AA241,0)</f>
        <v>0</v>
      </c>
      <c r="AB242" s="58">
        <f>IF(AB194=1,AA241,0)</f>
        <v>0</v>
      </c>
      <c r="AC242" s="54">
        <f>IF(AC194=1,AD241,0)</f>
        <v>2</v>
      </c>
      <c r="AE242" s="58">
        <f>IF(AE194=1,AD241,0)</f>
        <v>0</v>
      </c>
      <c r="AF242" s="54">
        <f>SUM(B242:AE242)</f>
        <v>8</v>
      </c>
      <c r="AW242" s="146"/>
    </row>
    <row r="243" spans="1:54" s="54" customFormat="1" ht="12.75" hidden="1" customHeight="1" x14ac:dyDescent="0.2">
      <c r="A243" s="54" t="s">
        <v>77</v>
      </c>
      <c r="B243" s="54">
        <f>IF(B194=2,C241,0)</f>
        <v>2</v>
      </c>
      <c r="D243" s="58">
        <f>IF(D194=2,C241,0)</f>
        <v>0</v>
      </c>
      <c r="E243" s="54">
        <f>IF(E194=2,F241,0)</f>
        <v>0</v>
      </c>
      <c r="G243" s="58">
        <f>IF(G194=2,F241,0)</f>
        <v>0</v>
      </c>
      <c r="H243" s="54">
        <f>IF(H194=2,I241,0)</f>
        <v>0</v>
      </c>
      <c r="J243" s="58">
        <f>IF(J194=2,I241,0)</f>
        <v>0</v>
      </c>
      <c r="K243" s="54">
        <f>IF(K194=2,L241,0)</f>
        <v>2</v>
      </c>
      <c r="M243" s="58">
        <f>IF(M194=2,L241,0)</f>
        <v>0</v>
      </c>
      <c r="N243" s="54">
        <f>IF(N194=2,O241,0)</f>
        <v>0</v>
      </c>
      <c r="P243" s="58">
        <f>IF(P194=2,O241,0)</f>
        <v>0</v>
      </c>
      <c r="Q243" s="54">
        <f>IF(Q194=2,R241,0)</f>
        <v>0</v>
      </c>
      <c r="S243" s="58">
        <f>IF(S194=2,R241,0)</f>
        <v>0</v>
      </c>
      <c r="T243" s="54">
        <f>IF(T194=2,U241,0)</f>
        <v>2</v>
      </c>
      <c r="V243" s="58">
        <f>IF(V194=2,U241,0)</f>
        <v>0</v>
      </c>
      <c r="W243" s="54">
        <f>IF(W194=2,X241,0)</f>
        <v>0</v>
      </c>
      <c r="Y243" s="58">
        <f>IF(Y194=2,X241,0)</f>
        <v>0</v>
      </c>
      <c r="Z243" s="54">
        <f>IF(Z194=2,AA241,0)</f>
        <v>0</v>
      </c>
      <c r="AB243" s="58">
        <f>IF(AB194=2,AA241,0)</f>
        <v>0</v>
      </c>
      <c r="AC243" s="54">
        <f>IF(AC194=2,AD241,0)</f>
        <v>0</v>
      </c>
      <c r="AE243" s="58">
        <f>IF(AE194=2,AD241,0)</f>
        <v>2</v>
      </c>
      <c r="AF243" s="54">
        <f>SUM(B243:AE243)</f>
        <v>8</v>
      </c>
      <c r="AW243" s="146"/>
    </row>
    <row r="244" spans="1:54" s="54" customFormat="1" ht="12.75" hidden="1" customHeight="1" x14ac:dyDescent="0.2">
      <c r="A244" s="54" t="s">
        <v>78</v>
      </c>
      <c r="B244" s="54">
        <f>IF(B194=3,C241,0)</f>
        <v>0</v>
      </c>
      <c r="D244" s="58">
        <f>IF(D194=3,C241,0)</f>
        <v>0</v>
      </c>
      <c r="E244" s="54">
        <f>IF(E194=3,F241,0)</f>
        <v>0</v>
      </c>
      <c r="G244" s="58">
        <f>IF(G194=3,F241,0)</f>
        <v>0</v>
      </c>
      <c r="H244" s="54">
        <f>IF(H194=3,I241,0)</f>
        <v>2</v>
      </c>
      <c r="J244" s="58">
        <f>IF(J194=3,I241,0)</f>
        <v>0</v>
      </c>
      <c r="K244" s="54">
        <f>IF(K194=3,L241,0)</f>
        <v>0</v>
      </c>
      <c r="M244" s="58">
        <f>IF(M194=3,L241,0)</f>
        <v>0</v>
      </c>
      <c r="N244" s="54">
        <f>IF(N194=3,O241,0)</f>
        <v>0</v>
      </c>
      <c r="P244" s="58">
        <f>IF(P194=3,O241,0)</f>
        <v>2</v>
      </c>
      <c r="Q244" s="54">
        <f>IF(Q194=3,R241,0)</f>
        <v>0</v>
      </c>
      <c r="S244" s="58">
        <f>IF(S194=3,R241,0)</f>
        <v>0</v>
      </c>
      <c r="T244" s="54">
        <f>IF(T194=3,U241,0)</f>
        <v>0</v>
      </c>
      <c r="V244" s="58">
        <f>IF(V194=3,U241,0)</f>
        <v>2</v>
      </c>
      <c r="W244" s="54">
        <f>IF(W194=3,X241,0)</f>
        <v>0</v>
      </c>
      <c r="Y244" s="58">
        <f>IF(Y194=3,X241,0)</f>
        <v>0</v>
      </c>
      <c r="Z244" s="54">
        <f>IF(Z194=3,AA241,0)</f>
        <v>2</v>
      </c>
      <c r="AB244" s="58">
        <f>IF(AB194=3,AA241,0)</f>
        <v>0</v>
      </c>
      <c r="AC244" s="54">
        <f>IF(AC194=3,AD241,0)</f>
        <v>0</v>
      </c>
      <c r="AE244" s="58">
        <f>IF(AE194=3,AD241,0)</f>
        <v>0</v>
      </c>
      <c r="AF244" s="54">
        <f>SUM(B244:AE244)</f>
        <v>8</v>
      </c>
      <c r="AW244" s="146"/>
    </row>
    <row r="245" spans="1:54" s="54" customFormat="1" ht="12.75" hidden="1" customHeight="1" x14ac:dyDescent="0.2">
      <c r="A245" s="54" t="s">
        <v>79</v>
      </c>
      <c r="B245" s="54">
        <f>IF(B194=4,C241,0)</f>
        <v>0</v>
      </c>
      <c r="D245" s="58">
        <f>IF(D194=4,C241,0)</f>
        <v>0</v>
      </c>
      <c r="E245" s="54">
        <f>IF(E194=4,F241,0)</f>
        <v>0</v>
      </c>
      <c r="G245" s="58">
        <f>IF(G194=4,F241,0)</f>
        <v>2</v>
      </c>
      <c r="H245" s="54">
        <f>IF(H194=4,I241,0)</f>
        <v>0</v>
      </c>
      <c r="J245" s="58">
        <f>IF(J194=4,I241,0)</f>
        <v>0</v>
      </c>
      <c r="K245" s="54">
        <f>IF(K194=4,L241,0)</f>
        <v>0</v>
      </c>
      <c r="M245" s="58">
        <f>IF(M194=4,L241,0)</f>
        <v>2</v>
      </c>
      <c r="N245" s="54">
        <f>IF(N194=4,O241,0)</f>
        <v>0</v>
      </c>
      <c r="P245" s="58">
        <f>IF(P194=4,O241,0)</f>
        <v>0</v>
      </c>
      <c r="Q245" s="54">
        <f>IF(Q194=4,R241,0)</f>
        <v>2</v>
      </c>
      <c r="S245" s="58">
        <f>IF(S194=4,R241,0)</f>
        <v>0</v>
      </c>
      <c r="T245" s="54">
        <f>IF(T194=4,U241,0)</f>
        <v>0</v>
      </c>
      <c r="V245" s="58">
        <f>IF(V194=4,U241,0)</f>
        <v>0</v>
      </c>
      <c r="W245" s="54">
        <f>IF(W194=4,X241,0)</f>
        <v>0</v>
      </c>
      <c r="Y245" s="58">
        <f>IF(Y194=4,X241,0)</f>
        <v>0</v>
      </c>
      <c r="Z245" s="54">
        <f>IF(Z194=4,AA241,0)</f>
        <v>0</v>
      </c>
      <c r="AB245" s="58">
        <f>IF(AB194=4,AA241,0)</f>
        <v>2</v>
      </c>
      <c r="AC245" s="54">
        <f>IF(AC194=4,AD241,0)</f>
        <v>0</v>
      </c>
      <c r="AE245" s="58">
        <f>IF(AE194=4,AD241,0)</f>
        <v>0</v>
      </c>
      <c r="AF245" s="54">
        <f>SUM(B245:AE245)</f>
        <v>8</v>
      </c>
      <c r="AW245" s="146"/>
    </row>
    <row r="246" spans="1:54" s="54" customFormat="1" ht="12.75" hidden="1" customHeight="1" x14ac:dyDescent="0.2">
      <c r="A246" s="54" t="s">
        <v>80</v>
      </c>
      <c r="B246" s="54">
        <f>IF(B194=5,C241,0)</f>
        <v>0</v>
      </c>
      <c r="D246" s="58">
        <f>IF(D194=5,C241,0)</f>
        <v>2</v>
      </c>
      <c r="E246" s="54">
        <f>IF(E194=5,F241,0)</f>
        <v>0</v>
      </c>
      <c r="G246" s="58">
        <f>IF(G194=5,F241,0)</f>
        <v>0</v>
      </c>
      <c r="H246" s="54">
        <f>IF(H194=5,I241,0)</f>
        <v>0</v>
      </c>
      <c r="J246" s="58">
        <f>IF(J194=5,I241,0)</f>
        <v>2</v>
      </c>
      <c r="K246" s="54">
        <f>IF(K194=5,L241,0)</f>
        <v>0</v>
      </c>
      <c r="M246" s="58">
        <f>IF(M194=5,L241,0)</f>
        <v>0</v>
      </c>
      <c r="N246" s="54">
        <f>IF(N194=5,O241,0)</f>
        <v>0</v>
      </c>
      <c r="P246" s="58">
        <f>IF(P194=5,O241,0)</f>
        <v>0</v>
      </c>
      <c r="Q246" s="54">
        <f>IF(Q194=5,R241,0)</f>
        <v>0</v>
      </c>
      <c r="S246" s="58">
        <f>IF(S194=5,R241,0)</f>
        <v>2</v>
      </c>
      <c r="T246" s="54">
        <f>IF(T194=5,U241,0)</f>
        <v>0</v>
      </c>
      <c r="V246" s="58">
        <f>IF(V194=5,U241,0)</f>
        <v>0</v>
      </c>
      <c r="W246" s="54">
        <f>IF(W194=5,X241,0)</f>
        <v>0</v>
      </c>
      <c r="Y246" s="58">
        <f>IF(Y194=5,X241,0)</f>
        <v>2</v>
      </c>
      <c r="Z246" s="54">
        <f>IF(Z194=5,AA241,0)</f>
        <v>0</v>
      </c>
      <c r="AB246" s="58">
        <f>IF(AB194=5,AA241,0)</f>
        <v>0</v>
      </c>
      <c r="AC246" s="54">
        <f>IF(AC194=5,AD241,0)</f>
        <v>0</v>
      </c>
      <c r="AE246" s="58">
        <f>IF(AE194=5,AD241,0)</f>
        <v>0</v>
      </c>
      <c r="AF246" s="54">
        <f>SUM(B246:AE246)</f>
        <v>8</v>
      </c>
      <c r="AW246" s="146"/>
    </row>
    <row r="247" spans="1:54" hidden="1" x14ac:dyDescent="0.2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60"/>
      <c r="AO247" s="60"/>
      <c r="AP247" s="60"/>
      <c r="AQ247" s="60"/>
      <c r="AR247" s="61"/>
      <c r="AS247" s="61"/>
      <c r="AT247" s="61"/>
      <c r="AU247" s="61"/>
      <c r="AV247" s="61"/>
      <c r="BB247" s="62"/>
    </row>
    <row r="248" spans="1:54" s="61" customFormat="1" hidden="1" x14ac:dyDescent="0.2">
      <c r="A248" s="63"/>
      <c r="B248" s="63"/>
      <c r="C248" s="63" t="s">
        <v>87</v>
      </c>
      <c r="D248" s="63">
        <v>1</v>
      </c>
      <c r="E248" s="63"/>
      <c r="F248" s="63"/>
      <c r="G248" s="63">
        <v>2</v>
      </c>
      <c r="H248" s="63"/>
      <c r="I248" s="63"/>
      <c r="J248" s="63">
        <v>3</v>
      </c>
      <c r="K248" s="63"/>
      <c r="L248" s="63"/>
      <c r="M248" s="63">
        <v>4</v>
      </c>
      <c r="N248" s="63"/>
      <c r="O248" s="63"/>
      <c r="P248" s="63">
        <v>5</v>
      </c>
      <c r="Q248" s="63"/>
      <c r="R248" s="63"/>
      <c r="S248" s="63">
        <v>6</v>
      </c>
      <c r="T248" s="63"/>
      <c r="U248" s="63"/>
      <c r="V248" s="63">
        <v>7</v>
      </c>
      <c r="W248" s="63"/>
      <c r="X248" s="63"/>
      <c r="Y248" s="63">
        <v>8</v>
      </c>
      <c r="Z248" s="63"/>
      <c r="AA248" s="63"/>
      <c r="AB248" s="63">
        <v>9</v>
      </c>
      <c r="AC248" s="63"/>
      <c r="AD248" s="63"/>
      <c r="AE248" s="63">
        <v>10</v>
      </c>
      <c r="AF248" s="4"/>
      <c r="AG248" s="63"/>
      <c r="AI248" s="64"/>
      <c r="AJ248" s="4"/>
      <c r="AK248" s="4"/>
      <c r="AL248" s="4"/>
      <c r="AM248" s="4"/>
      <c r="AN248" s="4"/>
      <c r="AO248" s="4"/>
      <c r="AT248" s="64" t="s">
        <v>88</v>
      </c>
      <c r="AW248" s="65"/>
      <c r="BB248" s="65"/>
    </row>
    <row r="249" spans="1:54" s="61" customFormat="1" hidden="1" x14ac:dyDescent="0.2">
      <c r="A249" s="66">
        <v>1</v>
      </c>
      <c r="B249" s="66" t="str">
        <f>E178</f>
        <v>Branchville Juniors 18U</v>
      </c>
      <c r="C249" s="66">
        <f>VLOOKUP(B249,AU$3:BB$33,3,FALSE)</f>
        <v>2574.5716672740141</v>
      </c>
      <c r="D249" s="66">
        <f>IF(B242,B257,IF(D242,D257,C249))</f>
        <v>2574.5716672740141</v>
      </c>
      <c r="E249" s="66"/>
      <c r="F249" s="66"/>
      <c r="G249" s="66">
        <f>IF(E242,E257,IF(G242,G257,D249))</f>
        <v>2566.6701632030367</v>
      </c>
      <c r="H249" s="66"/>
      <c r="I249" s="66"/>
      <c r="J249" s="66">
        <f>IF(H242,H257,IF(J242,J257,G249))</f>
        <v>2566.6701632030367</v>
      </c>
      <c r="K249" s="66"/>
      <c r="L249" s="66"/>
      <c r="M249" s="66">
        <f>IF(K242,K257,IF(M242,M257,J249))</f>
        <v>2566.6701632030367</v>
      </c>
      <c r="N249" s="66"/>
      <c r="O249" s="66"/>
      <c r="P249" s="66">
        <f>IF(N242,N257,IF(P242,P257,M249))</f>
        <v>2556.9025720177915</v>
      </c>
      <c r="Q249" s="66"/>
      <c r="R249" s="66"/>
      <c r="S249" s="66">
        <f>IF(Q242,Q257,IF(S242,S257,P249))</f>
        <v>2556.9025720177915</v>
      </c>
      <c r="T249" s="66"/>
      <c r="U249" s="66"/>
      <c r="V249" s="66">
        <f>IF(T242,T257,IF(V242,V257,S249))</f>
        <v>2556.9025720177915</v>
      </c>
      <c r="W249" s="66"/>
      <c r="X249" s="66"/>
      <c r="Y249" s="66">
        <f>IF(W242,W257,IF(Y242,Y257,V249))</f>
        <v>2539.9804322569385</v>
      </c>
      <c r="Z249" s="66"/>
      <c r="AA249" s="66"/>
      <c r="AB249" s="66">
        <f>IF(Z242,Z257,IF(AB242,AB257,Y249))</f>
        <v>2539.9804322569385</v>
      </c>
      <c r="AC249" s="66"/>
      <c r="AD249" s="66"/>
      <c r="AE249" s="66">
        <f>IF(AC242,AC257,IF(AE242,AE257,AB249))</f>
        <v>2535.4323182697462</v>
      </c>
      <c r="AF249" s="4"/>
      <c r="AG249" s="4"/>
      <c r="AJ249" s="4"/>
      <c r="AK249" s="4"/>
      <c r="AL249" s="4"/>
      <c r="AM249" s="4"/>
      <c r="AN249" s="4"/>
      <c r="AO249" s="4"/>
      <c r="AT249" s="61" t="str">
        <f>B249</f>
        <v>Branchville Juniors 18U</v>
      </c>
      <c r="AU249" s="61">
        <f>AE249</f>
        <v>2535.4323182697462</v>
      </c>
      <c r="AW249" s="65"/>
      <c r="BB249" s="65"/>
    </row>
    <row r="250" spans="1:54" s="61" customFormat="1" hidden="1" x14ac:dyDescent="0.2">
      <c r="A250" s="66">
        <v>2</v>
      </c>
      <c r="B250" s="66" t="str">
        <f>E180</f>
        <v>Sumter VBC 18</v>
      </c>
      <c r="C250" s="66">
        <f>VLOOKUP(B250,AU$3:BB$33,3,FALSE)</f>
        <v>2580.5462836263409</v>
      </c>
      <c r="D250" s="66">
        <f>IF(B243,B257,IF(D243,D257,C250))</f>
        <v>2566.305516084466</v>
      </c>
      <c r="E250" s="66"/>
      <c r="F250" s="66"/>
      <c r="G250" s="66">
        <f>IF(E243,E257,IF(G243,G257,D250))</f>
        <v>2566.305516084466</v>
      </c>
      <c r="H250" s="66"/>
      <c r="I250" s="66"/>
      <c r="J250" s="66">
        <f>IF(H243,H257,IF(J243,J257,G250))</f>
        <v>2566.305516084466</v>
      </c>
      <c r="K250" s="66"/>
      <c r="L250" s="66"/>
      <c r="M250" s="66">
        <f>IF(K243,K257,IF(M243,M257,J250))</f>
        <v>2527.8175389357725</v>
      </c>
      <c r="N250" s="66"/>
      <c r="O250" s="66"/>
      <c r="P250" s="66">
        <f>IF(N243,N257,IF(P243,P257,M250))</f>
        <v>2527.8175389357725</v>
      </c>
      <c r="Q250" s="66"/>
      <c r="R250" s="66"/>
      <c r="S250" s="66">
        <f>IF(Q243,Q257,IF(S243,S257,P250))</f>
        <v>2527.8175389357725</v>
      </c>
      <c r="T250" s="66"/>
      <c r="U250" s="66"/>
      <c r="V250" s="66">
        <f>IF(T243,T257,IF(V243,V257,S250))</f>
        <v>2490.2633187333327</v>
      </c>
      <c r="W250" s="66"/>
      <c r="X250" s="66"/>
      <c r="Y250" s="66">
        <f>IF(W243,W257,IF(Y243,Y257,V250))</f>
        <v>2490.2633187333327</v>
      </c>
      <c r="Z250" s="66"/>
      <c r="AA250" s="66"/>
      <c r="AB250" s="66">
        <f>IF(Z243,Z257,IF(AB243,AB257,Y250))</f>
        <v>2490.2633187333327</v>
      </c>
      <c r="AC250" s="66"/>
      <c r="AD250" s="66"/>
      <c r="AE250" s="66">
        <f>IF(AC243,AC257,IF(AE243,AE257,AB250))</f>
        <v>2494.8114327205249</v>
      </c>
      <c r="AF250" s="4"/>
      <c r="AG250" s="4"/>
      <c r="AJ250" s="4"/>
      <c r="AL250" s="4"/>
      <c r="AM250" s="4"/>
      <c r="AN250" s="4"/>
      <c r="AO250" s="4"/>
      <c r="AT250" s="61" t="str">
        <f>B250</f>
        <v>Sumter VBC 18</v>
      </c>
      <c r="AU250" s="61">
        <f>AE250</f>
        <v>2494.8114327205249</v>
      </c>
      <c r="AW250" s="65"/>
      <c r="BB250" s="65"/>
    </row>
    <row r="251" spans="1:54" s="61" customFormat="1" hidden="1" x14ac:dyDescent="0.2">
      <c r="A251" s="66">
        <v>3</v>
      </c>
      <c r="B251" s="66" t="str">
        <f>E182</f>
        <v>Kershaw 17 White</v>
      </c>
      <c r="C251" s="66">
        <f>VLOOKUP(B251,AU$3:BB$33,3,FALSE)</f>
        <v>2431.5669234490088</v>
      </c>
      <c r="D251" s="66">
        <f>IF(B244,B257,IF(D244,D257,C251))</f>
        <v>2431.5669234490088</v>
      </c>
      <c r="E251" s="66"/>
      <c r="F251" s="66"/>
      <c r="G251" s="66">
        <f>IF(E244,E257,IF(G244,G257,D251))</f>
        <v>2431.5669234490088</v>
      </c>
      <c r="H251" s="66"/>
      <c r="I251" s="66"/>
      <c r="J251" s="66">
        <f>IF(H244,H257,IF(J244,J257,G251))</f>
        <v>2457.128999337343</v>
      </c>
      <c r="K251" s="66"/>
      <c r="L251" s="66"/>
      <c r="M251" s="66">
        <f>IF(K244,K257,IF(M244,M257,J251))</f>
        <v>2457.128999337343</v>
      </c>
      <c r="N251" s="66"/>
      <c r="O251" s="66"/>
      <c r="P251" s="66">
        <f>IF(N244,N257,IF(P244,P257,M251))</f>
        <v>2466.8965905225882</v>
      </c>
      <c r="Q251" s="66"/>
      <c r="R251" s="66"/>
      <c r="S251" s="66">
        <f>IF(Q244,Q257,IF(S244,S257,P251))</f>
        <v>2466.8965905225882</v>
      </c>
      <c r="T251" s="66"/>
      <c r="U251" s="66"/>
      <c r="V251" s="66">
        <f>IF(T244,T257,IF(V244,V257,S251))</f>
        <v>2504.4508107250281</v>
      </c>
      <c r="W251" s="66"/>
      <c r="X251" s="66"/>
      <c r="Y251" s="66">
        <f>IF(W244,W257,IF(Y244,Y257,V251))</f>
        <v>2504.4508107250281</v>
      </c>
      <c r="Z251" s="66"/>
      <c r="AA251" s="66"/>
      <c r="AB251" s="66">
        <f>IF(Z244,Z257,IF(AB244,AB257,Y251))</f>
        <v>2479.7635834823932</v>
      </c>
      <c r="AC251" s="66"/>
      <c r="AD251" s="66"/>
      <c r="AE251" s="66">
        <f>IF(AC244,AC257,IF(AE244,AE257,AB251))</f>
        <v>2479.7635834823932</v>
      </c>
      <c r="AF251" s="4"/>
      <c r="AG251" s="4"/>
      <c r="AJ251" s="4"/>
      <c r="AL251" s="4"/>
      <c r="AM251" s="4"/>
      <c r="AN251" s="4"/>
      <c r="AO251" s="4"/>
      <c r="AT251" s="61" t="str">
        <f>B251</f>
        <v>Kershaw 17 White</v>
      </c>
      <c r="AU251" s="61">
        <f>AE251</f>
        <v>2479.7635834823932</v>
      </c>
      <c r="AW251" s="65"/>
      <c r="BB251" s="65"/>
    </row>
    <row r="252" spans="1:54" s="61" customFormat="1" hidden="1" x14ac:dyDescent="0.2">
      <c r="A252" s="66">
        <v>4</v>
      </c>
      <c r="B252" s="66" t="str">
        <f>E184</f>
        <v>Vision 17 Regional</v>
      </c>
      <c r="C252" s="66">
        <f>VLOOKUP(B252,AU$3:BB$33,3,FALSE)</f>
        <v>2486.9719356907308</v>
      </c>
      <c r="D252" s="66">
        <f>IF(B245,B257,IF(D245,D257,C252))</f>
        <v>2486.9719356907308</v>
      </c>
      <c r="E252" s="66"/>
      <c r="F252" s="66"/>
      <c r="G252" s="66">
        <f>IF(E245,E257,IF(G245,G257,D252))</f>
        <v>2494.8734397617081</v>
      </c>
      <c r="H252" s="66"/>
      <c r="I252" s="66"/>
      <c r="J252" s="66">
        <f>IF(H245,H257,IF(J245,J257,G252))</f>
        <v>2494.8734397617081</v>
      </c>
      <c r="K252" s="66"/>
      <c r="L252" s="66"/>
      <c r="M252" s="66">
        <f>IF(K245,K257,IF(M245,M257,J252))</f>
        <v>2533.3614169104017</v>
      </c>
      <c r="N252" s="66"/>
      <c r="O252" s="66"/>
      <c r="P252" s="66">
        <f>IF(N245,N257,IF(P245,P257,M252))</f>
        <v>2533.3614169104017</v>
      </c>
      <c r="Q252" s="66"/>
      <c r="R252" s="66"/>
      <c r="S252" s="66">
        <f>IF(Q245,Q257,IF(S245,S257,P252))</f>
        <v>2585.275355248602</v>
      </c>
      <c r="T252" s="66"/>
      <c r="U252" s="66"/>
      <c r="V252" s="66">
        <f>IF(T245,T257,IF(V245,V257,S252))</f>
        <v>2585.275355248602</v>
      </c>
      <c r="W252" s="66"/>
      <c r="X252" s="66"/>
      <c r="Y252" s="66">
        <f>IF(W245,W257,IF(Y245,Y257,V252))</f>
        <v>2585.275355248602</v>
      </c>
      <c r="Z252" s="66"/>
      <c r="AA252" s="66"/>
      <c r="AB252" s="66">
        <f>IF(Z245,Z257,IF(AB245,AB257,Y252))</f>
        <v>2609.9625824912368</v>
      </c>
      <c r="AC252" s="66"/>
      <c r="AD252" s="66"/>
      <c r="AE252" s="66">
        <f>IF(AC245,AC257,IF(AE245,AE257,AB252))</f>
        <v>2609.9625824912368</v>
      </c>
      <c r="AF252" s="4"/>
      <c r="AG252" s="4"/>
      <c r="AJ252" s="4"/>
      <c r="AL252" s="4"/>
      <c r="AM252" s="4"/>
      <c r="AN252" s="4"/>
      <c r="AO252" s="4"/>
      <c r="AT252" s="61" t="str">
        <f>B252</f>
        <v>Vision 17 Regional</v>
      </c>
      <c r="AU252" s="61">
        <f>AE252</f>
        <v>2609.9625824912368</v>
      </c>
      <c r="AW252" s="65"/>
      <c r="BB252" s="65"/>
    </row>
    <row r="253" spans="1:54" s="61" customFormat="1" hidden="1" x14ac:dyDescent="0.2">
      <c r="A253" s="66">
        <v>5</v>
      </c>
      <c r="B253" s="66" t="str">
        <f>E186</f>
        <v>MEVC17Power</v>
      </c>
      <c r="C253" s="66">
        <f>VLOOKUP(B253,AU$3:BB$33,3,FALSE)</f>
        <v>2797.8823937745101</v>
      </c>
      <c r="D253" s="66">
        <f>IF(B246,B257,IF(D246,D257,C253))</f>
        <v>2812.123161316385</v>
      </c>
      <c r="E253" s="66"/>
      <c r="F253" s="66"/>
      <c r="G253" s="66">
        <f>IF(E246,E257,IF(G246,G257,D253))</f>
        <v>2812.123161316385</v>
      </c>
      <c r="H253" s="66"/>
      <c r="I253" s="66"/>
      <c r="J253" s="66">
        <f>IF(H246,H257,IF(J246,J257,G253))</f>
        <v>2786.5610854280508</v>
      </c>
      <c r="K253" s="66"/>
      <c r="L253" s="66"/>
      <c r="M253" s="66">
        <f>IF(K246,K257,IF(M246,M257,J253))</f>
        <v>2786.5610854280508</v>
      </c>
      <c r="N253" s="66"/>
      <c r="O253" s="66"/>
      <c r="P253" s="66">
        <f>IF(N246,N257,IF(P246,P257,M253))</f>
        <v>2786.5610854280508</v>
      </c>
      <c r="Q253" s="66"/>
      <c r="R253" s="66"/>
      <c r="S253" s="66">
        <f>IF(Q246,Q257,IF(S246,S257,P253))</f>
        <v>2734.6471470898505</v>
      </c>
      <c r="T253" s="66"/>
      <c r="U253" s="66"/>
      <c r="V253" s="66">
        <f>IF(T246,T257,IF(V246,V257,S253))</f>
        <v>2734.6471470898505</v>
      </c>
      <c r="W253" s="66"/>
      <c r="X253" s="66"/>
      <c r="Y253" s="66">
        <f>IF(W246,W257,IF(Y246,Y257,V253))</f>
        <v>2751.5692868507035</v>
      </c>
      <c r="Z253" s="66"/>
      <c r="AA253" s="66"/>
      <c r="AB253" s="66">
        <f>IF(Z246,Z257,IF(AB246,AB257,Y253))</f>
        <v>2751.5692868507035</v>
      </c>
      <c r="AC253" s="66"/>
      <c r="AD253" s="66"/>
      <c r="AE253" s="66">
        <f>IF(AC246,AC257,IF(AE246,AE257,AB253))</f>
        <v>2751.5692868507035</v>
      </c>
      <c r="AF253" s="4"/>
      <c r="AG253" s="4"/>
      <c r="AJ253" s="4"/>
      <c r="AL253" s="4"/>
      <c r="AM253" s="4"/>
      <c r="AN253" s="4"/>
      <c r="AO253" s="4"/>
      <c r="AT253" s="61" t="str">
        <f>B253</f>
        <v>MEVC17Power</v>
      </c>
      <c r="AU253" s="61">
        <f>AE253</f>
        <v>2751.5692868507035</v>
      </c>
      <c r="AW253" s="65"/>
      <c r="BB253" s="65"/>
    </row>
    <row r="254" spans="1:54" s="61" customFormat="1" hidden="1" x14ac:dyDescent="0.2">
      <c r="A254" s="66"/>
      <c r="B254" s="66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66"/>
      <c r="AE254" s="66"/>
      <c r="AF254" s="4"/>
      <c r="AG254" s="4"/>
      <c r="AJ254" s="4"/>
      <c r="AL254" s="4"/>
      <c r="AM254" s="4"/>
      <c r="AN254" s="4"/>
      <c r="AO254" s="4"/>
      <c r="AW254" s="65"/>
      <c r="BB254" s="65"/>
    </row>
    <row r="255" spans="1:54" s="61" customFormat="1" hidden="1" x14ac:dyDescent="0.2">
      <c r="A255" s="66" t="s">
        <v>89</v>
      </c>
      <c r="B255" s="66">
        <f>VLOOKUP(B194,$A249:$AE253,3,FALSE)</f>
        <v>2580.5462836263409</v>
      </c>
      <c r="C255" s="66">
        <v>1</v>
      </c>
      <c r="D255" s="66">
        <f>VLOOKUP(D194,$A249:$AE253,3,FALSE)</f>
        <v>2797.8823937745101</v>
      </c>
      <c r="E255" s="66">
        <f>VLOOKUP(E194,$A249:$AE253,4,FALSE)</f>
        <v>2574.5716672740141</v>
      </c>
      <c r="F255" s="66">
        <v>2</v>
      </c>
      <c r="G255" s="66">
        <f>VLOOKUP(G194,$A249:$AE253,4,FALSE)</f>
        <v>2486.9719356907308</v>
      </c>
      <c r="H255" s="66">
        <f>VLOOKUP(H194,$A249:$AE253,7,FALSE)</f>
        <v>2431.5669234490088</v>
      </c>
      <c r="I255" s="66">
        <v>3</v>
      </c>
      <c r="J255" s="66">
        <f>VLOOKUP(J194,$A249:$AE253,7,FALSE)</f>
        <v>2812.123161316385</v>
      </c>
      <c r="K255" s="66">
        <f>VLOOKUP(K194,$A249:$AE253,10,FALSE)</f>
        <v>2566.305516084466</v>
      </c>
      <c r="L255" s="66">
        <v>4</v>
      </c>
      <c r="M255" s="66">
        <f>VLOOKUP(M194,$A249:$AE253,10,FALSE)</f>
        <v>2494.8734397617081</v>
      </c>
      <c r="N255" s="66">
        <f>VLOOKUP(N194,$A249:$AE253,13,FALSE)</f>
        <v>2566.6701632030367</v>
      </c>
      <c r="O255" s="66">
        <v>5</v>
      </c>
      <c r="P255" s="66">
        <f>VLOOKUP(P194,$A249:$AE253,13,FALSE)</f>
        <v>2457.128999337343</v>
      </c>
      <c r="Q255" s="66">
        <f>VLOOKUP(Q194,$A249:$AE253,16,FALSE)</f>
        <v>2533.3614169104017</v>
      </c>
      <c r="R255" s="66">
        <v>6</v>
      </c>
      <c r="S255" s="66">
        <f>VLOOKUP(S194,$A249:$AE253,16,FALSE)</f>
        <v>2786.5610854280508</v>
      </c>
      <c r="T255" s="66">
        <f>VLOOKUP(T194,$A249:$AE253,19,FALSE)</f>
        <v>2527.8175389357725</v>
      </c>
      <c r="U255" s="66">
        <v>7</v>
      </c>
      <c r="V255" s="66">
        <f>VLOOKUP(V194,$A249:$AE253,19,FALSE)</f>
        <v>2466.8965905225882</v>
      </c>
      <c r="W255" s="66">
        <f>VLOOKUP(W194,$A249:$AE253,22,FALSE)</f>
        <v>2556.9025720177915</v>
      </c>
      <c r="X255" s="66">
        <v>8</v>
      </c>
      <c r="Y255" s="66">
        <f>VLOOKUP(Y194,$A249:$AE253,22,FALSE)</f>
        <v>2734.6471470898505</v>
      </c>
      <c r="Z255" s="66">
        <f>VLOOKUP(Z194,$A249:$AE253,25,FALSE)</f>
        <v>2504.4508107250281</v>
      </c>
      <c r="AA255" s="66">
        <v>9</v>
      </c>
      <c r="AB255" s="66">
        <f>VLOOKUP(AB194,$A249:$AE253,25,FALSE)</f>
        <v>2585.275355248602</v>
      </c>
      <c r="AC255" s="66">
        <f>VLOOKUP(AC194,$A249:$AE253,28,FALSE)</f>
        <v>2539.9804322569385</v>
      </c>
      <c r="AD255" s="66">
        <v>10</v>
      </c>
      <c r="AE255" s="66">
        <f>VLOOKUP(AE194,$A249:$AE253,28,FALSE)</f>
        <v>2490.2633187333327</v>
      </c>
      <c r="AF255" s="4"/>
      <c r="AG255" s="59"/>
      <c r="AH255" s="59"/>
      <c r="AI255" s="59"/>
      <c r="AJ255" s="59"/>
      <c r="AK255" s="59"/>
      <c r="AL255" s="59"/>
      <c r="AM255" s="59"/>
      <c r="AN255" s="60"/>
      <c r="AO255" s="60"/>
      <c r="AP255" s="60"/>
      <c r="AQ255" s="60"/>
      <c r="AW255" s="65"/>
      <c r="BB255" s="65"/>
    </row>
    <row r="256" spans="1:54" s="71" customFormat="1" hidden="1" x14ac:dyDescent="0.2">
      <c r="A256" s="67" t="s">
        <v>90</v>
      </c>
      <c r="B256" s="67">
        <f>1/(1+(10^-((B255-D255)/400)))*(B206+D206)</f>
        <v>0.44502398568359713</v>
      </c>
      <c r="C256" s="67"/>
      <c r="D256" s="67">
        <f>1/(1+(10^-((D255-B255)/400)))*(B206+D206)</f>
        <v>1.5549760143164029</v>
      </c>
      <c r="E256" s="67">
        <f>1/(1+(10^-((E255-G255)/400)))*(E206+G206)</f>
        <v>1.2469220022180358</v>
      </c>
      <c r="F256" s="67"/>
      <c r="G256" s="67">
        <f>1/(1+(10^-((G255-E255)/400)))*(E206+G206)</f>
        <v>0.75307799778196405</v>
      </c>
      <c r="H256" s="67">
        <f>1/(1+(10^-((H255-J255)/400)))*(H206+J206)</f>
        <v>0.20118512848955264</v>
      </c>
      <c r="I256" s="67"/>
      <c r="J256" s="67">
        <f>1/(1+(10^-((J255-H255)/400)))*(H206+J206)</f>
        <v>1.7988148715104473</v>
      </c>
      <c r="K256" s="67">
        <f>1/(1+(10^-((K255-M255)/400)))*(K206+M206)</f>
        <v>1.2027492858966768</v>
      </c>
      <c r="L256" s="67"/>
      <c r="M256" s="67">
        <f>1/(1+(10^-((M255-K255)/400)))*(K206+M206)</f>
        <v>0.79725071410332327</v>
      </c>
      <c r="N256" s="67">
        <f>1/(1+(10^-((N255-P255)/400)))*(N206+P206)</f>
        <v>1.3052372245389106</v>
      </c>
      <c r="O256" s="67"/>
      <c r="P256" s="67">
        <f>1/(1+(10^-((P255-N255)/400)))*(N206+P206)</f>
        <v>0.69476277546108944</v>
      </c>
      <c r="Q256" s="67">
        <f>1/(1+(10^-((Q255-S255)/400)))*(Q206+S206)</f>
        <v>0.37768942693124696</v>
      </c>
      <c r="R256" s="67"/>
      <c r="S256" s="67">
        <f>1/(1+(10^-((S255-Q255)/400)))*(Q206+S206)</f>
        <v>1.6223105730687528</v>
      </c>
      <c r="T256" s="67">
        <f>1/(1+(10^-((T255-V255)/400)))*(T206+V206)</f>
        <v>1.1735693813262489</v>
      </c>
      <c r="U256" s="67"/>
      <c r="V256" s="67">
        <f>1/(1+(10^-((V255-T255)/400)))*(T206+V206)</f>
        <v>0.82643061867375112</v>
      </c>
      <c r="W256" s="67">
        <f>1/(1+(10^-((W255-Y255)/400)))*(W206+Y206)</f>
        <v>0.52881686752665569</v>
      </c>
      <c r="X256" s="67"/>
      <c r="Y256" s="67">
        <f>1/(1+(10^-((Y255-W255)/400)))*(W206+Y206)</f>
        <v>1.4711831324733442</v>
      </c>
      <c r="Z256" s="67">
        <f>1/(1+(10^-((Z255-AB255)/400)))*(Z206+AB206)</f>
        <v>0.77147585133234697</v>
      </c>
      <c r="AA256" s="67"/>
      <c r="AB256" s="67">
        <f>1/(1+(10^-((AB255-Z255)/400)))*(Z206+AB206)</f>
        <v>1.228524148667653</v>
      </c>
      <c r="AC256" s="67">
        <f>1/(1+(10^-((AC255-AE255)/400)))*(AC206+AE206)</f>
        <v>1.1421285620997503</v>
      </c>
      <c r="AD256" s="67"/>
      <c r="AE256" s="67">
        <f>1/(1+(10^-((AE255-AC255)/400)))*(AC206+AE206)</f>
        <v>0.85787143790024967</v>
      </c>
      <c r="AF256" s="68"/>
      <c r="AG256" s="69"/>
      <c r="AH256" s="69"/>
      <c r="AI256" s="69"/>
      <c r="AJ256" s="69"/>
      <c r="AK256" s="69"/>
      <c r="AL256" s="69"/>
      <c r="AM256" s="69"/>
      <c r="AN256" s="70"/>
      <c r="AO256" s="70"/>
      <c r="AP256" s="70"/>
      <c r="AQ256" s="70"/>
      <c r="AW256" s="72"/>
      <c r="BB256" s="72"/>
    </row>
    <row r="257" spans="1:54" s="77" customFormat="1" hidden="1" x14ac:dyDescent="0.2">
      <c r="A257" s="73" t="s">
        <v>91</v>
      </c>
      <c r="B257" s="73">
        <f>B255+(B206-B256)*$BA$1</f>
        <v>2566.305516084466</v>
      </c>
      <c r="C257" s="73"/>
      <c r="D257" s="73">
        <f>D255+(D206-D256)*$BA$1</f>
        <v>2812.123161316385</v>
      </c>
      <c r="E257" s="73">
        <f>E255+(E206-E256)*$BA$1</f>
        <v>2566.6701632030367</v>
      </c>
      <c r="F257" s="73"/>
      <c r="G257" s="73">
        <f>G255+(G206-G256)*$BA$1</f>
        <v>2494.8734397617081</v>
      </c>
      <c r="H257" s="73">
        <f>H255+(H206-H256)*$BA$1</f>
        <v>2457.128999337343</v>
      </c>
      <c r="I257" s="73"/>
      <c r="J257" s="73">
        <f>J255+(J206-J256)*$BA$1</f>
        <v>2786.5610854280508</v>
      </c>
      <c r="K257" s="73">
        <f>K255+(K206-K256)*$BA$1</f>
        <v>2527.8175389357725</v>
      </c>
      <c r="L257" s="73"/>
      <c r="M257" s="73">
        <f>M255+(M206-M256)*$BA$1</f>
        <v>2533.3614169104017</v>
      </c>
      <c r="N257" s="73">
        <f>N255+(N206-N256)*$BA$1</f>
        <v>2556.9025720177915</v>
      </c>
      <c r="O257" s="73"/>
      <c r="P257" s="73">
        <f>P255+(P206-P256)*$BA$1</f>
        <v>2466.8965905225882</v>
      </c>
      <c r="Q257" s="73">
        <f>Q255+(Q206-Q256)*$BA$1</f>
        <v>2585.275355248602</v>
      </c>
      <c r="R257" s="73"/>
      <c r="S257" s="73">
        <f>S255+(S206-S256)*$BA$1</f>
        <v>2734.6471470898505</v>
      </c>
      <c r="T257" s="73">
        <f>T255+(T206-T256)*$BA$1</f>
        <v>2490.2633187333327</v>
      </c>
      <c r="U257" s="73"/>
      <c r="V257" s="73">
        <f>V255+(V206-V256)*$BA$1</f>
        <v>2504.4508107250281</v>
      </c>
      <c r="W257" s="73">
        <f>W255+(W206-W256)*$BA$1</f>
        <v>2539.9804322569385</v>
      </c>
      <c r="X257" s="73"/>
      <c r="Y257" s="73">
        <f>Y255+(Y206-Y256)*$BA$1</f>
        <v>2751.5692868507035</v>
      </c>
      <c r="Z257" s="73">
        <f>Z255+(Z206-Z256)*$BA$1</f>
        <v>2479.7635834823932</v>
      </c>
      <c r="AA257" s="73"/>
      <c r="AB257" s="73">
        <f>AB255+(AB206-AB256)*$BA$1</f>
        <v>2609.9625824912368</v>
      </c>
      <c r="AC257" s="73">
        <f>AC255+(AC206-AC256)*$BA$1</f>
        <v>2535.4323182697462</v>
      </c>
      <c r="AD257" s="73"/>
      <c r="AE257" s="73">
        <f>AE255+(AE206-AE256)*$BA$1</f>
        <v>2494.8114327205249</v>
      </c>
      <c r="AF257" s="74"/>
      <c r="AG257" s="75"/>
      <c r="AH257" s="75"/>
      <c r="AI257" s="75"/>
      <c r="AJ257" s="75"/>
      <c r="AK257" s="75"/>
      <c r="AL257" s="75"/>
      <c r="AM257" s="75"/>
      <c r="AN257" s="76"/>
      <c r="AO257" s="76"/>
      <c r="AP257" s="76"/>
      <c r="AQ257" s="76"/>
      <c r="AW257" s="78"/>
      <c r="BB257" s="78"/>
    </row>
    <row r="258" spans="1:54" s="77" customFormat="1" hidden="1" x14ac:dyDescent="0.2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O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  <c r="AA258" s="73"/>
      <c r="AB258" s="73"/>
      <c r="AC258" s="73"/>
      <c r="AD258" s="73"/>
      <c r="AE258" s="73"/>
      <c r="AF258" s="74"/>
      <c r="AG258" s="75"/>
      <c r="AH258" s="75"/>
      <c r="AI258" s="75"/>
      <c r="AJ258" s="75"/>
      <c r="AK258" s="75"/>
      <c r="AL258" s="75"/>
      <c r="AM258" s="75"/>
      <c r="AN258" s="76"/>
      <c r="AO258" s="76"/>
      <c r="AP258" s="76"/>
      <c r="AQ258" s="76"/>
      <c r="AW258" s="78"/>
      <c r="BB258" s="78"/>
    </row>
    <row r="259" spans="1:54" s="61" customFormat="1" x14ac:dyDescent="0.2">
      <c r="A259" s="790" t="str">
        <f>IF($AK180=1,"Pool Tiereaker : 1) Matches Won vs Lost (if 3 way tie then #4)  2) Head to Head  3) Game Win %  4) Total Pool Net Points  5) Flip a Coin","Pool Tiebreaker : 1) Games Won vs Lost (if 3 way tie then #5)  2) Head to Head  3) Head to Head Net Points  4) Game Win %  5) Total Pool Net Points  6) Flip a Coin")</f>
        <v>Pool Tiebreaker : 1) Games Won vs Lost (if 3 way tie then #5)  2) Head to Head  3) Head to Head Net Points  4) Game Win %  5) Total Pool Net Points  6) Flip a Coin</v>
      </c>
      <c r="B259" s="790"/>
      <c r="C259" s="790"/>
      <c r="D259" s="790"/>
      <c r="E259" s="790"/>
      <c r="F259" s="790"/>
      <c r="G259" s="790"/>
      <c r="H259" s="790"/>
      <c r="I259" s="790"/>
      <c r="J259" s="790"/>
      <c r="K259" s="790"/>
      <c r="L259" s="790"/>
      <c r="M259" s="790"/>
      <c r="N259" s="790"/>
      <c r="O259" s="790"/>
      <c r="P259" s="790"/>
      <c r="Q259" s="790"/>
      <c r="R259" s="790"/>
      <c r="S259" s="790"/>
      <c r="T259" s="790"/>
      <c r="U259" s="790"/>
      <c r="V259" s="790"/>
      <c r="W259" s="790"/>
      <c r="X259" s="790"/>
      <c r="Y259" s="790"/>
      <c r="Z259" s="790"/>
      <c r="AA259" s="790"/>
      <c r="AB259" s="790"/>
      <c r="AC259" s="790"/>
      <c r="AD259" s="790"/>
      <c r="AE259" s="790"/>
      <c r="AF259" s="790"/>
      <c r="AG259" s="790"/>
      <c r="AH259" s="790"/>
      <c r="AI259" s="790"/>
      <c r="AJ259" s="790"/>
      <c r="AK259" s="790"/>
      <c r="AL259" s="790"/>
      <c r="AM259" s="790"/>
      <c r="AN259" s="768"/>
      <c r="AO259" s="768"/>
      <c r="AP259" s="768"/>
      <c r="AQ259" s="768"/>
      <c r="AW259" s="65"/>
    </row>
    <row r="260" spans="1:54" s="61" customFormat="1" x14ac:dyDescent="0.2">
      <c r="A260" s="791"/>
      <c r="B260" s="791"/>
      <c r="C260" s="791"/>
      <c r="D260" s="791"/>
      <c r="E260" s="791"/>
      <c r="F260" s="791"/>
      <c r="G260" s="791"/>
      <c r="H260" s="791"/>
      <c r="I260" s="791"/>
      <c r="J260" s="791"/>
      <c r="K260" s="791"/>
      <c r="L260" s="791"/>
      <c r="M260" s="791"/>
      <c r="N260" s="791"/>
      <c r="O260" s="791"/>
      <c r="P260" s="791"/>
      <c r="Q260" s="791"/>
      <c r="R260" s="791"/>
      <c r="S260" s="791"/>
      <c r="T260" s="791"/>
      <c r="U260" s="791"/>
      <c r="V260" s="791"/>
      <c r="W260" s="791"/>
      <c r="X260" s="791"/>
      <c r="Y260" s="791"/>
      <c r="Z260" s="791"/>
      <c r="AA260" s="791"/>
      <c r="AB260" s="791"/>
      <c r="AC260" s="791"/>
      <c r="AD260" s="791"/>
      <c r="AE260" s="791"/>
      <c r="AF260" s="791"/>
      <c r="AG260" s="791"/>
      <c r="AH260" s="791"/>
      <c r="AI260" s="791"/>
      <c r="AJ260" s="791"/>
      <c r="AK260" s="791"/>
      <c r="AL260" s="791"/>
      <c r="AM260" s="791"/>
      <c r="AN260" s="791"/>
      <c r="AO260" s="791"/>
      <c r="AP260" s="791"/>
      <c r="AQ260" s="791"/>
      <c r="AW260" s="65"/>
    </row>
    <row r="261" spans="1:54" ht="21" thickBot="1" x14ac:dyDescent="0.35">
      <c r="A261" s="780" t="s">
        <v>93</v>
      </c>
      <c r="B261" s="780"/>
      <c r="C261" s="780"/>
      <c r="D261" s="780"/>
      <c r="E261" s="780"/>
      <c r="F261" s="780"/>
      <c r="G261" s="780"/>
      <c r="H261" s="780"/>
      <c r="I261" s="780"/>
      <c r="J261" s="780"/>
      <c r="K261" s="780"/>
      <c r="L261" s="780"/>
      <c r="M261" s="780"/>
      <c r="N261" s="780"/>
      <c r="O261" s="780"/>
      <c r="P261" s="780"/>
      <c r="Q261" s="780"/>
      <c r="R261" s="780"/>
      <c r="S261" s="780"/>
      <c r="T261" s="780"/>
      <c r="U261" s="780"/>
      <c r="V261" s="780"/>
      <c r="W261" s="780"/>
      <c r="X261" s="780"/>
      <c r="Y261" s="780"/>
      <c r="Z261" s="780"/>
      <c r="AA261" s="780"/>
      <c r="AB261" s="780"/>
      <c r="AC261" s="780"/>
      <c r="AD261" s="780"/>
      <c r="AE261" s="780"/>
      <c r="AF261" s="780"/>
      <c r="AG261" s="780"/>
      <c r="AH261" s="780"/>
      <c r="AI261" s="780"/>
      <c r="AJ261" s="780"/>
      <c r="AK261" s="780"/>
      <c r="AL261" s="780"/>
      <c r="AM261" s="780"/>
      <c r="AN261" s="780"/>
      <c r="AO261" s="780"/>
      <c r="AP261" s="780"/>
      <c r="AQ261" s="780"/>
    </row>
    <row r="262" spans="1:54" ht="13.5" thickBot="1" x14ac:dyDescent="0.25">
      <c r="A262" s="781" t="s">
        <v>94</v>
      </c>
      <c r="B262" s="1021" t="s">
        <v>95</v>
      </c>
      <c r="C262" s="1022"/>
      <c r="D262" s="1022"/>
      <c r="E262" s="1022"/>
      <c r="F262" s="1022"/>
      <c r="G262" s="1022"/>
      <c r="H262" s="1022"/>
      <c r="I262" s="1022"/>
      <c r="J262" s="1022"/>
      <c r="K262" s="1022"/>
      <c r="L262" s="1023"/>
      <c r="M262" s="1021" t="s">
        <v>96</v>
      </c>
      <c r="N262" s="1022"/>
      <c r="O262" s="1022"/>
      <c r="P262" s="1022"/>
      <c r="Q262" s="1022"/>
      <c r="R262" s="1022"/>
      <c r="S262" s="1022"/>
      <c r="T262" s="1022"/>
      <c r="U262" s="1022"/>
      <c r="V262" s="1022"/>
      <c r="W262" s="1023"/>
      <c r="X262" s="783" t="s">
        <v>97</v>
      </c>
      <c r="Y262" s="784"/>
      <c r="Z262" s="784"/>
      <c r="AA262" s="784"/>
      <c r="AB262" s="784"/>
      <c r="AC262" s="784"/>
      <c r="AD262" s="784"/>
      <c r="AE262" s="784"/>
      <c r="AF262" s="784"/>
      <c r="AG262" s="785"/>
      <c r="AH262" s="783" t="s">
        <v>98</v>
      </c>
      <c r="AI262" s="784"/>
      <c r="AJ262" s="784"/>
      <c r="AK262" s="784"/>
      <c r="AL262" s="784"/>
      <c r="AM262" s="784"/>
      <c r="AN262" s="784"/>
      <c r="AO262" s="784"/>
      <c r="AP262" s="785"/>
    </row>
    <row r="263" spans="1:54" ht="13.5" thickBot="1" x14ac:dyDescent="0.25">
      <c r="A263" s="1020"/>
      <c r="B263" s="1019" t="s">
        <v>7</v>
      </c>
      <c r="C263" s="1013"/>
      <c r="D263" s="1013"/>
      <c r="E263" s="1013"/>
      <c r="F263" s="1013" t="s">
        <v>99</v>
      </c>
      <c r="G263" s="1013"/>
      <c r="H263" s="1013"/>
      <c r="I263" s="1013"/>
      <c r="J263" s="1013" t="s">
        <v>143</v>
      </c>
      <c r="K263" s="1013"/>
      <c r="L263" s="172" t="s">
        <v>6</v>
      </c>
      <c r="M263" s="1019" t="s">
        <v>7</v>
      </c>
      <c r="N263" s="1013"/>
      <c r="O263" s="1013"/>
      <c r="P263" s="1013"/>
      <c r="Q263" s="1013"/>
      <c r="R263" s="1013" t="s">
        <v>99</v>
      </c>
      <c r="S263" s="1013"/>
      <c r="T263" s="1013"/>
      <c r="U263" s="1013" t="s">
        <v>143</v>
      </c>
      <c r="V263" s="1013"/>
      <c r="W263" s="173" t="s">
        <v>6</v>
      </c>
      <c r="X263" s="1019" t="s">
        <v>7</v>
      </c>
      <c r="Y263" s="1013"/>
      <c r="Z263" s="1013"/>
      <c r="AA263" s="1013"/>
      <c r="AB263" s="1013"/>
      <c r="AC263" s="1013" t="s">
        <v>99</v>
      </c>
      <c r="AD263" s="1013"/>
      <c r="AE263" s="1013"/>
      <c r="AF263" s="171" t="s">
        <v>143</v>
      </c>
      <c r="AG263" s="173" t="s">
        <v>6</v>
      </c>
      <c r="AH263" s="1019" t="s">
        <v>7</v>
      </c>
      <c r="AI263" s="1013"/>
      <c r="AJ263" s="1013"/>
      <c r="AK263" s="1013" t="s">
        <v>99</v>
      </c>
      <c r="AL263" s="1013"/>
      <c r="AM263" s="1013"/>
      <c r="AN263" s="1013" t="s">
        <v>143</v>
      </c>
      <c r="AO263" s="1013"/>
      <c r="AP263" s="173" t="s">
        <v>6</v>
      </c>
    </row>
    <row r="264" spans="1:54" x14ac:dyDescent="0.2">
      <c r="A264" s="157" t="s">
        <v>100</v>
      </c>
      <c r="B264" s="1014" t="str">
        <f>IF($AF$8=1,$E$8,IF($AF$10=1,$E$10,IF($AF$12=1,$E$12,IF($AF$14=1,$E$14,IF($AF$16=1,$E$16,"1st Place "&amp;$A264)))))</f>
        <v>Extreme 17 Summer</v>
      </c>
      <c r="C264" s="1015"/>
      <c r="D264" s="1015"/>
      <c r="E264" s="1015"/>
      <c r="F264" s="1011" t="str">
        <f>IF($AF$8=1,$E$9,IF($AF$10=1,$E$11,IF($AF$12=1,$E$13,IF($AF$14=1,$E$15,IF($AF$16=1,$E$17,"1st Place "&amp;$A264)))))</f>
        <v>fj7triex1so</v>
      </c>
      <c r="G264" s="1011"/>
      <c r="H264" s="1011"/>
      <c r="I264" s="1011"/>
      <c r="J264" s="1012">
        <f>IF($AF$8=1,$Z$8,IF($AF$10=1,$Z$10,IF($AF$12=1,$Z$12,IF($AF$14=1,$Z$14,IF($AF$16=1,$Z$16,0)))))</f>
        <v>0.23762376237623761</v>
      </c>
      <c r="K264" s="1012"/>
      <c r="L264" s="174">
        <f>IF(AND(J264=0,J265=0,J266=0),0,IF(OR(AND(J264&gt;J265,J264&gt;J266),AND(J264=J265,J264=J266),AND(J264=J265,J264&gt;J266),AND(J264=J266,J264&gt;J265)),1,IF(OR(J264&gt;J265,J264&gt;J266,J264=J265,J264=J266),2,3)))</f>
        <v>2</v>
      </c>
      <c r="M264" s="1014" t="str">
        <f>IF($AF$8=2,$E$8,IF($AF$10=2,$E$10,IF($AF$12=2,$E$12,IF($AF$14=2,$E$14,IF($AF$16=2,$E$16,"2nd Place "&amp;$A264)))))</f>
        <v>NETVC 17Tori</v>
      </c>
      <c r="N264" s="1015"/>
      <c r="O264" s="1015"/>
      <c r="P264" s="1015"/>
      <c r="Q264" s="1015"/>
      <c r="R264" s="1011" t="str">
        <f>IF($AF$8=2,$E$9,IF($AF$10=2,$E$11,IF($AF$12=2,$E$13,IF($AF$14=2,$E$15,IF($AF$16=2,$E$17,"2nd Place "&amp;$A264)))))</f>
        <v>fj7netvc1so</v>
      </c>
      <c r="S264" s="1011"/>
      <c r="T264" s="1011"/>
      <c r="U264" s="1012">
        <f>IF($AF$8=2,$Z$8,IF($AF$10=2,$Z$10,IF($AF$12=2,$Z$12,IF($AF$14=2,$Z$14,IF($AF$16=2,$Z$16,0)))))</f>
        <v>0.13500000000000001</v>
      </c>
      <c r="V264" s="1012"/>
      <c r="W264" s="175">
        <f>IF(AND(J264=0,J265=0,J266=0),0,IF(OR(AND(U264&gt;U265,U264&gt;U266),AND(U264=U265,U264=U266),AND(U264=U265,U264&gt;U266),AND(U264=U266,U264&gt;U265)),1,IF(OR(U264&gt;U265,U264&gt;U266,U264=U265,U264=U266),2,3)))</f>
        <v>1</v>
      </c>
      <c r="X264" s="1016" t="str">
        <f>IF($AF$8=3,$E$8,IF($AF$10=3,$E$10,IF($AF$12=3,$E$12,IF($AF$14=3,$E$14,IF($AF$16=3,$E$16,"3rd Place "&amp;$A264)))))</f>
        <v>united vbc 17 u</v>
      </c>
      <c r="Y264" s="1017"/>
      <c r="Z264" s="1017"/>
      <c r="AA264" s="1017"/>
      <c r="AB264" s="1017"/>
      <c r="AC264" s="1018" t="str">
        <f>IF($AF$8=3,$E$9,IF($AF$10=3,$E$11,IF($AF$12=3,$E$13,IF($AF$14=3,$E$15,IF($AF$16=3,$E$17,"3rd Place "&amp;$A264)))))</f>
        <v>fj7unitd1pm</v>
      </c>
      <c r="AD264" s="1018"/>
      <c r="AE264" s="1018"/>
      <c r="AF264" s="176">
        <f>IF($AF$8=3,$Z$8,IF($AF$10=3,$Z$10,IF($AF$12=3,$Z$12,IF($AF$14=3,$Z$14,IF($AF$16=3,$Z$16,0)))))</f>
        <v>-0.21287128712871287</v>
      </c>
      <c r="AG264" s="175">
        <f>IF(AND(J264=0,J265=0,J266=0),0,IF(OR(AND(AF264&gt;AF265,AF264&gt;AF266),AND(AF264=AF265,AF264=AF266),AND(AF264=AF265,AF264&gt;AF266),AND(AF264=AF266,AF264&gt;AF265)),1,IF(OR(AF264&gt;AF265,AF264&gt;AF266,AF264=AF265,AF264=AF266),2,3)))</f>
        <v>3</v>
      </c>
      <c r="AH264" s="1014" t="str">
        <f>IF($AF$8=4,$E$8,IF($AF$10=4,$E$10,IF($AF$12=4,$E$12,IF($AF$14=4,$E$14,IF($AF$16=4,$E$16,"4th Place "&amp;$A264)))))</f>
        <v>Foothills 17</v>
      </c>
      <c r="AI264" s="1015"/>
      <c r="AJ264" s="1015"/>
      <c r="AK264" s="1011" t="str">
        <f>IF($AF$8=4,$E$9,IF($AF$10=4,$E$11,IF($AF$12=4,$E$13,IF($AF$14=4,$E$15,IF($AF$16=4,$E$17,"4th Place "&amp;$A264)))))</f>
        <v>fj7footh7pm</v>
      </c>
      <c r="AL264" s="1011"/>
      <c r="AM264" s="1011"/>
      <c r="AN264" s="1012">
        <f>IF($AF$8=4,$Z$8,IF($AF$10=4,$Z$10,IF($AF$12=4,$Z$12,IF($AF$14=4,$Z$14,IF($AF$16=4,$Z$16,0)))))</f>
        <v>-5.9405940594059403E-2</v>
      </c>
      <c r="AO264" s="1012"/>
      <c r="AP264" s="175">
        <f>IF(AND(J264=0,J265=0,J266=0),0,IF(OR(AND(AN264&gt;AN265,AN264&gt;AN266),AND(AN264=AN265,AN264=AN266),AND(AN264=AN265,AN264&gt;AN266),AND(AN264=AN266,AN264&gt;AN265)),1,IF(OR(AN264&gt;AN265,AN264&gt;AN266,AN264=AN265,AN264=AN266),2,3)))</f>
        <v>3</v>
      </c>
    </row>
    <row r="265" spans="1:54" x14ac:dyDescent="0.2">
      <c r="A265" s="157" t="s">
        <v>101</v>
      </c>
      <c r="B265" s="1007" t="str">
        <f>IF($AF$93=1,$E$93,IF($AF$95=1,$E$95,IF($AF$97=1,$E$97,IF($AF$99=1,$E$99,IF($AF$101=1,$E$101,"1st Place "&amp;$A265)))))</f>
        <v>KVC17-1</v>
      </c>
      <c r="C265" s="1008"/>
      <c r="D265" s="1008"/>
      <c r="E265" s="1008"/>
      <c r="F265" s="1009" t="str">
        <f>IF($AF$93=1,$E$94,IF($AF$95=1,$E$96,IF($AF$97=1,$E$98,IF($AF$99=1,$E$100,IF($AF$101=1,$E$102,"1st Place "&amp;$A265)))))</f>
        <v>fj7kvctn1so</v>
      </c>
      <c r="G265" s="1009"/>
      <c r="H265" s="1009"/>
      <c r="I265" s="1009"/>
      <c r="J265" s="1010">
        <f>IF($AF$93=1,$Z$93,IF($AF$95=1,$Z$95,IF($AF$97=1,$Z$97,IF($AF$99=1,$Z$99,IF($AF$101=1,$Z$101,0)))))</f>
        <v>0.32500000000000001</v>
      </c>
      <c r="K265" s="1010"/>
      <c r="L265" s="178">
        <f>IF(AND(J264=0,J265=0,J266=0),0,IF(OR(AND(J265&gt;J264,J265&gt;J266),AND(J265=J266,J265&gt;J264)),1,IF(OR(J265&gt;J264,J265&gt;J266,AND(J265=J264,J265=J266),J265=J266),2,3)))</f>
        <v>1</v>
      </c>
      <c r="M265" s="1007" t="str">
        <f>IF($AF$93=2,$E$93,IF($AF$95=2,$E$95,IF($AF$97=2,$E$97,IF($AF$99=2,$E$99,IF($AF$101=2,$E$101,"2nd Place "&amp;$A265)))))</f>
        <v>SVBC Blazers 18</v>
      </c>
      <c r="N265" s="1008"/>
      <c r="O265" s="1008"/>
      <c r="P265" s="1008"/>
      <c r="Q265" s="1008"/>
      <c r="R265" s="1009" t="str">
        <f>IF($AF$93=2,$E$94,IF($AF$95=2,$E$96,IF($AF$97=2,$E$98,IF($AF$99=2,$E$100,IF($AF$101=2,$E$102,"2nd Place "&amp;$A265)))))</f>
        <v>fj8sandh1pm</v>
      </c>
      <c r="S265" s="1009"/>
      <c r="T265" s="1009"/>
      <c r="U265" s="1010">
        <f>IF($AF$93=2,$Z$93,IF($AF$95=2,$Z$95,IF($AF$97=2,$Z$97,IF($AF$99=2,$Z$99,IF($AF$101=2,$Z$101,0)))))</f>
        <v>-4.9504950495049506E-3</v>
      </c>
      <c r="V265" s="1010"/>
      <c r="W265" s="179">
        <f>IF(AND(J264=0,J265=0,J266=0),0,IF(OR(AND(U265&gt;U264,U265&gt;U266),AND(U265=U266,U265&gt;U264)),1,IF(OR(U265&gt;U264,U265&gt;U266,AND(U265=U264,U265=U266),U265=U266),2,3)))</f>
        <v>3</v>
      </c>
      <c r="X265" s="1007" t="str">
        <f>IF($AF$93=3,$E$93,IF($AF$95=3,$E$95,IF($AF$97=3,$E$97,IF($AF$99=3,$E$99,IF($AF$101=3,$E$101,"3rd Place "&amp;$A265)))))</f>
        <v>Augusta Elite 17U</v>
      </c>
      <c r="Y265" s="1008"/>
      <c r="Z265" s="1008"/>
      <c r="AA265" s="1008"/>
      <c r="AB265" s="1008"/>
      <c r="AC265" s="1009" t="str">
        <f>IF($AF$93=3,$E$94,IF($AF$95=3,$E$96,IF($AF$97=3,$E$98,IF($AF$99=3,$E$100,IF($AF$101=3,$E$102,"3rd Place "&amp;$A265)))))</f>
        <v>fj7aelit1pm</v>
      </c>
      <c r="AD265" s="1009"/>
      <c r="AE265" s="1009"/>
      <c r="AF265" s="177">
        <f>IF($AF$93=3,$Z$93,IF($AF$95=3,$Z$95,IF($AF$97=3,$Z$97,IF($AF$99=3,$Z$99,IF($AF$101=3,$Z$101,0)))))</f>
        <v>-2.4875621890547265E-2</v>
      </c>
      <c r="AG265" s="179">
        <f>IF(AND(J264=0,J265=0,J266=0),0,IF(OR(AND(AF265&gt;AF264,AF265&gt;AF266),AND(AF265=AF266,AF265&gt;AF264)),1,IF(OR(AF265&gt;AF264,AF265&gt;AF266,AND(AF265=AF264,AF265=AF266),AF265=AF266),2,3)))</f>
        <v>2</v>
      </c>
      <c r="AH265" s="1007" t="str">
        <f>IF($AF$93=4,$E$93,IF($AF$95=4,$E$95,IF($AF$97=4,$E$97,IF($AF$99=4,$E$99,IF($AF$101=4,$E$101,"4th Place "&amp;$A265)))))</f>
        <v>SMVC Royals 17</v>
      </c>
      <c r="AI265" s="1008"/>
      <c r="AJ265" s="1008"/>
      <c r="AK265" s="1009" t="str">
        <f>IF($AF$93=4,$E$94,IF($AF$95=4,$E$96,IF($AF$97=4,$E$98,IF($AF$99=4,$E$100,IF($AF$101=4,$E$102,"4th Place "&amp;$A265)))))</f>
        <v>fj7smvbc1cr</v>
      </c>
      <c r="AL265" s="1009"/>
      <c r="AM265" s="1009"/>
      <c r="AN265" s="1010">
        <f>IF($AF$93=4,$Z$93,IF($AF$95=4,$Z$95,IF($AF$97=4,$Z$97,IF($AF$99=4,$Z$99,IF($AF$101=4,$Z$101,0)))))</f>
        <v>-5.9113300492610835E-2</v>
      </c>
      <c r="AO265" s="1010"/>
      <c r="AP265" s="179">
        <f>IF(AND(J264=0,J265=0,J266=0),0,IF(OR(AND(AN265&gt;AN264,AN265&gt;AN266),AND(AN265=AN266,AN265&gt;AN264)),1,IF(OR(AN265&gt;AN264,AN265&gt;AN266,AND(AN265=AN264,AN265=AN266),AN265=AN266),2,3)))</f>
        <v>2</v>
      </c>
    </row>
    <row r="266" spans="1:54" ht="13.5" thickBot="1" x14ac:dyDescent="0.25">
      <c r="A266" s="79" t="s">
        <v>144</v>
      </c>
      <c r="B266" s="999" t="str">
        <f>IF($AF$178=1,$E$178,IF($AF$180=1,$E$180,IF($AF$182=1,$E$182,IF($AF$184=1,$E$184,IF($AF$186=1,$E$186,"1st Place "&amp;$A266)))))</f>
        <v>Vision 17 Regional</v>
      </c>
      <c r="C266" s="1000"/>
      <c r="D266" s="1000"/>
      <c r="E266" s="1000"/>
      <c r="F266" s="998" t="str">
        <f>IF($AF$178=1,$E$179,IF($AF$180=1,$E$181,IF($AF$182=1,$E$183,IF($AF$184=1,$E$185,IF($AF$186=1,$E$187,"1st Place "&amp;$A266)))))</f>
        <v>fj7vison1pm</v>
      </c>
      <c r="G266" s="998"/>
      <c r="H266" s="998"/>
      <c r="I266" s="998"/>
      <c r="J266" s="1001">
        <f>IF($AF$178=1,$Z$178,IF($AF$180=1,$Z$180,IF($AF$182=1,$Z$182,IF($AF$184=1,$Z$184,IF($AF$186=1,$Z$186,0)))))</f>
        <v>8.4158415841584164E-2</v>
      </c>
      <c r="K266" s="1001"/>
      <c r="L266" s="181">
        <f>IF(AND(J264=0,J265=0,J266=0),0,IF(AND(J266&gt;J264,J266&gt;J265),1,IF(OR(J266&gt;J264,J266&gt;J265),2,3)))</f>
        <v>3</v>
      </c>
      <c r="M266" s="999" t="str">
        <f>IF($AF$178=2,$E$178,IF($AF$180=2,$E$180,IF($AF$182=2,$E$182,IF($AF$184=2,$E$184,IF($AF$186=2,$E$186,"2nd Place "&amp;$A266)))))</f>
        <v>MEVC17Power</v>
      </c>
      <c r="N266" s="1000"/>
      <c r="O266" s="1000"/>
      <c r="P266" s="1000"/>
      <c r="Q266" s="1000"/>
      <c r="R266" s="998" t="str">
        <f>IF($AF$178=2,$E$179,IF($AF$180=2,$E$181,IF($AF$182=2,$E$183,IF($AF$184=2,$E$185,IF($AF$186=2,$E$187,"2nd Place "&amp;$A266)))))</f>
        <v>fj7mtnel1pm</v>
      </c>
      <c r="S266" s="998"/>
      <c r="T266" s="998"/>
      <c r="U266" s="1001">
        <f>IF($AF$178=2,$Z$178,IF($AF$180=2,$Z$180,IF($AF$182=2,$Z$182,IF($AF$184=2,$Z$184,IF($AF$186=2,$Z$186,0)))))</f>
        <v>0.1044776119402985</v>
      </c>
      <c r="V266" s="1001"/>
      <c r="W266" s="182">
        <f>IF(AND(J264=0,J265=0,J266=0),0,IF(AND(U266&gt;U264,U266&gt;U265),1,IF(OR(U266&gt;U264,U266&gt;U265),2,3)))</f>
        <v>2</v>
      </c>
      <c r="X266" s="999" t="str">
        <f>IF($AF$178=3,$E$178,IF($AF$180=3,$E$180,IF($AF$182=3,$E$182,IF($AF$184=3,$E$184,IF($AF$186=3,$E$186,"3rd Place "&amp;$A266)))))</f>
        <v>Kershaw 17 White</v>
      </c>
      <c r="Y266" s="1000"/>
      <c r="Z266" s="1000"/>
      <c r="AA266" s="1000"/>
      <c r="AB266" s="1000"/>
      <c r="AC266" s="998" t="str">
        <f>IF($AF$178=3,$E$179,IF($AF$180=3,$E$181,IF($AF$182=3,$E$183,IF($AF$184=3,$E$185,IF($AF$186=3,$E$187,"3rd Place "&amp;$A266)))))</f>
        <v>fj7kersh2pm</v>
      </c>
      <c r="AD266" s="998"/>
      <c r="AE266" s="998"/>
      <c r="AF266" s="180">
        <f>IF($AF$178=3,$Z$178,IF($AF$180=3,$Z$180,IF($AF$182=3,$Z$182,IF($AF$184=3,$Z$184,IF($AF$186=3,$Z$186,0)))))</f>
        <v>9.9009900990099011E-3</v>
      </c>
      <c r="AG266" s="182">
        <f>IF(AND(J264=0,J265=0,J266=0),0,IF(AND(AF266&gt;AF264,AF266&gt;AF265),1,IF(OR(AF266&gt;AF264,AF266&gt;AF265),2,3)))</f>
        <v>1</v>
      </c>
      <c r="AH266" s="999" t="str">
        <f>IF($AF$178=4,$E$178,IF($AF$180=4,$E$180,IF($AF$182=4,$E$182,IF($AF$184=4,$E$184,IF($AF$186=4,$E$186,"4th Place "&amp;$A266)))))</f>
        <v>Branchville Juniors 18U</v>
      </c>
      <c r="AI266" s="1000"/>
      <c r="AJ266" s="1000"/>
      <c r="AK266" s="998" t="str">
        <f>IF($AF$178=4,$E$179,IF($AF$180=4,$E$181,IF($AF$182=4,$E$183,IF($AF$184=4,$E$185,IF($AF$186=4,$E$187,"4th Place "&amp;$A266)))))</f>
        <v>fj8branc3pm</v>
      </c>
      <c r="AL266" s="998"/>
      <c r="AM266" s="998"/>
      <c r="AN266" s="1001">
        <f>IF($AF$178=4,$Z$178,IF($AF$180=4,$Z$180,IF($AF$182=4,$Z$182,IF($AF$184=4,$Z$184,IF($AF$186=4,$Z$186,0)))))</f>
        <v>3.4482758620689655E-2</v>
      </c>
      <c r="AO266" s="1001"/>
      <c r="AP266" s="182">
        <f>IF(AND(J264=0,J265=0,J266=0),0,IF(AND(AN266&gt;AN264,AN266&gt;AN265),1,IF(OR(AN266&gt;AN264,AN266&gt;AN265),2,3)))</f>
        <v>1</v>
      </c>
    </row>
    <row r="267" spans="1:54" ht="13.5" thickBot="1" x14ac:dyDescent="0.25">
      <c r="A267" s="1002" t="s">
        <v>145</v>
      </c>
      <c r="B267" s="1004" t="s">
        <v>146</v>
      </c>
      <c r="C267" s="1005"/>
      <c r="D267" s="1005"/>
      <c r="E267" s="1005"/>
      <c r="F267" s="1005"/>
      <c r="G267" s="1005"/>
      <c r="H267" s="1005"/>
      <c r="I267" s="1005"/>
      <c r="J267" s="1005"/>
      <c r="K267" s="1005"/>
      <c r="L267" s="1006"/>
      <c r="M267" s="783" t="s">
        <v>147</v>
      </c>
      <c r="N267" s="784"/>
      <c r="O267" s="784"/>
      <c r="P267" s="784"/>
      <c r="Q267" s="784"/>
      <c r="R267" s="784"/>
      <c r="S267" s="784"/>
      <c r="T267" s="784"/>
      <c r="U267" s="784"/>
      <c r="V267" s="784"/>
      <c r="W267" s="785"/>
      <c r="X267" s="783" t="s">
        <v>148</v>
      </c>
      <c r="Y267" s="784"/>
      <c r="Z267" s="784"/>
      <c r="AA267" s="784"/>
      <c r="AB267" s="784"/>
      <c r="AC267" s="784"/>
      <c r="AD267" s="784"/>
      <c r="AE267" s="784"/>
      <c r="AF267" s="784"/>
      <c r="AG267" s="785"/>
      <c r="AH267" s="783" t="s">
        <v>149</v>
      </c>
      <c r="AI267" s="784"/>
      <c r="AJ267" s="784"/>
      <c r="AK267" s="784"/>
      <c r="AL267" s="784"/>
      <c r="AM267" s="784"/>
      <c r="AN267" s="784"/>
      <c r="AO267" s="784"/>
      <c r="AP267" s="785"/>
    </row>
    <row r="268" spans="1:54" ht="13.5" thickBot="1" x14ac:dyDescent="0.25">
      <c r="A268" s="1003"/>
      <c r="B268" s="995" t="s">
        <v>7</v>
      </c>
      <c r="C268" s="996"/>
      <c r="D268" s="996"/>
      <c r="E268" s="996"/>
      <c r="F268" s="996"/>
      <c r="G268" s="996"/>
      <c r="H268" s="997"/>
      <c r="I268" s="995" t="s">
        <v>8</v>
      </c>
      <c r="J268" s="996"/>
      <c r="K268" s="996"/>
      <c r="L268" s="997"/>
      <c r="M268" s="777" t="s">
        <v>7</v>
      </c>
      <c r="N268" s="778"/>
      <c r="O268" s="778"/>
      <c r="P268" s="778"/>
      <c r="Q268" s="778"/>
      <c r="R268" s="778"/>
      <c r="S268" s="779"/>
      <c r="T268" s="777" t="s">
        <v>8</v>
      </c>
      <c r="U268" s="778"/>
      <c r="V268" s="778"/>
      <c r="W268" s="779"/>
      <c r="X268" s="777" t="s">
        <v>7</v>
      </c>
      <c r="Y268" s="778"/>
      <c r="Z268" s="778"/>
      <c r="AA268" s="778"/>
      <c r="AB268" s="778"/>
      <c r="AC268" s="778"/>
      <c r="AD268" s="778"/>
      <c r="AE268" s="779"/>
      <c r="AF268" s="777" t="s">
        <v>8</v>
      </c>
      <c r="AG268" s="779"/>
      <c r="AH268" s="778" t="s">
        <v>7</v>
      </c>
      <c r="AI268" s="778"/>
      <c r="AJ268" s="778"/>
      <c r="AK268" s="778"/>
      <c r="AL268" s="778"/>
      <c r="AM268" s="779"/>
      <c r="AN268" s="777" t="s">
        <v>8</v>
      </c>
      <c r="AO268" s="778"/>
      <c r="AP268" s="779"/>
    </row>
    <row r="269" spans="1:54" x14ac:dyDescent="0.2">
      <c r="A269" s="106" t="s">
        <v>150</v>
      </c>
      <c r="B269" s="986" t="str">
        <f>IF(L264=1,B264,IF(L265=1,B265,IF(L266=1,B266,"#1 1st Place")))</f>
        <v>KVC17-1</v>
      </c>
      <c r="C269" s="987"/>
      <c r="D269" s="987"/>
      <c r="E269" s="987"/>
      <c r="F269" s="987"/>
      <c r="G269" s="987"/>
      <c r="H269" s="987"/>
      <c r="I269" s="988" t="str">
        <f>IF(L264=1,F264,IF(L265=1,F265,IF(L266=1,F266,"#1 1st Place")))</f>
        <v>fj7kvctn1so</v>
      </c>
      <c r="J269" s="988"/>
      <c r="K269" s="988"/>
      <c r="L269" s="989"/>
      <c r="M269" s="990" t="str">
        <f>IF(W264=1,M264,IF(W265=1,M265,IF(W266=1,M266,"#1 2nd Place")))</f>
        <v>NETVC 17Tori</v>
      </c>
      <c r="N269" s="991"/>
      <c r="O269" s="991"/>
      <c r="P269" s="991"/>
      <c r="Q269" s="991"/>
      <c r="R269" s="991"/>
      <c r="S269" s="991"/>
      <c r="T269" s="992" t="str">
        <f>IF(W264=1,R264,IF(W265=1,R265,IF(W266=1,R266,"#1 2nd Place")))</f>
        <v>fj7netvc1so</v>
      </c>
      <c r="U269" s="992"/>
      <c r="V269" s="992"/>
      <c r="W269" s="993"/>
      <c r="X269" s="990" t="str">
        <f>IF(AG264=1,X264,IF(AG265=1,X265,IF(AG266=1,X266,"#1 3rd Place")))</f>
        <v>Kershaw 17 White</v>
      </c>
      <c r="Y269" s="991"/>
      <c r="Z269" s="991"/>
      <c r="AA269" s="991"/>
      <c r="AB269" s="991"/>
      <c r="AC269" s="991"/>
      <c r="AD269" s="991"/>
      <c r="AE269" s="991"/>
      <c r="AF269" s="992" t="str">
        <f>IF(AG264=1,AC264,IF(AG265=1,AC265,IF(AG266=1,AC266,"#1 3rd Place")))</f>
        <v>fj7kersh2pm</v>
      </c>
      <c r="AG269" s="993"/>
      <c r="AH269" s="994" t="str">
        <f>IF(AP264=1,AH264,IF(AP265=1,AH265,IF(AP266=1,AH266,"#1 4th Place")))</f>
        <v>Branchville Juniors 18U</v>
      </c>
      <c r="AI269" s="991"/>
      <c r="AJ269" s="991"/>
      <c r="AK269" s="991"/>
      <c r="AL269" s="991"/>
      <c r="AM269" s="991"/>
      <c r="AN269" s="992" t="str">
        <f>IF(AP264=1,AK264,IF(AP265=1,AK265,IF(AP266=1,AK266,"#1 4th Place")))</f>
        <v>fj8branc3pm</v>
      </c>
      <c r="AO269" s="992"/>
      <c r="AP269" s="993"/>
    </row>
    <row r="270" spans="1:54" x14ac:dyDescent="0.2">
      <c r="A270" s="106" t="s">
        <v>151</v>
      </c>
      <c r="B270" s="934" t="str">
        <f>IF(L264=2,B264,IF(L265=2,B265,IF(L266=2,B266,"#2 1st Place")))</f>
        <v>Extreme 17 Summer</v>
      </c>
      <c r="C270" s="935"/>
      <c r="D270" s="935"/>
      <c r="E270" s="935"/>
      <c r="F270" s="935"/>
      <c r="G270" s="935"/>
      <c r="H270" s="935"/>
      <c r="I270" s="936" t="str">
        <f>IF(L264=2,F264,IF(L265=2,F265,IF(L266=2,F266,"#2 1st Place")))</f>
        <v>fj7triex1so</v>
      </c>
      <c r="J270" s="936"/>
      <c r="K270" s="936"/>
      <c r="L270" s="937"/>
      <c r="M270" s="985" t="str">
        <f>IF(W264=2,M264,IF(W265=2,M265,IF(W266=2,M266,"#2 2nd Place")))</f>
        <v>MEVC17Power</v>
      </c>
      <c r="N270" s="981"/>
      <c r="O270" s="981"/>
      <c r="P270" s="981"/>
      <c r="Q270" s="981"/>
      <c r="R270" s="981"/>
      <c r="S270" s="981"/>
      <c r="T270" s="982" t="str">
        <f>IF(W264=2,R264,IF(W265=2,R265,IF(W266=2,R266,"#2 2nd Place")))</f>
        <v>fj7mtnel1pm</v>
      </c>
      <c r="U270" s="982"/>
      <c r="V270" s="982"/>
      <c r="W270" s="983"/>
      <c r="X270" s="985" t="str">
        <f>IF(AG264=2,X264,IF(AG265=2,X265,IF(AG266=2,X266,"#2 3rd Place")))</f>
        <v>Augusta Elite 17U</v>
      </c>
      <c r="Y270" s="981"/>
      <c r="Z270" s="981"/>
      <c r="AA270" s="981"/>
      <c r="AB270" s="981"/>
      <c r="AC270" s="981"/>
      <c r="AD270" s="981"/>
      <c r="AE270" s="981"/>
      <c r="AF270" s="982" t="str">
        <f>IF(AG264=2,AC264,IF(AG265=2,AC265,IF(AG266=2,AC266,"#2 3rd Place")))</f>
        <v>fj7aelit1pm</v>
      </c>
      <c r="AG270" s="983"/>
      <c r="AH270" s="980" t="str">
        <f>IF(AP264=2,AH264,IF(AP265=2,AH265,IF(AP266=2,AH266,"#2 4th Place")))</f>
        <v>SMVC Royals 17</v>
      </c>
      <c r="AI270" s="981"/>
      <c r="AJ270" s="981"/>
      <c r="AK270" s="981"/>
      <c r="AL270" s="981"/>
      <c r="AM270" s="981"/>
      <c r="AN270" s="982" t="str">
        <f>IF(AP264=2,AK264,IF(AP265=2,AK265,IF(AP266=2,AK266,"#2 4th Place")))</f>
        <v>fj7smvbc1cr</v>
      </c>
      <c r="AO270" s="982"/>
      <c r="AP270" s="983"/>
    </row>
    <row r="271" spans="1:54" s="3" customFormat="1" ht="13.5" thickBot="1" x14ac:dyDescent="0.25">
      <c r="A271" s="168" t="s">
        <v>152</v>
      </c>
      <c r="B271" s="773" t="str">
        <f>IF(L264=3,B264,IF(L265=3,B265,IF(L266=3,B266,"#3 1st Place")))</f>
        <v>Vision 17 Regional</v>
      </c>
      <c r="C271" s="774"/>
      <c r="D271" s="774"/>
      <c r="E271" s="774"/>
      <c r="F271" s="774"/>
      <c r="G271" s="774"/>
      <c r="H271" s="774"/>
      <c r="I271" s="775" t="str">
        <f>IF(L264=3,F264,IF(L265=3,F265,IF(L266=3,F266,"#3 1st Place")))</f>
        <v>fj7vison1pm</v>
      </c>
      <c r="J271" s="775"/>
      <c r="K271" s="775"/>
      <c r="L271" s="776"/>
      <c r="M271" s="773" t="str">
        <f>IF(W264=3,M264,IF(W265=3,M265,IF(W266=3,M266,"#3 2nd Place")))</f>
        <v>SVBC Blazers 18</v>
      </c>
      <c r="N271" s="774"/>
      <c r="O271" s="774"/>
      <c r="P271" s="774"/>
      <c r="Q271" s="774"/>
      <c r="R271" s="774"/>
      <c r="S271" s="774"/>
      <c r="T271" s="775" t="str">
        <f>IF(W264=3,R264,IF(W265=3,R265,IF(W266=3,R266,"#3 2nd Place")))</f>
        <v>fj8sandh1pm</v>
      </c>
      <c r="U271" s="775"/>
      <c r="V271" s="775"/>
      <c r="W271" s="776"/>
      <c r="X271" s="773" t="str">
        <f>IF(AG264=3,X264,IF(AG265=3,X265,IF(AG266=3,X266,"#3 3rd Place")))</f>
        <v>united vbc 17 u</v>
      </c>
      <c r="Y271" s="774"/>
      <c r="Z271" s="774"/>
      <c r="AA271" s="774"/>
      <c r="AB271" s="774"/>
      <c r="AC271" s="774"/>
      <c r="AD271" s="774"/>
      <c r="AE271" s="774"/>
      <c r="AF271" s="775" t="str">
        <f>IF(AG264=3,AC264,IF(AG265=3,AC265,IF(AG266=3,AC266,"#3 3rd Place")))</f>
        <v>fj7unitd1pm</v>
      </c>
      <c r="AG271" s="776"/>
      <c r="AH271" s="984" t="str">
        <f>IF(AP264=3,AH264,IF(AP265=3,AH265,IF(AP266=3,AH266,"#3 4th Place")))</f>
        <v>Foothills 17</v>
      </c>
      <c r="AI271" s="774"/>
      <c r="AJ271" s="774"/>
      <c r="AK271" s="774"/>
      <c r="AL271" s="774"/>
      <c r="AM271" s="774"/>
      <c r="AN271" s="775" t="str">
        <f>IF(AP264=3,AK264,IF(AP265=3,AK265,IF(AP266=3,AK266,"#3 4th Place")))</f>
        <v>fj7footh7pm</v>
      </c>
      <c r="AO271" s="775"/>
      <c r="AP271" s="776"/>
      <c r="AW271" s="62"/>
      <c r="AX271" s="4"/>
      <c r="AY271" s="4"/>
      <c r="AZ271" s="4"/>
      <c r="BA271" s="4"/>
    </row>
    <row r="272" spans="1:54" s="3" customFormat="1" x14ac:dyDescent="0.2">
      <c r="A272" s="35"/>
      <c r="B272" s="81"/>
      <c r="C272" s="81"/>
      <c r="D272" s="81"/>
      <c r="E272" s="81"/>
      <c r="F272" s="81"/>
      <c r="G272" s="81"/>
      <c r="H272" s="81"/>
      <c r="I272" s="81"/>
      <c r="J272" s="81"/>
      <c r="K272" s="81"/>
      <c r="L272" s="81"/>
      <c r="M272" s="183"/>
      <c r="N272" s="183"/>
      <c r="O272" s="183"/>
      <c r="P272" s="183"/>
      <c r="Q272" s="183"/>
      <c r="R272" s="183"/>
      <c r="S272" s="183"/>
      <c r="T272" s="183"/>
      <c r="U272" s="183"/>
      <c r="V272" s="183"/>
      <c r="W272" s="183"/>
      <c r="AW272" s="62"/>
      <c r="AX272" s="4"/>
      <c r="AY272" s="4"/>
      <c r="AZ272" s="4"/>
      <c r="BA272" s="4"/>
    </row>
    <row r="273" spans="1:56" ht="15.75" x14ac:dyDescent="0.25">
      <c r="A273" s="763" t="s">
        <v>102</v>
      </c>
      <c r="B273" s="763"/>
      <c r="C273" s="763"/>
      <c r="D273" s="763"/>
      <c r="E273" s="763"/>
      <c r="F273" s="763"/>
      <c r="G273" s="763"/>
      <c r="H273" s="763"/>
      <c r="I273" s="763"/>
      <c r="J273" s="763"/>
      <c r="K273" s="763"/>
      <c r="L273" s="763"/>
      <c r="M273" s="763"/>
      <c r="N273" s="763"/>
      <c r="O273" s="763"/>
      <c r="P273" s="763"/>
      <c r="Q273" s="763"/>
      <c r="R273" s="763"/>
      <c r="S273" s="763"/>
      <c r="T273" s="763"/>
      <c r="U273" s="763"/>
      <c r="V273" s="763"/>
      <c r="W273" s="763"/>
      <c r="X273" s="763"/>
      <c r="Y273" s="763"/>
      <c r="Z273" s="763"/>
      <c r="AA273" s="763"/>
      <c r="AB273" s="763"/>
      <c r="AC273" s="763"/>
      <c r="AD273" s="763"/>
      <c r="AE273" s="763"/>
      <c r="AF273" s="763"/>
      <c r="AG273" s="763"/>
      <c r="AH273" s="763"/>
      <c r="AI273" s="763"/>
      <c r="AJ273" s="763"/>
      <c r="AK273" s="763"/>
      <c r="AL273" s="763"/>
      <c r="AM273" s="763"/>
      <c r="AN273" s="763"/>
      <c r="AO273" s="763"/>
      <c r="AP273" s="763"/>
      <c r="AQ273" s="763"/>
      <c r="AT273" s="83"/>
      <c r="AU273" s="83"/>
      <c r="AV273" s="83"/>
    </row>
    <row r="274" spans="1:56" ht="36" customHeight="1" x14ac:dyDescent="0.25">
      <c r="A274" s="764" t="s">
        <v>350</v>
      </c>
      <c r="B274" s="765"/>
      <c r="C274" s="765"/>
      <c r="D274" s="765"/>
      <c r="E274" s="765"/>
      <c r="F274" s="765"/>
      <c r="G274" s="765"/>
      <c r="H274" s="765"/>
      <c r="I274" s="765"/>
      <c r="J274" s="765"/>
      <c r="K274" s="765"/>
      <c r="L274" s="765"/>
      <c r="M274" s="765"/>
      <c r="N274" s="765"/>
      <c r="O274" s="765"/>
      <c r="P274" s="765"/>
      <c r="Q274" s="765"/>
      <c r="R274" s="765"/>
      <c r="S274" s="765"/>
      <c r="T274" s="765"/>
      <c r="U274" s="765"/>
      <c r="V274" s="765"/>
      <c r="W274" s="765"/>
      <c r="X274" s="765"/>
      <c r="Y274" s="765"/>
      <c r="Z274" s="765"/>
      <c r="AA274" s="765"/>
      <c r="AB274" s="765"/>
      <c r="AC274" s="765"/>
      <c r="AD274" s="765"/>
      <c r="AE274" s="765"/>
      <c r="AF274" s="765"/>
      <c r="AG274" s="765"/>
      <c r="AH274" s="765"/>
      <c r="AI274" s="765"/>
      <c r="AJ274" s="765"/>
      <c r="AK274" s="765"/>
      <c r="AL274" s="765"/>
      <c r="AM274" s="765"/>
      <c r="AN274" s="765"/>
      <c r="AO274" s="765"/>
      <c r="AP274" s="765"/>
      <c r="AQ274" s="765"/>
    </row>
    <row r="275" spans="1:56" x14ac:dyDescent="0.2">
      <c r="A275" s="766" t="s">
        <v>170</v>
      </c>
      <c r="B275" s="766"/>
      <c r="C275" s="766"/>
      <c r="D275" s="766"/>
      <c r="E275" s="766"/>
      <c r="F275" s="766"/>
      <c r="G275" s="766"/>
      <c r="H275" s="766"/>
      <c r="I275" s="766"/>
      <c r="J275" s="766"/>
      <c r="K275" s="766"/>
      <c r="L275" s="766"/>
      <c r="M275" s="766"/>
      <c r="N275" s="766"/>
      <c r="O275" s="766"/>
      <c r="P275" s="766"/>
      <c r="Q275" s="766"/>
      <c r="R275" s="766"/>
      <c r="S275" s="766"/>
      <c r="T275" s="766"/>
      <c r="U275" s="766"/>
      <c r="V275" s="766"/>
      <c r="W275" s="766"/>
      <c r="X275" s="766"/>
      <c r="Y275" s="766"/>
      <c r="Z275" s="766"/>
      <c r="AA275" s="766"/>
      <c r="AB275" s="766"/>
      <c r="AC275" s="766"/>
      <c r="AD275" s="766"/>
      <c r="AE275" s="766"/>
      <c r="AF275" s="766"/>
      <c r="AG275" s="766"/>
      <c r="AH275" s="766"/>
      <c r="AI275" s="766"/>
      <c r="AJ275" s="766"/>
      <c r="AK275" s="766"/>
      <c r="AL275" s="766"/>
      <c r="AM275" s="766"/>
      <c r="AN275" s="766"/>
      <c r="AO275" s="766"/>
      <c r="AP275" s="766"/>
      <c r="AQ275" s="766"/>
    </row>
    <row r="276" spans="1:56" x14ac:dyDescent="0.2">
      <c r="A276" s="766" t="s">
        <v>153</v>
      </c>
      <c r="B276" s="766"/>
      <c r="C276" s="766"/>
      <c r="D276" s="766"/>
      <c r="E276" s="766"/>
      <c r="F276" s="766"/>
      <c r="G276" s="766"/>
      <c r="H276" s="766"/>
      <c r="I276" s="766"/>
      <c r="J276" s="766"/>
      <c r="K276" s="766"/>
      <c r="L276" s="766"/>
      <c r="M276" s="766"/>
      <c r="N276" s="766"/>
      <c r="O276" s="766"/>
      <c r="P276" s="766"/>
      <c r="Q276" s="766"/>
      <c r="R276" s="766"/>
      <c r="S276" s="766"/>
      <c r="T276" s="766"/>
      <c r="U276" s="766"/>
      <c r="V276" s="766"/>
      <c r="W276" s="766"/>
      <c r="X276" s="766"/>
      <c r="Y276" s="766"/>
      <c r="Z276" s="766"/>
      <c r="AA276" s="766"/>
      <c r="AB276" s="766"/>
      <c r="AC276" s="766"/>
      <c r="AD276" s="766"/>
      <c r="AE276" s="766"/>
      <c r="AF276" s="766"/>
      <c r="AG276" s="766"/>
      <c r="AH276" s="766"/>
      <c r="AI276" s="766"/>
      <c r="AJ276" s="766"/>
      <c r="AK276" s="766"/>
      <c r="AL276" s="766"/>
      <c r="AM276" s="766"/>
      <c r="AN276" s="766"/>
      <c r="AO276" s="766"/>
      <c r="AP276" s="766"/>
      <c r="AQ276" s="766"/>
    </row>
    <row r="277" spans="1:56" x14ac:dyDescent="0.2">
      <c r="A277" s="767" t="s">
        <v>104</v>
      </c>
      <c r="B277" s="767"/>
      <c r="C277" s="767"/>
      <c r="D277" s="767"/>
      <c r="E277" s="767"/>
      <c r="F277" s="767"/>
      <c r="G277" s="767"/>
      <c r="H277" s="767"/>
      <c r="I277" s="767"/>
      <c r="J277" s="767"/>
      <c r="K277" s="767"/>
      <c r="L277" s="84"/>
    </row>
    <row r="278" spans="1:56" x14ac:dyDescent="0.2">
      <c r="C278" s="3"/>
      <c r="D278" s="3"/>
      <c r="E278" s="3"/>
      <c r="L278" s="84"/>
    </row>
    <row r="279" spans="1:56" x14ac:dyDescent="0.2">
      <c r="A279" s="768" t="s">
        <v>105</v>
      </c>
      <c r="B279" s="768"/>
      <c r="C279" s="768"/>
      <c r="D279" s="768"/>
      <c r="E279" s="768"/>
      <c r="F279" s="768"/>
      <c r="G279" s="768"/>
      <c r="H279" s="768"/>
      <c r="I279" s="768"/>
      <c r="J279" s="768"/>
      <c r="K279" s="768"/>
      <c r="L279" s="768"/>
      <c r="M279" s="768"/>
      <c r="N279" s="768"/>
      <c r="O279" s="768"/>
      <c r="P279" s="768"/>
      <c r="Q279" s="62"/>
      <c r="S279" s="768" t="s">
        <v>106</v>
      </c>
      <c r="T279" s="768"/>
      <c r="U279" s="768"/>
      <c r="V279" s="768"/>
      <c r="W279" s="768"/>
      <c r="X279" s="768"/>
      <c r="Y279" s="768"/>
      <c r="Z279" s="768"/>
      <c r="AA279" s="768"/>
      <c r="AB279" s="768"/>
      <c r="AC279" s="768"/>
      <c r="AD279" s="768"/>
      <c r="AE279" s="768"/>
      <c r="AF279" s="768"/>
      <c r="AG279" s="768"/>
    </row>
    <row r="281" spans="1:56" ht="13.5" thickBot="1" x14ac:dyDescent="0.25">
      <c r="A281" s="736" t="str">
        <f>IF(B309=1,B301,IF(B309=2,B302,IF(B309=3,B303,IF(B309=4,B304,IF(OR(B309="B",B309="b"),"BYE","invalid")))))</f>
        <v>Extreme 17 Summer</v>
      </c>
      <c r="B281" s="736"/>
      <c r="C281" s="736"/>
      <c r="D281" s="736"/>
      <c r="E281" s="736"/>
      <c r="F281" s="88"/>
      <c r="G281" s="88"/>
      <c r="H281" s="88"/>
      <c r="I281" s="88"/>
      <c r="J281" s="88"/>
      <c r="K281" s="88"/>
      <c r="L281" s="88"/>
      <c r="M281" s="88"/>
      <c r="N281" s="88"/>
      <c r="O281" s="88"/>
      <c r="T281" s="89"/>
      <c r="U281" s="89"/>
      <c r="V281" s="736" t="str">
        <f>IF(W309=1,X301,IF(W309=2,X302,IF(W309=3,X303,IF(W309=4,X304,IF(OR(W309="B",W309="b"),"BYE","invalid")))))</f>
        <v>MEVC17Power</v>
      </c>
      <c r="W281" s="736"/>
      <c r="X281" s="736"/>
      <c r="Y281" s="736"/>
      <c r="Z281" s="736"/>
      <c r="AA281" s="736"/>
      <c r="AB281" s="736"/>
      <c r="AC281" s="88"/>
      <c r="AD281" s="88"/>
      <c r="AE281" s="88"/>
      <c r="AF281" s="88"/>
    </row>
    <row r="282" spans="1:56" x14ac:dyDescent="0.2">
      <c r="A282" s="738" t="s">
        <v>107</v>
      </c>
      <c r="B282" s="738"/>
      <c r="C282" s="738"/>
      <c r="D282" s="738"/>
      <c r="E282" s="738"/>
      <c r="F282" s="91"/>
      <c r="G282" s="88"/>
      <c r="H282" s="88"/>
      <c r="I282" s="88"/>
      <c r="J282" s="88"/>
      <c r="K282" s="88"/>
      <c r="L282" s="88"/>
      <c r="M282" s="88"/>
      <c r="N282" s="88"/>
      <c r="O282" s="88"/>
      <c r="T282" s="92"/>
      <c r="U282" s="92"/>
      <c r="V282" s="739" t="s">
        <v>154</v>
      </c>
      <c r="W282" s="739"/>
      <c r="X282" s="739"/>
      <c r="Y282" s="739"/>
      <c r="Z282" s="739"/>
      <c r="AA282" s="739"/>
      <c r="AB282" s="752"/>
      <c r="AC282" s="88"/>
      <c r="AD282" s="88"/>
      <c r="AE282" s="88"/>
      <c r="AF282" s="88"/>
    </row>
    <row r="283" spans="1:56" x14ac:dyDescent="0.2">
      <c r="A283" s="88"/>
      <c r="B283" s="88"/>
      <c r="C283" s="88"/>
      <c r="D283" s="88"/>
      <c r="E283" s="88"/>
      <c r="F283" s="91"/>
      <c r="G283" s="88"/>
      <c r="H283" s="88"/>
      <c r="I283" s="88"/>
      <c r="J283" s="88"/>
      <c r="K283" s="88"/>
      <c r="L283" s="88"/>
      <c r="M283" s="88"/>
      <c r="N283" s="88"/>
      <c r="O283" s="88"/>
      <c r="S283" s="88"/>
      <c r="T283" s="88"/>
      <c r="U283" s="88"/>
      <c r="V283" s="88"/>
      <c r="W283" s="88"/>
      <c r="X283" s="88"/>
      <c r="Y283" s="88"/>
      <c r="Z283" s="88"/>
      <c r="AA283" s="88"/>
      <c r="AB283" s="165"/>
      <c r="AC283" s="88"/>
      <c r="AD283" s="88"/>
      <c r="AE283" s="88"/>
      <c r="AF283" s="88"/>
    </row>
    <row r="284" spans="1:56" ht="13.5" thickBot="1" x14ac:dyDescent="0.25">
      <c r="A284" s="739" t="str">
        <f>B303&amp;" ref"</f>
        <v>Vision 17 Regional ref</v>
      </c>
      <c r="B284" s="739"/>
      <c r="C284" s="739"/>
      <c r="D284" s="739"/>
      <c r="E284" s="752"/>
      <c r="F284" s="748" t="str">
        <f>IF(H309=1,B301,IF(H309=2,B302,IF(H309=3,B303,IF(H309=4,B304,"Winner Match 1"))))</f>
        <v>Extreme 17 Summer</v>
      </c>
      <c r="G284" s="749"/>
      <c r="H284" s="749"/>
      <c r="I284" s="749"/>
      <c r="J284" s="749"/>
      <c r="K284" s="749"/>
      <c r="L284" s="749"/>
      <c r="M284" s="749"/>
      <c r="N284" s="749"/>
      <c r="O284" s="88"/>
      <c r="Q284" s="96"/>
      <c r="R284" s="96"/>
      <c r="S284" s="96"/>
      <c r="T284" s="96"/>
      <c r="U284" s="739" t="str">
        <f>X303&amp;" ref"</f>
        <v>Kershaw 17 White ref</v>
      </c>
      <c r="V284" s="739"/>
      <c r="W284" s="739"/>
      <c r="X284" s="739"/>
      <c r="Y284" s="739"/>
      <c r="Z284" s="739"/>
      <c r="AA284" s="739"/>
      <c r="AB284" s="752"/>
      <c r="AC284" s="748" t="str">
        <f>IF(AC309=1,X301,IF(AC309=2,X302,IF(AC309=3,X303,IF(AC309=4,X304,"Winner Match 1"))))</f>
        <v>MEVC17Power</v>
      </c>
      <c r="AD284" s="749"/>
      <c r="AE284" s="749"/>
      <c r="AF284" s="749"/>
      <c r="AG284" s="749"/>
      <c r="AH284" s="749"/>
      <c r="AI284" s="749"/>
    </row>
    <row r="285" spans="1:56" x14ac:dyDescent="0.2">
      <c r="A285" s="746" t="s">
        <v>109</v>
      </c>
      <c r="B285" s="746"/>
      <c r="C285" s="746"/>
      <c r="D285" s="746"/>
      <c r="E285" s="746"/>
      <c r="F285" s="759"/>
      <c r="G285" s="760"/>
      <c r="H285" s="760"/>
      <c r="I285" s="761"/>
      <c r="J285" s="744"/>
      <c r="K285" s="745"/>
      <c r="L285" s="745"/>
      <c r="M285" s="745"/>
      <c r="N285" s="745"/>
      <c r="O285" s="88"/>
      <c r="P285" s="88"/>
      <c r="Q285" s="95"/>
      <c r="R285" s="10"/>
      <c r="S285" s="102"/>
      <c r="T285" s="102"/>
      <c r="U285" s="762" t="s">
        <v>110</v>
      </c>
      <c r="V285" s="762"/>
      <c r="W285" s="762"/>
      <c r="X285" s="762"/>
      <c r="Y285" s="762"/>
      <c r="Z285" s="762"/>
      <c r="AA285" s="762"/>
      <c r="AB285" s="165"/>
      <c r="AC285" s="759"/>
      <c r="AD285" s="760"/>
      <c r="AE285" s="760"/>
      <c r="AF285" s="761"/>
      <c r="AG285" s="744"/>
      <c r="AH285" s="745"/>
      <c r="AI285" s="745"/>
    </row>
    <row r="286" spans="1:56" ht="13.5" thickBot="1" x14ac:dyDescent="0.25">
      <c r="A286" s="736" t="str">
        <f>IF(D309=1,B301,IF(D309=2,B302,IF(D309=3,B303,IF(D309=4,B304,IF(OR(D309="B",D309="b"),"BYE","invalid")))))</f>
        <v>NETVC 17Tori</v>
      </c>
      <c r="B286" s="736"/>
      <c r="C286" s="736"/>
      <c r="D286" s="736"/>
      <c r="E286" s="737"/>
      <c r="F286" s="91"/>
      <c r="G286" s="88"/>
      <c r="H286" s="88"/>
      <c r="I286" s="88"/>
      <c r="J286" s="91"/>
      <c r="K286" s="88"/>
      <c r="L286" s="88"/>
      <c r="M286" s="88"/>
      <c r="N286" s="88"/>
      <c r="O286" s="88"/>
      <c r="P286" s="88"/>
      <c r="Q286" s="88"/>
      <c r="U286" s="88"/>
      <c r="V286" s="736" t="str">
        <f>IF(Y309=1,X301,IF(Y309=2,X302,IF(Y309=3,X303,IF(Y309=4,X304,IF(OR(Y309="B",Y309="b"),"BYE","invalid")))))</f>
        <v>Augusta Elite 17U</v>
      </c>
      <c r="W286" s="736"/>
      <c r="X286" s="736"/>
      <c r="Y286" s="736"/>
      <c r="Z286" s="736"/>
      <c r="AA286" s="736"/>
      <c r="AB286" s="737"/>
      <c r="AC286" s="88"/>
      <c r="AD286" s="88"/>
      <c r="AE286" s="88"/>
      <c r="AF286" s="165"/>
      <c r="AG286" s="88"/>
      <c r="AH286" s="88"/>
      <c r="AW286" s="146"/>
      <c r="AX286" s="54"/>
      <c r="AY286" s="54"/>
      <c r="AZ286" s="54"/>
      <c r="BA286" s="54"/>
    </row>
    <row r="287" spans="1:56" x14ac:dyDescent="0.2">
      <c r="A287" s="738" t="s">
        <v>155</v>
      </c>
      <c r="B287" s="738"/>
      <c r="C287" s="738"/>
      <c r="D287" s="738"/>
      <c r="E287" s="738"/>
      <c r="F287" s="88"/>
      <c r="G287" s="88"/>
      <c r="H287" s="88"/>
      <c r="I287" s="88"/>
      <c r="J287" s="91"/>
      <c r="K287" s="88"/>
      <c r="L287" s="88"/>
      <c r="M287" s="88"/>
      <c r="N287" s="88"/>
      <c r="O287" s="88"/>
      <c r="P287" s="88"/>
      <c r="Q287" s="88"/>
      <c r="V287" s="757" t="s">
        <v>156</v>
      </c>
      <c r="W287" s="757"/>
      <c r="X287" s="757"/>
      <c r="Y287" s="757"/>
      <c r="Z287" s="757"/>
      <c r="AA287" s="757"/>
      <c r="AB287" s="757"/>
      <c r="AC287" s="88"/>
      <c r="AD287" s="88"/>
      <c r="AE287" s="88"/>
      <c r="AF287" s="165"/>
      <c r="AG287" s="88"/>
      <c r="AH287" s="88"/>
      <c r="AR287" s="104"/>
      <c r="AS287" s="104"/>
      <c r="AW287" s="146"/>
      <c r="AX287" s="54"/>
      <c r="AY287" s="54"/>
      <c r="AZ287" s="54"/>
      <c r="BA287" s="54"/>
      <c r="BB287" s="104"/>
      <c r="BC287" s="104"/>
      <c r="BD287" s="104"/>
    </row>
    <row r="288" spans="1:56" x14ac:dyDescent="0.2">
      <c r="A288" s="88"/>
      <c r="B288" s="88"/>
      <c r="C288" s="88"/>
      <c r="D288" s="88"/>
      <c r="E288" s="88"/>
      <c r="F288" s="751" t="s">
        <v>113</v>
      </c>
      <c r="G288" s="751"/>
      <c r="H288" s="751"/>
      <c r="I288" s="758"/>
      <c r="J288" s="91"/>
      <c r="K288" s="88"/>
      <c r="L288" s="88"/>
      <c r="M288" s="88"/>
      <c r="N288" s="88"/>
      <c r="O288" s="88"/>
      <c r="P288" s="88"/>
      <c r="Q288" s="88"/>
      <c r="S288" s="88"/>
      <c r="T288" s="88"/>
      <c r="U288" s="88"/>
      <c r="V288" s="88"/>
      <c r="W288" s="88"/>
      <c r="X288" s="96"/>
      <c r="Y288" s="96"/>
      <c r="Z288" s="96"/>
      <c r="AB288" s="96"/>
      <c r="AC288" s="751" t="s">
        <v>113</v>
      </c>
      <c r="AD288" s="751"/>
      <c r="AE288" s="751"/>
      <c r="AF288" s="758"/>
      <c r="AG288" s="88"/>
      <c r="AH288" s="88"/>
      <c r="AW288" s="146"/>
      <c r="AX288" s="54"/>
      <c r="AY288" s="54"/>
      <c r="AZ288" s="54"/>
      <c r="BA288" s="54"/>
    </row>
    <row r="289" spans="1:53" ht="13.5" thickBot="1" x14ac:dyDescent="0.25">
      <c r="A289" s="88"/>
      <c r="B289" s="88"/>
      <c r="C289" s="88"/>
      <c r="D289" s="88"/>
      <c r="E289" s="88"/>
      <c r="F289" s="88"/>
      <c r="G289" s="88"/>
      <c r="H289" s="88"/>
      <c r="I289" s="88"/>
      <c r="J289" s="978" t="str">
        <f>IF(K314=1,B301,IF(K314=2,B302,IF(K314=3,B303,IF(K314=4,B304,"Division Winner"))))</f>
        <v>Extreme 17 Summer</v>
      </c>
      <c r="K289" s="979"/>
      <c r="L289" s="979"/>
      <c r="M289" s="979"/>
      <c r="N289" s="979"/>
      <c r="O289" s="979"/>
      <c r="P289" s="979"/>
      <c r="Q289" s="979"/>
      <c r="R289" s="89"/>
      <c r="S289" s="88"/>
      <c r="T289" s="88"/>
      <c r="U289" s="88"/>
      <c r="V289" s="88"/>
      <c r="W289" s="88"/>
      <c r="X289" s="88"/>
      <c r="Y289" s="88"/>
      <c r="Z289" s="88"/>
      <c r="AA289" s="88"/>
      <c r="AB289" s="107"/>
      <c r="AC289" s="107"/>
      <c r="AD289" s="107"/>
      <c r="AE289" s="107"/>
      <c r="AF289" s="166"/>
      <c r="AG289" s="978" t="str">
        <f>IF(AF314=1,X301,IF(AF314=2,X302,IF(AF314=3,X303,IF(AF314=4,X304,"Division Winner"))))</f>
        <v>MEVC17Power</v>
      </c>
      <c r="AH289" s="979"/>
      <c r="AI289" s="979"/>
      <c r="AJ289" s="979"/>
      <c r="AK289" s="979"/>
      <c r="AL289" s="979"/>
      <c r="AW289" s="146"/>
      <c r="AX289" s="54"/>
      <c r="AY289" s="54"/>
      <c r="AZ289" s="54"/>
      <c r="BA289" s="54"/>
    </row>
    <row r="290" spans="1:53" ht="13.5" thickBot="1" x14ac:dyDescent="0.25">
      <c r="A290" s="736" t="str">
        <f>IF(E309=1,B301,IF(E309=2,B302,IF(E309=3,B303,IF(E309=4,B304,IF(OR(E309="B",E309="b"),"BYE","invalid")))))</f>
        <v>KVC17-1</v>
      </c>
      <c r="B290" s="736"/>
      <c r="C290" s="736"/>
      <c r="D290" s="736"/>
      <c r="E290" s="736"/>
      <c r="F290" s="746" t="s">
        <v>114</v>
      </c>
      <c r="G290" s="746"/>
      <c r="H290" s="746"/>
      <c r="I290" s="746"/>
      <c r="J290" s="750" t="s">
        <v>115</v>
      </c>
      <c r="K290" s="751"/>
      <c r="L290" s="751"/>
      <c r="M290" s="751"/>
      <c r="N290" s="751"/>
      <c r="O290" s="751"/>
      <c r="P290" s="751"/>
      <c r="Q290" s="751"/>
      <c r="S290" s="107"/>
      <c r="T290" s="107"/>
      <c r="U290" s="107"/>
      <c r="V290" s="736" t="str">
        <f>IF(Z309=1,X301,IF(Z309=2,X302,IF(Z309=3,X303,IF(Z309=4,X304,IF(OR(Z309="B",Z309="b"),"BYE","invalid")))))</f>
        <v>SVBC Blazers 18</v>
      </c>
      <c r="W290" s="736"/>
      <c r="X290" s="736"/>
      <c r="Y290" s="736"/>
      <c r="Z290" s="736"/>
      <c r="AA290" s="736"/>
      <c r="AB290" s="736"/>
      <c r="AC290" s="746" t="s">
        <v>116</v>
      </c>
      <c r="AD290" s="746"/>
      <c r="AE290" s="746"/>
      <c r="AF290" s="747"/>
      <c r="AG290" s="750" t="s">
        <v>117</v>
      </c>
      <c r="AH290" s="751"/>
      <c r="AI290" s="751"/>
      <c r="AJ290" s="751"/>
      <c r="AK290" s="751"/>
      <c r="AL290" s="751"/>
      <c r="AW290" s="146"/>
      <c r="AX290" s="54"/>
      <c r="AY290" s="54"/>
      <c r="AZ290" s="54"/>
      <c r="BA290" s="54"/>
    </row>
    <row r="291" spans="1:53" x14ac:dyDescent="0.2">
      <c r="A291" s="738" t="s">
        <v>118</v>
      </c>
      <c r="B291" s="738"/>
      <c r="C291" s="738"/>
      <c r="D291" s="738"/>
      <c r="E291" s="738"/>
      <c r="F291" s="91"/>
      <c r="G291" s="88"/>
      <c r="H291" s="88"/>
      <c r="I291" s="88"/>
      <c r="J291" s="750"/>
      <c r="K291" s="751"/>
      <c r="L291" s="751"/>
      <c r="M291" s="751"/>
      <c r="N291" s="751"/>
      <c r="O291" s="751"/>
      <c r="P291" s="751"/>
      <c r="Q291" s="751"/>
      <c r="R291" s="88"/>
      <c r="S291" s="104"/>
      <c r="T291" s="104"/>
      <c r="U291" s="104"/>
      <c r="V291" s="739" t="s">
        <v>157</v>
      </c>
      <c r="W291" s="739"/>
      <c r="X291" s="739"/>
      <c r="Y291" s="739"/>
      <c r="Z291" s="739"/>
      <c r="AA291" s="739"/>
      <c r="AB291" s="752"/>
      <c r="AC291" s="88"/>
      <c r="AD291" s="88"/>
      <c r="AE291" s="88"/>
      <c r="AF291" s="165"/>
      <c r="AG291" s="88"/>
      <c r="AH291" s="88"/>
      <c r="AW291" s="146"/>
      <c r="AX291" s="54"/>
      <c r="AY291" s="54"/>
      <c r="AZ291" s="54"/>
      <c r="BA291" s="54"/>
    </row>
    <row r="292" spans="1:53" x14ac:dyDescent="0.2">
      <c r="A292" s="88"/>
      <c r="B292" s="88"/>
      <c r="C292" s="88"/>
      <c r="D292" s="88"/>
      <c r="E292" s="88"/>
      <c r="F292" s="91"/>
      <c r="G292" s="88"/>
      <c r="H292" s="88"/>
      <c r="I292" s="88"/>
      <c r="J292" s="91"/>
      <c r="K292" s="88"/>
      <c r="L292" s="88"/>
      <c r="M292" s="88"/>
      <c r="N292" s="88"/>
      <c r="O292" s="88"/>
      <c r="Q292" s="88"/>
      <c r="R292" s="88"/>
      <c r="S292" s="88"/>
      <c r="T292" s="88"/>
      <c r="U292" s="88"/>
      <c r="V292" s="88"/>
      <c r="W292" s="88"/>
      <c r="X292" s="88"/>
      <c r="Y292" s="88"/>
      <c r="Z292" s="88"/>
      <c r="AA292" s="88"/>
      <c r="AB292" s="165"/>
      <c r="AC292" s="91"/>
      <c r="AD292" s="88"/>
      <c r="AE292" s="88"/>
      <c r="AF292" s="165"/>
      <c r="AG292" s="88"/>
      <c r="AH292" s="88"/>
      <c r="AW292" s="146"/>
      <c r="AX292" s="54"/>
      <c r="AY292" s="54"/>
      <c r="AZ292" s="54"/>
      <c r="BA292" s="54"/>
    </row>
    <row r="293" spans="1:53" ht="13.5" thickBot="1" x14ac:dyDescent="0.25">
      <c r="A293" s="751" t="s">
        <v>120</v>
      </c>
      <c r="B293" s="751"/>
      <c r="C293" s="751"/>
      <c r="D293" s="751"/>
      <c r="E293" s="95"/>
      <c r="F293" s="973"/>
      <c r="G293" s="974"/>
      <c r="H293" s="974"/>
      <c r="I293" s="975"/>
      <c r="J293" s="976"/>
      <c r="K293" s="977"/>
      <c r="L293" s="977"/>
      <c r="M293" s="977"/>
      <c r="N293" s="977"/>
      <c r="O293" s="88"/>
      <c r="R293" s="96"/>
      <c r="S293" s="96"/>
      <c r="T293" s="96"/>
      <c r="U293" s="751" t="s">
        <v>120</v>
      </c>
      <c r="V293" s="751"/>
      <c r="W293" s="751"/>
      <c r="X293" s="751"/>
      <c r="Y293" s="751"/>
      <c r="Z293" s="751"/>
      <c r="AA293" s="751"/>
      <c r="AB293" s="88"/>
      <c r="AC293" s="741"/>
      <c r="AD293" s="742"/>
      <c r="AE293" s="742"/>
      <c r="AF293" s="743"/>
      <c r="AG293" s="744"/>
      <c r="AH293" s="745"/>
      <c r="AI293" s="745"/>
      <c r="AW293" s="146"/>
      <c r="AX293" s="54"/>
      <c r="AY293" s="54"/>
      <c r="AZ293" s="54"/>
      <c r="BA293" s="54"/>
    </row>
    <row r="294" spans="1:53" x14ac:dyDescent="0.2">
      <c r="A294" s="746" t="s">
        <v>109</v>
      </c>
      <c r="B294" s="746"/>
      <c r="C294" s="746"/>
      <c r="D294" s="746"/>
      <c r="E294" s="747"/>
      <c r="F294" s="748" t="str">
        <f>IF(J309=1,B301,IF(J309=2,B302,IF(J309=3,B303,IF(J309=4,B304,"Winner Match 2"))))</f>
        <v>KVC17-1</v>
      </c>
      <c r="G294" s="749"/>
      <c r="H294" s="749"/>
      <c r="I294" s="749"/>
      <c r="J294" s="749"/>
      <c r="K294" s="749"/>
      <c r="L294" s="749"/>
      <c r="M294" s="749"/>
      <c r="N294" s="749"/>
      <c r="O294" s="88"/>
      <c r="Q294" s="95"/>
      <c r="R294" s="95"/>
      <c r="T294" s="102"/>
      <c r="U294" s="746" t="s">
        <v>110</v>
      </c>
      <c r="V294" s="746"/>
      <c r="W294" s="746"/>
      <c r="X294" s="746"/>
      <c r="Y294" s="746"/>
      <c r="Z294" s="746"/>
      <c r="AA294" s="746"/>
      <c r="AB294" s="165"/>
      <c r="AC294" s="748" t="str">
        <f>IF(AE309=1,X301,IF(AE309=2,X302,IF(AE309=3,X303,IF(AE309=4,X304,"Winner Match 2"))))</f>
        <v>SVBC Blazers 18</v>
      </c>
      <c r="AD294" s="749"/>
      <c r="AE294" s="749"/>
      <c r="AF294" s="749"/>
      <c r="AG294" s="749"/>
      <c r="AH294" s="749"/>
      <c r="AI294" s="749"/>
      <c r="AW294" s="146"/>
      <c r="AX294" s="54"/>
      <c r="AY294" s="54"/>
      <c r="AZ294" s="54"/>
      <c r="BA294" s="54"/>
    </row>
    <row r="295" spans="1:53" ht="13.5" thickBot="1" x14ac:dyDescent="0.25">
      <c r="A295" s="736" t="str">
        <f>IF(G309=1,B301,IF(G309=2,B302,IF(G309=3,B303,IF(G309=4,B304,IF(OR(G309="B",G309="b"),"BYE","invalid")))))</f>
        <v>Vision 17 Regional</v>
      </c>
      <c r="B295" s="736"/>
      <c r="C295" s="736"/>
      <c r="D295" s="736"/>
      <c r="E295" s="737"/>
      <c r="F295" s="91"/>
      <c r="G295" s="88"/>
      <c r="H295" s="88"/>
      <c r="I295" s="88"/>
      <c r="J295" s="184"/>
      <c r="K295" s="88"/>
      <c r="L295" s="88"/>
      <c r="M295" s="88"/>
      <c r="N295" s="88"/>
      <c r="O295" s="88"/>
      <c r="Q295" s="88"/>
      <c r="R295" s="88"/>
      <c r="S295" s="88"/>
      <c r="T295" s="107"/>
      <c r="U295" s="107"/>
      <c r="V295" s="736" t="str">
        <f>IF(AB309=1,X301,IF(AB309=2,X302,IF(AB309=3,X303,IF(AB309=4,X304,IF(OR(AB309="B",AB309="b"),"BYE","invalid")))))</f>
        <v>Kershaw 17 White</v>
      </c>
      <c r="W295" s="736"/>
      <c r="X295" s="736"/>
      <c r="Y295" s="736"/>
      <c r="Z295" s="736"/>
      <c r="AA295" s="736"/>
      <c r="AB295" s="737"/>
      <c r="AC295" s="88"/>
      <c r="AD295" s="88"/>
      <c r="AE295" s="88"/>
      <c r="AF295" s="88"/>
      <c r="AW295" s="146"/>
      <c r="AX295" s="54"/>
      <c r="AY295" s="54"/>
      <c r="AZ295" s="54"/>
      <c r="BA295" s="54"/>
    </row>
    <row r="296" spans="1:53" x14ac:dyDescent="0.2">
      <c r="A296" s="738" t="s">
        <v>158</v>
      </c>
      <c r="B296" s="738"/>
      <c r="C296" s="738"/>
      <c r="D296" s="738"/>
      <c r="E296" s="738"/>
      <c r="T296" s="104"/>
      <c r="U296" s="104"/>
      <c r="V296" s="739" t="s">
        <v>159</v>
      </c>
      <c r="W296" s="739"/>
      <c r="X296" s="739"/>
      <c r="Y296" s="739"/>
      <c r="Z296" s="739"/>
      <c r="AA296" s="739"/>
      <c r="AB296" s="739"/>
      <c r="AW296" s="146"/>
      <c r="AX296" s="54"/>
      <c r="AY296" s="54"/>
      <c r="AZ296" s="54"/>
      <c r="BA296" s="54"/>
    </row>
    <row r="297" spans="1:53" x14ac:dyDescent="0.2">
      <c r="AT297" s="54"/>
      <c r="AU297" s="54"/>
      <c r="AV297" s="54"/>
      <c r="AW297" s="146"/>
      <c r="AX297" s="54"/>
      <c r="AY297" s="54"/>
      <c r="AZ297" s="54"/>
      <c r="BA297" s="54"/>
    </row>
    <row r="298" spans="1:53" x14ac:dyDescent="0.2">
      <c r="AT298" s="54"/>
      <c r="AU298" s="54"/>
      <c r="AV298" s="54"/>
      <c r="AW298" s="146"/>
      <c r="AX298" s="54"/>
      <c r="AY298" s="54"/>
      <c r="AZ298" s="54"/>
      <c r="BA298" s="54"/>
    </row>
    <row r="299" spans="1:53" ht="16.5" thickBot="1" x14ac:dyDescent="0.3">
      <c r="A299" s="740" t="s">
        <v>123</v>
      </c>
      <c r="B299" s="740"/>
      <c r="C299" s="740"/>
      <c r="D299" s="740"/>
      <c r="E299" s="740"/>
      <c r="F299" s="740"/>
      <c r="G299" s="740"/>
      <c r="H299" s="740"/>
      <c r="I299" s="740"/>
      <c r="J299" s="740"/>
      <c r="K299" s="169"/>
      <c r="R299" s="82"/>
      <c r="S299" s="82"/>
      <c r="T299" s="82"/>
      <c r="U299" s="740" t="s">
        <v>124</v>
      </c>
      <c r="V299" s="740"/>
      <c r="W299" s="740"/>
      <c r="X299" s="740"/>
      <c r="Y299" s="740"/>
      <c r="Z299" s="740"/>
      <c r="AA299" s="740"/>
      <c r="AB299" s="740"/>
      <c r="AC299" s="740"/>
      <c r="AD299" s="740"/>
      <c r="AE299" s="740"/>
      <c r="AF299" s="740"/>
      <c r="AT299" s="54"/>
      <c r="AU299" s="54"/>
      <c r="AV299" s="54"/>
      <c r="AW299" s="146"/>
      <c r="AX299" s="54"/>
      <c r="AY299" s="54"/>
      <c r="AZ299" s="54"/>
      <c r="BA299" s="54"/>
    </row>
    <row r="300" spans="1:53" ht="13.5" thickBot="1" x14ac:dyDescent="0.25">
      <c r="A300" s="113" t="s">
        <v>125</v>
      </c>
      <c r="B300" s="730" t="s">
        <v>126</v>
      </c>
      <c r="C300" s="731"/>
      <c r="D300" s="731"/>
      <c r="E300" s="731"/>
      <c r="F300" s="731"/>
      <c r="G300" s="731"/>
      <c r="H300" s="731"/>
      <c r="I300" s="731"/>
      <c r="J300" s="732"/>
      <c r="K300" s="733" t="s">
        <v>127</v>
      </c>
      <c r="L300" s="734"/>
      <c r="M300" s="734"/>
      <c r="N300" s="734"/>
      <c r="O300" s="734"/>
      <c r="P300" s="734"/>
      <c r="Q300" s="735"/>
      <c r="R300" s="88"/>
      <c r="U300" s="718" t="s">
        <v>125</v>
      </c>
      <c r="V300" s="719"/>
      <c r="W300" s="720"/>
      <c r="X300" s="730" t="s">
        <v>126</v>
      </c>
      <c r="Y300" s="731"/>
      <c r="Z300" s="731"/>
      <c r="AA300" s="731"/>
      <c r="AB300" s="731"/>
      <c r="AC300" s="731"/>
      <c r="AD300" s="731"/>
      <c r="AE300" s="731"/>
      <c r="AF300" s="732"/>
      <c r="AG300" s="733" t="s">
        <v>127</v>
      </c>
      <c r="AH300" s="734"/>
      <c r="AI300" s="734"/>
      <c r="AJ300" s="734"/>
      <c r="AK300" s="734"/>
      <c r="AL300" s="734"/>
      <c r="AM300" s="735"/>
      <c r="AT300" s="54"/>
      <c r="AU300" s="54"/>
      <c r="AV300" s="54"/>
      <c r="AW300" s="146"/>
      <c r="AX300" s="54"/>
      <c r="AY300" s="54"/>
      <c r="AZ300" s="54"/>
      <c r="BA300" s="54"/>
    </row>
    <row r="301" spans="1:53" ht="13.5" thickBot="1" x14ac:dyDescent="0.25">
      <c r="A301" s="113">
        <v>1</v>
      </c>
      <c r="B301" s="712" t="str">
        <f>B264</f>
        <v>Extreme 17 Summer</v>
      </c>
      <c r="C301" s="713"/>
      <c r="D301" s="713"/>
      <c r="E301" s="713"/>
      <c r="F301" s="713"/>
      <c r="G301" s="713"/>
      <c r="H301" s="713"/>
      <c r="I301" s="713"/>
      <c r="J301" s="714"/>
      <c r="K301" s="715" t="str">
        <f>F264</f>
        <v>fj7triex1so</v>
      </c>
      <c r="L301" s="716"/>
      <c r="M301" s="716"/>
      <c r="N301" s="716"/>
      <c r="O301" s="716"/>
      <c r="P301" s="716"/>
      <c r="Q301" s="717"/>
      <c r="R301" s="88"/>
      <c r="U301" s="718">
        <v>1</v>
      </c>
      <c r="V301" s="719"/>
      <c r="W301" s="720"/>
      <c r="X301" s="712" t="str">
        <f>M270</f>
        <v>MEVC17Power</v>
      </c>
      <c r="Y301" s="713"/>
      <c r="Z301" s="713"/>
      <c r="AA301" s="713"/>
      <c r="AB301" s="713"/>
      <c r="AC301" s="713"/>
      <c r="AD301" s="713"/>
      <c r="AE301" s="713"/>
      <c r="AF301" s="714"/>
      <c r="AG301" s="715" t="str">
        <f>T270</f>
        <v>fj7mtnel1pm</v>
      </c>
      <c r="AH301" s="716"/>
      <c r="AI301" s="716"/>
      <c r="AJ301" s="716"/>
      <c r="AK301" s="716"/>
      <c r="AL301" s="716"/>
      <c r="AM301" s="717"/>
      <c r="AT301" s="54"/>
      <c r="AU301" s="54"/>
      <c r="AV301" s="54"/>
      <c r="AW301" s="146"/>
      <c r="AX301" s="54"/>
      <c r="AY301" s="54"/>
      <c r="AZ301" s="54"/>
      <c r="BA301" s="54"/>
    </row>
    <row r="302" spans="1:53" ht="13.5" thickBot="1" x14ac:dyDescent="0.25">
      <c r="A302" s="113">
        <v>2</v>
      </c>
      <c r="B302" s="712" t="str">
        <f>B265</f>
        <v>KVC17-1</v>
      </c>
      <c r="C302" s="713"/>
      <c r="D302" s="713"/>
      <c r="E302" s="713"/>
      <c r="F302" s="713"/>
      <c r="G302" s="713"/>
      <c r="H302" s="713"/>
      <c r="I302" s="713"/>
      <c r="J302" s="714"/>
      <c r="K302" s="715" t="str">
        <f>F265</f>
        <v>fj7kvctn1so</v>
      </c>
      <c r="L302" s="716"/>
      <c r="M302" s="716"/>
      <c r="N302" s="716"/>
      <c r="O302" s="716"/>
      <c r="P302" s="716"/>
      <c r="Q302" s="717"/>
      <c r="R302" s="88"/>
      <c r="U302" s="718">
        <v>2</v>
      </c>
      <c r="V302" s="719"/>
      <c r="W302" s="720"/>
      <c r="X302" s="712" t="str">
        <f>M271</f>
        <v>SVBC Blazers 18</v>
      </c>
      <c r="Y302" s="713"/>
      <c r="Z302" s="713"/>
      <c r="AA302" s="713"/>
      <c r="AB302" s="713"/>
      <c r="AC302" s="713"/>
      <c r="AD302" s="713"/>
      <c r="AE302" s="713"/>
      <c r="AF302" s="714"/>
      <c r="AG302" s="715" t="str">
        <f>T271</f>
        <v>fj8sandh1pm</v>
      </c>
      <c r="AH302" s="716"/>
      <c r="AI302" s="716"/>
      <c r="AJ302" s="716"/>
      <c r="AK302" s="716"/>
      <c r="AL302" s="716"/>
      <c r="AM302" s="717"/>
      <c r="AT302" s="54"/>
      <c r="AU302" s="54"/>
      <c r="AV302" s="54"/>
      <c r="AW302" s="146"/>
      <c r="AX302" s="54"/>
      <c r="AY302" s="54"/>
      <c r="AZ302" s="54"/>
      <c r="BA302" s="54"/>
    </row>
    <row r="303" spans="1:53" ht="13.5" thickBot="1" x14ac:dyDescent="0.25">
      <c r="A303" s="113">
        <v>3</v>
      </c>
      <c r="B303" s="712" t="str">
        <f>B266</f>
        <v>Vision 17 Regional</v>
      </c>
      <c r="C303" s="713"/>
      <c r="D303" s="713"/>
      <c r="E303" s="713"/>
      <c r="F303" s="713"/>
      <c r="G303" s="713"/>
      <c r="H303" s="713"/>
      <c r="I303" s="713"/>
      <c r="J303" s="714"/>
      <c r="K303" s="715" t="str">
        <f>F266</f>
        <v>fj7vison1pm</v>
      </c>
      <c r="L303" s="716"/>
      <c r="M303" s="716"/>
      <c r="N303" s="716"/>
      <c r="O303" s="716"/>
      <c r="P303" s="716"/>
      <c r="Q303" s="717"/>
      <c r="R303" s="88"/>
      <c r="U303" s="718">
        <v>3</v>
      </c>
      <c r="V303" s="719"/>
      <c r="W303" s="720"/>
      <c r="X303" s="712" t="str">
        <f>X269</f>
        <v>Kershaw 17 White</v>
      </c>
      <c r="Y303" s="713"/>
      <c r="Z303" s="713"/>
      <c r="AA303" s="713"/>
      <c r="AB303" s="713"/>
      <c r="AC303" s="713"/>
      <c r="AD303" s="713"/>
      <c r="AE303" s="713"/>
      <c r="AF303" s="714"/>
      <c r="AG303" s="715" t="str">
        <f>AF269</f>
        <v>fj7kersh2pm</v>
      </c>
      <c r="AH303" s="716"/>
      <c r="AI303" s="716"/>
      <c r="AJ303" s="716"/>
      <c r="AK303" s="716"/>
      <c r="AL303" s="716"/>
      <c r="AM303" s="717"/>
      <c r="AT303" s="54"/>
      <c r="AU303" s="54"/>
      <c r="AV303" s="54"/>
      <c r="AW303" s="146"/>
      <c r="AX303" s="54"/>
      <c r="AY303" s="54"/>
      <c r="AZ303" s="54"/>
      <c r="BA303" s="54"/>
    </row>
    <row r="304" spans="1:53" ht="13.5" thickBot="1" x14ac:dyDescent="0.25">
      <c r="A304" s="113">
        <v>4</v>
      </c>
      <c r="B304" s="970" t="str">
        <f>M269</f>
        <v>NETVC 17Tori</v>
      </c>
      <c r="C304" s="971"/>
      <c r="D304" s="971"/>
      <c r="E304" s="971"/>
      <c r="F304" s="971"/>
      <c r="G304" s="971"/>
      <c r="H304" s="971"/>
      <c r="I304" s="971"/>
      <c r="J304" s="972"/>
      <c r="K304" s="715" t="str">
        <f>T269</f>
        <v>fj7netvc1so</v>
      </c>
      <c r="L304" s="716"/>
      <c r="M304" s="716"/>
      <c r="N304" s="716"/>
      <c r="O304" s="716"/>
      <c r="P304" s="716"/>
      <c r="Q304" s="717"/>
      <c r="R304" s="88"/>
      <c r="U304" s="718">
        <v>4</v>
      </c>
      <c r="V304" s="719"/>
      <c r="W304" s="720"/>
      <c r="X304" s="712" t="str">
        <f>X270</f>
        <v>Augusta Elite 17U</v>
      </c>
      <c r="Y304" s="713"/>
      <c r="Z304" s="713"/>
      <c r="AA304" s="713"/>
      <c r="AB304" s="713"/>
      <c r="AC304" s="713"/>
      <c r="AD304" s="713"/>
      <c r="AE304" s="713"/>
      <c r="AF304" s="714"/>
      <c r="AG304" s="715" t="str">
        <f>AF270</f>
        <v>fj7aelit1pm</v>
      </c>
      <c r="AH304" s="716"/>
      <c r="AI304" s="716"/>
      <c r="AJ304" s="716"/>
      <c r="AK304" s="716"/>
      <c r="AL304" s="716"/>
      <c r="AM304" s="717"/>
      <c r="AT304" s="54"/>
      <c r="AU304" s="54"/>
      <c r="AV304" s="54"/>
      <c r="AW304" s="146"/>
      <c r="AX304" s="54"/>
      <c r="AY304" s="54"/>
      <c r="AZ304" s="54"/>
      <c r="BA304" s="54"/>
    </row>
    <row r="305" spans="1:68" ht="13.5" thickBot="1" x14ac:dyDescent="0.25">
      <c r="AT305" s="54"/>
      <c r="AU305" s="54"/>
      <c r="AV305" s="54"/>
      <c r="AW305" s="146"/>
      <c r="AX305" s="54"/>
      <c r="AY305" s="54"/>
      <c r="AZ305" s="54"/>
      <c r="BA305" s="54"/>
    </row>
    <row r="306" spans="1:68" x14ac:dyDescent="0.2">
      <c r="B306" s="721" t="s">
        <v>128</v>
      </c>
      <c r="C306" s="693"/>
      <c r="D306" s="694"/>
      <c r="E306" s="692" t="s">
        <v>128</v>
      </c>
      <c r="F306" s="693"/>
      <c r="G306" s="694"/>
      <c r="H306" s="692" t="s">
        <v>11</v>
      </c>
      <c r="I306" s="693"/>
      <c r="J306" s="695"/>
      <c r="K306" s="696" t="s">
        <v>129</v>
      </c>
      <c r="L306" s="722"/>
      <c r="M306" s="722"/>
      <c r="N306" s="722"/>
      <c r="O306" s="722"/>
      <c r="P306" s="722"/>
      <c r="Q306" s="723"/>
      <c r="R306" s="85"/>
      <c r="S306" s="85"/>
      <c r="T306" s="85"/>
      <c r="U306" s="85"/>
      <c r="W306" s="721" t="s">
        <v>128</v>
      </c>
      <c r="X306" s="693"/>
      <c r="Y306" s="694"/>
      <c r="Z306" s="692" t="s">
        <v>128</v>
      </c>
      <c r="AA306" s="693"/>
      <c r="AB306" s="694"/>
      <c r="AC306" s="692" t="s">
        <v>11</v>
      </c>
      <c r="AD306" s="693"/>
      <c r="AE306" s="695"/>
      <c r="AF306" s="696" t="s">
        <v>129</v>
      </c>
      <c r="AG306" s="697"/>
      <c r="AH306" s="697"/>
      <c r="AI306" s="697"/>
      <c r="AJ306" s="698"/>
      <c r="AW306" s="146"/>
      <c r="AX306" s="54"/>
      <c r="AY306" s="54"/>
      <c r="AZ306" s="54"/>
      <c r="BA306" s="54"/>
    </row>
    <row r="307" spans="1:68" x14ac:dyDescent="0.2">
      <c r="A307" s="41" t="s">
        <v>130</v>
      </c>
      <c r="B307" s="705">
        <v>3</v>
      </c>
      <c r="C307" s="706"/>
      <c r="D307" s="707"/>
      <c r="E307" s="708" t="s">
        <v>131</v>
      </c>
      <c r="F307" s="706"/>
      <c r="G307" s="707"/>
      <c r="H307" s="708" t="s">
        <v>132</v>
      </c>
      <c r="I307" s="706"/>
      <c r="J307" s="709"/>
      <c r="K307" s="724"/>
      <c r="L307" s="725"/>
      <c r="M307" s="725"/>
      <c r="N307" s="725"/>
      <c r="O307" s="725"/>
      <c r="P307" s="725"/>
      <c r="Q307" s="726"/>
      <c r="R307" s="85"/>
      <c r="S307" s="85"/>
      <c r="T307" s="710" t="s">
        <v>130</v>
      </c>
      <c r="U307" s="710"/>
      <c r="V307" s="711"/>
      <c r="W307" s="705">
        <v>3</v>
      </c>
      <c r="X307" s="706"/>
      <c r="Y307" s="707"/>
      <c r="Z307" s="708" t="s">
        <v>131</v>
      </c>
      <c r="AA307" s="706"/>
      <c r="AB307" s="707"/>
      <c r="AC307" s="708" t="s">
        <v>132</v>
      </c>
      <c r="AD307" s="706"/>
      <c r="AE307" s="709"/>
      <c r="AF307" s="699"/>
      <c r="AG307" s="700"/>
      <c r="AH307" s="700"/>
      <c r="AI307" s="700"/>
      <c r="AJ307" s="701"/>
      <c r="AW307" s="146"/>
      <c r="AX307" s="54"/>
      <c r="AY307" s="54"/>
      <c r="AZ307" s="54"/>
      <c r="BA307" s="54"/>
    </row>
    <row r="308" spans="1:68" ht="13.5" thickBot="1" x14ac:dyDescent="0.25">
      <c r="A308" s="11"/>
      <c r="B308" s="690" t="s">
        <v>43</v>
      </c>
      <c r="C308" s="685"/>
      <c r="D308" s="691"/>
      <c r="E308" s="684" t="s">
        <v>133</v>
      </c>
      <c r="F308" s="685"/>
      <c r="G308" s="691"/>
      <c r="H308" s="684" t="s">
        <v>134</v>
      </c>
      <c r="I308" s="685"/>
      <c r="J308" s="686"/>
      <c r="K308" s="727"/>
      <c r="L308" s="728"/>
      <c r="M308" s="728"/>
      <c r="N308" s="728"/>
      <c r="O308" s="728"/>
      <c r="P308" s="728"/>
      <c r="Q308" s="729"/>
      <c r="R308" s="85"/>
      <c r="S308" s="85"/>
      <c r="T308" s="671"/>
      <c r="U308" s="671"/>
      <c r="V308" s="672"/>
      <c r="W308" s="690" t="s">
        <v>43</v>
      </c>
      <c r="X308" s="685"/>
      <c r="Y308" s="691"/>
      <c r="Z308" s="684" t="s">
        <v>133</v>
      </c>
      <c r="AA308" s="685"/>
      <c r="AB308" s="691"/>
      <c r="AC308" s="684" t="s">
        <v>134</v>
      </c>
      <c r="AD308" s="685"/>
      <c r="AE308" s="686"/>
      <c r="AF308" s="702"/>
      <c r="AG308" s="703"/>
      <c r="AH308" s="703"/>
      <c r="AI308" s="703"/>
      <c r="AJ308" s="704"/>
      <c r="AW308" s="146"/>
      <c r="AX308" s="54"/>
      <c r="AY308" s="54"/>
      <c r="AZ308" s="54"/>
      <c r="BA308" s="54"/>
    </row>
    <row r="309" spans="1:68" ht="13.5" thickBot="1" x14ac:dyDescent="0.25">
      <c r="A309" s="11"/>
      <c r="B309" s="117">
        <v>1</v>
      </c>
      <c r="C309" s="118" t="s">
        <v>51</v>
      </c>
      <c r="D309" s="119">
        <v>4</v>
      </c>
      <c r="E309" s="120">
        <v>2</v>
      </c>
      <c r="F309" s="118" t="s">
        <v>51</v>
      </c>
      <c r="G309" s="119">
        <v>3</v>
      </c>
      <c r="H309" s="121">
        <f>IF(OR(AND(OR(B313&gt;0,D313&gt;0),B313&gt;D313),OR(D309="b",D309="B")),B309,IF(OR(AND(OR(B313&gt;0,D313&gt;0),D313&gt;B313),OR(B309="b",B309="B")),D309,"W1"))</f>
        <v>1</v>
      </c>
      <c r="I309" s="122" t="s">
        <v>51</v>
      </c>
      <c r="J309" s="123">
        <f>IF(OR(AND(OR(E313&gt;0,G313&gt;0),E313&gt;G313),OR(G309="b",G309="B")),E309,IF(OR(AND(OR(E313&gt;0,G313&gt;0),G313&gt;E313),OR(E309="b",E309="B")),G309,"W2"))</f>
        <v>2</v>
      </c>
      <c r="K309" s="687" t="s">
        <v>135</v>
      </c>
      <c r="L309" s="688"/>
      <c r="M309" s="688"/>
      <c r="N309" s="689"/>
      <c r="R309" s="85"/>
      <c r="S309" s="85"/>
      <c r="T309" s="671"/>
      <c r="U309" s="671"/>
      <c r="V309" s="672"/>
      <c r="W309" s="117">
        <v>1</v>
      </c>
      <c r="X309" s="118" t="s">
        <v>51</v>
      </c>
      <c r="Y309" s="119">
        <v>4</v>
      </c>
      <c r="Z309" s="120">
        <v>2</v>
      </c>
      <c r="AA309" s="118" t="s">
        <v>51</v>
      </c>
      <c r="AB309" s="119">
        <v>3</v>
      </c>
      <c r="AC309" s="121">
        <f>IF(OR(AND(OR(W313&gt;0,Y313&gt;0),W313&gt;Y313),OR(Y309="b",Y309="B")),W309,IF(OR(AND(OR(W313&gt;0,Y313&gt;0),Y313&gt;W313),OR(W309="b",W309="B")),Y309,"W1"))</f>
        <v>1</v>
      </c>
      <c r="AD309" s="122" t="s">
        <v>51</v>
      </c>
      <c r="AE309" s="123">
        <f>IF(OR(AND(OR(Z313&gt;0,AB313&gt;0),Z313&gt;AB313),OR(AB313="b",AB313="B")),Z309,IF(OR(AND(OR(Z313&gt;0,AB313&gt;0),AB313&gt;Z313),OR(Z313="b",Z313="B")),AB309,"W2"))</f>
        <v>2</v>
      </c>
      <c r="AF309" s="687" t="s">
        <v>135</v>
      </c>
      <c r="AG309" s="689"/>
      <c r="AH309" s="85"/>
      <c r="AI309" s="85"/>
      <c r="AJ309" s="85"/>
      <c r="AW309" s="146"/>
      <c r="AX309" s="54"/>
      <c r="AY309" s="54"/>
      <c r="AZ309" s="54"/>
      <c r="BA309" s="54"/>
    </row>
    <row r="310" spans="1:68" ht="13.5" hidden="1" customHeight="1" x14ac:dyDescent="0.2">
      <c r="A310" s="11"/>
      <c r="B310" s="129">
        <f>IF(B314&gt;D314,1,0)</f>
        <v>1</v>
      </c>
      <c r="C310" s="130"/>
      <c r="D310" s="131">
        <f>IF(D314&gt;B314,1,0)</f>
        <v>0</v>
      </c>
      <c r="E310" s="129">
        <f>IF(E314&gt;G314,1,0)</f>
        <v>1</v>
      </c>
      <c r="F310" s="130"/>
      <c r="G310" s="131">
        <f>IF(G314&gt;E314,1,0)</f>
        <v>0</v>
      </c>
      <c r="H310" s="129">
        <f>IF(H314&gt;J314,1,0)</f>
        <v>1</v>
      </c>
      <c r="I310" s="130"/>
      <c r="J310" s="131">
        <f>IF(J314&gt;H314,1,0)</f>
        <v>0</v>
      </c>
      <c r="K310" s="132"/>
      <c r="L310" s="133"/>
      <c r="M310" s="133"/>
      <c r="N310" s="134"/>
      <c r="R310" s="85"/>
      <c r="S310" s="85"/>
      <c r="T310" s="671"/>
      <c r="U310" s="671"/>
      <c r="V310" s="672"/>
      <c r="W310" s="129">
        <f>IF(W314&gt;Y314,1,0)</f>
        <v>1</v>
      </c>
      <c r="X310" s="130"/>
      <c r="Y310" s="131">
        <f>IF(Y314&gt;W314,1,0)</f>
        <v>0</v>
      </c>
      <c r="Z310" s="129">
        <f>IF(Z314&gt;AB314,1,0)</f>
        <v>1</v>
      </c>
      <c r="AA310" s="130"/>
      <c r="AB310" s="131">
        <f>IF(AB314&gt;Z314,1,0)</f>
        <v>0</v>
      </c>
      <c r="AC310" s="129">
        <f>IF(AC314&gt;AE314,1,0)</f>
        <v>1</v>
      </c>
      <c r="AD310" s="130"/>
      <c r="AE310" s="131">
        <f>IF(AE314&gt;AC314,1,0)</f>
        <v>0</v>
      </c>
      <c r="AF310" s="124"/>
      <c r="AG310" s="125"/>
      <c r="AH310" s="85"/>
      <c r="AI310" s="85"/>
      <c r="AJ310" s="85"/>
      <c r="AW310" s="146"/>
      <c r="AX310" s="54"/>
      <c r="AY310" s="54"/>
      <c r="AZ310" s="54"/>
      <c r="BA310" s="54"/>
    </row>
    <row r="311" spans="1:68" ht="13.5" hidden="1" customHeight="1" x14ac:dyDescent="0.2">
      <c r="A311" s="11"/>
      <c r="B311" s="129">
        <f>IF(B315&gt;D315,1,0)</f>
        <v>0</v>
      </c>
      <c r="C311" s="130"/>
      <c r="D311" s="131">
        <f>IF(D315&gt;B315,1,0)</f>
        <v>0</v>
      </c>
      <c r="E311" s="129">
        <f>IF(E315&gt;G315,1,0)</f>
        <v>0</v>
      </c>
      <c r="F311" s="130"/>
      <c r="G311" s="131">
        <f>IF(G315&gt;E315,1,0)</f>
        <v>0</v>
      </c>
      <c r="H311" s="129">
        <f>IF(H315&gt;J315,1,0)</f>
        <v>0</v>
      </c>
      <c r="I311" s="130"/>
      <c r="J311" s="131">
        <f>IF(J315&gt;H315,1,0)</f>
        <v>1</v>
      </c>
      <c r="K311" s="132"/>
      <c r="L311" s="133"/>
      <c r="M311" s="133"/>
      <c r="N311" s="134"/>
      <c r="R311" s="85"/>
      <c r="S311" s="85"/>
      <c r="T311" s="671"/>
      <c r="U311" s="671"/>
      <c r="V311" s="672"/>
      <c r="W311" s="129">
        <f>IF(W315&gt;Y315,1,0)</f>
        <v>0</v>
      </c>
      <c r="X311" s="130"/>
      <c r="Y311" s="131">
        <f>IF(Y315&gt;W315,1,0)</f>
        <v>0</v>
      </c>
      <c r="Z311" s="129">
        <f>IF(Z315&gt;AB315,1,0)</f>
        <v>0</v>
      </c>
      <c r="AA311" s="130"/>
      <c r="AB311" s="131">
        <f>IF(AB315&gt;Z315,1,0)</f>
        <v>0</v>
      </c>
      <c r="AC311" s="129">
        <f>IF(AC315&gt;AE315,1,0)</f>
        <v>0</v>
      </c>
      <c r="AD311" s="130"/>
      <c r="AE311" s="131">
        <f>IF(AE315&gt;AC315,1,0)</f>
        <v>1</v>
      </c>
      <c r="AF311" s="124"/>
      <c r="AG311" s="125"/>
      <c r="AH311" s="85"/>
      <c r="AI311" s="85"/>
      <c r="AJ311" s="85"/>
      <c r="AW311" s="146"/>
      <c r="AX311" s="54"/>
      <c r="AY311" s="54"/>
      <c r="AZ311" s="54"/>
      <c r="BA311" s="54"/>
    </row>
    <row r="312" spans="1:68" ht="13.5" hidden="1" customHeight="1" thickBot="1" x14ac:dyDescent="0.25">
      <c r="A312" s="11"/>
      <c r="B312" s="129">
        <f>IF(B316&gt;D316,1,0)</f>
        <v>0</v>
      </c>
      <c r="C312" s="130"/>
      <c r="D312" s="131">
        <f>IF(D316&gt;B316,1,0)</f>
        <v>0</v>
      </c>
      <c r="E312" s="129">
        <f>IF(E316&gt;G316,1,0)</f>
        <v>0</v>
      </c>
      <c r="F312" s="130"/>
      <c r="G312" s="131">
        <f>IF(G316&gt;E316,1,0)</f>
        <v>0</v>
      </c>
      <c r="H312" s="129">
        <f>IF(H316&gt;J316,1,0)</f>
        <v>1</v>
      </c>
      <c r="I312" s="130"/>
      <c r="J312" s="131">
        <f>IF(J316&gt;H316,1,0)</f>
        <v>0</v>
      </c>
      <c r="K312" s="132"/>
      <c r="L312" s="133"/>
      <c r="M312" s="133"/>
      <c r="N312" s="134"/>
      <c r="R312" s="85"/>
      <c r="S312" s="85"/>
      <c r="T312" s="671"/>
      <c r="U312" s="671"/>
      <c r="V312" s="672"/>
      <c r="W312" s="129">
        <f>IF(W316&gt;Y316,1,0)</f>
        <v>0</v>
      </c>
      <c r="X312" s="130"/>
      <c r="Y312" s="131">
        <f>IF(Y316&gt;W316,1,0)</f>
        <v>0</v>
      </c>
      <c r="Z312" s="129">
        <f>IF(Z316&gt;AB316,1,0)</f>
        <v>0</v>
      </c>
      <c r="AA312" s="130"/>
      <c r="AB312" s="131">
        <f>IF(AB316&gt;Z316,1,0)</f>
        <v>0</v>
      </c>
      <c r="AC312" s="129">
        <f>IF(AC316&gt;AE316,1,0)</f>
        <v>1</v>
      </c>
      <c r="AD312" s="130"/>
      <c r="AE312" s="131">
        <f>IF(AE316&gt;AC316,1,0)</f>
        <v>0</v>
      </c>
      <c r="AF312" s="124"/>
      <c r="AG312" s="125"/>
      <c r="AH312" s="85"/>
      <c r="AI312" s="85"/>
      <c r="AJ312" s="85"/>
      <c r="AW312" s="146"/>
      <c r="AX312" s="54"/>
      <c r="AY312" s="54"/>
      <c r="AZ312" s="54"/>
      <c r="BA312" s="54"/>
    </row>
    <row r="313" spans="1:68" ht="13.5" hidden="1" customHeight="1" x14ac:dyDescent="0.2">
      <c r="A313" s="11"/>
      <c r="B313" s="129">
        <f>SUM(B310:B312)</f>
        <v>1</v>
      </c>
      <c r="C313" s="130"/>
      <c r="D313" s="129">
        <f>SUM(D310:D312)</f>
        <v>0</v>
      </c>
      <c r="E313" s="129">
        <f>SUM(E310:E312)</f>
        <v>1</v>
      </c>
      <c r="F313" s="130"/>
      <c r="G313" s="129">
        <f>SUM(G310:G312)</f>
        <v>0</v>
      </c>
      <c r="H313" s="129">
        <f>SUM(H310:H312)</f>
        <v>2</v>
      </c>
      <c r="I313" s="130"/>
      <c r="J313" s="129">
        <f>SUM(J310:J312)</f>
        <v>1</v>
      </c>
      <c r="K313" s="132"/>
      <c r="L313" s="133"/>
      <c r="M313" s="133"/>
      <c r="N313" s="134"/>
      <c r="R313" s="85"/>
      <c r="S313" s="85"/>
      <c r="T313" s="671"/>
      <c r="U313" s="671"/>
      <c r="V313" s="672"/>
      <c r="W313" s="129">
        <f>SUM(W310:W312)</f>
        <v>1</v>
      </c>
      <c r="X313" s="130"/>
      <c r="Y313" s="129">
        <f>SUM(Y310:Y312)</f>
        <v>0</v>
      </c>
      <c r="Z313" s="129">
        <f>SUM(Z310:Z312)</f>
        <v>1</v>
      </c>
      <c r="AA313" s="130"/>
      <c r="AB313" s="129">
        <f>SUM(AB310:AB312)</f>
        <v>0</v>
      </c>
      <c r="AC313" s="129">
        <f>SUM(AC310:AC312)</f>
        <v>2</v>
      </c>
      <c r="AD313" s="130"/>
      <c r="AE313" s="129">
        <f>SUM(AE310:AE312)</f>
        <v>1</v>
      </c>
      <c r="AF313" s="124"/>
      <c r="AG313" s="125"/>
      <c r="AH313" s="85"/>
      <c r="AI313" s="85"/>
      <c r="AJ313" s="85"/>
      <c r="AW313" s="146"/>
      <c r="AX313" s="54"/>
      <c r="AY313" s="54"/>
      <c r="AZ313" s="54"/>
      <c r="BA313" s="54"/>
    </row>
    <row r="314" spans="1:68" ht="12.75" customHeight="1" x14ac:dyDescent="0.2">
      <c r="A314" s="9" t="s">
        <v>52</v>
      </c>
      <c r="B314" s="135">
        <v>25</v>
      </c>
      <c r="C314" s="50" t="s">
        <v>53</v>
      </c>
      <c r="D314" s="136">
        <v>22</v>
      </c>
      <c r="E314" s="137">
        <v>25</v>
      </c>
      <c r="F314" s="50" t="s">
        <v>53</v>
      </c>
      <c r="G314" s="136">
        <v>15</v>
      </c>
      <c r="H314" s="137">
        <v>25</v>
      </c>
      <c r="I314" s="50" t="s">
        <v>53</v>
      </c>
      <c r="J314" s="138">
        <v>20</v>
      </c>
      <c r="K314" s="673">
        <f>IF(AND(OR(H313&gt;0,J313&gt;0),AND(1&lt;=H309,H309&lt;=4),AND(1&lt;=J309,J309&lt;=4)),IF(H313&gt;J313,H309,IF(J313&gt;H313,J309,"")),"")</f>
        <v>1</v>
      </c>
      <c r="L314" s="674"/>
      <c r="M314" s="674"/>
      <c r="N314" s="675"/>
      <c r="R314" s="85"/>
      <c r="S314" s="85"/>
      <c r="T314" s="86"/>
      <c r="U314" s="86"/>
      <c r="V314" s="9" t="s">
        <v>52</v>
      </c>
      <c r="W314" s="135">
        <v>25</v>
      </c>
      <c r="X314" s="50" t="s">
        <v>53</v>
      </c>
      <c r="Y314" s="136">
        <v>20</v>
      </c>
      <c r="Z314" s="137">
        <v>25</v>
      </c>
      <c r="AA314" s="50" t="s">
        <v>53</v>
      </c>
      <c r="AB314" s="136">
        <v>19</v>
      </c>
      <c r="AC314" s="137">
        <v>25</v>
      </c>
      <c r="AD314" s="50" t="s">
        <v>53</v>
      </c>
      <c r="AE314" s="138">
        <v>22</v>
      </c>
      <c r="AF314" s="673">
        <f>IF(AND(OR(AC313&gt;0,AE313&gt;0),AND(1&lt;=AC309,AC309&lt;=4),AND(1&lt;=AE309,AE309&lt;=4)),IF(AC313&gt;AE313,AC309,IF(AE313&gt;AC313,AE309,"")),"")</f>
        <v>1</v>
      </c>
      <c r="AG314" s="675"/>
      <c r="AH314" s="85"/>
      <c r="AI314" s="85"/>
      <c r="AJ314" s="85"/>
      <c r="AW314" s="146"/>
      <c r="AX314" s="54"/>
      <c r="AY314" s="54"/>
      <c r="AZ314" s="54"/>
      <c r="BA314" s="54"/>
    </row>
    <row r="315" spans="1:68" ht="12.75" customHeight="1" x14ac:dyDescent="0.2">
      <c r="A315" s="9" t="s">
        <v>136</v>
      </c>
      <c r="B315" s="135"/>
      <c r="C315" s="50" t="s">
        <v>53</v>
      </c>
      <c r="D315" s="136"/>
      <c r="E315" s="137"/>
      <c r="F315" s="50" t="s">
        <v>53</v>
      </c>
      <c r="G315" s="136"/>
      <c r="H315" s="137">
        <v>23</v>
      </c>
      <c r="I315" s="50" t="s">
        <v>53</v>
      </c>
      <c r="J315" s="138">
        <v>25</v>
      </c>
      <c r="K315" s="676"/>
      <c r="L315" s="677"/>
      <c r="M315" s="677"/>
      <c r="N315" s="678"/>
      <c r="R315" s="85"/>
      <c r="S315" s="85"/>
      <c r="T315" s="86"/>
      <c r="U315" s="86"/>
      <c r="V315" s="9" t="s">
        <v>136</v>
      </c>
      <c r="W315" s="135"/>
      <c r="X315" s="50" t="s">
        <v>53</v>
      </c>
      <c r="Y315" s="136"/>
      <c r="Z315" s="137"/>
      <c r="AA315" s="50" t="s">
        <v>53</v>
      </c>
      <c r="AB315" s="136"/>
      <c r="AC315" s="137">
        <v>19</v>
      </c>
      <c r="AD315" s="50" t="s">
        <v>53</v>
      </c>
      <c r="AE315" s="138">
        <v>25</v>
      </c>
      <c r="AF315" s="676"/>
      <c r="AG315" s="678"/>
      <c r="AH315" s="85"/>
      <c r="AI315" s="85"/>
      <c r="AJ315" s="85"/>
      <c r="AW315" s="146"/>
      <c r="AX315" s="54"/>
      <c r="AY315" s="54"/>
      <c r="AZ315" s="54"/>
      <c r="BA315" s="54"/>
    </row>
    <row r="316" spans="1:68" ht="13.5" customHeight="1" thickBot="1" x14ac:dyDescent="0.25">
      <c r="A316" s="9" t="s">
        <v>137</v>
      </c>
      <c r="B316" s="141"/>
      <c r="C316" s="142" t="s">
        <v>53</v>
      </c>
      <c r="D316" s="143"/>
      <c r="E316" s="144"/>
      <c r="F316" s="142" t="s">
        <v>53</v>
      </c>
      <c r="G316" s="143"/>
      <c r="H316" s="144">
        <v>15</v>
      </c>
      <c r="I316" s="142" t="s">
        <v>53</v>
      </c>
      <c r="J316" s="145">
        <v>5</v>
      </c>
      <c r="K316" s="679"/>
      <c r="L316" s="680"/>
      <c r="M316" s="680"/>
      <c r="N316" s="681"/>
      <c r="R316" s="85"/>
      <c r="S316" s="85"/>
      <c r="T316" s="86"/>
      <c r="U316" s="86"/>
      <c r="V316" s="9" t="s">
        <v>137</v>
      </c>
      <c r="W316" s="141"/>
      <c r="X316" s="142" t="s">
        <v>53</v>
      </c>
      <c r="Y316" s="143"/>
      <c r="Z316" s="144"/>
      <c r="AA316" s="142" t="s">
        <v>53</v>
      </c>
      <c r="AB316" s="143"/>
      <c r="AC316" s="144">
        <v>15</v>
      </c>
      <c r="AD316" s="142" t="s">
        <v>53</v>
      </c>
      <c r="AE316" s="145">
        <v>10</v>
      </c>
      <c r="AF316" s="679"/>
      <c r="AG316" s="681"/>
      <c r="AH316" s="85"/>
      <c r="AI316" s="85"/>
      <c r="AJ316" s="85"/>
      <c r="AW316" s="146"/>
      <c r="AX316" s="54"/>
      <c r="AY316" s="54"/>
      <c r="AZ316" s="54"/>
      <c r="BA316" s="54"/>
    </row>
    <row r="317" spans="1:68" hidden="1" x14ac:dyDescent="0.2">
      <c r="B317" s="3"/>
      <c r="C317" s="90" t="s">
        <v>87</v>
      </c>
      <c r="D317" s="3" t="s">
        <v>138</v>
      </c>
      <c r="E317" s="3"/>
      <c r="F317" s="90"/>
      <c r="G317" s="4" t="s">
        <v>139</v>
      </c>
      <c r="J317" s="4" t="s">
        <v>140</v>
      </c>
      <c r="W317" s="3"/>
      <c r="X317" s="90" t="s">
        <v>87</v>
      </c>
      <c r="Y317" s="3" t="s">
        <v>138</v>
      </c>
      <c r="Z317" s="3"/>
      <c r="AA317" s="90"/>
      <c r="AB317" s="4" t="s">
        <v>139</v>
      </c>
      <c r="AE317" s="4" t="s">
        <v>140</v>
      </c>
      <c r="AT317" s="4" t="str">
        <f>B318</f>
        <v>Extreme 17 Summer</v>
      </c>
      <c r="AU317" s="4">
        <f>J318</f>
        <v>2751.898412095823</v>
      </c>
      <c r="AW317" s="146"/>
      <c r="AX317" s="54"/>
      <c r="AY317" s="54"/>
      <c r="AZ317" s="54"/>
      <c r="BA317" s="54"/>
      <c r="BB317" s="146"/>
      <c r="BC317" s="54"/>
      <c r="BD317" s="54"/>
      <c r="BE317" s="146"/>
      <c r="BF317" s="54"/>
      <c r="BG317" s="54"/>
      <c r="BH317" s="146"/>
      <c r="BI317" s="54"/>
      <c r="BJ317" s="54"/>
      <c r="BK317" s="146"/>
      <c r="BL317" s="54"/>
      <c r="BM317" s="54"/>
      <c r="BN317" s="146"/>
      <c r="BO317" s="54"/>
      <c r="BP317" s="54"/>
    </row>
    <row r="318" spans="1:68" hidden="1" x14ac:dyDescent="0.2">
      <c r="A318" s="4">
        <v>1</v>
      </c>
      <c r="B318" s="4" t="str">
        <f>B301</f>
        <v>Extreme 17 Summer</v>
      </c>
      <c r="C318" s="4">
        <f>VLOOKUP(B318,AU$2:AY$22,4,FALSE)</f>
        <v>2724.0107598595391</v>
      </c>
      <c r="D318" s="4">
        <f>IF(A318=B309,B324,IF(A318=D309,D324,C318))</f>
        <v>2729.0893705868389</v>
      </c>
      <c r="G318" s="4">
        <f>IF(A318=E309,E324,IF(A318=G309,G324,D318))</f>
        <v>2729.0893705868389</v>
      </c>
      <c r="J318" s="4">
        <f>IF(A318=H309,H324,IF(A318=J309,J324,G318))</f>
        <v>2751.898412095823</v>
      </c>
      <c r="U318" s="164"/>
      <c r="V318" s="164">
        <v>1</v>
      </c>
      <c r="W318" s="4" t="str">
        <f>X301</f>
        <v>MEVC17Power</v>
      </c>
      <c r="X318" s="4">
        <f>VLOOKUP(W318,AU$2:AY$22,4,FALSE)</f>
        <v>2751.5692868507035</v>
      </c>
      <c r="Y318" s="4">
        <f>IF(V318=W309,W324,IF(V318=Y309,Y324,X318))</f>
        <v>2755.006146160938</v>
      </c>
      <c r="AB318" s="4">
        <f>IF(V318=Z309,Z324,IF(V318=AB309,AB324,Y318))</f>
        <v>2755.006146160938</v>
      </c>
      <c r="AE318" s="4">
        <f>IF(V318=AC309,AC324,IF(V318=AE309,AE324,AB318))</f>
        <v>2756.5442705995047</v>
      </c>
      <c r="AT318" s="4" t="str">
        <f>B319</f>
        <v>KVC17-1</v>
      </c>
      <c r="AU318" s="4">
        <f>J319</f>
        <v>2956.5091739262753</v>
      </c>
      <c r="AW318" s="146"/>
      <c r="AX318" s="54"/>
      <c r="AY318" s="54"/>
      <c r="AZ318" s="54"/>
      <c r="BA318" s="54"/>
      <c r="BB318" s="146"/>
      <c r="BC318" s="54"/>
      <c r="BD318" s="54"/>
      <c r="BE318" s="146"/>
      <c r="BF318" s="54"/>
      <c r="BG318" s="54"/>
      <c r="BH318" s="146"/>
      <c r="BI318" s="54"/>
      <c r="BJ318" s="54"/>
      <c r="BK318" s="146"/>
      <c r="BL318" s="54"/>
      <c r="BM318" s="54"/>
      <c r="BN318" s="146"/>
      <c r="BO318" s="54"/>
      <c r="BP318" s="54"/>
    </row>
    <row r="319" spans="1:68" hidden="1" x14ac:dyDescent="0.2">
      <c r="A319" s="4">
        <v>2</v>
      </c>
      <c r="B319" s="4" t="str">
        <f>B302</f>
        <v>KVC17-1</v>
      </c>
      <c r="C319" s="4">
        <f>VLOOKUP(B319,AU$2:AY$22,4,FALSE)</f>
        <v>2977.5978206932327</v>
      </c>
      <c r="D319" s="4">
        <f>IF(A319=B309,B324,IF(A319=D309,D324,C319))</f>
        <v>2977.5978206932327</v>
      </c>
      <c r="G319" s="4">
        <f>IF(A319=E309,E324,IF(A319=G309,G324,D319))</f>
        <v>2979.3182154352594</v>
      </c>
      <c r="J319" s="4">
        <f>IF(A319=H309,H324,IF(A319=J309,J324,G319))</f>
        <v>2956.5091739262753</v>
      </c>
      <c r="U319" s="164"/>
      <c r="V319" s="164">
        <v>2</v>
      </c>
      <c r="W319" s="4" t="str">
        <f>X302</f>
        <v>SVBC Blazers 18</v>
      </c>
      <c r="X319" s="4">
        <f>VLOOKUP(W319,AU$2:AY$22,4,FALSE)</f>
        <v>2654.8178449854754</v>
      </c>
      <c r="Y319" s="4">
        <f>IF(V319=W309,W324,IF(V319=Y309,Y324,X319))</f>
        <v>2654.8178449854754</v>
      </c>
      <c r="AB319" s="4">
        <f>IF(V319=Z309,Z324,IF(V319=AB309,AB324,Y319))</f>
        <v>2659.0967491754163</v>
      </c>
      <c r="AE319" s="4">
        <f>IF(V319=AC309,AC324,IF(V319=AE309,AE324,AB319))</f>
        <v>2657.5586247368501</v>
      </c>
      <c r="AT319" s="4" t="str">
        <f>B320</f>
        <v>Vision 17 Regional</v>
      </c>
      <c r="AU319" s="4">
        <f>J320</f>
        <v>2608.2421877492102</v>
      </c>
      <c r="AW319" s="146"/>
      <c r="AX319" s="54"/>
      <c r="AY319" s="54"/>
      <c r="AZ319" s="54"/>
      <c r="BA319" s="54"/>
      <c r="BB319" s="146"/>
      <c r="BC319" s="54"/>
      <c r="BD319" s="54"/>
      <c r="BE319" s="146"/>
      <c r="BF319" s="54"/>
      <c r="BG319" s="54"/>
      <c r="BH319" s="146"/>
      <c r="BI319" s="54"/>
      <c r="BJ319" s="54"/>
      <c r="BK319" s="146"/>
      <c r="BL319" s="54"/>
      <c r="BM319" s="54"/>
      <c r="BN319" s="146"/>
      <c r="BO319" s="54"/>
      <c r="BP319" s="54"/>
    </row>
    <row r="320" spans="1:68" hidden="1" x14ac:dyDescent="0.2">
      <c r="A320" s="4">
        <v>3</v>
      </c>
      <c r="B320" s="4" t="str">
        <f>B303</f>
        <v>Vision 17 Regional</v>
      </c>
      <c r="C320" s="4">
        <f>VLOOKUP(B320,AU$2:AY$22,4,FALSE)</f>
        <v>2609.9625824912368</v>
      </c>
      <c r="D320" s="4">
        <f>IF(A320=B309,B324,IF(A320=D309,D324,C320))</f>
        <v>2609.9625824912368</v>
      </c>
      <c r="G320" s="4">
        <f>IF(A320=E309,E324,IF(A320=G309,G324,D320))</f>
        <v>2608.2421877492102</v>
      </c>
      <c r="J320" s="4">
        <f>IF(A320=H309,H324,IF(A320=J309,J324,G320))</f>
        <v>2608.2421877492102</v>
      </c>
      <c r="U320" s="164"/>
      <c r="V320" s="164">
        <v>3</v>
      </c>
      <c r="W320" s="4" t="str">
        <f>X303</f>
        <v>Kershaw 17 White</v>
      </c>
      <c r="X320" s="4">
        <f>VLOOKUP(W320,AU$2:AY$22,4,FALSE)</f>
        <v>2479.7635834823932</v>
      </c>
      <c r="Y320" s="4">
        <f>IF(V320=W309,W324,IF(V320=Y309,Y324,X320))</f>
        <v>2479.7635834823932</v>
      </c>
      <c r="AB320" s="4">
        <f>IF(V320=Z309,Z324,IF(V320=AB309,AB324,Y320))</f>
        <v>2475.4846792924523</v>
      </c>
      <c r="AE320" s="4">
        <f>IF(V320=AC309,AC324,IF(V320=AE309,AE324,AB320))</f>
        <v>2475.4846792924523</v>
      </c>
      <c r="AT320" s="4" t="str">
        <f>B321</f>
        <v>NETVC 17Tori</v>
      </c>
      <c r="AU320" s="4">
        <f>J321</f>
        <v>2585.9189645999631</v>
      </c>
      <c r="AW320" s="146"/>
      <c r="AX320" s="54"/>
      <c r="AY320" s="54"/>
      <c r="AZ320" s="54"/>
      <c r="BA320" s="54"/>
      <c r="BB320" s="146"/>
      <c r="BC320" s="54"/>
      <c r="BD320" s="54"/>
      <c r="BE320" s="146"/>
      <c r="BF320" s="54"/>
      <c r="BG320" s="54"/>
      <c r="BH320" s="146"/>
      <c r="BI320" s="54"/>
      <c r="BJ320" s="54"/>
      <c r="BK320" s="146"/>
      <c r="BL320" s="54"/>
      <c r="BM320" s="54"/>
      <c r="BN320" s="146"/>
      <c r="BO320" s="54"/>
      <c r="BP320" s="54"/>
    </row>
    <row r="321" spans="1:68" hidden="1" x14ac:dyDescent="0.2">
      <c r="A321" s="4">
        <v>4</v>
      </c>
      <c r="B321" s="4" t="str">
        <f>B304</f>
        <v>NETVC 17Tori</v>
      </c>
      <c r="C321" s="4">
        <f>VLOOKUP(B321,AU$2:AY$22,4,FALSE)</f>
        <v>2590.9975753272629</v>
      </c>
      <c r="D321" s="4">
        <f>IF(A321=B309,B324,IF(A321=D309,D324,C321))</f>
        <v>2585.9189645999631</v>
      </c>
      <c r="G321" s="4">
        <f>IF(A321=E309,E324,IF(A321=G309,G324,D321))</f>
        <v>2585.9189645999631</v>
      </c>
      <c r="J321" s="4">
        <f>IF(A321=H309,H324,IF(A321=J309,J324,G321))</f>
        <v>2585.9189645999631</v>
      </c>
      <c r="U321" s="164"/>
      <c r="V321" s="164">
        <v>4</v>
      </c>
      <c r="W321" s="4" t="str">
        <f>X304</f>
        <v>Augusta Elite 17U</v>
      </c>
      <c r="X321" s="4">
        <f>VLOOKUP(W321,AU$2:AY$22,4,FALSE)</f>
        <v>2526.3946992970846</v>
      </c>
      <c r="Y321" s="4">
        <f>IF(V321=W309,W324,IF(V321=Y309,Y324,X321))</f>
        <v>2522.9578399868501</v>
      </c>
      <c r="AB321" s="4">
        <f>IF(V321=Z309,Z324,IF(V321=AB309,AB324,Y321))</f>
        <v>2522.9578399868501</v>
      </c>
      <c r="AE321" s="4">
        <f>IF(V321=AC309,AC324,IF(V321=AE309,AE324,AB321))</f>
        <v>2522.9578399868501</v>
      </c>
      <c r="AT321" s="4" t="str">
        <f>W318</f>
        <v>MEVC17Power</v>
      </c>
      <c r="AU321" s="4">
        <f>AE318</f>
        <v>2756.5442705995047</v>
      </c>
      <c r="AW321" s="146"/>
      <c r="AX321" s="54"/>
      <c r="AY321" s="54"/>
      <c r="AZ321" s="54"/>
      <c r="BA321" s="54"/>
      <c r="BB321" s="146"/>
      <c r="BC321" s="54"/>
      <c r="BD321" s="54"/>
      <c r="BE321" s="146"/>
      <c r="BF321" s="54"/>
      <c r="BG321" s="54"/>
      <c r="BH321" s="146"/>
      <c r="BI321" s="54"/>
      <c r="BJ321" s="54"/>
      <c r="BK321" s="146"/>
      <c r="BL321" s="54"/>
      <c r="BM321" s="54"/>
      <c r="BN321" s="146"/>
      <c r="BO321" s="54"/>
      <c r="BP321" s="54"/>
    </row>
    <row r="322" spans="1:68" hidden="1" x14ac:dyDescent="0.2">
      <c r="A322" s="4" t="s">
        <v>89</v>
      </c>
      <c r="B322" s="4">
        <f>VLOOKUP(B309,$A318:$J321,3,FALSE)</f>
        <v>2724.0107598595391</v>
      </c>
      <c r="D322" s="4">
        <f>VLOOKUP(D309,$A318:$J321,3,FALSE)</f>
        <v>2590.9975753272629</v>
      </c>
      <c r="E322" s="4">
        <f>VLOOKUP(E309,$A318:$J321,4,FALSE)</f>
        <v>2977.5978206932327</v>
      </c>
      <c r="G322" s="4">
        <f>VLOOKUP(G309,$A318:$J321,4,FALSE)</f>
        <v>2609.9625824912368</v>
      </c>
      <c r="H322" s="4">
        <f>VLOOKUP(H309,$A318:$J321,7,FALSE)</f>
        <v>2729.0893705868389</v>
      </c>
      <c r="J322" s="4">
        <f>VLOOKUP(J309,$A318:$J321,7,FALSE)</f>
        <v>2979.3182154352594</v>
      </c>
      <c r="T322" s="682" t="s">
        <v>89</v>
      </c>
      <c r="U322" s="682"/>
      <c r="V322" s="682"/>
      <c r="W322" s="4">
        <f>VLOOKUP(W309,$V318:$AE321,3,FALSE)</f>
        <v>2751.5692868507035</v>
      </c>
      <c r="Y322" s="4">
        <f>VLOOKUP(Y309,$V318:$AE321,3,FALSE)</f>
        <v>2526.3946992970846</v>
      </c>
      <c r="Z322" s="4">
        <f>VLOOKUP(Z309,$V318:$AE321,4,FALSE)</f>
        <v>2654.8178449854754</v>
      </c>
      <c r="AB322" s="4">
        <f>VLOOKUP(AB309,$V318:$AE321,4,FALSE)</f>
        <v>2479.7635834823932</v>
      </c>
      <c r="AC322" s="4">
        <f>VLOOKUP(AC309,$V318:$AE321,7,FALSE)</f>
        <v>2755.006146160938</v>
      </c>
      <c r="AE322" s="4">
        <f>VLOOKUP(AE309,$V318:$AE321,7,FALSE)</f>
        <v>2659.0967491754163</v>
      </c>
      <c r="AT322" s="4" t="str">
        <f>W319</f>
        <v>SVBC Blazers 18</v>
      </c>
      <c r="AU322" s="4">
        <f>AE319</f>
        <v>2657.5586247368501</v>
      </c>
      <c r="AW322" s="146"/>
      <c r="AX322" s="54"/>
      <c r="AY322" s="54"/>
      <c r="AZ322" s="54"/>
      <c r="BA322" s="54"/>
      <c r="BB322" s="146"/>
      <c r="BC322" s="54"/>
      <c r="BD322" s="54"/>
      <c r="BE322" s="146"/>
      <c r="BF322" s="54"/>
      <c r="BG322" s="54"/>
      <c r="BH322" s="146"/>
      <c r="BI322" s="54"/>
      <c r="BJ322" s="54"/>
      <c r="BK322" s="146"/>
      <c r="BL322" s="54"/>
      <c r="BM322" s="54"/>
      <c r="BN322" s="146"/>
      <c r="BO322" s="54"/>
      <c r="BP322" s="54"/>
    </row>
    <row r="323" spans="1:68" hidden="1" x14ac:dyDescent="0.2">
      <c r="A323" s="68" t="s">
        <v>90</v>
      </c>
      <c r="B323" s="68">
        <f>1/(1+(10^-((B322-D322)/400)))*(B313+D313)</f>
        <v>0.68258682954377814</v>
      </c>
      <c r="C323" s="68"/>
      <c r="D323" s="68">
        <f>1/(1+(10^-((D322-B322)/400)))*(B313+D313)</f>
        <v>0.3174131704562218</v>
      </c>
      <c r="E323" s="68">
        <f>1/(1+(10^-((E322-G322)/400)))*(E313+G313)</f>
        <v>0.89247532862334</v>
      </c>
      <c r="G323" s="68">
        <f>1/(1+(10^-((G322-E322)/400)))*(E313+G313)</f>
        <v>0.10752467137666</v>
      </c>
      <c r="H323" s="68">
        <f>1/(1+(10^-((H322-J322)/400)))*(H313+J313)</f>
        <v>0.57443490568850542</v>
      </c>
      <c r="J323" s="68">
        <f>1/(1+(10^-((J322-H322)/400)))*(H313+J313)</f>
        <v>2.4255650943114948</v>
      </c>
      <c r="T323" s="683" t="s">
        <v>90</v>
      </c>
      <c r="U323" s="683"/>
      <c r="V323" s="683"/>
      <c r="W323" s="68">
        <f>1/(1+(10^-((W322-Y322)/400)))*(W313+Y313)</f>
        <v>0.78519629311034833</v>
      </c>
      <c r="X323" s="68"/>
      <c r="Y323" s="68">
        <f>1/(1+(10^-((Y322-W322)/400)))*(W313+Y313)</f>
        <v>0.21480370688965172</v>
      </c>
      <c r="Z323" s="68">
        <f>1/(1+(10^-((Z322-AB322)/400)))*(Z313+AB313)</f>
        <v>0.73256848812869235</v>
      </c>
      <c r="AB323" s="68">
        <f>1/(1+(10^-((AB322-Z322)/400)))*(Z313+AB313)</f>
        <v>0.26743151187130765</v>
      </c>
      <c r="AC323" s="68">
        <f>1/(1+(10^-((AC322-AE322)/400)))*(AC313+AE313)</f>
        <v>1.9038672225895963</v>
      </c>
      <c r="AE323" s="68">
        <f>1/(1+(10^-((AE322-AC322)/400)))*(AC313+AE313)</f>
        <v>1.0961327774104035</v>
      </c>
      <c r="AT323" s="4" t="str">
        <f>W320</f>
        <v>Kershaw 17 White</v>
      </c>
      <c r="AU323" s="4">
        <f>AE320</f>
        <v>2475.4846792924523</v>
      </c>
      <c r="AW323" s="146"/>
      <c r="AX323" s="54"/>
      <c r="AY323" s="54"/>
      <c r="AZ323" s="54"/>
      <c r="BA323" s="54"/>
      <c r="BB323" s="146"/>
      <c r="BC323" s="54"/>
      <c r="BD323" s="54"/>
      <c r="BE323" s="146"/>
      <c r="BF323" s="54"/>
      <c r="BG323" s="54"/>
      <c r="BH323" s="146"/>
      <c r="BI323" s="54"/>
      <c r="BJ323" s="54"/>
      <c r="BK323" s="146"/>
      <c r="BL323" s="54"/>
      <c r="BM323" s="54"/>
      <c r="BN323" s="146"/>
      <c r="BO323" s="54"/>
      <c r="BP323" s="54"/>
    </row>
    <row r="324" spans="1:68" hidden="1" x14ac:dyDescent="0.2">
      <c r="A324" s="74" t="s">
        <v>91</v>
      </c>
      <c r="B324" s="74">
        <f>B322+(B313-B323)*$BA$2</f>
        <v>2729.0893705868389</v>
      </c>
      <c r="C324" s="74"/>
      <c r="D324" s="74">
        <f>D322+(D313-D323)*$BA$2</f>
        <v>2585.9189645999631</v>
      </c>
      <c r="E324" s="74">
        <f>E322+(E313-E323)*$BA$2</f>
        <v>2979.3182154352594</v>
      </c>
      <c r="G324" s="74">
        <f>G322+(G313-G323)*$BA$2</f>
        <v>2608.2421877492102</v>
      </c>
      <c r="H324" s="74">
        <f>H322+(H313-H323)*$BA$2</f>
        <v>2751.898412095823</v>
      </c>
      <c r="J324" s="74">
        <f>J322+(J313-J323)*$BA$2</f>
        <v>2956.5091739262753</v>
      </c>
      <c r="T324" s="669" t="s">
        <v>91</v>
      </c>
      <c r="U324" s="669"/>
      <c r="V324" s="669"/>
      <c r="W324" s="74">
        <f>W322+(W313-W323)*$BA$2</f>
        <v>2755.006146160938</v>
      </c>
      <c r="X324" s="74"/>
      <c r="Y324" s="74">
        <f>Y322+(Y313-Y323)*$BA$2</f>
        <v>2522.9578399868501</v>
      </c>
      <c r="Z324" s="74">
        <f>Z322+(Z313-Z323)*$BA$2</f>
        <v>2659.0967491754163</v>
      </c>
      <c r="AB324" s="74">
        <f>AB322+(AB313-AB323)*$BA$2</f>
        <v>2475.4846792924523</v>
      </c>
      <c r="AC324" s="74">
        <f>AC322+(AC313-AC323)*$BA$2</f>
        <v>2756.5442705995047</v>
      </c>
      <c r="AE324" s="74">
        <f>AE322+(AE313-AE323)*$BA$2</f>
        <v>2657.5586247368501</v>
      </c>
      <c r="AT324" s="4" t="str">
        <f>W321</f>
        <v>Augusta Elite 17U</v>
      </c>
      <c r="AU324" s="4">
        <f>AE321</f>
        <v>2522.9578399868501</v>
      </c>
      <c r="AW324" s="146"/>
      <c r="AX324" s="54"/>
      <c r="AY324" s="54"/>
      <c r="AZ324" s="54"/>
      <c r="BA324" s="54"/>
      <c r="BB324" s="146"/>
      <c r="BC324" s="54"/>
      <c r="BD324" s="54"/>
      <c r="BE324" s="146"/>
      <c r="BF324" s="54"/>
      <c r="BG324" s="54"/>
      <c r="BH324" s="146"/>
      <c r="BI324" s="54"/>
      <c r="BJ324" s="54"/>
      <c r="BK324" s="146"/>
      <c r="BL324" s="54"/>
      <c r="BM324" s="54"/>
      <c r="BN324" s="146"/>
      <c r="BO324" s="54"/>
      <c r="BP324" s="54"/>
    </row>
    <row r="325" spans="1:68" x14ac:dyDescent="0.2">
      <c r="A325" s="670" t="s">
        <v>141</v>
      </c>
      <c r="B325" s="670"/>
      <c r="C325" s="670"/>
      <c r="D325" s="670"/>
      <c r="E325" s="670"/>
      <c r="F325" s="670"/>
      <c r="G325" s="670"/>
      <c r="H325" s="670"/>
      <c r="I325" s="670"/>
      <c r="J325" s="670"/>
      <c r="K325" s="670"/>
      <c r="L325" s="670"/>
      <c r="M325" s="670"/>
      <c r="R325" s="85"/>
      <c r="S325" s="85"/>
      <c r="T325" s="86"/>
      <c r="U325" s="86"/>
      <c r="V325" s="670" t="s">
        <v>141</v>
      </c>
      <c r="W325" s="670"/>
      <c r="X325" s="670"/>
      <c r="Y325" s="670"/>
      <c r="Z325" s="670"/>
      <c r="AA325" s="670"/>
      <c r="AB325" s="670"/>
      <c r="AC325" s="670"/>
      <c r="AD325" s="670"/>
      <c r="AE325" s="670"/>
      <c r="AF325" s="670"/>
      <c r="AG325" s="670"/>
      <c r="AH325" s="85"/>
      <c r="AI325" s="85"/>
      <c r="AJ325" s="85"/>
      <c r="AW325" s="146"/>
      <c r="AX325" s="54"/>
      <c r="AY325" s="54"/>
      <c r="AZ325" s="54"/>
      <c r="BA325" s="54"/>
    </row>
    <row r="326" spans="1:68" x14ac:dyDescent="0.2">
      <c r="AT326" s="54"/>
      <c r="AU326" s="54"/>
      <c r="AV326" s="54"/>
      <c r="AW326" s="146"/>
      <c r="AX326" s="54"/>
      <c r="AY326" s="54"/>
      <c r="AZ326" s="54"/>
      <c r="BA326" s="54"/>
    </row>
    <row r="327" spans="1:68" x14ac:dyDescent="0.2">
      <c r="A327" s="768" t="s">
        <v>160</v>
      </c>
      <c r="B327" s="768"/>
      <c r="C327" s="768"/>
      <c r="D327" s="768"/>
      <c r="E327" s="768"/>
      <c r="F327" s="768"/>
      <c r="G327" s="768"/>
      <c r="H327" s="768"/>
      <c r="I327" s="768"/>
      <c r="J327" s="768"/>
      <c r="K327" s="768"/>
      <c r="L327" s="768"/>
      <c r="M327" s="768"/>
      <c r="N327" s="768"/>
      <c r="O327" s="768"/>
      <c r="P327" s="768"/>
      <c r="Q327" s="62"/>
      <c r="S327" s="87"/>
      <c r="T327" s="87"/>
      <c r="U327" s="87"/>
      <c r="V327" s="87"/>
      <c r="W327" s="87"/>
      <c r="X327" s="87"/>
      <c r="Y327" s="87"/>
      <c r="Z327" s="87"/>
      <c r="AA327" s="87"/>
      <c r="AB327" s="87"/>
      <c r="AC327" s="87"/>
      <c r="AD327" s="87"/>
      <c r="AE327" s="87"/>
      <c r="AF327" s="87"/>
      <c r="AG327" s="87"/>
      <c r="AH327" s="85"/>
      <c r="AI327" s="85"/>
      <c r="AJ327" s="85"/>
      <c r="AK327" s="85"/>
      <c r="AL327" s="85"/>
      <c r="AM327" s="85"/>
      <c r="AT327" s="54"/>
      <c r="AU327" s="54"/>
      <c r="AV327" s="54"/>
      <c r="AW327" s="146"/>
      <c r="AX327" s="54"/>
      <c r="AY327" s="54"/>
      <c r="AZ327" s="54"/>
      <c r="BA327" s="54"/>
    </row>
    <row r="328" spans="1:68" x14ac:dyDescent="0.2">
      <c r="S328" s="85"/>
      <c r="T328" s="85"/>
      <c r="U328" s="85"/>
      <c r="V328" s="85"/>
      <c r="W328" s="85"/>
      <c r="X328" s="85"/>
      <c r="Y328" s="85"/>
      <c r="Z328" s="85"/>
      <c r="AA328" s="85"/>
      <c r="AB328" s="85"/>
      <c r="AC328" s="85"/>
      <c r="AD328" s="85"/>
      <c r="AE328" s="85"/>
      <c r="AF328" s="85"/>
      <c r="AG328" s="85"/>
      <c r="AH328" s="85"/>
      <c r="AI328" s="85"/>
      <c r="AJ328" s="85"/>
      <c r="AK328" s="85"/>
      <c r="AL328" s="85"/>
      <c r="AM328" s="85"/>
      <c r="AT328" s="54"/>
      <c r="AU328" s="54"/>
      <c r="AV328" s="54"/>
      <c r="AW328" s="146"/>
      <c r="AX328" s="54"/>
      <c r="AY328" s="54"/>
      <c r="AZ328" s="54"/>
      <c r="BA328" s="54"/>
    </row>
    <row r="329" spans="1:68" ht="13.5" thickBot="1" x14ac:dyDescent="0.25">
      <c r="A329" s="736" t="str">
        <f>IF(B357=1,B349,IF(B357=2,B350,IF(B357=3,B351,IF(B357=4,B352,IF(OR(B357="B",B357="b"),"BYE","invalid")))))</f>
        <v>united vbc 17 u</v>
      </c>
      <c r="B329" s="736"/>
      <c r="C329" s="736"/>
      <c r="D329" s="736"/>
      <c r="E329" s="736"/>
      <c r="F329" s="88"/>
      <c r="G329" s="88"/>
      <c r="H329" s="88"/>
      <c r="I329" s="88"/>
      <c r="J329" s="88"/>
      <c r="K329" s="88"/>
      <c r="L329" s="88"/>
      <c r="M329" s="88"/>
      <c r="N329" s="88"/>
      <c r="O329" s="88"/>
      <c r="S329" s="85"/>
      <c r="T329" s="90"/>
      <c r="U329" s="90"/>
      <c r="V329" s="86"/>
      <c r="W329" s="86"/>
      <c r="X329" s="86"/>
      <c r="Y329" s="86"/>
      <c r="Z329" s="86"/>
      <c r="AA329" s="86"/>
      <c r="AB329" s="86"/>
      <c r="AC329" s="85"/>
      <c r="AD329" s="85"/>
      <c r="AE329" s="85"/>
      <c r="AF329" s="85"/>
      <c r="AG329" s="85"/>
      <c r="AH329" s="85"/>
      <c r="AI329" s="85"/>
      <c r="AJ329" s="85"/>
      <c r="AK329" s="85"/>
      <c r="AL329" s="85"/>
      <c r="AM329" s="85"/>
      <c r="AT329" s="54"/>
      <c r="AU329" s="54"/>
      <c r="AV329" s="54"/>
      <c r="AW329" s="146"/>
      <c r="AX329" s="54"/>
      <c r="AY329" s="54"/>
      <c r="AZ329" s="54"/>
      <c r="BA329" s="54"/>
    </row>
    <row r="330" spans="1:68" x14ac:dyDescent="0.2">
      <c r="A330" s="738" t="s">
        <v>161</v>
      </c>
      <c r="B330" s="738"/>
      <c r="C330" s="738"/>
      <c r="D330" s="738"/>
      <c r="E330" s="738"/>
      <c r="F330" s="91"/>
      <c r="G330" s="88"/>
      <c r="H330" s="88"/>
      <c r="I330" s="88"/>
      <c r="J330" s="88"/>
      <c r="K330" s="88"/>
      <c r="L330" s="88"/>
      <c r="M330" s="88"/>
      <c r="N330" s="88"/>
      <c r="O330" s="88"/>
      <c r="S330" s="85"/>
      <c r="T330" s="93"/>
      <c r="U330" s="93"/>
      <c r="V330" s="94"/>
      <c r="W330" s="94"/>
      <c r="X330" s="94"/>
      <c r="Y330" s="94"/>
      <c r="Z330" s="94"/>
      <c r="AA330" s="94"/>
      <c r="AB330" s="94"/>
      <c r="AC330" s="85"/>
      <c r="AD330" s="85"/>
      <c r="AE330" s="85"/>
      <c r="AF330" s="85"/>
      <c r="AG330" s="85"/>
      <c r="AH330" s="85"/>
      <c r="AI330" s="85"/>
      <c r="AJ330" s="85"/>
      <c r="AK330" s="85"/>
      <c r="AL330" s="85"/>
      <c r="AM330" s="85"/>
      <c r="AT330" s="54"/>
      <c r="AU330" s="54"/>
      <c r="AV330" s="54"/>
      <c r="AW330" s="146"/>
      <c r="AX330" s="54"/>
      <c r="AY330" s="54"/>
      <c r="AZ330" s="54"/>
      <c r="BA330" s="54"/>
    </row>
    <row r="331" spans="1:68" x14ac:dyDescent="0.2">
      <c r="A331" s="88"/>
      <c r="B331" s="88"/>
      <c r="C331" s="88"/>
      <c r="D331" s="88"/>
      <c r="E331" s="88"/>
      <c r="F331" s="91"/>
      <c r="G331" s="88"/>
      <c r="H331" s="88"/>
      <c r="I331" s="88"/>
      <c r="J331" s="88"/>
      <c r="K331" s="88"/>
      <c r="L331" s="88"/>
      <c r="M331" s="88"/>
      <c r="N331" s="88"/>
      <c r="O331" s="88"/>
      <c r="S331" s="85"/>
      <c r="T331" s="85"/>
      <c r="U331" s="85"/>
      <c r="V331" s="85"/>
      <c r="W331" s="85"/>
      <c r="X331" s="85"/>
      <c r="Y331" s="85"/>
      <c r="Z331" s="85"/>
      <c r="AA331" s="85"/>
      <c r="AB331" s="85"/>
      <c r="AC331" s="85"/>
      <c r="AD331" s="85"/>
      <c r="AE331" s="85"/>
      <c r="AF331" s="85"/>
      <c r="AG331" s="85"/>
      <c r="AH331" s="85"/>
      <c r="AI331" s="85"/>
      <c r="AJ331" s="85"/>
      <c r="AK331" s="85"/>
      <c r="AL331" s="85"/>
      <c r="AM331" s="85"/>
      <c r="AT331" s="54"/>
      <c r="AU331" s="54"/>
      <c r="AV331" s="54"/>
      <c r="AW331" s="146"/>
      <c r="AX331" s="54"/>
      <c r="AY331" s="54"/>
      <c r="AZ331" s="54"/>
      <c r="BA331" s="54"/>
    </row>
    <row r="332" spans="1:68" ht="13.5" thickBot="1" x14ac:dyDescent="0.25">
      <c r="A332" s="739" t="str">
        <f>B351&amp;" ref"</f>
        <v>SMVC Royals 17 ref</v>
      </c>
      <c r="B332" s="739"/>
      <c r="C332" s="739"/>
      <c r="D332" s="739"/>
      <c r="E332" s="752"/>
      <c r="F332" s="748" t="str">
        <f>IF(H357=1,B349,IF(H357=2,B350,IF(H357=3,B351,IF(H357=4,B352,"Winner Match 1"))))</f>
        <v>Branchville Juniors 18U</v>
      </c>
      <c r="G332" s="749"/>
      <c r="H332" s="749"/>
      <c r="I332" s="749"/>
      <c r="J332" s="749"/>
      <c r="K332" s="749"/>
      <c r="L332" s="749"/>
      <c r="M332" s="749"/>
      <c r="N332" s="749"/>
      <c r="O332" s="88"/>
      <c r="Q332" s="96"/>
      <c r="R332" s="96"/>
      <c r="S332" s="87"/>
      <c r="T332" s="87"/>
      <c r="U332" s="87"/>
      <c r="V332" s="87"/>
      <c r="W332" s="87"/>
      <c r="X332" s="87"/>
      <c r="Y332" s="87"/>
      <c r="Z332" s="87"/>
      <c r="AA332" s="87"/>
      <c r="AB332" s="85"/>
      <c r="AC332" s="86"/>
      <c r="AD332" s="86"/>
      <c r="AE332" s="86"/>
      <c r="AF332" s="86"/>
      <c r="AG332" s="86"/>
      <c r="AH332" s="86"/>
      <c r="AI332" s="86"/>
      <c r="AJ332" s="85"/>
      <c r="AK332" s="85"/>
      <c r="AL332" s="85"/>
      <c r="AM332" s="85"/>
      <c r="AT332" s="54"/>
      <c r="AU332" s="54"/>
      <c r="AV332" s="54"/>
    </row>
    <row r="333" spans="1:68" x14ac:dyDescent="0.2">
      <c r="A333" s="746" t="s">
        <v>165</v>
      </c>
      <c r="B333" s="746"/>
      <c r="C333" s="746"/>
      <c r="D333" s="746"/>
      <c r="E333" s="746"/>
      <c r="F333" s="759"/>
      <c r="G333" s="760"/>
      <c r="H333" s="760"/>
      <c r="I333" s="761"/>
      <c r="J333" s="744"/>
      <c r="K333" s="745"/>
      <c r="L333" s="745"/>
      <c r="M333" s="745"/>
      <c r="N333" s="745"/>
      <c r="O333" s="88"/>
      <c r="P333" s="88"/>
      <c r="Q333" s="95"/>
      <c r="R333" s="10"/>
      <c r="S333" s="108"/>
      <c r="T333" s="108"/>
      <c r="U333" s="103"/>
      <c r="V333" s="103"/>
      <c r="W333" s="103"/>
      <c r="X333" s="103"/>
      <c r="Y333" s="103"/>
      <c r="Z333" s="103"/>
      <c r="AA333" s="103"/>
      <c r="AB333" s="85"/>
      <c r="AC333" s="87"/>
      <c r="AD333" s="87"/>
      <c r="AE333" s="87"/>
      <c r="AF333" s="87"/>
      <c r="AG333" s="87"/>
      <c r="AH333" s="87"/>
      <c r="AI333" s="87"/>
      <c r="AJ333" s="85"/>
      <c r="AK333" s="85"/>
      <c r="AL333" s="85"/>
      <c r="AM333" s="85"/>
      <c r="AT333" s="54"/>
      <c r="AU333" s="54"/>
      <c r="AV333" s="54"/>
      <c r="AW333" s="65"/>
      <c r="AX333" s="61"/>
      <c r="AY333" s="61"/>
      <c r="AZ333" s="61"/>
      <c r="BA333" s="61"/>
    </row>
    <row r="334" spans="1:68" ht="13.5" thickBot="1" x14ac:dyDescent="0.25">
      <c r="A334" s="736" t="str">
        <f>IF(D357=1,B349,IF(D357=2,B350,IF(D357=3,B351,IF(D357=4,B352,IF(OR(D357="B",D357="b"),"BYE","invalid")))))</f>
        <v>Branchville Juniors 18U</v>
      </c>
      <c r="B334" s="736"/>
      <c r="C334" s="736"/>
      <c r="D334" s="736"/>
      <c r="E334" s="737"/>
      <c r="F334" s="91"/>
      <c r="G334" s="88"/>
      <c r="H334" s="88"/>
      <c r="I334" s="88"/>
      <c r="J334" s="91"/>
      <c r="K334" s="88"/>
      <c r="L334" s="88"/>
      <c r="M334" s="88"/>
      <c r="N334" s="88"/>
      <c r="O334" s="88"/>
      <c r="P334" s="88"/>
      <c r="Q334" s="88"/>
      <c r="S334" s="85"/>
      <c r="T334" s="85"/>
      <c r="U334" s="85"/>
      <c r="V334" s="86"/>
      <c r="W334" s="86"/>
      <c r="X334" s="86"/>
      <c r="Y334" s="86"/>
      <c r="Z334" s="86"/>
      <c r="AA334" s="86"/>
      <c r="AB334" s="86"/>
      <c r="AC334" s="85"/>
      <c r="AD334" s="85"/>
      <c r="AE334" s="85"/>
      <c r="AF334" s="85"/>
      <c r="AG334" s="85"/>
      <c r="AH334" s="85"/>
      <c r="AI334" s="85"/>
      <c r="AJ334" s="85"/>
      <c r="AK334" s="85"/>
      <c r="AL334" s="85"/>
      <c r="AM334" s="85"/>
      <c r="AT334" s="54"/>
      <c r="AU334" s="54"/>
      <c r="AV334" s="54"/>
      <c r="AW334" s="65"/>
      <c r="AX334" s="61"/>
      <c r="AY334" s="61"/>
      <c r="AZ334" s="61"/>
      <c r="BA334" s="61"/>
    </row>
    <row r="335" spans="1:68" x14ac:dyDescent="0.2">
      <c r="A335" s="738" t="s">
        <v>169</v>
      </c>
      <c r="B335" s="738"/>
      <c r="C335" s="738"/>
      <c r="D335" s="738"/>
      <c r="E335" s="738"/>
      <c r="F335" s="88"/>
      <c r="G335" s="88"/>
      <c r="H335" s="88"/>
      <c r="I335" s="88"/>
      <c r="J335" s="91"/>
      <c r="K335" s="88"/>
      <c r="L335" s="88"/>
      <c r="M335" s="88"/>
      <c r="N335" s="88"/>
      <c r="O335" s="88"/>
      <c r="P335" s="88"/>
      <c r="Q335" s="88"/>
      <c r="S335" s="85"/>
      <c r="T335" s="85"/>
      <c r="U335" s="85"/>
      <c r="V335" s="94"/>
      <c r="W335" s="94"/>
      <c r="X335" s="94"/>
      <c r="Y335" s="94"/>
      <c r="Z335" s="94"/>
      <c r="AA335" s="94"/>
      <c r="AB335" s="94"/>
      <c r="AC335" s="85"/>
      <c r="AD335" s="85"/>
      <c r="AE335" s="85"/>
      <c r="AF335" s="85"/>
      <c r="AG335" s="85"/>
      <c r="AH335" s="85"/>
      <c r="AI335" s="85"/>
      <c r="AJ335" s="85"/>
      <c r="AK335" s="85"/>
      <c r="AL335" s="85"/>
      <c r="AM335" s="85"/>
      <c r="AR335" s="104"/>
      <c r="AS335" s="104"/>
      <c r="AT335" s="54"/>
      <c r="AU335" s="54"/>
      <c r="AV335" s="54"/>
      <c r="AW335" s="65"/>
      <c r="AX335" s="61"/>
      <c r="AY335" s="61"/>
      <c r="AZ335" s="61"/>
      <c r="BA335" s="61"/>
      <c r="BB335" s="104"/>
      <c r="BC335" s="104"/>
      <c r="BD335" s="104"/>
    </row>
    <row r="336" spans="1:68" x14ac:dyDescent="0.2">
      <c r="A336" s="88"/>
      <c r="B336" s="88"/>
      <c r="C336" s="88"/>
      <c r="D336" s="88"/>
      <c r="E336" s="88"/>
      <c r="F336" s="751" t="s">
        <v>113</v>
      </c>
      <c r="G336" s="751"/>
      <c r="H336" s="751"/>
      <c r="I336" s="758"/>
      <c r="J336" s="91"/>
      <c r="K336" s="88"/>
      <c r="L336" s="88"/>
      <c r="M336" s="88"/>
      <c r="N336" s="88"/>
      <c r="O336" s="88"/>
      <c r="P336" s="88"/>
      <c r="Q336" s="88"/>
      <c r="S336" s="85"/>
      <c r="T336" s="85"/>
      <c r="U336" s="85"/>
      <c r="V336" s="85"/>
      <c r="W336" s="85"/>
      <c r="X336" s="87"/>
      <c r="Y336" s="87"/>
      <c r="Z336" s="87"/>
      <c r="AA336" s="85"/>
      <c r="AB336" s="87"/>
      <c r="AC336" s="87"/>
      <c r="AD336" s="87"/>
      <c r="AE336" s="87"/>
      <c r="AF336" s="87"/>
      <c r="AG336" s="85"/>
      <c r="AH336" s="85"/>
      <c r="AI336" s="85"/>
      <c r="AJ336" s="85"/>
      <c r="AK336" s="85"/>
      <c r="AL336" s="85"/>
      <c r="AM336" s="85"/>
      <c r="AT336" s="54"/>
      <c r="AU336" s="54"/>
      <c r="AV336" s="54"/>
      <c r="AW336" s="65"/>
      <c r="AX336" s="61"/>
      <c r="AY336" s="61"/>
      <c r="AZ336" s="61"/>
      <c r="BA336" s="61"/>
    </row>
    <row r="337" spans="1:53" ht="13.5" thickBot="1" x14ac:dyDescent="0.25">
      <c r="A337" s="88"/>
      <c r="B337" s="88"/>
      <c r="C337" s="88"/>
      <c r="D337" s="88"/>
      <c r="E337" s="88"/>
      <c r="F337" s="88"/>
      <c r="G337" s="88"/>
      <c r="H337" s="88"/>
      <c r="I337" s="88"/>
      <c r="J337" s="753" t="str">
        <f>IF(K362=1,B349,IF(K362=2,B350,IF(K362=3,B351,IF(K362=4,B352,"Division Winner"))))</f>
        <v>Foothills 17</v>
      </c>
      <c r="K337" s="754"/>
      <c r="L337" s="754"/>
      <c r="M337" s="754"/>
      <c r="N337" s="754"/>
      <c r="O337" s="754"/>
      <c r="P337" s="754"/>
      <c r="Q337" s="754"/>
      <c r="R337" s="89"/>
      <c r="S337" s="85"/>
      <c r="T337" s="85"/>
      <c r="U337" s="85"/>
      <c r="V337" s="85"/>
      <c r="W337" s="85"/>
      <c r="X337" s="85"/>
      <c r="Y337" s="85"/>
      <c r="Z337" s="85"/>
      <c r="AA337" s="85"/>
      <c r="AB337" s="86"/>
      <c r="AC337" s="86"/>
      <c r="AD337" s="86"/>
      <c r="AE337" s="86"/>
      <c r="AF337" s="86"/>
      <c r="AG337" s="105"/>
      <c r="AH337" s="105"/>
      <c r="AI337" s="105"/>
      <c r="AJ337" s="105"/>
      <c r="AK337" s="105"/>
      <c r="AL337" s="86"/>
      <c r="AM337" s="85"/>
      <c r="AT337" s="54"/>
      <c r="AU337" s="54"/>
      <c r="AV337" s="54"/>
      <c r="AW337" s="65"/>
      <c r="AX337" s="61"/>
      <c r="AY337" s="61"/>
      <c r="AZ337" s="61"/>
      <c r="BA337" s="61"/>
    </row>
    <row r="338" spans="1:53" ht="13.5" thickBot="1" x14ac:dyDescent="0.25">
      <c r="A338" s="736" t="str">
        <f>IF(E357=1,B349,IF(E357=2,B350,IF(E357=3,B351,IF(E357=4,B352,IF(OR(E357="B",E357="b"),"BYE","invalid")))))</f>
        <v>Foothills 17</v>
      </c>
      <c r="B338" s="736"/>
      <c r="C338" s="736"/>
      <c r="D338" s="736"/>
      <c r="E338" s="736"/>
      <c r="F338" s="746" t="s">
        <v>162</v>
      </c>
      <c r="G338" s="746"/>
      <c r="H338" s="746"/>
      <c r="I338" s="746"/>
      <c r="J338" s="750" t="s">
        <v>163</v>
      </c>
      <c r="K338" s="751"/>
      <c r="L338" s="751"/>
      <c r="M338" s="751"/>
      <c r="N338" s="751"/>
      <c r="O338" s="751"/>
      <c r="P338" s="751"/>
      <c r="Q338" s="751"/>
      <c r="S338" s="86"/>
      <c r="T338" s="86"/>
      <c r="U338" s="86"/>
      <c r="V338" s="86"/>
      <c r="W338" s="86"/>
      <c r="X338" s="86"/>
      <c r="Y338" s="86"/>
      <c r="Z338" s="86"/>
      <c r="AA338" s="86"/>
      <c r="AB338" s="86"/>
      <c r="AC338" s="108"/>
      <c r="AD338" s="108"/>
      <c r="AE338" s="108"/>
      <c r="AF338" s="108"/>
      <c r="AG338" s="87"/>
      <c r="AH338" s="87"/>
      <c r="AI338" s="87"/>
      <c r="AJ338" s="87"/>
      <c r="AK338" s="87"/>
      <c r="AL338" s="85"/>
      <c r="AM338" s="85"/>
      <c r="AT338" s="54"/>
      <c r="AU338" s="54"/>
      <c r="AV338" s="54"/>
      <c r="AW338" s="65"/>
      <c r="AX338" s="61"/>
      <c r="AY338" s="61"/>
      <c r="AZ338" s="61"/>
      <c r="BA338" s="61"/>
    </row>
    <row r="339" spans="1:53" x14ac:dyDescent="0.2">
      <c r="A339" s="738" t="s">
        <v>164</v>
      </c>
      <c r="B339" s="738"/>
      <c r="C339" s="738"/>
      <c r="D339" s="738"/>
      <c r="E339" s="738"/>
      <c r="F339" s="91"/>
      <c r="G339" s="88"/>
      <c r="H339" s="88"/>
      <c r="I339" s="88"/>
      <c r="J339" s="750"/>
      <c r="K339" s="751"/>
      <c r="L339" s="751"/>
      <c r="M339" s="751"/>
      <c r="N339" s="751"/>
      <c r="O339" s="751"/>
      <c r="P339" s="751"/>
      <c r="Q339" s="751"/>
      <c r="R339" s="88"/>
      <c r="S339" s="94"/>
      <c r="T339" s="94"/>
      <c r="U339" s="94"/>
      <c r="V339" s="94"/>
      <c r="W339" s="94"/>
      <c r="X339" s="94"/>
      <c r="Y339" s="94"/>
      <c r="Z339" s="94"/>
      <c r="AA339" s="94"/>
      <c r="AB339" s="94"/>
      <c r="AC339" s="85"/>
      <c r="AD339" s="85"/>
      <c r="AE339" s="85"/>
      <c r="AF339" s="85"/>
      <c r="AG339" s="85"/>
      <c r="AH339" s="85"/>
      <c r="AI339" s="85"/>
      <c r="AJ339" s="85"/>
      <c r="AK339" s="85"/>
      <c r="AL339" s="85"/>
      <c r="AM339" s="85"/>
      <c r="AT339" s="54"/>
      <c r="AU339" s="54"/>
      <c r="AV339" s="54"/>
      <c r="AW339" s="65"/>
      <c r="AX339" s="61"/>
      <c r="AY339" s="61"/>
      <c r="AZ339" s="61"/>
      <c r="BA339" s="61"/>
    </row>
    <row r="340" spans="1:53" x14ac:dyDescent="0.2">
      <c r="A340" s="88"/>
      <c r="B340" s="88"/>
      <c r="C340" s="88"/>
      <c r="D340" s="88"/>
      <c r="E340" s="88"/>
      <c r="F340" s="91"/>
      <c r="G340" s="88"/>
      <c r="H340" s="88"/>
      <c r="I340" s="88"/>
      <c r="J340" s="91"/>
      <c r="K340" s="88"/>
      <c r="L340" s="88"/>
      <c r="M340" s="88"/>
      <c r="N340" s="88"/>
      <c r="O340" s="88"/>
      <c r="Q340" s="88"/>
      <c r="R340" s="88"/>
      <c r="S340" s="85"/>
      <c r="T340" s="85"/>
      <c r="U340" s="85"/>
      <c r="V340" s="85"/>
      <c r="W340" s="85"/>
      <c r="X340" s="85"/>
      <c r="Y340" s="85"/>
      <c r="Z340" s="85"/>
      <c r="AA340" s="85"/>
      <c r="AB340" s="85"/>
      <c r="AC340" s="85"/>
      <c r="AD340" s="85"/>
      <c r="AE340" s="85"/>
      <c r="AF340" s="85"/>
      <c r="AG340" s="85"/>
      <c r="AH340" s="85"/>
      <c r="AI340" s="85"/>
      <c r="AJ340" s="85"/>
      <c r="AK340" s="85"/>
      <c r="AL340" s="85"/>
      <c r="AM340" s="85"/>
      <c r="AT340" s="54"/>
      <c r="AU340" s="54"/>
      <c r="AV340" s="54"/>
      <c r="AW340" s="65"/>
      <c r="AX340" s="61"/>
      <c r="AY340" s="61"/>
      <c r="AZ340" s="61"/>
      <c r="BA340" s="61"/>
    </row>
    <row r="341" spans="1:53" ht="13.5" thickBot="1" x14ac:dyDescent="0.25">
      <c r="A341" s="751" t="s">
        <v>120</v>
      </c>
      <c r="B341" s="751"/>
      <c r="C341" s="751"/>
      <c r="D341" s="751"/>
      <c r="E341" s="95"/>
      <c r="F341" s="741"/>
      <c r="G341" s="742"/>
      <c r="H341" s="742"/>
      <c r="I341" s="743"/>
      <c r="J341" s="744"/>
      <c r="K341" s="745"/>
      <c r="L341" s="745"/>
      <c r="M341" s="745"/>
      <c r="N341" s="745"/>
      <c r="O341" s="88"/>
      <c r="R341" s="96"/>
      <c r="S341" s="87"/>
      <c r="T341" s="87"/>
      <c r="U341" s="87"/>
      <c r="V341" s="87"/>
      <c r="W341" s="87"/>
      <c r="X341" s="87"/>
      <c r="Y341" s="87"/>
      <c r="Z341" s="87"/>
      <c r="AA341" s="87"/>
      <c r="AB341" s="85"/>
      <c r="AC341" s="87"/>
      <c r="AD341" s="87"/>
      <c r="AE341" s="87"/>
      <c r="AF341" s="87"/>
      <c r="AG341" s="87"/>
      <c r="AH341" s="87"/>
      <c r="AI341" s="87"/>
      <c r="AJ341" s="85"/>
      <c r="AK341" s="85"/>
      <c r="AL341" s="85"/>
      <c r="AM341" s="85"/>
      <c r="AT341" s="54"/>
      <c r="AU341" s="54"/>
      <c r="AV341" s="54"/>
      <c r="AW341" s="72"/>
      <c r="AX341" s="71"/>
      <c r="AY341" s="71"/>
      <c r="AZ341" s="71"/>
      <c r="BA341" s="71"/>
    </row>
    <row r="342" spans="1:53" x14ac:dyDescent="0.2">
      <c r="A342" s="746" t="s">
        <v>165</v>
      </c>
      <c r="B342" s="746"/>
      <c r="C342" s="746"/>
      <c r="D342" s="746"/>
      <c r="E342" s="747"/>
      <c r="F342" s="748" t="str">
        <f>IF(J357=1,B349,IF(J357=2,B350,IF(J357=3,B351,IF(J357=4,B352,"Winner Match 2"))))</f>
        <v>Foothills 17</v>
      </c>
      <c r="G342" s="749"/>
      <c r="H342" s="749"/>
      <c r="I342" s="749"/>
      <c r="J342" s="749"/>
      <c r="K342" s="749"/>
      <c r="L342" s="749"/>
      <c r="M342" s="749"/>
      <c r="N342" s="749"/>
      <c r="O342" s="88"/>
      <c r="Q342" s="95"/>
      <c r="R342" s="95"/>
      <c r="S342" s="85"/>
      <c r="T342" s="108"/>
      <c r="U342" s="108"/>
      <c r="V342" s="108"/>
      <c r="W342" s="108"/>
      <c r="X342" s="108"/>
      <c r="Y342" s="108"/>
      <c r="Z342" s="108"/>
      <c r="AA342" s="108"/>
      <c r="AB342" s="85"/>
      <c r="AC342" s="86"/>
      <c r="AD342" s="86"/>
      <c r="AE342" s="86"/>
      <c r="AF342" s="86"/>
      <c r="AG342" s="86"/>
      <c r="AH342" s="86"/>
      <c r="AI342" s="86"/>
      <c r="AJ342" s="85"/>
      <c r="AK342" s="85"/>
      <c r="AL342" s="85"/>
      <c r="AM342" s="85"/>
      <c r="AT342" s="54"/>
      <c r="AU342" s="54"/>
      <c r="AV342" s="54"/>
      <c r="AW342" s="78"/>
      <c r="AX342" s="77"/>
      <c r="AY342" s="77"/>
      <c r="AZ342" s="77"/>
      <c r="BA342" s="77"/>
    </row>
    <row r="343" spans="1:53" ht="13.5" thickBot="1" x14ac:dyDescent="0.25">
      <c r="A343" s="736" t="str">
        <f>IF(G357=1,B349,IF(G357=2,B350,IF(G357=3,B351,IF(G357=4,B352,IF(OR(G357="B",G357="b"),"BYE","invalid")))))</f>
        <v>SMVC Royals 17</v>
      </c>
      <c r="B343" s="736"/>
      <c r="C343" s="736"/>
      <c r="D343" s="736"/>
      <c r="E343" s="737"/>
      <c r="F343" s="91"/>
      <c r="G343" s="88"/>
      <c r="H343" s="88"/>
      <c r="I343" s="88"/>
      <c r="J343" s="184"/>
      <c r="K343" s="88"/>
      <c r="L343" s="88"/>
      <c r="M343" s="88"/>
      <c r="N343" s="88"/>
      <c r="O343" s="88"/>
      <c r="Q343" s="88"/>
      <c r="R343" s="88"/>
      <c r="S343" s="85"/>
      <c r="T343" s="86"/>
      <c r="U343" s="86"/>
      <c r="V343" s="86"/>
      <c r="W343" s="86"/>
      <c r="X343" s="86"/>
      <c r="Y343" s="86"/>
      <c r="Z343" s="86"/>
      <c r="AA343" s="86"/>
      <c r="AB343" s="86"/>
      <c r="AC343" s="85"/>
      <c r="AD343" s="85"/>
      <c r="AE343" s="85"/>
      <c r="AF343" s="85"/>
      <c r="AG343" s="85"/>
      <c r="AH343" s="85"/>
      <c r="AI343" s="85"/>
      <c r="AJ343" s="85"/>
      <c r="AK343" s="85"/>
      <c r="AL343" s="85"/>
      <c r="AM343" s="85"/>
      <c r="AT343" s="54"/>
      <c r="AU343" s="54"/>
      <c r="AV343" s="54"/>
      <c r="AW343" s="78"/>
      <c r="AX343" s="77"/>
      <c r="AY343" s="77"/>
      <c r="AZ343" s="77"/>
      <c r="BA343" s="77"/>
    </row>
    <row r="344" spans="1:53" x14ac:dyDescent="0.2">
      <c r="A344" s="738" t="s">
        <v>166</v>
      </c>
      <c r="B344" s="738"/>
      <c r="C344" s="738"/>
      <c r="D344" s="738"/>
      <c r="E344" s="738"/>
      <c r="S344" s="85"/>
      <c r="T344" s="94"/>
      <c r="U344" s="94"/>
      <c r="V344" s="94"/>
      <c r="W344" s="94"/>
      <c r="X344" s="94"/>
      <c r="Y344" s="94"/>
      <c r="Z344" s="94"/>
      <c r="AA344" s="94"/>
      <c r="AB344" s="94"/>
      <c r="AC344" s="85"/>
      <c r="AD344" s="85"/>
      <c r="AE344" s="85"/>
      <c r="AF344" s="85"/>
      <c r="AG344" s="85"/>
      <c r="AH344" s="85"/>
      <c r="AI344" s="85"/>
      <c r="AJ344" s="85"/>
      <c r="AK344" s="85"/>
      <c r="AL344" s="85"/>
      <c r="AM344" s="85"/>
      <c r="AT344" s="54"/>
      <c r="AU344" s="54"/>
      <c r="AV344" s="54"/>
      <c r="AW344" s="65"/>
      <c r="AX344" s="61"/>
      <c r="AY344" s="61"/>
      <c r="AZ344" s="61"/>
      <c r="BA344" s="61"/>
    </row>
    <row r="345" spans="1:53" x14ac:dyDescent="0.2">
      <c r="S345" s="85"/>
      <c r="T345" s="85"/>
      <c r="U345" s="85"/>
      <c r="V345" s="85"/>
      <c r="W345" s="85"/>
      <c r="X345" s="85"/>
      <c r="Y345" s="85"/>
      <c r="Z345" s="85"/>
      <c r="AA345" s="85"/>
      <c r="AB345" s="85"/>
      <c r="AC345" s="85"/>
      <c r="AD345" s="85"/>
      <c r="AE345" s="85"/>
      <c r="AF345" s="85"/>
      <c r="AG345" s="85"/>
      <c r="AH345" s="85"/>
      <c r="AI345" s="85"/>
      <c r="AJ345" s="85"/>
      <c r="AK345" s="85"/>
      <c r="AL345" s="85"/>
      <c r="AM345" s="85"/>
      <c r="AT345" s="54"/>
      <c r="AU345" s="54"/>
      <c r="AV345" s="54"/>
      <c r="AW345" s="65"/>
      <c r="AX345" s="61"/>
      <c r="AY345" s="61"/>
      <c r="AZ345" s="61"/>
      <c r="BA345" s="61"/>
    </row>
    <row r="346" spans="1:53" x14ac:dyDescent="0.2">
      <c r="S346" s="85"/>
      <c r="T346" s="85"/>
      <c r="U346" s="85"/>
      <c r="V346" s="85"/>
      <c r="W346" s="85"/>
      <c r="X346" s="85"/>
      <c r="Y346" s="85"/>
      <c r="Z346" s="85"/>
      <c r="AA346" s="85"/>
      <c r="AB346" s="85"/>
      <c r="AC346" s="85"/>
      <c r="AD346" s="85"/>
      <c r="AE346" s="85"/>
      <c r="AF346" s="85"/>
      <c r="AG346" s="85"/>
      <c r="AH346" s="85"/>
      <c r="AI346" s="85"/>
      <c r="AJ346" s="85"/>
      <c r="AK346" s="85"/>
      <c r="AL346" s="85"/>
      <c r="AM346" s="85"/>
      <c r="AT346" s="54"/>
      <c r="AU346" s="54"/>
      <c r="AV346" s="54"/>
    </row>
    <row r="347" spans="1:53" ht="16.5" thickBot="1" x14ac:dyDescent="0.3">
      <c r="A347" s="740" t="s">
        <v>167</v>
      </c>
      <c r="B347" s="740"/>
      <c r="C347" s="740"/>
      <c r="D347" s="740"/>
      <c r="E347" s="740"/>
      <c r="F347" s="740"/>
      <c r="G347" s="740"/>
      <c r="H347" s="740"/>
      <c r="I347" s="740"/>
      <c r="J347" s="740"/>
      <c r="K347" s="169"/>
      <c r="R347" s="82"/>
      <c r="S347" s="147"/>
      <c r="T347" s="147"/>
      <c r="U347" s="112"/>
      <c r="V347" s="112"/>
      <c r="W347" s="112"/>
      <c r="X347" s="112"/>
      <c r="Y347" s="112"/>
      <c r="Z347" s="112"/>
      <c r="AA347" s="112"/>
      <c r="AB347" s="112"/>
      <c r="AC347" s="112"/>
      <c r="AD347" s="112"/>
      <c r="AE347" s="112"/>
      <c r="AF347" s="112"/>
      <c r="AG347" s="85"/>
      <c r="AH347" s="85"/>
      <c r="AI347" s="85"/>
      <c r="AJ347" s="85"/>
      <c r="AK347" s="85"/>
      <c r="AL347" s="85"/>
      <c r="AM347" s="85"/>
      <c r="AT347" s="54"/>
      <c r="AU347" s="54"/>
      <c r="AV347" s="54"/>
    </row>
    <row r="348" spans="1:53" ht="13.5" thickBot="1" x14ac:dyDescent="0.25">
      <c r="A348" s="113" t="s">
        <v>125</v>
      </c>
      <c r="B348" s="730" t="s">
        <v>126</v>
      </c>
      <c r="C348" s="731"/>
      <c r="D348" s="731"/>
      <c r="E348" s="731"/>
      <c r="F348" s="731"/>
      <c r="G348" s="731"/>
      <c r="H348" s="731"/>
      <c r="I348" s="731"/>
      <c r="J348" s="732"/>
      <c r="K348" s="733" t="s">
        <v>127</v>
      </c>
      <c r="L348" s="734"/>
      <c r="M348" s="734"/>
      <c r="N348" s="734"/>
      <c r="O348" s="734"/>
      <c r="P348" s="734"/>
      <c r="Q348" s="735"/>
      <c r="R348" s="88"/>
      <c r="S348" s="85"/>
      <c r="T348" s="85"/>
      <c r="U348" s="86"/>
      <c r="V348" s="86"/>
      <c r="W348" s="86"/>
      <c r="X348" s="86"/>
      <c r="Y348" s="85"/>
      <c r="Z348" s="85"/>
      <c r="AA348" s="85"/>
      <c r="AB348" s="85"/>
      <c r="AC348" s="85"/>
      <c r="AD348" s="85"/>
      <c r="AE348" s="85"/>
      <c r="AF348" s="85"/>
      <c r="AG348" s="85"/>
      <c r="AH348" s="85"/>
      <c r="AI348" s="85"/>
      <c r="AJ348" s="85"/>
      <c r="AK348" s="85"/>
      <c r="AL348" s="85"/>
      <c r="AM348" s="85"/>
      <c r="AT348" s="54"/>
      <c r="AU348" s="54"/>
      <c r="AV348" s="54"/>
    </row>
    <row r="349" spans="1:53" ht="13.5" thickBot="1" x14ac:dyDescent="0.25">
      <c r="A349" s="113">
        <v>1</v>
      </c>
      <c r="B349" s="712" t="str">
        <f>X271</f>
        <v>united vbc 17 u</v>
      </c>
      <c r="C349" s="713"/>
      <c r="D349" s="713"/>
      <c r="E349" s="713"/>
      <c r="F349" s="713"/>
      <c r="G349" s="713"/>
      <c r="H349" s="713"/>
      <c r="I349" s="713"/>
      <c r="J349" s="714"/>
      <c r="K349" s="715" t="str">
        <f>AF271</f>
        <v>fj7unitd1pm</v>
      </c>
      <c r="L349" s="716"/>
      <c r="M349" s="716"/>
      <c r="N349" s="716"/>
      <c r="O349" s="716"/>
      <c r="P349" s="716"/>
      <c r="Q349" s="717"/>
      <c r="R349" s="88"/>
      <c r="S349" s="85"/>
      <c r="T349" s="85"/>
      <c r="U349" s="86"/>
      <c r="V349" s="86"/>
      <c r="W349" s="86"/>
      <c r="X349" s="87"/>
      <c r="Y349" s="87"/>
      <c r="Z349" s="87"/>
      <c r="AA349" s="87"/>
      <c r="AB349" s="87"/>
      <c r="AC349" s="87"/>
      <c r="AD349" s="87"/>
      <c r="AE349" s="87"/>
      <c r="AF349" s="87"/>
      <c r="AG349" s="85"/>
      <c r="AH349" s="85"/>
      <c r="AI349" s="85"/>
      <c r="AJ349" s="85"/>
      <c r="AK349" s="85"/>
      <c r="AL349" s="85"/>
      <c r="AM349" s="85"/>
      <c r="AT349" s="54"/>
      <c r="AU349" s="54"/>
      <c r="AV349" s="54"/>
    </row>
    <row r="350" spans="1:53" ht="13.5" thickBot="1" x14ac:dyDescent="0.25">
      <c r="A350" s="113">
        <v>2</v>
      </c>
      <c r="B350" s="712" t="str">
        <f>AH264</f>
        <v>Foothills 17</v>
      </c>
      <c r="C350" s="713"/>
      <c r="D350" s="713"/>
      <c r="E350" s="713"/>
      <c r="F350" s="713"/>
      <c r="G350" s="713"/>
      <c r="H350" s="713"/>
      <c r="I350" s="713"/>
      <c r="J350" s="714"/>
      <c r="K350" s="715" t="str">
        <f>AK264</f>
        <v>fj7footh7pm</v>
      </c>
      <c r="L350" s="716"/>
      <c r="M350" s="716"/>
      <c r="N350" s="716"/>
      <c r="O350" s="716"/>
      <c r="P350" s="716"/>
      <c r="Q350" s="717"/>
      <c r="R350" s="88"/>
      <c r="S350" s="85"/>
      <c r="T350" s="85"/>
      <c r="U350" s="86"/>
      <c r="V350" s="86"/>
      <c r="W350" s="86"/>
      <c r="X350" s="87"/>
      <c r="Y350" s="87"/>
      <c r="Z350" s="87"/>
      <c r="AA350" s="87"/>
      <c r="AB350" s="87"/>
      <c r="AC350" s="87"/>
      <c r="AD350" s="87"/>
      <c r="AE350" s="87"/>
      <c r="AF350" s="87"/>
      <c r="AG350" s="85"/>
      <c r="AH350" s="85"/>
      <c r="AI350" s="85"/>
      <c r="AJ350" s="85"/>
      <c r="AK350" s="85"/>
      <c r="AL350" s="85"/>
      <c r="AM350" s="85"/>
      <c r="AT350" s="54"/>
      <c r="AU350" s="54"/>
      <c r="AV350" s="54"/>
    </row>
    <row r="351" spans="1:53" ht="13.5" thickBot="1" x14ac:dyDescent="0.25">
      <c r="A351" s="113">
        <v>3</v>
      </c>
      <c r="B351" s="712" t="str">
        <f>AH265</f>
        <v>SMVC Royals 17</v>
      </c>
      <c r="C351" s="713"/>
      <c r="D351" s="713"/>
      <c r="E351" s="713"/>
      <c r="F351" s="713"/>
      <c r="G351" s="713"/>
      <c r="H351" s="713"/>
      <c r="I351" s="713"/>
      <c r="J351" s="714"/>
      <c r="K351" s="715" t="str">
        <f>AK265</f>
        <v>fj7smvbc1cr</v>
      </c>
      <c r="L351" s="716"/>
      <c r="M351" s="716"/>
      <c r="N351" s="716"/>
      <c r="O351" s="716"/>
      <c r="P351" s="716"/>
      <c r="Q351" s="717"/>
      <c r="R351" s="88"/>
      <c r="S351" s="85"/>
      <c r="T351" s="85"/>
      <c r="U351" s="86"/>
      <c r="V351" s="86"/>
      <c r="W351" s="86"/>
      <c r="X351" s="87"/>
      <c r="Y351" s="87"/>
      <c r="Z351" s="87"/>
      <c r="AA351" s="87"/>
      <c r="AB351" s="87"/>
      <c r="AC351" s="87"/>
      <c r="AD351" s="87"/>
      <c r="AE351" s="87"/>
      <c r="AF351" s="87"/>
      <c r="AG351" s="85"/>
      <c r="AH351" s="85"/>
      <c r="AI351" s="85"/>
      <c r="AJ351" s="85"/>
      <c r="AK351" s="85"/>
      <c r="AL351" s="85"/>
      <c r="AM351" s="85"/>
      <c r="AT351" s="54"/>
      <c r="AU351" s="54"/>
      <c r="AV351" s="54"/>
    </row>
    <row r="352" spans="1:53" ht="13.5" thickBot="1" x14ac:dyDescent="0.25">
      <c r="A352" s="113">
        <v>4</v>
      </c>
      <c r="B352" s="712" t="str">
        <f>AH266</f>
        <v>Branchville Juniors 18U</v>
      </c>
      <c r="C352" s="713"/>
      <c r="D352" s="713"/>
      <c r="E352" s="713"/>
      <c r="F352" s="713"/>
      <c r="G352" s="713"/>
      <c r="H352" s="713"/>
      <c r="I352" s="713"/>
      <c r="J352" s="714"/>
      <c r="K352" s="715" t="str">
        <f>AK266</f>
        <v>fj8branc3pm</v>
      </c>
      <c r="L352" s="716"/>
      <c r="M352" s="716"/>
      <c r="N352" s="716"/>
      <c r="O352" s="716"/>
      <c r="P352" s="716"/>
      <c r="Q352" s="717"/>
      <c r="R352" s="88"/>
      <c r="S352" s="85"/>
      <c r="T352" s="85"/>
      <c r="U352" s="86"/>
      <c r="V352" s="86"/>
      <c r="W352" s="86"/>
      <c r="X352" s="87"/>
      <c r="Y352" s="87"/>
      <c r="Z352" s="87"/>
      <c r="AA352" s="87"/>
      <c r="AB352" s="87"/>
      <c r="AC352" s="87"/>
      <c r="AD352" s="87"/>
      <c r="AE352" s="87"/>
      <c r="AF352" s="87"/>
      <c r="AG352" s="85"/>
      <c r="AH352" s="85"/>
      <c r="AI352" s="85"/>
      <c r="AJ352" s="85"/>
      <c r="AK352" s="85"/>
      <c r="AL352" s="85"/>
      <c r="AM352" s="85"/>
      <c r="AT352" s="54"/>
      <c r="AU352" s="54"/>
      <c r="AV352" s="54"/>
    </row>
    <row r="353" spans="1:68" ht="13.5" thickBot="1" x14ac:dyDescent="0.25">
      <c r="S353" s="85"/>
      <c r="T353" s="85"/>
      <c r="U353" s="85"/>
      <c r="V353" s="85"/>
      <c r="W353" s="85"/>
      <c r="X353" s="85"/>
      <c r="Y353" s="85"/>
      <c r="Z353" s="85"/>
      <c r="AA353" s="85"/>
      <c r="AB353" s="85"/>
      <c r="AC353" s="85"/>
      <c r="AD353" s="85"/>
      <c r="AE353" s="85"/>
      <c r="AF353" s="85"/>
      <c r="AG353" s="85"/>
      <c r="AH353" s="85"/>
      <c r="AI353" s="85"/>
      <c r="AJ353" s="85"/>
      <c r="AK353" s="85"/>
      <c r="AL353" s="85"/>
      <c r="AM353" s="85"/>
      <c r="AT353" s="54"/>
      <c r="AU353" s="54"/>
      <c r="AV353" s="54"/>
    </row>
    <row r="354" spans="1:68" x14ac:dyDescent="0.2">
      <c r="B354" s="721" t="s">
        <v>128</v>
      </c>
      <c r="C354" s="693"/>
      <c r="D354" s="694"/>
      <c r="E354" s="692" t="s">
        <v>128</v>
      </c>
      <c r="F354" s="693"/>
      <c r="G354" s="694"/>
      <c r="H354" s="692" t="s">
        <v>11</v>
      </c>
      <c r="I354" s="693"/>
      <c r="J354" s="695"/>
      <c r="K354" s="696" t="s">
        <v>129</v>
      </c>
      <c r="L354" s="722"/>
      <c r="M354" s="722"/>
      <c r="N354" s="722"/>
      <c r="O354" s="722"/>
      <c r="P354" s="722"/>
      <c r="Q354" s="723"/>
      <c r="S354" s="85"/>
      <c r="T354" s="85"/>
      <c r="U354" s="85"/>
      <c r="V354" s="85"/>
      <c r="W354" s="85"/>
      <c r="X354" s="114"/>
      <c r="Y354" s="114"/>
      <c r="Z354" s="114"/>
      <c r="AA354" s="114"/>
      <c r="AB354" s="114"/>
      <c r="AC354" s="114"/>
      <c r="AD354" s="114"/>
      <c r="AE354" s="114"/>
      <c r="AF354" s="114"/>
      <c r="AG354" s="85"/>
      <c r="AH354" s="85"/>
      <c r="AI354" s="85"/>
      <c r="AJ354" s="85"/>
      <c r="AK354" s="85"/>
      <c r="AL354" s="85"/>
      <c r="AM354" s="85"/>
      <c r="AT354" s="54"/>
      <c r="AU354" s="54"/>
      <c r="AV354" s="54"/>
    </row>
    <row r="355" spans="1:68" x14ac:dyDescent="0.2">
      <c r="A355" s="41" t="s">
        <v>130</v>
      </c>
      <c r="B355" s="705">
        <v>3</v>
      </c>
      <c r="C355" s="706"/>
      <c r="D355" s="707"/>
      <c r="E355" s="708" t="s">
        <v>131</v>
      </c>
      <c r="F355" s="706"/>
      <c r="G355" s="707"/>
      <c r="H355" s="708" t="s">
        <v>132</v>
      </c>
      <c r="I355" s="706"/>
      <c r="J355" s="709"/>
      <c r="K355" s="724"/>
      <c r="L355" s="725"/>
      <c r="M355" s="725"/>
      <c r="N355" s="725"/>
      <c r="O355" s="725"/>
      <c r="P355" s="725"/>
      <c r="Q355" s="726"/>
      <c r="S355" s="85"/>
      <c r="T355" s="85"/>
      <c r="U355" s="85"/>
      <c r="V355" s="85"/>
      <c r="W355" s="185"/>
      <c r="X355" s="115"/>
      <c r="Y355" s="115"/>
      <c r="Z355" s="115"/>
      <c r="AA355" s="115"/>
      <c r="AB355" s="115"/>
      <c r="AC355" s="115"/>
      <c r="AD355" s="115"/>
      <c r="AE355" s="115"/>
      <c r="AF355" s="115"/>
      <c r="AG355" s="85"/>
      <c r="AH355" s="85"/>
      <c r="AI355" s="85"/>
      <c r="AJ355" s="85"/>
      <c r="AK355" s="85"/>
      <c r="AL355" s="85"/>
      <c r="AM355" s="85"/>
      <c r="AT355" s="61"/>
      <c r="AU355" s="61"/>
      <c r="AV355" s="61"/>
    </row>
    <row r="356" spans="1:68" ht="13.5" thickBot="1" x14ac:dyDescent="0.25">
      <c r="A356" s="11"/>
      <c r="B356" s="690" t="s">
        <v>43</v>
      </c>
      <c r="C356" s="685"/>
      <c r="D356" s="691"/>
      <c r="E356" s="684" t="s">
        <v>133</v>
      </c>
      <c r="F356" s="685"/>
      <c r="G356" s="691"/>
      <c r="H356" s="684" t="s">
        <v>134</v>
      </c>
      <c r="I356" s="685"/>
      <c r="J356" s="686"/>
      <c r="K356" s="727"/>
      <c r="L356" s="728"/>
      <c r="M356" s="728"/>
      <c r="N356" s="728"/>
      <c r="O356" s="728"/>
      <c r="P356" s="728"/>
      <c r="Q356" s="729"/>
      <c r="S356" s="85"/>
      <c r="T356" s="85"/>
      <c r="U356" s="86"/>
      <c r="V356" s="86"/>
      <c r="W356" s="86"/>
      <c r="X356" s="116"/>
      <c r="Y356" s="116"/>
      <c r="Z356" s="116"/>
      <c r="AA356" s="116"/>
      <c r="AB356" s="116"/>
      <c r="AC356" s="116"/>
      <c r="AD356" s="116"/>
      <c r="AE356" s="116"/>
      <c r="AF356" s="116"/>
      <c r="AG356" s="85"/>
      <c r="AH356" s="85"/>
      <c r="AI356" s="85"/>
      <c r="AJ356" s="85"/>
      <c r="AK356" s="85"/>
      <c r="AL356" s="85"/>
      <c r="AM356" s="85"/>
      <c r="AT356" s="61"/>
      <c r="AU356" s="61"/>
      <c r="AV356" s="61"/>
    </row>
    <row r="357" spans="1:68" ht="13.5" thickBot="1" x14ac:dyDescent="0.25">
      <c r="A357" s="11"/>
      <c r="B357" s="117">
        <v>1</v>
      </c>
      <c r="C357" s="118" t="s">
        <v>51</v>
      </c>
      <c r="D357" s="119">
        <v>4</v>
      </c>
      <c r="E357" s="120">
        <v>2</v>
      </c>
      <c r="F357" s="118" t="s">
        <v>51</v>
      </c>
      <c r="G357" s="119">
        <v>3</v>
      </c>
      <c r="H357" s="121">
        <f>IF(OR(AND(OR(B361&gt;0,D361&gt;0),B361&gt;D361),OR(D357="b",D357="B")),B357,IF(OR(AND(OR(B361&gt;0,D361&gt;0),D361&gt;B361),OR(B357="b",B357="B")),D357,"W1"))</f>
        <v>4</v>
      </c>
      <c r="I357" s="122" t="s">
        <v>51</v>
      </c>
      <c r="J357" s="123">
        <f>IF(OR(AND(OR(E361&gt;0,G361&gt;0),E361&gt;G361),OR(G357="b",G357="B")),E357,IF(OR(AND(OR(E361&gt;0,G361&gt;0),G361&gt;E361),OR(E357="b",E357="B")),G357,"W2"))</f>
        <v>2</v>
      </c>
      <c r="K357" s="687" t="s">
        <v>135</v>
      </c>
      <c r="L357" s="688"/>
      <c r="M357" s="688"/>
      <c r="N357" s="689"/>
      <c r="S357" s="85"/>
      <c r="T357" s="85"/>
      <c r="U357" s="86"/>
      <c r="V357" s="86"/>
      <c r="W357" s="86"/>
      <c r="X357" s="128"/>
      <c r="Y357" s="126"/>
      <c r="Z357" s="127"/>
      <c r="AA357" s="128"/>
      <c r="AB357" s="126"/>
      <c r="AC357" s="127"/>
      <c r="AD357" s="128"/>
      <c r="AE357" s="126"/>
      <c r="AF357" s="127"/>
      <c r="AG357" s="116"/>
      <c r="AH357" s="116"/>
      <c r="AI357" s="85"/>
      <c r="AJ357" s="85"/>
      <c r="AK357" s="85"/>
      <c r="AL357" s="85"/>
      <c r="AM357" s="85"/>
    </row>
    <row r="358" spans="1:68" ht="12.75" hidden="1" customHeight="1" thickBot="1" x14ac:dyDescent="0.25">
      <c r="A358" s="11"/>
      <c r="B358" s="129">
        <f>IF(B362&gt;D362,1,0)</f>
        <v>0</v>
      </c>
      <c r="C358" s="130"/>
      <c r="D358" s="131">
        <f>IF(D362&gt;B362,1,0)</f>
        <v>1</v>
      </c>
      <c r="E358" s="129">
        <f>IF(E362&gt;G362,1,0)</f>
        <v>1</v>
      </c>
      <c r="F358" s="130"/>
      <c r="G358" s="131">
        <f>IF(G362&gt;E362,1,0)</f>
        <v>0</v>
      </c>
      <c r="H358" s="129">
        <f>IF(H362&gt;J362,1,0)</f>
        <v>0</v>
      </c>
      <c r="I358" s="130"/>
      <c r="J358" s="131">
        <f>IF(J362&gt;H362,1,0)</f>
        <v>1</v>
      </c>
      <c r="K358" s="132"/>
      <c r="L358" s="133"/>
      <c r="M358" s="133"/>
      <c r="N358" s="134"/>
      <c r="S358" s="85"/>
      <c r="T358" s="85"/>
      <c r="U358" s="86"/>
      <c r="V358" s="86"/>
      <c r="W358" s="86"/>
      <c r="X358" s="139"/>
      <c r="Y358" s="90"/>
      <c r="Z358" s="140"/>
      <c r="AA358" s="139"/>
      <c r="AB358" s="90"/>
      <c r="AC358" s="140"/>
      <c r="AD358" s="139"/>
      <c r="AE358" s="90"/>
      <c r="AF358" s="140"/>
      <c r="AG358" s="186"/>
      <c r="AH358" s="186"/>
      <c r="AI358" s="85"/>
      <c r="AJ358" s="85"/>
      <c r="AK358" s="85"/>
      <c r="AL358" s="85"/>
      <c r="AM358" s="85"/>
    </row>
    <row r="359" spans="1:68" ht="12.75" hidden="1" customHeight="1" thickBot="1" x14ac:dyDescent="0.25">
      <c r="A359" s="11"/>
      <c r="B359" s="129">
        <f>IF(B363&gt;D363,1,0)</f>
        <v>0</v>
      </c>
      <c r="C359" s="130"/>
      <c r="D359" s="131">
        <f>IF(D363&gt;B363,1,0)</f>
        <v>0</v>
      </c>
      <c r="E359" s="129">
        <f>IF(E363&gt;G363,1,0)</f>
        <v>0</v>
      </c>
      <c r="F359" s="130"/>
      <c r="G359" s="131">
        <f>IF(G363&gt;E363,1,0)</f>
        <v>0</v>
      </c>
      <c r="H359" s="129">
        <f>IF(H363&gt;J363,1,0)</f>
        <v>1</v>
      </c>
      <c r="I359" s="130"/>
      <c r="J359" s="131">
        <f>IF(J363&gt;H363,1,0)</f>
        <v>0</v>
      </c>
      <c r="K359" s="132"/>
      <c r="L359" s="133"/>
      <c r="M359" s="133"/>
      <c r="N359" s="134"/>
      <c r="S359" s="85"/>
      <c r="T359" s="85"/>
      <c r="U359" s="86"/>
      <c r="V359" s="86"/>
      <c r="W359" s="86"/>
      <c r="X359" s="139"/>
      <c r="Y359" s="90"/>
      <c r="Z359" s="140"/>
      <c r="AA359" s="139"/>
      <c r="AB359" s="90"/>
      <c r="AC359" s="140"/>
      <c r="AD359" s="139"/>
      <c r="AE359" s="90"/>
      <c r="AF359" s="140"/>
      <c r="AG359" s="186"/>
      <c r="AH359" s="186"/>
      <c r="AI359" s="85"/>
      <c r="AJ359" s="85"/>
      <c r="AK359" s="85"/>
      <c r="AL359" s="85"/>
      <c r="AM359" s="85"/>
    </row>
    <row r="360" spans="1:68" ht="13.5" hidden="1" customHeight="1" thickBot="1" x14ac:dyDescent="0.25">
      <c r="A360" s="11"/>
      <c r="B360" s="129">
        <f>IF(B364&gt;D364,1,0)</f>
        <v>0</v>
      </c>
      <c r="C360" s="130"/>
      <c r="D360" s="131">
        <f>IF(D364&gt;B364,1,0)</f>
        <v>0</v>
      </c>
      <c r="E360" s="129">
        <f>IF(E364&gt;G364,1,0)</f>
        <v>0</v>
      </c>
      <c r="F360" s="130"/>
      <c r="G360" s="131">
        <f>IF(G364&gt;E364,1,0)</f>
        <v>0</v>
      </c>
      <c r="H360" s="129">
        <f>IF(H364&gt;J364,1,0)</f>
        <v>0</v>
      </c>
      <c r="I360" s="130"/>
      <c r="J360" s="131">
        <f>IF(J364&gt;H364,1,0)</f>
        <v>1</v>
      </c>
      <c r="K360" s="132"/>
      <c r="L360" s="133"/>
      <c r="M360" s="133"/>
      <c r="N360" s="134"/>
      <c r="S360" s="85"/>
      <c r="T360" s="85"/>
      <c r="U360" s="86"/>
      <c r="V360" s="86"/>
      <c r="W360" s="86"/>
      <c r="X360" s="139"/>
      <c r="Y360" s="90"/>
      <c r="Z360" s="140"/>
      <c r="AA360" s="139"/>
      <c r="AB360" s="90"/>
      <c r="AC360" s="140"/>
      <c r="AD360" s="139"/>
      <c r="AE360" s="90"/>
      <c r="AF360" s="140"/>
      <c r="AG360" s="186"/>
      <c r="AH360" s="186"/>
      <c r="AI360" s="85"/>
      <c r="AJ360" s="85"/>
      <c r="AK360" s="85"/>
      <c r="AL360" s="85"/>
      <c r="AM360" s="85"/>
    </row>
    <row r="361" spans="1:68" ht="13.5" hidden="1" thickBot="1" x14ac:dyDescent="0.25">
      <c r="A361" s="11"/>
      <c r="B361" s="129">
        <f>SUM(B358:B360)</f>
        <v>0</v>
      </c>
      <c r="C361" s="130"/>
      <c r="D361" s="129">
        <f>SUM(D358:D360)</f>
        <v>1</v>
      </c>
      <c r="E361" s="129">
        <f>SUM(E358:E360)</f>
        <v>1</v>
      </c>
      <c r="F361" s="130"/>
      <c r="G361" s="129">
        <f>SUM(G358:G360)</f>
        <v>0</v>
      </c>
      <c r="H361" s="129">
        <f>SUM(H358:H360)</f>
        <v>1</v>
      </c>
      <c r="I361" s="130"/>
      <c r="J361" s="129">
        <f>SUM(J358:J360)</f>
        <v>2</v>
      </c>
      <c r="K361" s="132"/>
      <c r="L361" s="133"/>
      <c r="M361" s="133"/>
      <c r="N361" s="134"/>
      <c r="S361" s="85"/>
      <c r="T361" s="85"/>
      <c r="U361" s="86"/>
      <c r="V361" s="86"/>
      <c r="W361" s="86"/>
      <c r="X361" s="86"/>
      <c r="Y361" s="86"/>
      <c r="Z361" s="86"/>
      <c r="AA361" s="86"/>
      <c r="AB361" s="86"/>
      <c r="AC361" s="86"/>
      <c r="AD361" s="86"/>
      <c r="AE361" s="86"/>
      <c r="AF361" s="86"/>
      <c r="AG361" s="86"/>
      <c r="AH361" s="86"/>
      <c r="AI361" s="85"/>
      <c r="AJ361" s="85"/>
      <c r="AK361" s="85"/>
      <c r="AL361" s="85"/>
      <c r="AM361" s="85"/>
    </row>
    <row r="362" spans="1:68" x14ac:dyDescent="0.2">
      <c r="A362" s="9" t="s">
        <v>52</v>
      </c>
      <c r="B362" s="135">
        <v>16</v>
      </c>
      <c r="C362" s="50" t="s">
        <v>53</v>
      </c>
      <c r="D362" s="136">
        <v>25</v>
      </c>
      <c r="E362" s="137">
        <v>25</v>
      </c>
      <c r="F362" s="50" t="s">
        <v>53</v>
      </c>
      <c r="G362" s="136">
        <v>19</v>
      </c>
      <c r="H362" s="137">
        <v>16</v>
      </c>
      <c r="I362" s="50" t="s">
        <v>53</v>
      </c>
      <c r="J362" s="138">
        <v>25</v>
      </c>
      <c r="K362" s="673">
        <f>IF(AND(OR(H361&gt;0,J361&gt;0),AND(1&lt;=H357,H357&lt;=4),AND(1&lt;=J357,J357&lt;=4)),IF(H361&gt;J361,H357,IF(J361&gt;H361,J357,"")),"")</f>
        <v>2</v>
      </c>
      <c r="L362" s="674"/>
      <c r="M362" s="674"/>
      <c r="N362" s="675"/>
    </row>
    <row r="363" spans="1:68" x14ac:dyDescent="0.2">
      <c r="A363" s="9" t="s">
        <v>136</v>
      </c>
      <c r="B363" s="135"/>
      <c r="C363" s="50" t="s">
        <v>53</v>
      </c>
      <c r="D363" s="136"/>
      <c r="E363" s="137"/>
      <c r="F363" s="50" t="s">
        <v>53</v>
      </c>
      <c r="G363" s="136"/>
      <c r="H363" s="137">
        <v>25</v>
      </c>
      <c r="I363" s="50" t="s">
        <v>53</v>
      </c>
      <c r="J363" s="138">
        <v>12</v>
      </c>
      <c r="K363" s="676"/>
      <c r="L363" s="677"/>
      <c r="M363" s="677"/>
      <c r="N363" s="678"/>
    </row>
    <row r="364" spans="1:68" ht="13.5" thickBot="1" x14ac:dyDescent="0.25">
      <c r="A364" s="9" t="s">
        <v>137</v>
      </c>
      <c r="B364" s="141"/>
      <c r="C364" s="142" t="s">
        <v>53</v>
      </c>
      <c r="D364" s="143"/>
      <c r="E364" s="144"/>
      <c r="F364" s="142" t="s">
        <v>53</v>
      </c>
      <c r="G364" s="143"/>
      <c r="H364" s="144">
        <v>11</v>
      </c>
      <c r="I364" s="142" t="s">
        <v>53</v>
      </c>
      <c r="J364" s="145">
        <v>15</v>
      </c>
      <c r="K364" s="679"/>
      <c r="L364" s="680"/>
      <c r="M364" s="680"/>
      <c r="N364" s="681"/>
    </row>
    <row r="365" spans="1:68" hidden="1" x14ac:dyDescent="0.2">
      <c r="B365" s="3"/>
      <c r="C365" s="90" t="s">
        <v>87</v>
      </c>
      <c r="D365" s="3" t="s">
        <v>138</v>
      </c>
      <c r="E365" s="3"/>
      <c r="F365" s="90"/>
      <c r="G365" s="4" t="s">
        <v>139</v>
      </c>
      <c r="J365" s="4" t="s">
        <v>140</v>
      </c>
      <c r="AT365" s="4" t="str">
        <f>B366</f>
        <v>united vbc 17 u</v>
      </c>
      <c r="AU365" s="4">
        <f>J366</f>
        <v>2439.2132348910172</v>
      </c>
      <c r="BB365" s="62"/>
      <c r="BE365" s="146"/>
      <c r="BF365" s="54"/>
      <c r="BG365" s="54"/>
      <c r="BH365" s="146"/>
      <c r="BI365" s="54"/>
      <c r="BJ365" s="54"/>
      <c r="BK365" s="146"/>
      <c r="BL365" s="54"/>
      <c r="BM365" s="54"/>
      <c r="BN365" s="146"/>
      <c r="BO365" s="54"/>
      <c r="BP365" s="54"/>
    </row>
    <row r="366" spans="1:68" hidden="1" x14ac:dyDescent="0.2">
      <c r="A366" s="4">
        <v>1</v>
      </c>
      <c r="B366" s="4" t="str">
        <f>B349</f>
        <v>united vbc 17 u</v>
      </c>
      <c r="C366" s="4">
        <f>VLOOKUP(B366,AU$2:AY$22,4,FALSE)</f>
        <v>2445.180627308283</v>
      </c>
      <c r="D366" s="4">
        <f>IF(A366=B357,B372,IF(A366=D357,D372,C366))</f>
        <v>2439.2132348910172</v>
      </c>
      <c r="G366" s="4">
        <f>IF(A366=E357,E372,IF(A366=G357,G372,D366))</f>
        <v>2439.2132348910172</v>
      </c>
      <c r="J366" s="4">
        <f>IF(A366=H357,H372,IF(A366=J357,J372,G366))</f>
        <v>2439.2132348910172</v>
      </c>
      <c r="AT366" s="4" t="str">
        <f>B367</f>
        <v>Foothills 17</v>
      </c>
      <c r="AU366" s="4">
        <f>J367</f>
        <v>2445.8716574009577</v>
      </c>
      <c r="BB366" s="62"/>
      <c r="BE366" s="146"/>
      <c r="BF366" s="54"/>
      <c r="BG366" s="54"/>
      <c r="BH366" s="146"/>
      <c r="BI366" s="54"/>
      <c r="BJ366" s="54"/>
      <c r="BK366" s="146"/>
      <c r="BL366" s="54"/>
      <c r="BM366" s="54"/>
      <c r="BN366" s="146"/>
      <c r="BO366" s="54"/>
      <c r="BP366" s="54"/>
    </row>
    <row r="367" spans="1:68" hidden="1" x14ac:dyDescent="0.2">
      <c r="A367" s="4">
        <v>2</v>
      </c>
      <c r="B367" s="4" t="str">
        <f>B350</f>
        <v>Foothills 17</v>
      </c>
      <c r="C367" s="4">
        <f>VLOOKUP(B367,AU$2:AY$22,4,FALSE)</f>
        <v>2421.1436762985313</v>
      </c>
      <c r="D367" s="4">
        <f>IF(A367=B357,B372,IF(A367=D357,D372,C367))</f>
        <v>2421.1436762985313</v>
      </c>
      <c r="G367" s="4">
        <f>IF(A367=E357,E372,IF(A367=G357,G372,D367))</f>
        <v>2430.4583624379175</v>
      </c>
      <c r="J367" s="4">
        <f>IF(A367=H357,H372,IF(A367=J357,J372,G367))</f>
        <v>2445.8716574009577</v>
      </c>
      <c r="AT367" s="4" t="str">
        <f>B368</f>
        <v>SMVC Royals 17</v>
      </c>
      <c r="AU367" s="4">
        <f>J368</f>
        <v>2469.4475599928201</v>
      </c>
      <c r="BB367" s="62"/>
      <c r="BE367" s="146"/>
      <c r="BF367" s="54"/>
      <c r="BG367" s="54"/>
      <c r="BH367" s="146"/>
      <c r="BI367" s="54"/>
      <c r="BJ367" s="54"/>
      <c r="BK367" s="146"/>
      <c r="BL367" s="54"/>
      <c r="BM367" s="54"/>
      <c r="BN367" s="146"/>
      <c r="BO367" s="54"/>
      <c r="BP367" s="54"/>
    </row>
    <row r="368" spans="1:68" hidden="1" x14ac:dyDescent="0.2">
      <c r="A368" s="4">
        <v>3</v>
      </c>
      <c r="B368" s="4" t="str">
        <f>B351</f>
        <v>SMVC Royals 17</v>
      </c>
      <c r="C368" s="4">
        <f>VLOOKUP(B368,AU$2:AY$22,4,FALSE)</f>
        <v>2478.7622461322062</v>
      </c>
      <c r="D368" s="4">
        <f>IF(A368=B357,B372,IF(A368=D357,D372,C368))</f>
        <v>2478.7622461322062</v>
      </c>
      <c r="G368" s="4">
        <f>IF(A368=E357,E372,IF(A368=G357,G372,D368))</f>
        <v>2469.4475599928201</v>
      </c>
      <c r="J368" s="4">
        <f>IF(A368=H357,H372,IF(A368=J357,J372,G368))</f>
        <v>2469.4475599928201</v>
      </c>
      <c r="AT368" s="4" t="str">
        <f>B369</f>
        <v>Branchville Juniors 18U</v>
      </c>
      <c r="AU368" s="4">
        <f>J369</f>
        <v>2525.9864157239717</v>
      </c>
      <c r="BB368" s="62"/>
      <c r="BE368" s="146"/>
      <c r="BF368" s="54"/>
      <c r="BG368" s="54"/>
      <c r="BH368" s="146"/>
      <c r="BI368" s="54"/>
      <c r="BJ368" s="54"/>
      <c r="BK368" s="146"/>
      <c r="BL368" s="54"/>
      <c r="BM368" s="54"/>
      <c r="BN368" s="146"/>
      <c r="BO368" s="54"/>
      <c r="BP368" s="54"/>
    </row>
    <row r="369" spans="1:68" hidden="1" x14ac:dyDescent="0.2">
      <c r="A369" s="4">
        <v>4</v>
      </c>
      <c r="B369" s="4" t="str">
        <f>B352</f>
        <v>Branchville Juniors 18U</v>
      </c>
      <c r="C369" s="4">
        <f>VLOOKUP(B369,AU$2:AY$22,4,FALSE)</f>
        <v>2535.4323182697462</v>
      </c>
      <c r="D369" s="4">
        <f>IF(A369=B357,B372,IF(A369=D357,D372,C369))</f>
        <v>2541.399710687012</v>
      </c>
      <c r="G369" s="4">
        <f>IF(A369=E357,E372,IF(A369=G357,G372,D369))</f>
        <v>2541.399710687012</v>
      </c>
      <c r="J369" s="4">
        <f>IF(A369=H357,H372,IF(A369=J357,J372,G369))</f>
        <v>2525.9864157239717</v>
      </c>
      <c r="AT369" s="4">
        <f>W366</f>
        <v>0</v>
      </c>
      <c r="AU369" s="4">
        <f>AE366</f>
        <v>0</v>
      </c>
      <c r="BB369" s="62"/>
      <c r="BE369" s="146"/>
      <c r="BF369" s="54"/>
      <c r="BG369" s="54"/>
      <c r="BH369" s="146"/>
      <c r="BI369" s="54"/>
      <c r="BJ369" s="54"/>
      <c r="BK369" s="146"/>
      <c r="BL369" s="54"/>
      <c r="BM369" s="54"/>
      <c r="BN369" s="146"/>
      <c r="BO369" s="54"/>
      <c r="BP369" s="54"/>
    </row>
    <row r="370" spans="1:68" hidden="1" x14ac:dyDescent="0.2">
      <c r="A370" s="4" t="s">
        <v>89</v>
      </c>
      <c r="B370" s="4">
        <f>VLOOKUP(B357,$A366:$J369,3,FALSE)</f>
        <v>2445.180627308283</v>
      </c>
      <c r="D370" s="4">
        <f>VLOOKUP(D357,$A366:$J369,3,FALSE)</f>
        <v>2535.4323182697462</v>
      </c>
      <c r="E370" s="4">
        <f>VLOOKUP(E357,$A366:$J369,4,FALSE)</f>
        <v>2421.1436762985313</v>
      </c>
      <c r="G370" s="4">
        <f>VLOOKUP(G357,$A366:$J369,4,FALSE)</f>
        <v>2478.7622461322062</v>
      </c>
      <c r="H370" s="4">
        <f>VLOOKUP(H357,$A366:$J369,7,FALSE)</f>
        <v>2541.399710687012</v>
      </c>
      <c r="J370" s="4">
        <f>VLOOKUP(J357,$A366:$J369,7,FALSE)</f>
        <v>2430.4583624379175</v>
      </c>
      <c r="AT370" s="4">
        <f>W367</f>
        <v>0</v>
      </c>
      <c r="AU370" s="4">
        <f>AE367</f>
        <v>0</v>
      </c>
      <c r="BB370" s="62"/>
      <c r="BE370" s="146"/>
      <c r="BF370" s="54"/>
      <c r="BG370" s="54"/>
      <c r="BH370" s="146"/>
      <c r="BI370" s="54"/>
      <c r="BJ370" s="54"/>
      <c r="BK370" s="146"/>
      <c r="BL370" s="54"/>
      <c r="BM370" s="54"/>
      <c r="BN370" s="146"/>
      <c r="BO370" s="54"/>
      <c r="BP370" s="54"/>
    </row>
    <row r="371" spans="1:68" hidden="1" x14ac:dyDescent="0.2">
      <c r="A371" s="68" t="s">
        <v>90</v>
      </c>
      <c r="B371" s="68">
        <f>1/(1+(10^-((B370-D370)/400)))*(B361+D361)</f>
        <v>0.37296202607909412</v>
      </c>
      <c r="C371" s="68"/>
      <c r="D371" s="68">
        <f>1/(1+(10^-((D370-B370)/400)))*(B361+D361)</f>
        <v>0.62703797392090588</v>
      </c>
      <c r="E371" s="68">
        <f>1/(1+(10^-((E370-G370)/400)))*(E361+G361)</f>
        <v>0.41783211628838041</v>
      </c>
      <c r="G371" s="68">
        <f>1/(1+(10^-((G370-E370)/400)))*(E361+G361)</f>
        <v>0.58216788371161954</v>
      </c>
      <c r="H371" s="68">
        <f>1/(1+(10^-((H370-J370)/400)))*(H361+J361)</f>
        <v>1.9633309351900146</v>
      </c>
      <c r="J371" s="68">
        <f>1/(1+(10^-((J370-H370)/400)))*(H361+J361)</f>
        <v>1.0366690648099854</v>
      </c>
      <c r="AT371" s="4">
        <f>W368</f>
        <v>0</v>
      </c>
      <c r="AU371" s="4">
        <f>AE368</f>
        <v>0</v>
      </c>
      <c r="AW371" s="146"/>
      <c r="AX371" s="54"/>
      <c r="AY371" s="54"/>
      <c r="AZ371" s="54"/>
      <c r="BA371" s="54"/>
      <c r="BB371" s="62"/>
      <c r="BE371" s="146"/>
      <c r="BF371" s="54"/>
      <c r="BG371" s="54"/>
      <c r="BH371" s="146"/>
      <c r="BI371" s="54"/>
      <c r="BJ371" s="54"/>
      <c r="BK371" s="146"/>
      <c r="BL371" s="54"/>
      <c r="BM371" s="54"/>
      <c r="BN371" s="146"/>
      <c r="BO371" s="54"/>
      <c r="BP371" s="54"/>
    </row>
    <row r="372" spans="1:68" hidden="1" x14ac:dyDescent="0.2">
      <c r="A372" s="74" t="s">
        <v>91</v>
      </c>
      <c r="B372" s="74">
        <f>B370+(B361-B371)*$BA$2</f>
        <v>2439.2132348910172</v>
      </c>
      <c r="C372" s="74"/>
      <c r="D372" s="74">
        <f>D370+(D361-D371)*$BA$2</f>
        <v>2541.399710687012</v>
      </c>
      <c r="E372" s="74">
        <f>E370+(E361-E371)*$BA$2</f>
        <v>2430.4583624379175</v>
      </c>
      <c r="G372" s="74">
        <f>G370+(G361-G371)*$BA$2</f>
        <v>2469.4475599928201</v>
      </c>
      <c r="H372" s="74">
        <f>H370+(H361-H371)*$BA$2</f>
        <v>2525.9864157239717</v>
      </c>
      <c r="J372" s="74">
        <f>J370+(J361-J371)*$BA$2</f>
        <v>2445.8716574009577</v>
      </c>
      <c r="AT372" s="4">
        <f>W369</f>
        <v>0</v>
      </c>
      <c r="AU372" s="4">
        <f>AE369</f>
        <v>0</v>
      </c>
      <c r="AW372" s="146"/>
      <c r="AX372" s="54"/>
      <c r="AY372" s="54"/>
      <c r="AZ372" s="54"/>
      <c r="BA372" s="54"/>
      <c r="BB372" s="62"/>
      <c r="BE372" s="146"/>
      <c r="BF372" s="54"/>
      <c r="BG372" s="54"/>
      <c r="BH372" s="146"/>
      <c r="BI372" s="54"/>
      <c r="BJ372" s="54"/>
      <c r="BK372" s="146"/>
      <c r="BL372" s="54"/>
      <c r="BM372" s="54"/>
      <c r="BN372" s="146"/>
      <c r="BO372" s="54"/>
      <c r="BP372" s="54"/>
    </row>
    <row r="373" spans="1:68" x14ac:dyDescent="0.2">
      <c r="A373" s="670" t="s">
        <v>141</v>
      </c>
      <c r="B373" s="670"/>
      <c r="C373" s="670"/>
      <c r="D373" s="670"/>
      <c r="E373" s="670"/>
      <c r="F373" s="670"/>
      <c r="G373" s="670"/>
      <c r="H373" s="670"/>
      <c r="I373" s="670"/>
      <c r="J373" s="670"/>
      <c r="K373" s="670"/>
      <c r="L373" s="670"/>
      <c r="M373" s="670"/>
      <c r="AW373" s="146"/>
      <c r="AX373" s="54"/>
      <c r="AY373" s="54"/>
      <c r="AZ373" s="54"/>
      <c r="BA373" s="54"/>
    </row>
    <row r="374" spans="1:68" x14ac:dyDescent="0.2">
      <c r="AW374" s="146"/>
      <c r="AX374" s="54"/>
      <c r="AY374" s="54"/>
      <c r="AZ374" s="54"/>
      <c r="BA374" s="54"/>
    </row>
    <row r="375" spans="1:68" x14ac:dyDescent="0.2">
      <c r="AW375" s="146"/>
      <c r="AX375" s="54"/>
      <c r="AY375" s="54"/>
      <c r="AZ375" s="54"/>
      <c r="BA375" s="54"/>
    </row>
    <row r="376" spans="1:68" x14ac:dyDescent="0.2">
      <c r="AW376" s="146"/>
      <c r="AX376" s="54"/>
      <c r="AY376" s="54"/>
      <c r="AZ376" s="54"/>
      <c r="BA376" s="54"/>
    </row>
    <row r="377" spans="1:68" x14ac:dyDescent="0.2">
      <c r="AW377" s="146"/>
      <c r="AX377" s="54"/>
      <c r="AY377" s="54"/>
      <c r="AZ377" s="54"/>
      <c r="BA377" s="54"/>
    </row>
    <row r="378" spans="1:68" x14ac:dyDescent="0.2">
      <c r="AW378" s="146"/>
      <c r="AX378" s="54"/>
      <c r="AY378" s="54"/>
      <c r="AZ378" s="54"/>
      <c r="BA378" s="54"/>
    </row>
    <row r="379" spans="1:68" x14ac:dyDescent="0.2">
      <c r="AT379" s="104"/>
      <c r="AU379" s="104"/>
      <c r="AW379" s="146"/>
      <c r="AX379" s="54"/>
      <c r="AY379" s="54"/>
      <c r="AZ379" s="54"/>
      <c r="BA379" s="54"/>
    </row>
    <row r="380" spans="1:68" x14ac:dyDescent="0.2">
      <c r="AW380" s="146"/>
      <c r="AX380" s="54"/>
      <c r="AY380" s="54"/>
      <c r="AZ380" s="54"/>
      <c r="BA380" s="54"/>
    </row>
    <row r="381" spans="1:68" x14ac:dyDescent="0.2">
      <c r="AW381" s="146"/>
      <c r="AX381" s="54"/>
      <c r="AY381" s="54"/>
      <c r="AZ381" s="54"/>
      <c r="BA381" s="54"/>
    </row>
    <row r="382" spans="1:68" x14ac:dyDescent="0.2">
      <c r="AW382" s="146"/>
      <c r="AX382" s="54"/>
      <c r="AY382" s="54"/>
      <c r="AZ382" s="54"/>
      <c r="BA382" s="54"/>
    </row>
    <row r="383" spans="1:68" x14ac:dyDescent="0.2">
      <c r="AW383" s="146"/>
      <c r="AX383" s="54"/>
      <c r="AY383" s="54"/>
      <c r="AZ383" s="54"/>
      <c r="BA383" s="54"/>
    </row>
    <row r="384" spans="1:68" x14ac:dyDescent="0.2">
      <c r="AW384" s="146"/>
      <c r="AX384" s="54"/>
      <c r="AY384" s="54"/>
      <c r="AZ384" s="54"/>
      <c r="BA384" s="54"/>
    </row>
    <row r="385" spans="49:53" x14ac:dyDescent="0.2">
      <c r="AW385" s="146"/>
      <c r="AX385" s="54"/>
      <c r="AY385" s="54"/>
      <c r="AZ385" s="54"/>
      <c r="BA385" s="54"/>
    </row>
    <row r="386" spans="49:53" x14ac:dyDescent="0.2">
      <c r="AW386" s="146"/>
      <c r="AX386" s="54"/>
      <c r="AY386" s="54"/>
      <c r="AZ386" s="54"/>
      <c r="BA386" s="54"/>
    </row>
    <row r="387" spans="49:53" x14ac:dyDescent="0.2">
      <c r="AW387" s="146"/>
      <c r="AX387" s="54"/>
      <c r="AY387" s="54"/>
      <c r="AZ387" s="54"/>
      <c r="BA387" s="54"/>
    </row>
    <row r="388" spans="49:53" x14ac:dyDescent="0.2">
      <c r="AW388" s="146"/>
      <c r="AX388" s="54"/>
      <c r="AY388" s="54"/>
      <c r="AZ388" s="54"/>
      <c r="BA388" s="54"/>
    </row>
    <row r="389" spans="49:53" x14ac:dyDescent="0.2">
      <c r="AW389" s="146"/>
      <c r="AX389" s="54"/>
      <c r="AY389" s="54"/>
      <c r="AZ389" s="54"/>
      <c r="BA389" s="54"/>
    </row>
    <row r="390" spans="49:53" x14ac:dyDescent="0.2">
      <c r="AW390" s="146"/>
      <c r="AX390" s="54"/>
      <c r="AY390" s="54"/>
      <c r="AZ390" s="54"/>
      <c r="BA390" s="54"/>
    </row>
    <row r="391" spans="49:53" x14ac:dyDescent="0.2">
      <c r="AW391" s="146"/>
      <c r="AX391" s="54"/>
      <c r="AY391" s="54"/>
      <c r="AZ391" s="54"/>
      <c r="BA391" s="54"/>
    </row>
    <row r="392" spans="49:53" x14ac:dyDescent="0.2">
      <c r="AW392" s="146"/>
      <c r="AX392" s="54"/>
      <c r="AY392" s="54"/>
      <c r="AZ392" s="54"/>
      <c r="BA392" s="54"/>
    </row>
    <row r="393" spans="49:53" x14ac:dyDescent="0.2">
      <c r="AW393" s="146"/>
      <c r="AX393" s="54"/>
      <c r="AY393" s="54"/>
      <c r="AZ393" s="54"/>
      <c r="BA393" s="54"/>
    </row>
    <row r="394" spans="49:53" x14ac:dyDescent="0.2">
      <c r="AW394" s="146"/>
      <c r="AX394" s="54"/>
      <c r="AY394" s="54"/>
      <c r="AZ394" s="54"/>
      <c r="BA394" s="54"/>
    </row>
    <row r="395" spans="49:53" x14ac:dyDescent="0.2">
      <c r="AW395" s="146"/>
      <c r="AX395" s="54"/>
      <c r="AY395" s="54"/>
      <c r="AZ395" s="54"/>
      <c r="BA395" s="54"/>
    </row>
    <row r="396" spans="49:53" x14ac:dyDescent="0.2">
      <c r="AW396" s="146"/>
      <c r="AX396" s="54"/>
      <c r="AY396" s="54"/>
      <c r="AZ396" s="54"/>
      <c r="BA396" s="54"/>
    </row>
    <row r="397" spans="49:53" x14ac:dyDescent="0.2">
      <c r="AW397" s="146"/>
      <c r="AX397" s="54"/>
      <c r="AY397" s="54"/>
      <c r="AZ397" s="54"/>
      <c r="BA397" s="54"/>
    </row>
    <row r="398" spans="49:53" x14ac:dyDescent="0.2">
      <c r="AW398" s="146"/>
      <c r="AX398" s="54"/>
      <c r="AY398" s="54"/>
      <c r="AZ398" s="54"/>
      <c r="BA398" s="54"/>
    </row>
    <row r="399" spans="49:53" x14ac:dyDescent="0.2">
      <c r="AW399" s="146"/>
      <c r="AX399" s="54"/>
      <c r="AY399" s="54"/>
      <c r="AZ399" s="54"/>
      <c r="BA399" s="54"/>
    </row>
    <row r="400" spans="49:53" x14ac:dyDescent="0.2">
      <c r="AW400" s="146"/>
      <c r="AX400" s="54"/>
      <c r="AY400" s="54"/>
      <c r="AZ400" s="54"/>
      <c r="BA400" s="54"/>
    </row>
    <row r="401" spans="46:53" x14ac:dyDescent="0.2">
      <c r="AW401" s="146"/>
      <c r="AX401" s="54"/>
      <c r="AY401" s="54"/>
      <c r="AZ401" s="54"/>
      <c r="BA401" s="54"/>
    </row>
    <row r="402" spans="46:53" x14ac:dyDescent="0.2">
      <c r="AW402" s="146"/>
      <c r="AX402" s="54"/>
      <c r="AY402" s="54"/>
      <c r="AZ402" s="54"/>
      <c r="BA402" s="54"/>
    </row>
    <row r="403" spans="46:53" x14ac:dyDescent="0.2">
      <c r="AW403" s="146"/>
      <c r="AX403" s="54"/>
      <c r="AY403" s="54"/>
      <c r="AZ403" s="54"/>
      <c r="BA403" s="54"/>
    </row>
    <row r="404" spans="46:53" x14ac:dyDescent="0.2">
      <c r="AW404" s="146"/>
      <c r="AX404" s="54"/>
      <c r="AY404" s="54"/>
      <c r="AZ404" s="54"/>
      <c r="BA404" s="54"/>
    </row>
    <row r="405" spans="46:53" x14ac:dyDescent="0.2">
      <c r="AW405" s="146"/>
      <c r="AX405" s="54"/>
      <c r="AY405" s="54"/>
      <c r="AZ405" s="54"/>
      <c r="BA405" s="54"/>
    </row>
    <row r="406" spans="46:53" x14ac:dyDescent="0.2">
      <c r="AW406" s="146"/>
      <c r="AX406" s="54"/>
      <c r="AY406" s="54"/>
      <c r="AZ406" s="54"/>
      <c r="BA406" s="54"/>
    </row>
    <row r="407" spans="46:53" x14ac:dyDescent="0.2">
      <c r="AW407" s="146"/>
      <c r="AX407" s="54"/>
      <c r="AY407" s="54"/>
      <c r="AZ407" s="54"/>
      <c r="BA407" s="54"/>
    </row>
    <row r="408" spans="46:53" x14ac:dyDescent="0.2">
      <c r="AW408" s="146"/>
      <c r="AX408" s="54"/>
      <c r="AY408" s="54"/>
      <c r="AZ408" s="54"/>
      <c r="BA408" s="54"/>
    </row>
    <row r="409" spans="46:53" x14ac:dyDescent="0.2">
      <c r="AW409" s="146"/>
      <c r="AX409" s="54"/>
      <c r="AY409" s="54"/>
      <c r="AZ409" s="54"/>
      <c r="BA409" s="54"/>
    </row>
    <row r="410" spans="46:53" x14ac:dyDescent="0.2">
      <c r="AW410" s="146"/>
      <c r="AX410" s="54"/>
      <c r="AY410" s="54"/>
      <c r="AZ410" s="54"/>
      <c r="BA410" s="54"/>
    </row>
    <row r="411" spans="46:53" x14ac:dyDescent="0.2">
      <c r="AW411" s="146"/>
      <c r="AX411" s="54"/>
      <c r="AY411" s="54"/>
      <c r="AZ411" s="54"/>
      <c r="BA411" s="54"/>
    </row>
    <row r="412" spans="46:53" x14ac:dyDescent="0.2">
      <c r="AW412" s="146"/>
      <c r="AX412" s="54"/>
      <c r="AY412" s="54"/>
      <c r="AZ412" s="54"/>
      <c r="BA412" s="54"/>
    </row>
    <row r="413" spans="46:53" x14ac:dyDescent="0.2">
      <c r="AW413" s="146"/>
      <c r="AX413" s="54"/>
      <c r="AY413" s="54"/>
      <c r="AZ413" s="54"/>
      <c r="BA413" s="54"/>
    </row>
    <row r="414" spans="46:53" x14ac:dyDescent="0.2">
      <c r="AW414" s="146"/>
      <c r="AX414" s="54"/>
      <c r="AY414" s="54"/>
      <c r="AZ414" s="54"/>
      <c r="BA414" s="54"/>
    </row>
    <row r="415" spans="46:53" x14ac:dyDescent="0.2">
      <c r="AT415" s="104"/>
      <c r="AU415" s="104"/>
      <c r="AW415" s="146"/>
      <c r="AX415" s="54"/>
      <c r="AY415" s="54"/>
      <c r="AZ415" s="54"/>
      <c r="BA415" s="54"/>
    </row>
    <row r="416" spans="46:53" x14ac:dyDescent="0.2">
      <c r="AW416" s="146"/>
      <c r="AX416" s="54"/>
      <c r="AY416" s="54"/>
      <c r="AZ416" s="54"/>
      <c r="BA416" s="54"/>
    </row>
    <row r="418" spans="49:53" x14ac:dyDescent="0.2">
      <c r="AW418" s="65"/>
      <c r="AX418" s="61"/>
      <c r="AY418" s="61"/>
      <c r="AZ418" s="61"/>
      <c r="BA418" s="61"/>
    </row>
    <row r="419" spans="49:53" x14ac:dyDescent="0.2">
      <c r="AW419" s="65"/>
      <c r="AX419" s="61"/>
      <c r="AY419" s="61"/>
      <c r="AZ419" s="61"/>
      <c r="BA419" s="61"/>
    </row>
    <row r="420" spans="49:53" x14ac:dyDescent="0.2">
      <c r="AW420" s="65"/>
      <c r="AX420" s="61"/>
      <c r="AY420" s="61"/>
      <c r="AZ420" s="61"/>
      <c r="BA420" s="61"/>
    </row>
    <row r="421" spans="49:53" x14ac:dyDescent="0.2">
      <c r="AW421" s="65"/>
      <c r="AX421" s="61"/>
      <c r="AY421" s="61"/>
      <c r="AZ421" s="61"/>
      <c r="BA421" s="61"/>
    </row>
    <row r="422" spans="49:53" x14ac:dyDescent="0.2">
      <c r="AW422" s="65"/>
      <c r="AX422" s="61"/>
      <c r="AY422" s="61"/>
      <c r="AZ422" s="61"/>
      <c r="BA422" s="61"/>
    </row>
    <row r="423" spans="49:53" x14ac:dyDescent="0.2">
      <c r="AW423" s="65"/>
      <c r="AX423" s="61"/>
      <c r="AY423" s="61"/>
      <c r="AZ423" s="61"/>
      <c r="BA423" s="61"/>
    </row>
    <row r="424" spans="49:53" x14ac:dyDescent="0.2">
      <c r="AW424" s="65"/>
      <c r="AX424" s="61"/>
      <c r="AY424" s="61"/>
      <c r="AZ424" s="61"/>
      <c r="BA424" s="61"/>
    </row>
    <row r="425" spans="49:53" x14ac:dyDescent="0.2">
      <c r="AW425" s="65"/>
      <c r="AX425" s="61"/>
      <c r="AY425" s="61"/>
      <c r="AZ425" s="61"/>
      <c r="BA425" s="61"/>
    </row>
    <row r="426" spans="49:53" x14ac:dyDescent="0.2">
      <c r="AW426" s="72"/>
      <c r="AX426" s="71"/>
      <c r="AY426" s="71"/>
      <c r="AZ426" s="71"/>
      <c r="BA426" s="71"/>
    </row>
    <row r="427" spans="49:53" x14ac:dyDescent="0.2">
      <c r="AW427" s="78"/>
      <c r="AX427" s="77"/>
      <c r="AY427" s="77"/>
      <c r="AZ427" s="77"/>
      <c r="BA427" s="77"/>
    </row>
    <row r="428" spans="49:53" x14ac:dyDescent="0.2">
      <c r="AW428" s="78"/>
      <c r="AX428" s="77"/>
      <c r="AY428" s="77"/>
      <c r="AZ428" s="77"/>
      <c r="BA428" s="77"/>
    </row>
    <row r="429" spans="49:53" x14ac:dyDescent="0.2">
      <c r="AW429" s="65"/>
      <c r="AX429" s="61"/>
      <c r="AY429" s="61"/>
      <c r="AZ429" s="61"/>
      <c r="BA429" s="61"/>
    </row>
    <row r="430" spans="49:53" x14ac:dyDescent="0.2">
      <c r="AW430" s="65"/>
      <c r="AX430" s="61"/>
      <c r="AY430" s="61"/>
      <c r="AZ430" s="61"/>
      <c r="BA430" s="61"/>
    </row>
    <row r="488" spans="49:49" x14ac:dyDescent="0.2">
      <c r="AW488" s="4"/>
    </row>
    <row r="489" spans="49:49" x14ac:dyDescent="0.2">
      <c r="AW489" s="4"/>
    </row>
    <row r="490" spans="49:49" x14ac:dyDescent="0.2">
      <c r="AW490" s="4"/>
    </row>
    <row r="491" spans="49:49" x14ac:dyDescent="0.2">
      <c r="AW491" s="4"/>
    </row>
    <row r="492" spans="49:49" x14ac:dyDescent="0.2">
      <c r="AW492" s="4"/>
    </row>
    <row r="493" spans="49:49" x14ac:dyDescent="0.2">
      <c r="AW493" s="4"/>
    </row>
    <row r="494" spans="49:49" x14ac:dyDescent="0.2">
      <c r="AW494" s="4"/>
    </row>
    <row r="495" spans="49:49" x14ac:dyDescent="0.2">
      <c r="AW495" s="4"/>
    </row>
    <row r="496" spans="49:49" x14ac:dyDescent="0.2">
      <c r="AW496" s="4"/>
    </row>
    <row r="542" spans="49:49" x14ac:dyDescent="0.2">
      <c r="AW542" s="4"/>
    </row>
    <row r="543" spans="49:49" x14ac:dyDescent="0.2">
      <c r="AW543" s="4"/>
    </row>
    <row r="544" spans="49:49" x14ac:dyDescent="0.2">
      <c r="AW544" s="4"/>
    </row>
    <row r="545" spans="49:49" x14ac:dyDescent="0.2">
      <c r="AW545" s="4"/>
    </row>
    <row r="546" spans="49:49" x14ac:dyDescent="0.2">
      <c r="AW546" s="4"/>
    </row>
    <row r="547" spans="49:49" x14ac:dyDescent="0.2">
      <c r="AW547" s="4"/>
    </row>
    <row r="548" spans="49:49" x14ac:dyDescent="0.2">
      <c r="AW548" s="4"/>
    </row>
    <row r="549" spans="49:49" x14ac:dyDescent="0.2">
      <c r="AW549" s="4"/>
    </row>
    <row r="550" spans="49:49" x14ac:dyDescent="0.2">
      <c r="AW550" s="4"/>
    </row>
    <row r="596" spans="49:49" x14ac:dyDescent="0.2">
      <c r="AW596" s="4"/>
    </row>
    <row r="597" spans="49:49" x14ac:dyDescent="0.2">
      <c r="AW597" s="4"/>
    </row>
    <row r="598" spans="49:49" x14ac:dyDescent="0.2">
      <c r="AW598" s="4"/>
    </row>
    <row r="599" spans="49:49" x14ac:dyDescent="0.2">
      <c r="AW599" s="4"/>
    </row>
    <row r="600" spans="49:49" x14ac:dyDescent="0.2">
      <c r="AW600" s="4"/>
    </row>
    <row r="601" spans="49:49" x14ac:dyDescent="0.2">
      <c r="AW601" s="4"/>
    </row>
    <row r="602" spans="49:49" x14ac:dyDescent="0.2">
      <c r="AW602" s="4"/>
    </row>
    <row r="603" spans="49:49" x14ac:dyDescent="0.2">
      <c r="AW603" s="4"/>
    </row>
    <row r="604" spans="49:49" x14ac:dyDescent="0.2">
      <c r="AW604" s="4"/>
    </row>
    <row r="650" spans="49:49" x14ac:dyDescent="0.2">
      <c r="AW650" s="4"/>
    </row>
    <row r="651" spans="49:49" x14ac:dyDescent="0.2">
      <c r="AW651" s="4"/>
    </row>
    <row r="652" spans="49:49" x14ac:dyDescent="0.2">
      <c r="AW652" s="4"/>
    </row>
    <row r="653" spans="49:49" x14ac:dyDescent="0.2">
      <c r="AW653" s="4"/>
    </row>
    <row r="654" spans="49:49" x14ac:dyDescent="0.2">
      <c r="AW654" s="4"/>
    </row>
    <row r="655" spans="49:49" x14ac:dyDescent="0.2">
      <c r="AW655" s="4"/>
    </row>
    <row r="656" spans="49:49" x14ac:dyDescent="0.2">
      <c r="AW656" s="4"/>
    </row>
    <row r="657" spans="49:49" x14ac:dyDescent="0.2">
      <c r="AW657" s="4"/>
    </row>
    <row r="658" spans="49:49" x14ac:dyDescent="0.2">
      <c r="AW658" s="4"/>
    </row>
  </sheetData>
  <sheetCalcPr fullCalcOnLoad="1"/>
  <sheetProtection formatCells="0" selectLockedCells="1"/>
  <mergeCells count="668">
    <mergeCell ref="K357:N357"/>
    <mergeCell ref="K362:N364"/>
    <mergeCell ref="A373:M373"/>
    <mergeCell ref="B354:D354"/>
    <mergeCell ref="E354:G354"/>
    <mergeCell ref="H354:J354"/>
    <mergeCell ref="K354:Q356"/>
    <mergeCell ref="B355:D355"/>
    <mergeCell ref="E355:G355"/>
    <mergeCell ref="H355:J355"/>
    <mergeCell ref="B356:D356"/>
    <mergeCell ref="E356:G356"/>
    <mergeCell ref="H356:J356"/>
    <mergeCell ref="B350:J350"/>
    <mergeCell ref="K350:Q350"/>
    <mergeCell ref="B351:J351"/>
    <mergeCell ref="K351:Q351"/>
    <mergeCell ref="B352:J352"/>
    <mergeCell ref="K352:Q352"/>
    <mergeCell ref="A343:E343"/>
    <mergeCell ref="A344:E344"/>
    <mergeCell ref="A347:J347"/>
    <mergeCell ref="B348:J348"/>
    <mergeCell ref="K348:Q348"/>
    <mergeCell ref="B349:J349"/>
    <mergeCell ref="K349:Q349"/>
    <mergeCell ref="A339:E339"/>
    <mergeCell ref="J339:Q339"/>
    <mergeCell ref="A341:D341"/>
    <mergeCell ref="F341:I341"/>
    <mergeCell ref="J341:N341"/>
    <mergeCell ref="A342:E342"/>
    <mergeCell ref="F342:N342"/>
    <mergeCell ref="A335:E335"/>
    <mergeCell ref="F336:I336"/>
    <mergeCell ref="J337:Q337"/>
    <mergeCell ref="A338:E338"/>
    <mergeCell ref="F338:I338"/>
    <mergeCell ref="J338:Q338"/>
    <mergeCell ref="A332:E332"/>
    <mergeCell ref="F332:N332"/>
    <mergeCell ref="A333:E333"/>
    <mergeCell ref="F333:I333"/>
    <mergeCell ref="J333:N333"/>
    <mergeCell ref="A334:E334"/>
    <mergeCell ref="T324:V324"/>
    <mergeCell ref="A325:M325"/>
    <mergeCell ref="V325:AG325"/>
    <mergeCell ref="A327:P327"/>
    <mergeCell ref="A329:E329"/>
    <mergeCell ref="A330:E330"/>
    <mergeCell ref="T312:V312"/>
    <mergeCell ref="T313:V313"/>
    <mergeCell ref="K314:N316"/>
    <mergeCell ref="AF314:AG316"/>
    <mergeCell ref="T322:V322"/>
    <mergeCell ref="T323:V323"/>
    <mergeCell ref="AC308:AE308"/>
    <mergeCell ref="K309:N309"/>
    <mergeCell ref="T309:V309"/>
    <mergeCell ref="AF309:AG309"/>
    <mergeCell ref="T310:V310"/>
    <mergeCell ref="T311:V311"/>
    <mergeCell ref="B308:D308"/>
    <mergeCell ref="E308:G308"/>
    <mergeCell ref="H308:J308"/>
    <mergeCell ref="T308:V308"/>
    <mergeCell ref="W308:Y308"/>
    <mergeCell ref="Z308:AB308"/>
    <mergeCell ref="Z306:AB306"/>
    <mergeCell ref="AC306:AE306"/>
    <mergeCell ref="AF306:AJ308"/>
    <mergeCell ref="B307:D307"/>
    <mergeCell ref="E307:G307"/>
    <mergeCell ref="H307:J307"/>
    <mergeCell ref="T307:V307"/>
    <mergeCell ref="W307:Y307"/>
    <mergeCell ref="Z307:AB307"/>
    <mergeCell ref="AC307:AE307"/>
    <mergeCell ref="B304:J304"/>
    <mergeCell ref="K304:Q304"/>
    <mergeCell ref="U304:W304"/>
    <mergeCell ref="X304:AF304"/>
    <mergeCell ref="AG304:AM304"/>
    <mergeCell ref="B306:D306"/>
    <mergeCell ref="E306:G306"/>
    <mergeCell ref="H306:J306"/>
    <mergeCell ref="K306:Q308"/>
    <mergeCell ref="W306:Y306"/>
    <mergeCell ref="B302:J302"/>
    <mergeCell ref="K302:Q302"/>
    <mergeCell ref="U302:W302"/>
    <mergeCell ref="X302:AF302"/>
    <mergeCell ref="AG302:AM302"/>
    <mergeCell ref="B303:J303"/>
    <mergeCell ref="K303:Q303"/>
    <mergeCell ref="U303:W303"/>
    <mergeCell ref="X303:AF303"/>
    <mergeCell ref="AG303:AM303"/>
    <mergeCell ref="B300:J300"/>
    <mergeCell ref="K300:Q300"/>
    <mergeCell ref="U300:W300"/>
    <mergeCell ref="X300:AF300"/>
    <mergeCell ref="AG300:AM300"/>
    <mergeCell ref="B301:J301"/>
    <mergeCell ref="K301:Q301"/>
    <mergeCell ref="U301:W301"/>
    <mergeCell ref="X301:AF301"/>
    <mergeCell ref="AG301:AM301"/>
    <mergeCell ref="A295:E295"/>
    <mergeCell ref="V295:AB295"/>
    <mergeCell ref="A296:E296"/>
    <mergeCell ref="V296:AB296"/>
    <mergeCell ref="A299:J299"/>
    <mergeCell ref="U299:AF299"/>
    <mergeCell ref="AC293:AF293"/>
    <mergeCell ref="AG293:AI293"/>
    <mergeCell ref="A294:E294"/>
    <mergeCell ref="F294:N294"/>
    <mergeCell ref="U294:AA294"/>
    <mergeCell ref="AC294:AI294"/>
    <mergeCell ref="A291:E291"/>
    <mergeCell ref="J291:Q291"/>
    <mergeCell ref="V291:AB291"/>
    <mergeCell ref="A293:D293"/>
    <mergeCell ref="F293:I293"/>
    <mergeCell ref="J293:N293"/>
    <mergeCell ref="U293:AA293"/>
    <mergeCell ref="J289:Q289"/>
    <mergeCell ref="AG289:AL289"/>
    <mergeCell ref="A290:E290"/>
    <mergeCell ref="F290:I290"/>
    <mergeCell ref="J290:Q290"/>
    <mergeCell ref="V290:AB290"/>
    <mergeCell ref="AC290:AF290"/>
    <mergeCell ref="AG290:AL290"/>
    <mergeCell ref="A286:E286"/>
    <mergeCell ref="V286:AB286"/>
    <mergeCell ref="A287:E287"/>
    <mergeCell ref="V287:AB287"/>
    <mergeCell ref="F288:I288"/>
    <mergeCell ref="AC288:AF288"/>
    <mergeCell ref="AC284:AI284"/>
    <mergeCell ref="A285:E285"/>
    <mergeCell ref="F285:I285"/>
    <mergeCell ref="J285:N285"/>
    <mergeCell ref="U285:AA285"/>
    <mergeCell ref="AC285:AF285"/>
    <mergeCell ref="AG285:AI285"/>
    <mergeCell ref="A281:E281"/>
    <mergeCell ref="V281:AB281"/>
    <mergeCell ref="A282:E282"/>
    <mergeCell ref="V282:AB282"/>
    <mergeCell ref="A284:E284"/>
    <mergeCell ref="F284:N284"/>
    <mergeCell ref="U284:AB284"/>
    <mergeCell ref="A273:AQ273"/>
    <mergeCell ref="A274:AQ274"/>
    <mergeCell ref="A275:AQ275"/>
    <mergeCell ref="A276:AQ276"/>
    <mergeCell ref="A277:K277"/>
    <mergeCell ref="A279:P279"/>
    <mergeCell ref="S279:AG279"/>
    <mergeCell ref="AN270:AP270"/>
    <mergeCell ref="B271:H271"/>
    <mergeCell ref="I271:L271"/>
    <mergeCell ref="M271:S271"/>
    <mergeCell ref="T271:W271"/>
    <mergeCell ref="X271:AE271"/>
    <mergeCell ref="AF271:AG271"/>
    <mergeCell ref="AH271:AM271"/>
    <mergeCell ref="AN271:AP271"/>
    <mergeCell ref="AH269:AM269"/>
    <mergeCell ref="AN269:AP269"/>
    <mergeCell ref="I268:L268"/>
    <mergeCell ref="B270:H270"/>
    <mergeCell ref="I270:L270"/>
    <mergeCell ref="M270:S270"/>
    <mergeCell ref="T270:W270"/>
    <mergeCell ref="X270:AE270"/>
    <mergeCell ref="AF270:AG270"/>
    <mergeCell ref="AH270:AM270"/>
    <mergeCell ref="B269:H269"/>
    <mergeCell ref="I269:L269"/>
    <mergeCell ref="M269:S269"/>
    <mergeCell ref="T269:W269"/>
    <mergeCell ref="X269:AE269"/>
    <mergeCell ref="AF269:AG269"/>
    <mergeCell ref="AH268:AM268"/>
    <mergeCell ref="AC266:AE266"/>
    <mergeCell ref="AH266:AJ266"/>
    <mergeCell ref="AK266:AM266"/>
    <mergeCell ref="AN268:AP268"/>
    <mergeCell ref="AN266:AO266"/>
    <mergeCell ref="A267:A268"/>
    <mergeCell ref="B267:L267"/>
    <mergeCell ref="M267:W267"/>
    <mergeCell ref="X267:AG267"/>
    <mergeCell ref="AH267:AP267"/>
    <mergeCell ref="B268:H268"/>
    <mergeCell ref="M268:S268"/>
    <mergeCell ref="T268:W268"/>
    <mergeCell ref="X268:AE268"/>
    <mergeCell ref="AF268:AG268"/>
    <mergeCell ref="AH265:AJ265"/>
    <mergeCell ref="AK265:AM265"/>
    <mergeCell ref="AN265:AO265"/>
    <mergeCell ref="B266:E266"/>
    <mergeCell ref="F266:I266"/>
    <mergeCell ref="J266:K266"/>
    <mergeCell ref="M266:Q266"/>
    <mergeCell ref="R266:T266"/>
    <mergeCell ref="U266:V266"/>
    <mergeCell ref="X266:AB266"/>
    <mergeCell ref="AK264:AM264"/>
    <mergeCell ref="AN264:AO264"/>
    <mergeCell ref="B265:E265"/>
    <mergeCell ref="F265:I265"/>
    <mergeCell ref="J265:K265"/>
    <mergeCell ref="M265:Q265"/>
    <mergeCell ref="R265:T265"/>
    <mergeCell ref="U265:V265"/>
    <mergeCell ref="X265:AB265"/>
    <mergeCell ref="AC265:AE265"/>
    <mergeCell ref="AN263:AO263"/>
    <mergeCell ref="B264:E264"/>
    <mergeCell ref="F264:I264"/>
    <mergeCell ref="J264:K264"/>
    <mergeCell ref="M264:Q264"/>
    <mergeCell ref="R264:T264"/>
    <mergeCell ref="U264:V264"/>
    <mergeCell ref="X264:AB264"/>
    <mergeCell ref="AC264:AE264"/>
    <mergeCell ref="AH264:AJ264"/>
    <mergeCell ref="R263:T263"/>
    <mergeCell ref="U263:V263"/>
    <mergeCell ref="X263:AB263"/>
    <mergeCell ref="AC263:AE263"/>
    <mergeCell ref="AH263:AJ263"/>
    <mergeCell ref="AK263:AM263"/>
    <mergeCell ref="A261:AQ261"/>
    <mergeCell ref="A262:A263"/>
    <mergeCell ref="B262:L262"/>
    <mergeCell ref="M262:W262"/>
    <mergeCell ref="X262:AG262"/>
    <mergeCell ref="AH262:AP262"/>
    <mergeCell ref="B263:E263"/>
    <mergeCell ref="F263:I263"/>
    <mergeCell ref="J263:K263"/>
    <mergeCell ref="M263:Q263"/>
    <mergeCell ref="Z193:AB193"/>
    <mergeCell ref="AC193:AE193"/>
    <mergeCell ref="AG227:AK227"/>
    <mergeCell ref="A259:AM259"/>
    <mergeCell ref="AN259:AQ259"/>
    <mergeCell ref="A260:AQ260"/>
    <mergeCell ref="Z192:AB192"/>
    <mergeCell ref="AC192:AE192"/>
    <mergeCell ref="B193:D193"/>
    <mergeCell ref="E193:G193"/>
    <mergeCell ref="H193:J193"/>
    <mergeCell ref="K193:M193"/>
    <mergeCell ref="N193:P193"/>
    <mergeCell ref="Q193:S193"/>
    <mergeCell ref="T193:V193"/>
    <mergeCell ref="W193:Y193"/>
    <mergeCell ref="Z191:AB191"/>
    <mergeCell ref="AC191:AE191"/>
    <mergeCell ref="B192:D192"/>
    <mergeCell ref="E192:G192"/>
    <mergeCell ref="H192:J192"/>
    <mergeCell ref="K192:M192"/>
    <mergeCell ref="N192:P192"/>
    <mergeCell ref="Q192:S192"/>
    <mergeCell ref="T192:V192"/>
    <mergeCell ref="W192:Y192"/>
    <mergeCell ref="Z190:AB190"/>
    <mergeCell ref="AC190:AE190"/>
    <mergeCell ref="B191:D191"/>
    <mergeCell ref="E191:G191"/>
    <mergeCell ref="H191:J191"/>
    <mergeCell ref="K191:M191"/>
    <mergeCell ref="N191:P191"/>
    <mergeCell ref="Q191:S191"/>
    <mergeCell ref="T191:V191"/>
    <mergeCell ref="W191:Y191"/>
    <mergeCell ref="AC189:AE189"/>
    <mergeCell ref="AF189:AQ192"/>
    <mergeCell ref="B190:D190"/>
    <mergeCell ref="E190:G190"/>
    <mergeCell ref="H190:J190"/>
    <mergeCell ref="K190:M190"/>
    <mergeCell ref="N190:P190"/>
    <mergeCell ref="Q190:S190"/>
    <mergeCell ref="T190:V190"/>
    <mergeCell ref="W190:Y190"/>
    <mergeCell ref="B188:AI188"/>
    <mergeCell ref="B189:D189"/>
    <mergeCell ref="E189:G189"/>
    <mergeCell ref="H189:J189"/>
    <mergeCell ref="K189:M189"/>
    <mergeCell ref="N189:P189"/>
    <mergeCell ref="Q189:S189"/>
    <mergeCell ref="T189:V189"/>
    <mergeCell ref="W189:Y189"/>
    <mergeCell ref="Z189:AB189"/>
    <mergeCell ref="Z186:AB187"/>
    <mergeCell ref="AC186:AE187"/>
    <mergeCell ref="AF186:AF187"/>
    <mergeCell ref="AG186:AG187"/>
    <mergeCell ref="AH186:AI187"/>
    <mergeCell ref="B187:D187"/>
    <mergeCell ref="E187:K187"/>
    <mergeCell ref="A186:A187"/>
    <mergeCell ref="B186:D186"/>
    <mergeCell ref="E186:K186"/>
    <mergeCell ref="L186:P187"/>
    <mergeCell ref="R186:V187"/>
    <mergeCell ref="W186:Y187"/>
    <mergeCell ref="Z184:AB185"/>
    <mergeCell ref="AC184:AE185"/>
    <mergeCell ref="AF184:AF185"/>
    <mergeCell ref="AG184:AG185"/>
    <mergeCell ref="AH184:AI185"/>
    <mergeCell ref="B185:D185"/>
    <mergeCell ref="E185:K185"/>
    <mergeCell ref="A184:A185"/>
    <mergeCell ref="B184:D184"/>
    <mergeCell ref="E184:K184"/>
    <mergeCell ref="L184:P185"/>
    <mergeCell ref="R184:V185"/>
    <mergeCell ref="W184:Y185"/>
    <mergeCell ref="Z182:AB183"/>
    <mergeCell ref="AC182:AE183"/>
    <mergeCell ref="AF182:AF183"/>
    <mergeCell ref="AG182:AG183"/>
    <mergeCell ref="AH182:AI183"/>
    <mergeCell ref="B183:D183"/>
    <mergeCell ref="E183:K183"/>
    <mergeCell ref="A182:A183"/>
    <mergeCell ref="B182:D182"/>
    <mergeCell ref="E182:K182"/>
    <mergeCell ref="L182:P183"/>
    <mergeCell ref="R182:V183"/>
    <mergeCell ref="W182:Y183"/>
    <mergeCell ref="Z180:AB181"/>
    <mergeCell ref="AC180:AE181"/>
    <mergeCell ref="AF180:AF181"/>
    <mergeCell ref="AG180:AG181"/>
    <mergeCell ref="AH180:AI181"/>
    <mergeCell ref="B181:D181"/>
    <mergeCell ref="E181:K181"/>
    <mergeCell ref="AG178:AG179"/>
    <mergeCell ref="AH178:AI179"/>
    <mergeCell ref="B179:D179"/>
    <mergeCell ref="E179:K179"/>
    <mergeCell ref="A180:A181"/>
    <mergeCell ref="B180:D180"/>
    <mergeCell ref="E180:K180"/>
    <mergeCell ref="L180:P181"/>
    <mergeCell ref="R180:V181"/>
    <mergeCell ref="W180:Y181"/>
    <mergeCell ref="AH177:AI177"/>
    <mergeCell ref="A178:A179"/>
    <mergeCell ref="B178:D178"/>
    <mergeCell ref="E178:K178"/>
    <mergeCell ref="L178:P179"/>
    <mergeCell ref="R178:V179"/>
    <mergeCell ref="W178:Y179"/>
    <mergeCell ref="Z178:AB179"/>
    <mergeCell ref="AC178:AE179"/>
    <mergeCell ref="AF178:AF179"/>
    <mergeCell ref="C176:H176"/>
    <mergeCell ref="I176:J176"/>
    <mergeCell ref="K176:AI176"/>
    <mergeCell ref="B177:K177"/>
    <mergeCell ref="L177:P177"/>
    <mergeCell ref="Q177:Q187"/>
    <mergeCell ref="R177:V177"/>
    <mergeCell ref="W177:Y177"/>
    <mergeCell ref="Z177:AB177"/>
    <mergeCell ref="AC177:AE177"/>
    <mergeCell ref="Z108:AB108"/>
    <mergeCell ref="AC108:AE108"/>
    <mergeCell ref="AG142:AK142"/>
    <mergeCell ref="A174:AM174"/>
    <mergeCell ref="AN174:AQ174"/>
    <mergeCell ref="A175:AQ175"/>
    <mergeCell ref="Z107:AB107"/>
    <mergeCell ref="AC107:AE107"/>
    <mergeCell ref="B108:D108"/>
    <mergeCell ref="E108:G108"/>
    <mergeCell ref="H108:J108"/>
    <mergeCell ref="K108:M108"/>
    <mergeCell ref="N108:P108"/>
    <mergeCell ref="Q108:S108"/>
    <mergeCell ref="T108:V108"/>
    <mergeCell ref="W108:Y108"/>
    <mergeCell ref="Z106:AB106"/>
    <mergeCell ref="AC106:AE106"/>
    <mergeCell ref="B107:D107"/>
    <mergeCell ref="E107:G107"/>
    <mergeCell ref="H107:J107"/>
    <mergeCell ref="K107:M107"/>
    <mergeCell ref="N107:P107"/>
    <mergeCell ref="Q107:S107"/>
    <mergeCell ref="T107:V107"/>
    <mergeCell ref="W107:Y107"/>
    <mergeCell ref="Z105:AB105"/>
    <mergeCell ref="AC105:AE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AC104:AE104"/>
    <mergeCell ref="AF104:AQ107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B103:AI103"/>
    <mergeCell ref="B104:D104"/>
    <mergeCell ref="E104:G104"/>
    <mergeCell ref="H104:J104"/>
    <mergeCell ref="K104:M104"/>
    <mergeCell ref="N104:P104"/>
    <mergeCell ref="Q104:S104"/>
    <mergeCell ref="T104:V104"/>
    <mergeCell ref="W104:Y104"/>
    <mergeCell ref="Z104:AB104"/>
    <mergeCell ref="Z101:AB102"/>
    <mergeCell ref="AC101:AE102"/>
    <mergeCell ref="AF101:AF102"/>
    <mergeCell ref="AG101:AG102"/>
    <mergeCell ref="AH101:AI102"/>
    <mergeCell ref="B102:D102"/>
    <mergeCell ref="E102:K102"/>
    <mergeCell ref="A101:A102"/>
    <mergeCell ref="B101:D101"/>
    <mergeCell ref="E101:K101"/>
    <mergeCell ref="L101:P102"/>
    <mergeCell ref="R101:V102"/>
    <mergeCell ref="W101:Y102"/>
    <mergeCell ref="AC99:AE100"/>
    <mergeCell ref="AF99:AF100"/>
    <mergeCell ref="AG99:AG100"/>
    <mergeCell ref="AH99:AI100"/>
    <mergeCell ref="B100:D100"/>
    <mergeCell ref="E100:K100"/>
    <mergeCell ref="AH97:AI98"/>
    <mergeCell ref="B98:D98"/>
    <mergeCell ref="E98:K98"/>
    <mergeCell ref="A99:A100"/>
    <mergeCell ref="B99:D99"/>
    <mergeCell ref="E99:K99"/>
    <mergeCell ref="L99:P100"/>
    <mergeCell ref="R99:V100"/>
    <mergeCell ref="W99:Y100"/>
    <mergeCell ref="Z99:AB100"/>
    <mergeCell ref="R97:V98"/>
    <mergeCell ref="W97:Y98"/>
    <mergeCell ref="Z97:AB98"/>
    <mergeCell ref="AC97:AE98"/>
    <mergeCell ref="AF97:AF98"/>
    <mergeCell ref="AG97:AG98"/>
    <mergeCell ref="B96:D96"/>
    <mergeCell ref="E96:K96"/>
    <mergeCell ref="A97:A98"/>
    <mergeCell ref="B97:D97"/>
    <mergeCell ref="E97:K97"/>
    <mergeCell ref="L97:P98"/>
    <mergeCell ref="W95:Y96"/>
    <mergeCell ref="Z95:AB96"/>
    <mergeCell ref="AC95:AE96"/>
    <mergeCell ref="AF95:AF96"/>
    <mergeCell ref="AG95:AG96"/>
    <mergeCell ref="AH95:AI96"/>
    <mergeCell ref="AF93:AF94"/>
    <mergeCell ref="AG93:AG94"/>
    <mergeCell ref="AH93:AI94"/>
    <mergeCell ref="B94:D94"/>
    <mergeCell ref="E94:K94"/>
    <mergeCell ref="A95:A96"/>
    <mergeCell ref="B95:D95"/>
    <mergeCell ref="E95:K95"/>
    <mergeCell ref="L95:P96"/>
    <mergeCell ref="R95:V96"/>
    <mergeCell ref="AC92:AE92"/>
    <mergeCell ref="AH92:AI92"/>
    <mergeCell ref="A93:A94"/>
    <mergeCell ref="B93:D93"/>
    <mergeCell ref="E93:K93"/>
    <mergeCell ref="L93:P94"/>
    <mergeCell ref="R93:V94"/>
    <mergeCell ref="W93:Y94"/>
    <mergeCell ref="Z93:AB94"/>
    <mergeCell ref="AC93:AE94"/>
    <mergeCell ref="A90:AQ90"/>
    <mergeCell ref="C91:H91"/>
    <mergeCell ref="I91:J91"/>
    <mergeCell ref="K91:AI91"/>
    <mergeCell ref="B92:K92"/>
    <mergeCell ref="L92:P92"/>
    <mergeCell ref="Q92:Q102"/>
    <mergeCell ref="R92:V92"/>
    <mergeCell ref="W92:Y92"/>
    <mergeCell ref="Z92:AB92"/>
    <mergeCell ref="W23:Y23"/>
    <mergeCell ref="Z23:AB23"/>
    <mergeCell ref="AC23:AE23"/>
    <mergeCell ref="AG57:AK57"/>
    <mergeCell ref="A89:AM89"/>
    <mergeCell ref="AN89:AQ89"/>
    <mergeCell ref="W22:Y22"/>
    <mergeCell ref="Z22:AB22"/>
    <mergeCell ref="AC22:AE22"/>
    <mergeCell ref="B23:D23"/>
    <mergeCell ref="E23:G23"/>
    <mergeCell ref="H23:J23"/>
    <mergeCell ref="K23:M23"/>
    <mergeCell ref="N23:P23"/>
    <mergeCell ref="Q23:S23"/>
    <mergeCell ref="T23:V23"/>
    <mergeCell ref="W21:Y21"/>
    <mergeCell ref="Z21:AB21"/>
    <mergeCell ref="AC21:AE21"/>
    <mergeCell ref="B22:D22"/>
    <mergeCell ref="E22:G22"/>
    <mergeCell ref="H22:J22"/>
    <mergeCell ref="K22:M22"/>
    <mergeCell ref="N22:P22"/>
    <mergeCell ref="Q22:S22"/>
    <mergeCell ref="T22:V22"/>
    <mergeCell ref="W20:Y20"/>
    <mergeCell ref="Z20:AB20"/>
    <mergeCell ref="AC20:AE20"/>
    <mergeCell ref="B21:D21"/>
    <mergeCell ref="E21:G21"/>
    <mergeCell ref="H21:J21"/>
    <mergeCell ref="K21:M21"/>
    <mergeCell ref="N21:P21"/>
    <mergeCell ref="Q21:S21"/>
    <mergeCell ref="T21:V21"/>
    <mergeCell ref="Z19:AB19"/>
    <mergeCell ref="AC19:AE19"/>
    <mergeCell ref="AF19:AQ22"/>
    <mergeCell ref="B20:D20"/>
    <mergeCell ref="E20:G20"/>
    <mergeCell ref="H20:J20"/>
    <mergeCell ref="K20:M20"/>
    <mergeCell ref="N20:P20"/>
    <mergeCell ref="Q20:S20"/>
    <mergeCell ref="T20:V20"/>
    <mergeCell ref="B18:AI18"/>
    <mergeCell ref="AT18:AY19"/>
    <mergeCell ref="B19:D19"/>
    <mergeCell ref="E19:G19"/>
    <mergeCell ref="H19:J19"/>
    <mergeCell ref="K19:M19"/>
    <mergeCell ref="N19:P19"/>
    <mergeCell ref="Q19:S19"/>
    <mergeCell ref="T19:V19"/>
    <mergeCell ref="W19:Y19"/>
    <mergeCell ref="Z16:AB17"/>
    <mergeCell ref="AC16:AE17"/>
    <mergeCell ref="AF16:AF17"/>
    <mergeCell ref="AG16:AG17"/>
    <mergeCell ref="AH16:AI17"/>
    <mergeCell ref="B17:D17"/>
    <mergeCell ref="E17:K17"/>
    <mergeCell ref="A16:A17"/>
    <mergeCell ref="B16:D16"/>
    <mergeCell ref="E16:K16"/>
    <mergeCell ref="L16:P17"/>
    <mergeCell ref="R16:V17"/>
    <mergeCell ref="W16:Y17"/>
    <mergeCell ref="Z14:AB15"/>
    <mergeCell ref="AC14:AE15"/>
    <mergeCell ref="AF14:AF15"/>
    <mergeCell ref="AG14:AG15"/>
    <mergeCell ref="AH14:AI15"/>
    <mergeCell ref="B15:D15"/>
    <mergeCell ref="E15:K15"/>
    <mergeCell ref="A14:A15"/>
    <mergeCell ref="B14:D14"/>
    <mergeCell ref="E14:K14"/>
    <mergeCell ref="L14:P15"/>
    <mergeCell ref="R14:V15"/>
    <mergeCell ref="W14:Y15"/>
    <mergeCell ref="Z12:AB13"/>
    <mergeCell ref="AC12:AE13"/>
    <mergeCell ref="AF12:AF13"/>
    <mergeCell ref="AG12:AG13"/>
    <mergeCell ref="AH12:AI13"/>
    <mergeCell ref="B13:D13"/>
    <mergeCell ref="E13:K13"/>
    <mergeCell ref="A12:A13"/>
    <mergeCell ref="B12:D12"/>
    <mergeCell ref="E12:K12"/>
    <mergeCell ref="L12:P13"/>
    <mergeCell ref="R12:V13"/>
    <mergeCell ref="W12:Y13"/>
    <mergeCell ref="Z10:AB11"/>
    <mergeCell ref="AC10:AE11"/>
    <mergeCell ref="AF10:AF11"/>
    <mergeCell ref="AG10:AG11"/>
    <mergeCell ref="AH10:AI11"/>
    <mergeCell ref="B11:D11"/>
    <mergeCell ref="E11:K11"/>
    <mergeCell ref="A10:A11"/>
    <mergeCell ref="B10:D10"/>
    <mergeCell ref="E10:K10"/>
    <mergeCell ref="L10:P11"/>
    <mergeCell ref="R10:V11"/>
    <mergeCell ref="W10:Y11"/>
    <mergeCell ref="AC8:AE9"/>
    <mergeCell ref="AF8:AF9"/>
    <mergeCell ref="AG8:AG9"/>
    <mergeCell ref="AH8:AI9"/>
    <mergeCell ref="B9:D9"/>
    <mergeCell ref="E9:K9"/>
    <mergeCell ref="Z7:AB7"/>
    <mergeCell ref="AC7:AE7"/>
    <mergeCell ref="AH7:AI7"/>
    <mergeCell ref="A8:A9"/>
    <mergeCell ref="B8:D8"/>
    <mergeCell ref="E8:K8"/>
    <mergeCell ref="L8:P9"/>
    <mergeCell ref="R8:V9"/>
    <mergeCell ref="W8:Y9"/>
    <mergeCell ref="Z8:AB9"/>
    <mergeCell ref="B5:J5"/>
    <mergeCell ref="K5:AE5"/>
    <mergeCell ref="C6:H6"/>
    <mergeCell ref="I6:J6"/>
    <mergeCell ref="K6:AI6"/>
    <mergeCell ref="B7:K7"/>
    <mergeCell ref="L7:P7"/>
    <mergeCell ref="Q7:Q17"/>
    <mergeCell ref="R7:V7"/>
    <mergeCell ref="W7:Y7"/>
    <mergeCell ref="A4:D4"/>
    <mergeCell ref="E4:M4"/>
    <mergeCell ref="N4:Q4"/>
    <mergeCell ref="R4:AA4"/>
    <mergeCell ref="AB4:AE4"/>
    <mergeCell ref="AF4:AI4"/>
    <mergeCell ref="B3:O3"/>
    <mergeCell ref="P3:R3"/>
    <mergeCell ref="S3:X3"/>
    <mergeCell ref="Y3:AD3"/>
    <mergeCell ref="AE3:AF3"/>
    <mergeCell ref="AG3:AI3"/>
    <mergeCell ref="A1:AI1"/>
    <mergeCell ref="AT1:AW1"/>
    <mergeCell ref="AX1:AY1"/>
    <mergeCell ref="A2:I2"/>
    <mergeCell ref="J2:X2"/>
    <mergeCell ref="Y2:AC2"/>
    <mergeCell ref="AD2:AI2"/>
  </mergeCells>
  <phoneticPr fontId="10" type="noConversion"/>
  <conditionalFormatting sqref="A8 A93 A178">
    <cfRule type="expression" dxfId="1081" priority="4" stopIfTrue="1">
      <formula>IF(AK9&gt;0,0,1)</formula>
    </cfRule>
  </conditionalFormatting>
  <conditionalFormatting sqref="A10:A11 A95:A96 A180:A181">
    <cfRule type="expression" dxfId="1080" priority="5" stopIfTrue="1">
      <formula>IF(#REF!&gt;1,0,1)</formula>
    </cfRule>
  </conditionalFormatting>
  <conditionalFormatting sqref="A12:A13 A97:A98 A182:A183">
    <cfRule type="expression" dxfId="1079" priority="6" stopIfTrue="1">
      <formula>IF(#REF!&gt;2,0,1)</formula>
    </cfRule>
  </conditionalFormatting>
  <conditionalFormatting sqref="A14:A15 A99:A100 A184:A185">
    <cfRule type="expression" dxfId="1078" priority="7" stopIfTrue="1">
      <formula>IF(#REF!&gt;3,0,1)</formula>
    </cfRule>
  </conditionalFormatting>
  <conditionalFormatting sqref="A16:A17 A101:A102 A186:A187">
    <cfRule type="expression" dxfId="1077" priority="8" stopIfTrue="1">
      <formula>IF(#REF!&gt;4,0,1)</formula>
    </cfRule>
  </conditionalFormatting>
  <conditionalFormatting sqref="B8 B93 B178">
    <cfRule type="expression" dxfId="1076" priority="9" stopIfTrue="1">
      <formula>IF(AK9&gt;0,0,1)</formula>
    </cfRule>
  </conditionalFormatting>
  <conditionalFormatting sqref="B9 B94 B179">
    <cfRule type="expression" dxfId="1075" priority="10" stopIfTrue="1">
      <formula>IF(AK9&gt;0,0,1)</formula>
    </cfRule>
  </conditionalFormatting>
  <conditionalFormatting sqref="B10 B95 B180">
    <cfRule type="expression" dxfId="1074" priority="11" stopIfTrue="1">
      <formula>IF(#REF!&gt;1,0,1)</formula>
    </cfRule>
  </conditionalFormatting>
  <conditionalFormatting sqref="B11:D11 B96:D96 B181:D181">
    <cfRule type="expression" dxfId="1073" priority="12" stopIfTrue="1">
      <formula>IF(#REF!&gt;1,0,1)</formula>
    </cfRule>
  </conditionalFormatting>
  <conditionalFormatting sqref="B12:D12 B97:D97 B182:D182">
    <cfRule type="expression" dxfId="1072" priority="13" stopIfTrue="1">
      <formula>IF(#REF!&gt;2,0,1)</formula>
    </cfRule>
  </conditionalFormatting>
  <conditionalFormatting sqref="B13:D13 B98:D98 B183:D183">
    <cfRule type="expression" dxfId="1071" priority="14" stopIfTrue="1">
      <formula>IF(#REF!&gt;2,0,1)</formula>
    </cfRule>
  </conditionalFormatting>
  <conditionalFormatting sqref="B14:D14 B99:D99 B184:D184">
    <cfRule type="expression" dxfId="1070" priority="15" stopIfTrue="1">
      <formula>IF(#REF!&gt;3,0,1)</formula>
    </cfRule>
  </conditionalFormatting>
  <conditionalFormatting sqref="B15:D15 B100:D100 B185:D185">
    <cfRule type="expression" dxfId="1069" priority="16" stopIfTrue="1">
      <formula>IF(#REF!&gt;3,0,1)</formula>
    </cfRule>
  </conditionalFormatting>
  <conditionalFormatting sqref="B16:D16 B101:D101 B186:D186">
    <cfRule type="expression" dxfId="1068" priority="17" stopIfTrue="1">
      <formula>IF(#REF!&gt;4,0,1)</formula>
    </cfRule>
  </conditionalFormatting>
  <conditionalFormatting sqref="B17:D17 B102:D102 B187:D187">
    <cfRule type="expression" dxfId="1067" priority="18" stopIfTrue="1">
      <formula>IF(#REF!&gt;4,0,1)</formula>
    </cfRule>
  </conditionalFormatting>
  <conditionalFormatting sqref="E8 E93 E178">
    <cfRule type="expression" dxfId="1066" priority="19" stopIfTrue="1">
      <formula>IF(AK9&gt;0,0,1)</formula>
    </cfRule>
  </conditionalFormatting>
  <conditionalFormatting sqref="E9 E94 E179">
    <cfRule type="expression" dxfId="1065" priority="20" stopIfTrue="1">
      <formula>IF(AK9&gt;0,0,1)</formula>
    </cfRule>
  </conditionalFormatting>
  <conditionalFormatting sqref="E10 E95 E180">
    <cfRule type="expression" dxfId="1064" priority="21" stopIfTrue="1">
      <formula>IF(#REF!&gt;1,0,1)</formula>
    </cfRule>
  </conditionalFormatting>
  <conditionalFormatting sqref="E11 E96 E181">
    <cfRule type="expression" dxfId="1063" priority="22" stopIfTrue="1">
      <formula>IF(#REF!&gt;1,0,1)</formula>
    </cfRule>
  </conditionalFormatting>
  <conditionalFormatting sqref="E12 E97 E182">
    <cfRule type="expression" dxfId="1062" priority="23" stopIfTrue="1">
      <formula>IF(#REF!&gt;2,0,1)</formula>
    </cfRule>
  </conditionalFormatting>
  <conditionalFormatting sqref="E13 E98 E183">
    <cfRule type="expression" dxfId="1061" priority="24" stopIfTrue="1">
      <formula>IF(#REF!&gt;2,0,1)</formula>
    </cfRule>
  </conditionalFormatting>
  <conditionalFormatting sqref="E14 E99 E184">
    <cfRule type="expression" dxfId="1060" priority="25" stopIfTrue="1">
      <formula>IF(#REF!&gt;3,0,1)</formula>
    </cfRule>
  </conditionalFormatting>
  <conditionalFormatting sqref="E15 E100 E185">
    <cfRule type="expression" dxfId="1059" priority="26" stopIfTrue="1">
      <formula>IF(#REF!&gt;3,0,1)</formula>
    </cfRule>
  </conditionalFormatting>
  <conditionalFormatting sqref="E16 E101 E186">
    <cfRule type="expression" dxfId="1058" priority="27" stopIfTrue="1">
      <formula>IF(#REF!&gt;4,0,1)</formula>
    </cfRule>
  </conditionalFormatting>
  <conditionalFormatting sqref="E17 E102 E187">
    <cfRule type="expression" dxfId="1057" priority="28" stopIfTrue="1">
      <formula>IF(#REF!&gt;4,0,1)</formula>
    </cfRule>
  </conditionalFormatting>
  <conditionalFormatting sqref="AC8 AC93 AC178">
    <cfRule type="expression" dxfId="1056" priority="29" stopIfTrue="1">
      <formula>IF(AK11=1,IF(AK9&gt;0,0,1),1)</formula>
    </cfRule>
  </conditionalFormatting>
  <conditionalFormatting sqref="AC10:AE11 AC95:AE96 AC180:AE181">
    <cfRule type="expression" dxfId="1055" priority="30" stopIfTrue="1">
      <formula>IF(AK11=1,IF(#REF!&gt;1,0,1),1)</formula>
    </cfRule>
  </conditionalFormatting>
  <conditionalFormatting sqref="AC12:AE13 AC97:AE98 AC182:AE183">
    <cfRule type="expression" dxfId="1054" priority="31" stopIfTrue="1">
      <formula>IF(#REF!=1,IF(#REF!&gt;2,0,1),1)</formula>
    </cfRule>
  </conditionalFormatting>
  <conditionalFormatting sqref="AC14:AE15 AC99:AE100 AC184:AE185">
    <cfRule type="expression" dxfId="1053" priority="32" stopIfTrue="1">
      <formula>IF(#REF!=1,IF(#REF!&gt;3,0,1),1)</formula>
    </cfRule>
  </conditionalFormatting>
  <conditionalFormatting sqref="AC16:AE17 AC101:AE102 AC186:AE187">
    <cfRule type="expression" dxfId="1052" priority="33" stopIfTrue="1">
      <formula>IF(#REF!=1,IF(#REF!&gt;4,0,1),1)</formula>
    </cfRule>
  </conditionalFormatting>
  <conditionalFormatting sqref="AH8 AH93 AH178">
    <cfRule type="expression" dxfId="1051" priority="34" stopIfTrue="1">
      <formula>IF(AK9&gt;0,0,1)</formula>
    </cfRule>
  </conditionalFormatting>
  <conditionalFormatting sqref="AH10:AI11 AH95:AI96 AH180:AI181">
    <cfRule type="expression" dxfId="1050" priority="35" stopIfTrue="1">
      <formula>IF(#REF!&gt;1,0,1)</formula>
    </cfRule>
  </conditionalFormatting>
  <conditionalFormatting sqref="AH12:AI13 AH97:AI98 AH182:AI183">
    <cfRule type="expression" dxfId="1049" priority="36" stopIfTrue="1">
      <formula>IF(#REF!&gt;2,0,1)</formula>
    </cfRule>
  </conditionalFormatting>
  <conditionalFormatting sqref="AH14:AI15 AH99:AI100 AH184:AI185">
    <cfRule type="expression" dxfId="1048" priority="37" stopIfTrue="1">
      <formula>IF(#REF!&gt;3,0,1)</formula>
    </cfRule>
  </conditionalFormatting>
  <conditionalFormatting sqref="AH16:AI17 AH101:AI102 AH186:AI187">
    <cfRule type="expression" dxfId="1047" priority="38" stopIfTrue="1">
      <formula>IF(#REF!&gt;4,0,1)</formula>
    </cfRule>
  </conditionalFormatting>
  <conditionalFormatting sqref="B104:D104 B19:D19 B189:D189">
    <cfRule type="expression" dxfId="1046" priority="39" stopIfTrue="1">
      <formula>IF(#REF!&gt;0,0,1)</formula>
    </cfRule>
  </conditionalFormatting>
  <conditionalFormatting sqref="E104:G104 E19:G19 E189:G189">
    <cfRule type="expression" dxfId="1045" priority="40" stopIfTrue="1">
      <formula>IF(#REF!&gt;1,0,1)</formula>
    </cfRule>
  </conditionalFormatting>
  <conditionalFormatting sqref="H104:J104 H19:J19 H189:J189">
    <cfRule type="expression" dxfId="1044" priority="41" stopIfTrue="1">
      <formula>IF(#REF!&gt;2,0,1)</formula>
    </cfRule>
  </conditionalFormatting>
  <conditionalFormatting sqref="K104:M104 K19:M19 K189:M189">
    <cfRule type="expression" dxfId="1043" priority="42" stopIfTrue="1">
      <formula>IF(#REF!&gt;3,0,1)</formula>
    </cfRule>
  </conditionalFormatting>
  <conditionalFormatting sqref="N104:P104 N19:P19 N189:P189">
    <cfRule type="expression" dxfId="1042" priority="43" stopIfTrue="1">
      <formula>IF(#REF!&gt;4,0,1)</formula>
    </cfRule>
  </conditionalFormatting>
  <conditionalFormatting sqref="Q104:S104 Q19:S19 Q189:S189">
    <cfRule type="expression" dxfId="1041" priority="44" stopIfTrue="1">
      <formula>IF(#REF!&gt;5,0,1)</formula>
    </cfRule>
  </conditionalFormatting>
  <conditionalFormatting sqref="T104:V104 T19:V19 T189:V189">
    <cfRule type="expression" dxfId="1040" priority="45" stopIfTrue="1">
      <formula>IF(#REF!&gt;6,0,1)</formula>
    </cfRule>
  </conditionalFormatting>
  <conditionalFormatting sqref="W104:Y104 W19:Y19 W189:Y189">
    <cfRule type="expression" dxfId="1039" priority="46" stopIfTrue="1">
      <formula>IF(#REF!&gt;7,0,1)</formula>
    </cfRule>
  </conditionalFormatting>
  <conditionalFormatting sqref="Z104:AB104 Z19:AB19 Z189:AB189">
    <cfRule type="expression" dxfId="1038" priority="47" stopIfTrue="1">
      <formula>IF(#REF!&gt;8,0,1)</formula>
    </cfRule>
  </conditionalFormatting>
  <conditionalFormatting sqref="AC104:AE104 AC19:AE19 AC189:AE189">
    <cfRule type="expression" dxfId="1037" priority="48" stopIfTrue="1">
      <formula>IF(#REF!&gt;9,0,1)</formula>
    </cfRule>
  </conditionalFormatting>
  <conditionalFormatting sqref="B20:D20 B105:D105 B190:D190">
    <cfRule type="expression" dxfId="1036" priority="49" stopIfTrue="1">
      <formula>IF(#REF!&gt;0,0,1)</formula>
    </cfRule>
  </conditionalFormatting>
  <conditionalFormatting sqref="E20:G20 E105:G105 E190:G190">
    <cfRule type="expression" dxfId="1035" priority="50" stopIfTrue="1">
      <formula>IF(#REF!&gt;1,0,1)</formula>
    </cfRule>
  </conditionalFormatting>
  <conditionalFormatting sqref="H20:J20 H105:J105 H190:J190">
    <cfRule type="expression" dxfId="1034" priority="51" stopIfTrue="1">
      <formula>IF(#REF!&gt;2,0,1)</formula>
    </cfRule>
  </conditionalFormatting>
  <conditionalFormatting sqref="K20:M20 K105:M105 K190:M190">
    <cfRule type="expression" dxfId="1033" priority="52" stopIfTrue="1">
      <formula>IF(#REF!&gt;3,0,1)</formula>
    </cfRule>
  </conditionalFormatting>
  <conditionalFormatting sqref="N20:P20 N105:P105 N190:P190">
    <cfRule type="expression" dxfId="1032" priority="53" stopIfTrue="1">
      <formula>IF(#REF!&gt;4,0,1)</formula>
    </cfRule>
  </conditionalFormatting>
  <conditionalFormatting sqref="Q20:S20 Q105:S105 Q190:S190">
    <cfRule type="expression" dxfId="1031" priority="54" stopIfTrue="1">
      <formula>IF(#REF!&gt;5,0,1)</formula>
    </cfRule>
  </conditionalFormatting>
  <conditionalFormatting sqref="T20:V20 T105:V105 T190:V190">
    <cfRule type="expression" dxfId="1030" priority="55" stopIfTrue="1">
      <formula>IF(#REF!&gt;6,0,1)</formula>
    </cfRule>
  </conditionalFormatting>
  <conditionalFormatting sqref="W20:Y20 W105:Y105 W190:Y190">
    <cfRule type="expression" dxfId="1029" priority="56" stopIfTrue="1">
      <formula>IF(#REF!&gt;7,0,1)</formula>
    </cfRule>
  </conditionalFormatting>
  <conditionalFormatting sqref="Z20:AB20 Z105:AB105 Z190:AB190">
    <cfRule type="expression" dxfId="1028" priority="57" stopIfTrue="1">
      <formula>IF(#REF!&gt;8,0,1)</formula>
    </cfRule>
  </conditionalFormatting>
  <conditionalFormatting sqref="AC20:AE20 AC105:AE105 AC190:AE190">
    <cfRule type="expression" dxfId="1027" priority="58" stopIfTrue="1">
      <formula>IF(#REF!&gt;9,0,1)</formula>
    </cfRule>
  </conditionalFormatting>
  <conditionalFormatting sqref="E22:G22 E107:G107 E192:G192">
    <cfRule type="expression" dxfId="1026" priority="59" stopIfTrue="1">
      <formula>IF(#REF!&gt;1,0,1)</formula>
    </cfRule>
  </conditionalFormatting>
  <conditionalFormatting sqref="H22:J22 H107:J107 H192:J192">
    <cfRule type="expression" dxfId="1025" priority="60" stopIfTrue="1">
      <formula>IF(#REF!&gt;2,0,1)</formula>
    </cfRule>
  </conditionalFormatting>
  <conditionalFormatting sqref="K22:M22 K107:M107 K192:M192">
    <cfRule type="expression" dxfId="1024" priority="61" stopIfTrue="1">
      <formula>IF(#REF!&gt;3,0,1)</formula>
    </cfRule>
  </conditionalFormatting>
  <conditionalFormatting sqref="N22:P22 N107:P107 N192:P192">
    <cfRule type="expression" dxfId="1023" priority="62" stopIfTrue="1">
      <formula>IF(#REF!&gt;4,0,1)</formula>
    </cfRule>
  </conditionalFormatting>
  <conditionalFormatting sqref="Q22:S22 Q107:S107 Q192:S192">
    <cfRule type="expression" dxfId="1022" priority="63" stopIfTrue="1">
      <formula>IF(#REF!&gt;5,0,1)</formula>
    </cfRule>
  </conditionalFormatting>
  <conditionalFormatting sqref="T22:V22 T107:V107 T192:V192">
    <cfRule type="expression" dxfId="1021" priority="64" stopIfTrue="1">
      <formula>IF(#REF!&gt;6,0,1)</formula>
    </cfRule>
  </conditionalFormatting>
  <conditionalFormatting sqref="W22:Y22 W107:Y107 W192:Y192">
    <cfRule type="expression" dxfId="1020" priority="65" stopIfTrue="1">
      <formula>IF(#REF!&gt;7,0,1)</formula>
    </cfRule>
  </conditionalFormatting>
  <conditionalFormatting sqref="Z22:AB22 Z107:AB107 Z192:AB192">
    <cfRule type="expression" dxfId="1019" priority="66" stopIfTrue="1">
      <formula>IF(#REF!&gt;8,0,1)</formula>
    </cfRule>
  </conditionalFormatting>
  <conditionalFormatting sqref="AC22:AE22 AC107:AE107 AC192:AE192">
    <cfRule type="expression" dxfId="1018" priority="67" stopIfTrue="1">
      <formula>IF(#REF!&gt;9,0,1)</formula>
    </cfRule>
  </conditionalFormatting>
  <conditionalFormatting sqref="B24 B109 B194">
    <cfRule type="expression" dxfId="1017" priority="68" stopIfTrue="1">
      <formula>IF(#REF!&gt;0,0,1)</formula>
    </cfRule>
  </conditionalFormatting>
  <conditionalFormatting sqref="C24 C109 C194">
    <cfRule type="expression" dxfId="1016" priority="69" stopIfTrue="1">
      <formula>IF(#REF!&gt;0,0,1)</formula>
    </cfRule>
  </conditionalFormatting>
  <conditionalFormatting sqref="D24 D109 D194">
    <cfRule type="expression" dxfId="1015" priority="70" stopIfTrue="1">
      <formula>IF(#REF!&gt;0,0,1)</formula>
    </cfRule>
  </conditionalFormatting>
  <conditionalFormatting sqref="E23:G23 E108:G108 E193:G193">
    <cfRule type="expression" dxfId="1014" priority="71" stopIfTrue="1">
      <formula>IF(#REF!&gt;1,0,1)</formula>
    </cfRule>
  </conditionalFormatting>
  <conditionalFormatting sqref="F24 F109 F194">
    <cfRule type="expression" dxfId="1013" priority="72" stopIfTrue="1">
      <formula>IF(#REF!&gt;1,0,1)</formula>
    </cfRule>
  </conditionalFormatting>
  <conditionalFormatting sqref="G24 G109 G194">
    <cfRule type="expression" dxfId="1012" priority="73" stopIfTrue="1">
      <formula>IF(#REF!&gt;1,0,1)</formula>
    </cfRule>
  </conditionalFormatting>
  <conditionalFormatting sqref="H23:J23 H108:J108 H193:J193">
    <cfRule type="expression" dxfId="1011" priority="74" stopIfTrue="1">
      <formula>IF(#REF!&gt;2,0,1)</formula>
    </cfRule>
  </conditionalFormatting>
  <conditionalFormatting sqref="I24 I109 I194">
    <cfRule type="expression" dxfId="1010" priority="75" stopIfTrue="1">
      <formula>IF(#REF!&gt;2,0,1)</formula>
    </cfRule>
  </conditionalFormatting>
  <conditionalFormatting sqref="J24 J109 J194">
    <cfRule type="expression" dxfId="1009" priority="76" stopIfTrue="1">
      <formula>IF(#REF!&gt;2,0,1)</formula>
    </cfRule>
  </conditionalFormatting>
  <conditionalFormatting sqref="K23:M23 K108:M108 K193:M193">
    <cfRule type="expression" dxfId="1008" priority="77" stopIfTrue="1">
      <formula>IF(#REF!&gt;3,0,1)</formula>
    </cfRule>
  </conditionalFormatting>
  <conditionalFormatting sqref="L24 L109 L194">
    <cfRule type="expression" dxfId="1007" priority="78" stopIfTrue="1">
      <formula>IF(#REF!&gt;3,0,1)</formula>
    </cfRule>
  </conditionalFormatting>
  <conditionalFormatting sqref="M24 M109 M194">
    <cfRule type="expression" dxfId="1006" priority="79" stopIfTrue="1">
      <formula>IF(#REF!&gt;3,0,1)</formula>
    </cfRule>
  </conditionalFormatting>
  <conditionalFormatting sqref="N23:P23 N108:P108 N193:P193">
    <cfRule type="expression" dxfId="1005" priority="80" stopIfTrue="1">
      <formula>IF(#REF!&gt;4,0,1)</formula>
    </cfRule>
  </conditionalFormatting>
  <conditionalFormatting sqref="O24 O109 O194">
    <cfRule type="expression" dxfId="1004" priority="81" stopIfTrue="1">
      <formula>IF(#REF!&gt;4,0,1)</formula>
    </cfRule>
  </conditionalFormatting>
  <conditionalFormatting sqref="P24 P109 P194">
    <cfRule type="expression" dxfId="1003" priority="82" stopIfTrue="1">
      <formula>IF(#REF!&gt;4,0,1)</formula>
    </cfRule>
  </conditionalFormatting>
  <conditionalFormatting sqref="Q23:S23 Q108:S108 Q193:S193">
    <cfRule type="expression" dxfId="1002" priority="83" stopIfTrue="1">
      <formula>IF(#REF!&gt;5,0,1)</formula>
    </cfRule>
  </conditionalFormatting>
  <conditionalFormatting sqref="R24 R109 R194">
    <cfRule type="expression" dxfId="1001" priority="84" stopIfTrue="1">
      <formula>IF(#REF!&gt;5,0,1)</formula>
    </cfRule>
  </conditionalFormatting>
  <conditionalFormatting sqref="S24 S109 S194">
    <cfRule type="expression" dxfId="1000" priority="85" stopIfTrue="1">
      <formula>IF(#REF!&gt;5,0,1)</formula>
    </cfRule>
  </conditionalFormatting>
  <conditionalFormatting sqref="T23:V23 T108:V108 T193:V193">
    <cfRule type="expression" dxfId="999" priority="86" stopIfTrue="1">
      <formula>IF(#REF!&gt;6,0,1)</formula>
    </cfRule>
  </conditionalFormatting>
  <conditionalFormatting sqref="U24 U109 U194">
    <cfRule type="expression" dxfId="998" priority="87" stopIfTrue="1">
      <formula>IF(#REF!&gt;6,0,1)</formula>
    </cfRule>
  </conditionalFormatting>
  <conditionalFormatting sqref="V24 V109 V194">
    <cfRule type="expression" dxfId="997" priority="88" stopIfTrue="1">
      <formula>IF(#REF!&gt;6,0,1)</formula>
    </cfRule>
  </conditionalFormatting>
  <conditionalFormatting sqref="W23:Y23 W108:Y108 W193:Y193">
    <cfRule type="expression" dxfId="996" priority="89" stopIfTrue="1">
      <formula>IF(#REF!&gt;7,0,1)</formula>
    </cfRule>
  </conditionalFormatting>
  <conditionalFormatting sqref="X24 X109 X194">
    <cfRule type="expression" dxfId="995" priority="90" stopIfTrue="1">
      <formula>IF(#REF!&gt;7,0,1)</formula>
    </cfRule>
  </conditionalFormatting>
  <conditionalFormatting sqref="Y24 Y109 Y194">
    <cfRule type="expression" dxfId="994" priority="91" stopIfTrue="1">
      <formula>IF(#REF!&gt;7,0,1)</formula>
    </cfRule>
  </conditionalFormatting>
  <conditionalFormatting sqref="Z23:AB23 Z108:AB108 Z193:AB193">
    <cfRule type="expression" dxfId="993" priority="92" stopIfTrue="1">
      <formula>IF(#REF!&gt;8,0,1)</formula>
    </cfRule>
  </conditionalFormatting>
  <conditionalFormatting sqref="AA24 AA109 AA194">
    <cfRule type="expression" dxfId="992" priority="93" stopIfTrue="1">
      <formula>IF(#REF!&gt;8,0,1)</formula>
    </cfRule>
  </conditionalFormatting>
  <conditionalFormatting sqref="AB24 AB109 AB194">
    <cfRule type="expression" dxfId="991" priority="94" stopIfTrue="1">
      <formula>IF(#REF!&gt;8,0,1)</formula>
    </cfRule>
  </conditionalFormatting>
  <conditionalFormatting sqref="AC23:AE23 AC108:AE108 AC193:AE193">
    <cfRule type="expression" dxfId="990" priority="95" stopIfTrue="1">
      <formula>IF(#REF!&gt;9,0,1)</formula>
    </cfRule>
  </conditionalFormatting>
  <conditionalFormatting sqref="AD24 AD109 AD194">
    <cfRule type="expression" dxfId="989" priority="96" stopIfTrue="1">
      <formula>IF(#REF!&gt;9,0,1)</formula>
    </cfRule>
  </conditionalFormatting>
  <conditionalFormatting sqref="AE24 AE109 AE194">
    <cfRule type="expression" dxfId="988" priority="97" stopIfTrue="1">
      <formula>IF(#REF!&gt;9,0,1)</formula>
    </cfRule>
  </conditionalFormatting>
  <conditionalFormatting sqref="A26 A111 A196">
    <cfRule type="expression" dxfId="987" priority="98" stopIfTrue="1">
      <formula>IF(#REF!&gt;1,0,1)</formula>
    </cfRule>
  </conditionalFormatting>
  <conditionalFormatting sqref="A27 A112 A197">
    <cfRule type="expression" dxfId="986" priority="99" stopIfTrue="1">
      <formula>IF(#REF!&gt;2,0,1)</formula>
    </cfRule>
  </conditionalFormatting>
  <conditionalFormatting sqref="A28 A113 A198">
    <cfRule type="expression" dxfId="985" priority="100" stopIfTrue="1">
      <formula>IF(#REF!&gt;3,0,1)</formula>
    </cfRule>
  </conditionalFormatting>
  <conditionalFormatting sqref="A29 A114 A199">
    <cfRule type="expression" dxfId="984" priority="101" stopIfTrue="1">
      <formula>IF(#REF!&gt;4,0,1)</formula>
    </cfRule>
  </conditionalFormatting>
  <conditionalFormatting sqref="B25:D25 B110:D110 B195:D195">
    <cfRule type="expression" dxfId="983" priority="102" stopIfTrue="1">
      <formula>IF(#REF!&gt;0,0,1)</formula>
    </cfRule>
  </conditionalFormatting>
  <conditionalFormatting sqref="B26:D26 B111:D111 B196:D196">
    <cfRule type="expression" dxfId="982" priority="103" stopIfTrue="1">
      <formula>IF(#REF!&lt;1,1,IF(#REF!&lt;2,1,0))</formula>
    </cfRule>
  </conditionalFormatting>
  <conditionalFormatting sqref="B27:D27 B112:D112 B197:D197">
    <cfRule type="expression" dxfId="981" priority="104" stopIfTrue="1">
      <formula>IF(#REF!&lt;1,1,IF(#REF!&lt;3,1,0))</formula>
    </cfRule>
  </conditionalFormatting>
  <conditionalFormatting sqref="B28:D28 B113:D113 B198:D198">
    <cfRule type="expression" dxfId="980" priority="105" stopIfTrue="1">
      <formula>IF(#REF!&lt;1,1,IF(#REF!&lt;4,1,0))</formula>
    </cfRule>
  </conditionalFormatting>
  <conditionalFormatting sqref="B29:D29 B114:D114 B199:D199">
    <cfRule type="expression" dxfId="979" priority="106" stopIfTrue="1">
      <formula>IF(#REF!&lt;1,1,IF(#REF!&lt;5,1,0))</formula>
    </cfRule>
  </conditionalFormatting>
  <conditionalFormatting sqref="AG23 AG108 AG193">
    <cfRule type="expression" dxfId="978" priority="107" stopIfTrue="1">
      <formula>IF(#REF!&lt;1,1,0)</formula>
    </cfRule>
  </conditionalFormatting>
  <conditionalFormatting sqref="AH23 AH108 AH193">
    <cfRule type="expression" dxfId="977" priority="108" stopIfTrue="1">
      <formula>IF(#REF!&lt;2,1,0)</formula>
    </cfRule>
  </conditionalFormatting>
  <conditionalFormatting sqref="AI23 AI108 AI193">
    <cfRule type="expression" dxfId="976" priority="109" stopIfTrue="1">
      <formula>IF(#REF!&lt;3,1,0)</formula>
    </cfRule>
  </conditionalFormatting>
  <conditionalFormatting sqref="AJ23 AJ108 AJ193">
    <cfRule type="expression" dxfId="975" priority="110" stopIfTrue="1">
      <formula>IF(#REF!&lt;4,1,0)</formula>
    </cfRule>
  </conditionalFormatting>
  <conditionalFormatting sqref="AK23 AK108 AK193">
    <cfRule type="expression" dxfId="974" priority="111" stopIfTrue="1">
      <formula>IF(#REF!&lt;5,1,0)</formula>
    </cfRule>
  </conditionalFormatting>
  <conditionalFormatting sqref="AL23 AL108 AL193">
    <cfRule type="expression" dxfId="973" priority="112" stopIfTrue="1">
      <formula>IF(#REF!&lt;6,1,0)</formula>
    </cfRule>
  </conditionalFormatting>
  <conditionalFormatting sqref="AM23 AM108 AM193">
    <cfRule type="expression" dxfId="972" priority="113" stopIfTrue="1">
      <formula>IF(#REF!&lt;7,1,0)</formula>
    </cfRule>
  </conditionalFormatting>
  <conditionalFormatting sqref="AN23 AN108 AN193">
    <cfRule type="expression" dxfId="971" priority="114" stopIfTrue="1">
      <formula>IF(#REF!&lt;8,1,0)</formula>
    </cfRule>
  </conditionalFormatting>
  <conditionalFormatting sqref="AO23 AO108 AO193">
    <cfRule type="expression" dxfId="970" priority="115" stopIfTrue="1">
      <formula>IF(#REF!&lt;9,1,0)</formula>
    </cfRule>
  </conditionalFormatting>
  <conditionalFormatting sqref="AP23 AP108 AP193">
    <cfRule type="expression" dxfId="969" priority="116" stopIfTrue="1">
      <formula>IF(#REF!&lt;10,1,0)</formula>
    </cfRule>
  </conditionalFormatting>
  <conditionalFormatting sqref="AQ24 AQ109 AQ194">
    <cfRule type="expression" dxfId="968" priority="117" stopIfTrue="1">
      <formula>IF(#REF!&gt;0,0,1)</formula>
    </cfRule>
  </conditionalFormatting>
  <conditionalFormatting sqref="AQ25 AQ110 AQ195">
    <cfRule type="expression" dxfId="967" priority="118" stopIfTrue="1">
      <formula>IF(#REF!&gt;1,0,1)</formula>
    </cfRule>
  </conditionalFormatting>
  <conditionalFormatting sqref="AQ26 H25:J25 AQ111 H110:J110 AQ196 H195:J195">
    <cfRule type="expression" dxfId="966" priority="119" stopIfTrue="1">
      <formula>IF(#REF!&gt;2,0,1)</formula>
    </cfRule>
  </conditionalFormatting>
  <conditionalFormatting sqref="K110:M110 K25:M25 K195:M195">
    <cfRule type="expression" dxfId="965" priority="120" stopIfTrue="1">
      <formula>IF(#REF!&gt;3,0,1)</formula>
    </cfRule>
  </conditionalFormatting>
  <conditionalFormatting sqref="AQ28 AQ113 AQ198">
    <cfRule type="expression" dxfId="964" priority="121" stopIfTrue="1">
      <formula>IF(#REF!&gt;4,0,1)</formula>
    </cfRule>
  </conditionalFormatting>
  <conditionalFormatting sqref="E26:G26 E111:G111 E196:G196">
    <cfRule type="expression" dxfId="963" priority="122" stopIfTrue="1">
      <formula>IF(#REF!&lt;2,1,IF(#REF!&lt;2,1,0))</formula>
    </cfRule>
  </conditionalFormatting>
  <conditionalFormatting sqref="E27:G27 E112:G112 E197:G197">
    <cfRule type="expression" dxfId="962" priority="123" stopIfTrue="1">
      <formula>IF(#REF!&lt;2,1,IF(#REF!&lt;3,1,0))</formula>
    </cfRule>
  </conditionalFormatting>
  <conditionalFormatting sqref="E28:G28 E113:G113 E198:G198">
    <cfRule type="expression" dxfId="961" priority="124" stopIfTrue="1">
      <formula>IF(#REF!&lt;2,1,IF(#REF!&lt;4,1,0))</formula>
    </cfRule>
  </conditionalFormatting>
  <conditionalFormatting sqref="E29:G29 E114:G114 E199:G199">
    <cfRule type="expression" dxfId="960" priority="125" stopIfTrue="1">
      <formula>IF(#REF!&lt;2,1,IF(#REF!&lt;5,1,0))</formula>
    </cfRule>
  </conditionalFormatting>
  <conditionalFormatting sqref="N25:P25 N110:P110 N195:P195">
    <cfRule type="expression" dxfId="959" priority="126" stopIfTrue="1">
      <formula>IF(#REF!&gt;4,0,1)</formula>
    </cfRule>
  </conditionalFormatting>
  <conditionalFormatting sqref="Q25:S25 Q110:S110 Q195:S195">
    <cfRule type="expression" dxfId="958" priority="127" stopIfTrue="1">
      <formula>IF(#REF!&gt;5,0,1)</formula>
    </cfRule>
  </conditionalFormatting>
  <conditionalFormatting sqref="T25:V25 T110:V110 T195:V195">
    <cfRule type="expression" dxfId="957" priority="128" stopIfTrue="1">
      <formula>IF(#REF!&gt;6,0,1)</formula>
    </cfRule>
  </conditionalFormatting>
  <conditionalFormatting sqref="W25:Y25 W110:Y110 W195:Y195">
    <cfRule type="expression" dxfId="956" priority="129" stopIfTrue="1">
      <formula>IF(#REF!&gt;7,0,1)</formula>
    </cfRule>
  </conditionalFormatting>
  <conditionalFormatting sqref="Z25:AB25 Z110:AB110 Z195:AB195">
    <cfRule type="expression" dxfId="955" priority="130" stopIfTrue="1">
      <formula>IF(#REF!&gt;8,0,1)</formula>
    </cfRule>
  </conditionalFormatting>
  <conditionalFormatting sqref="AC25:AE25 AC110:AE110 AC195:AE195">
    <cfRule type="expression" dxfId="954" priority="131" stopIfTrue="1">
      <formula>IF(#REF!&gt;9,0,1)</formula>
    </cfRule>
  </conditionalFormatting>
  <conditionalFormatting sqref="H26:J26 H111:J111 H196:J196">
    <cfRule type="expression" dxfId="953" priority="132" stopIfTrue="1">
      <formula>IF(#REF!&lt;3,1,IF(#REF!&lt;2,1,0))</formula>
    </cfRule>
  </conditionalFormatting>
  <conditionalFormatting sqref="K26:M26 K111:M111 K196:M196">
    <cfRule type="expression" dxfId="952" priority="133" stopIfTrue="1">
      <formula>IF(#REF!&lt;4,1,IF(#REF!&lt;2,1,0))</formula>
    </cfRule>
  </conditionalFormatting>
  <conditionalFormatting sqref="N26:P26 N111:P111 N196:P196">
    <cfRule type="expression" dxfId="951" priority="134" stopIfTrue="1">
      <formula>IF(#REF!&lt;5,1,IF(#REF!&lt;2,1,0))</formula>
    </cfRule>
  </conditionalFormatting>
  <conditionalFormatting sqref="Q26:S26 Q111:S111 Q196:S196">
    <cfRule type="expression" dxfId="950" priority="135" stopIfTrue="1">
      <formula>IF(#REF!&lt;6,1,IF(#REF!&lt;2,1,0))</formula>
    </cfRule>
  </conditionalFormatting>
  <conditionalFormatting sqref="T26:V26 T111:V111 T196:V196">
    <cfRule type="expression" dxfId="949" priority="136" stopIfTrue="1">
      <formula>IF(#REF!&lt;7,1,IF(#REF!&lt;2,1,0))</formula>
    </cfRule>
  </conditionalFormatting>
  <conditionalFormatting sqref="W26:Y26 W111:Y111 W196:Y196">
    <cfRule type="expression" dxfId="948" priority="137" stopIfTrue="1">
      <formula>IF(#REF!&lt;8,1,IF(#REF!&lt;2,1,0))</formula>
    </cfRule>
  </conditionalFormatting>
  <conditionalFormatting sqref="Z26:AB26 Z111:AB111 Z196:AB196">
    <cfRule type="expression" dxfId="947" priority="138" stopIfTrue="1">
      <formula>IF(#REF!&lt;9,1,IF(#REF!&lt;2,1,0))</formula>
    </cfRule>
  </conditionalFormatting>
  <conditionalFormatting sqref="AC26:AE26 AC111:AE111 AC196:AE196">
    <cfRule type="expression" dxfId="946" priority="139" stopIfTrue="1">
      <formula>IF(#REF!&lt;10,1,IF(#REF!&lt;2,1,0))</formula>
    </cfRule>
  </conditionalFormatting>
  <conditionalFormatting sqref="H27:J27 H112:J112 H197:J197">
    <cfRule type="expression" dxfId="945" priority="140" stopIfTrue="1">
      <formula>IF(#REF!&lt;3,1,IF(#REF!&lt;3,1,0))</formula>
    </cfRule>
  </conditionalFormatting>
  <conditionalFormatting sqref="K27:M27 K112:M112 K197:M197">
    <cfRule type="expression" dxfId="944" priority="141" stopIfTrue="1">
      <formula>IF(#REF!&lt;4,1,IF(#REF!&lt;3,1,0))</formula>
    </cfRule>
  </conditionalFormatting>
  <conditionalFormatting sqref="N27:P27 N112:P112 N197:P197">
    <cfRule type="expression" dxfId="943" priority="142" stopIfTrue="1">
      <formula>IF(#REF!&lt;5,1,IF(#REF!&lt;3,1,0))</formula>
    </cfRule>
  </conditionalFormatting>
  <conditionalFormatting sqref="Q27:S27 Q112:S112 Q197:S197">
    <cfRule type="expression" dxfId="942" priority="143" stopIfTrue="1">
      <formula>IF(#REF!&lt;6,1,IF(#REF!&lt;3,1,0))</formula>
    </cfRule>
  </conditionalFormatting>
  <conditionalFormatting sqref="T27:V27 T112:V112 T197:V197">
    <cfRule type="expression" dxfId="941" priority="144" stopIfTrue="1">
      <formula>IF(#REF!&lt;7,1,IF(#REF!&lt;3,1,0))</formula>
    </cfRule>
  </conditionalFormatting>
  <conditionalFormatting sqref="W27:Y27 W112:Y112 W197:Y197">
    <cfRule type="expression" dxfId="940" priority="145" stopIfTrue="1">
      <formula>IF(#REF!&lt;8,1,IF(#REF!&lt;3,1,0))</formula>
    </cfRule>
  </conditionalFormatting>
  <conditionalFormatting sqref="Z27:AB27 Z112:AB112 Z197:AB197">
    <cfRule type="expression" dxfId="939" priority="146" stopIfTrue="1">
      <formula>IF(#REF!&lt;9,1,IF(#REF!&lt;3,1,0))</formula>
    </cfRule>
  </conditionalFormatting>
  <conditionalFormatting sqref="AC27:AE27 AC112:AE112 AC197:AE197">
    <cfRule type="expression" dxfId="938" priority="147" stopIfTrue="1">
      <formula>IF(#REF!&lt;10,1,IF(#REF!&lt;3,1,0))</formula>
    </cfRule>
  </conditionalFormatting>
  <conditionalFormatting sqref="H28:J28 H113:J113 H198:J198">
    <cfRule type="expression" dxfId="937" priority="148" stopIfTrue="1">
      <formula>IF(#REF!&lt;3,1,IF(#REF!&lt;4,1,0))</formula>
    </cfRule>
  </conditionalFormatting>
  <conditionalFormatting sqref="K28:M28 K113:M113 K198:M198">
    <cfRule type="expression" dxfId="936" priority="149" stopIfTrue="1">
      <formula>IF(#REF!&lt;4,1,IF(#REF!&lt;4,1,0))</formula>
    </cfRule>
  </conditionalFormatting>
  <conditionalFormatting sqref="N28:P28 N113:P113 N198:P198">
    <cfRule type="expression" dxfId="935" priority="150" stopIfTrue="1">
      <formula>IF(#REF!&lt;5,1,IF(#REF!&lt;4,1,0))</formula>
    </cfRule>
  </conditionalFormatting>
  <conditionalFormatting sqref="Q28:S28 Q113:S113 Q198:S198">
    <cfRule type="expression" dxfId="934" priority="151" stopIfTrue="1">
      <formula>IF(#REF!&lt;6,1,IF(#REF!&lt;4,1,0))</formula>
    </cfRule>
  </conditionalFormatting>
  <conditionalFormatting sqref="T28:V28 T113:V113 T198:V198">
    <cfRule type="expression" dxfId="933" priority="152" stopIfTrue="1">
      <formula>IF(#REF!&lt;7,1,IF(#REF!&lt;4,1,0))</formula>
    </cfRule>
  </conditionalFormatting>
  <conditionalFormatting sqref="W28:Y28 W113:Y113 W198:Y198">
    <cfRule type="expression" dxfId="932" priority="153" stopIfTrue="1">
      <formula>IF(#REF!&lt;8,1,IF(#REF!&lt;4,1,0))</formula>
    </cfRule>
  </conditionalFormatting>
  <conditionalFormatting sqref="Z28:AB28 Z113:AB113 Z198:AB198">
    <cfRule type="expression" dxfId="931" priority="154" stopIfTrue="1">
      <formula>IF(#REF!&lt;9,1,IF(#REF!&lt;4,1,0))</formula>
    </cfRule>
  </conditionalFormatting>
  <conditionalFormatting sqref="AC28:AE28 AC113:AE113 AC198:AE198">
    <cfRule type="expression" dxfId="930" priority="155" stopIfTrue="1">
      <formula>IF(#REF!&lt;10,1,IF(#REF!&lt;4,1,0))</formula>
    </cfRule>
  </conditionalFormatting>
  <conditionalFormatting sqref="H29:J29 H114:J114 H199:J199">
    <cfRule type="expression" dxfId="929" priority="156" stopIfTrue="1">
      <formula>IF(#REF!&lt;3,1,IF(#REF!&lt;5,1,0))</formula>
    </cfRule>
  </conditionalFormatting>
  <conditionalFormatting sqref="K29:M29 K114:M114 K199:M199">
    <cfRule type="expression" dxfId="928" priority="157" stopIfTrue="1">
      <formula>IF(#REF!&lt;4,1,IF(#REF!&lt;5,1,0))</formula>
    </cfRule>
  </conditionalFormatting>
  <conditionalFormatting sqref="N29:P29 N114:P114 N199:P199">
    <cfRule type="expression" dxfId="927" priority="158" stopIfTrue="1">
      <formula>IF(#REF!&lt;5,1,IF(#REF!&lt;5,1,0))</formula>
    </cfRule>
  </conditionalFormatting>
  <conditionalFormatting sqref="Q29:S29 Q114:S114 Q199:S199">
    <cfRule type="expression" dxfId="926" priority="159" stopIfTrue="1">
      <formula>IF(#REF!&lt;6,1,IF(#REF!&lt;5,1,0))</formula>
    </cfRule>
  </conditionalFormatting>
  <conditionalFormatting sqref="T29:V29 T114:V114 T199:V199">
    <cfRule type="expression" dxfId="925" priority="160" stopIfTrue="1">
      <formula>IF(#REF!&lt;7,1,IF(#REF!&lt;5,1,0))</formula>
    </cfRule>
  </conditionalFormatting>
  <conditionalFormatting sqref="W29:Y29 W114:Y114 W199:Y199">
    <cfRule type="expression" dxfId="924" priority="161" stopIfTrue="1">
      <formula>IF(#REF!&lt;8,1,IF(#REF!&lt;5,1,0))</formula>
    </cfRule>
  </conditionalFormatting>
  <conditionalFormatting sqref="Z29:AB29 Z114:AB114 Z199:AB199">
    <cfRule type="expression" dxfId="923" priority="162" stopIfTrue="1">
      <formula>IF(#REF!&lt;9,1,IF(#REF!&lt;5,1,0))</formula>
    </cfRule>
  </conditionalFormatting>
  <conditionalFormatting sqref="AC29:AE29 AC114:AE114 AC199:AE199">
    <cfRule type="expression" dxfId="922" priority="163" stopIfTrue="1">
      <formula>IF(#REF!&lt;10,1,IF(#REF!&lt;5,1,0))</formula>
    </cfRule>
  </conditionalFormatting>
  <conditionalFormatting sqref="R99:AB100 AF99:AF100 L99:P100 R14:AB15 AF14:AF15 L14:P15 R184:AB185 AF184:AF185 L184:P185 AG14 AG99 AG184">
    <cfRule type="expression" dxfId="921" priority="164" stopIfTrue="1">
      <formula>IF(#REF!&gt;3,0,1)</formula>
    </cfRule>
  </conditionalFormatting>
  <conditionalFormatting sqref="R101:AB102 AF101:AF102 L101:P102 R16:AB17 AF16:AF17 L16:P17 R186:AB187 AF186:AF187 L186:P187 AG16 AG101 AG186">
    <cfRule type="expression" dxfId="920" priority="165" stopIfTrue="1">
      <formula>IF(#REF!&gt;4,0,1)</formula>
    </cfRule>
  </conditionalFormatting>
  <conditionalFormatting sqref="R93:AB94 AF93:AF94 L93:P94 R8:AB9 AF8:AF9 L8:P9 R178:AB179 AF178:AF179 L178:P179 AG8 AG93 AG178">
    <cfRule type="expression" dxfId="919" priority="166" stopIfTrue="1">
      <formula>IF($AK9&gt;0,0,1)</formula>
    </cfRule>
  </conditionalFormatting>
  <conditionalFormatting sqref="R95:AB96 AF95:AF96 L95:P96 R10:AB11 AF10:AF11 L10:P11 R180:AB181 AF180:AF181 L180:P181 AG10 AG95 AG180">
    <cfRule type="expression" dxfId="918" priority="167" stopIfTrue="1">
      <formula>IF(#REF!&gt;1,0,1)</formula>
    </cfRule>
  </conditionalFormatting>
  <conditionalFormatting sqref="R97:AB98 AF97:AF98 L97:P98 R12:AB13 AF12:AF13 L12:P13 R182:AB183 AF182:AF183 L182:P183 AG12 AG97 AG182">
    <cfRule type="expression" dxfId="917" priority="168" stopIfTrue="1">
      <formula>IF(#REF!&gt;2,0,1)</formula>
    </cfRule>
  </conditionalFormatting>
  <conditionalFormatting sqref="E109 E24 E194">
    <cfRule type="expression" dxfId="916" priority="169" stopIfTrue="1">
      <formula>IF(#REF!&gt;1,0,1)</formula>
    </cfRule>
  </conditionalFormatting>
  <conditionalFormatting sqref="H109 H24 H194">
    <cfRule type="expression" dxfId="915" priority="170" stopIfTrue="1">
      <formula>IF(#REF!&gt;2,0,1)</formula>
    </cfRule>
  </conditionalFormatting>
  <conditionalFormatting sqref="K109 K24 K194">
    <cfRule type="expression" dxfId="914" priority="171" stopIfTrue="1">
      <formula>IF(#REF!&gt;3,0,1)</formula>
    </cfRule>
  </conditionalFormatting>
  <conditionalFormatting sqref="N109 N24 N194">
    <cfRule type="expression" dxfId="913" priority="172" stopIfTrue="1">
      <formula>IF(#REF!&gt;4,0,1)</formula>
    </cfRule>
  </conditionalFormatting>
  <conditionalFormatting sqref="Q109 Q24 Q194">
    <cfRule type="expression" dxfId="912" priority="173" stopIfTrue="1">
      <formula>IF(#REF!&gt;5,0,1)</formula>
    </cfRule>
  </conditionalFormatting>
  <conditionalFormatting sqref="T109 T24 T194">
    <cfRule type="expression" dxfId="911" priority="174" stopIfTrue="1">
      <formula>IF(#REF!&gt;6,0,1)</formula>
    </cfRule>
  </conditionalFormatting>
  <conditionalFormatting sqref="W109 W24 W194">
    <cfRule type="expression" dxfId="910" priority="175" stopIfTrue="1">
      <formula>IF(#REF!&gt;7,0,1)</formula>
    </cfRule>
  </conditionalFormatting>
  <conditionalFormatting sqref="Z109 Z24 Z194">
    <cfRule type="expression" dxfId="909" priority="176" stopIfTrue="1">
      <formula>IF(#REF!&gt;8,0,1)</formula>
    </cfRule>
  </conditionalFormatting>
  <conditionalFormatting sqref="AC109 AC24 AC194">
    <cfRule type="expression" dxfId="908" priority="177" stopIfTrue="1">
      <formula>IF(#REF!&gt;9,0,1)</formula>
    </cfRule>
  </conditionalFormatting>
  <conditionalFormatting sqref="AQ112 AQ27 AQ197">
    <cfRule type="expression" dxfId="907" priority="178" stopIfTrue="1">
      <formula>IF(#REF!&gt;3,0,1)</formula>
    </cfRule>
  </conditionalFormatting>
  <conditionalFormatting sqref="E110:G110 E25:G25 E195:G195">
    <cfRule type="expression" dxfId="906" priority="179" stopIfTrue="1">
      <formula>IF(#REF!&gt;1,0,1)</formula>
    </cfRule>
  </conditionalFormatting>
  <conditionalFormatting sqref="B106:D106 B21:D21 B191:D191">
    <cfRule type="expression" dxfId="905" priority="180" stopIfTrue="1">
      <formula>IF(#REF!&gt;0,0,1)</formula>
    </cfRule>
  </conditionalFormatting>
  <conditionalFormatting sqref="E106:G106 E21:G21 E191:G191">
    <cfRule type="expression" dxfId="904" priority="181" stopIfTrue="1">
      <formula>IF(#REF!&gt;1,0,1)</formula>
    </cfRule>
  </conditionalFormatting>
  <conditionalFormatting sqref="H106:J106 H21:J21 H191:J191">
    <cfRule type="expression" dxfId="903" priority="182" stopIfTrue="1">
      <formula>IF(#REF!&gt;2,0,1)</formula>
    </cfRule>
  </conditionalFormatting>
  <conditionalFormatting sqref="K106:M106 K21:M21 K191:M191">
    <cfRule type="expression" dxfId="902" priority="183" stopIfTrue="1">
      <formula>IF(#REF!&gt;3,0,1)</formula>
    </cfRule>
  </conditionalFormatting>
  <conditionalFormatting sqref="N106:P106 N21:P21 N191:P191">
    <cfRule type="expression" dxfId="901" priority="184" stopIfTrue="1">
      <formula>IF(#REF!&gt;4,0,1)</formula>
    </cfRule>
  </conditionalFormatting>
  <conditionalFormatting sqref="Q106:S106 Q21:S21 Q191:S191">
    <cfRule type="expression" dxfId="900" priority="185" stopIfTrue="1">
      <formula>IF(#REF!&gt;5,0,1)</formula>
    </cfRule>
  </conditionalFormatting>
  <conditionalFormatting sqref="T106:V106 T21:V21 T191:V191">
    <cfRule type="expression" dxfId="899" priority="186" stopIfTrue="1">
      <formula>IF(#REF!&gt;6,0,1)</formula>
    </cfRule>
  </conditionalFormatting>
  <conditionalFormatting sqref="W106:Y106 W21:Y21 W191:Y191">
    <cfRule type="expression" dxfId="898" priority="187" stopIfTrue="1">
      <formula>IF(#REF!&gt;7,0,1)</formula>
    </cfRule>
  </conditionalFormatting>
  <conditionalFormatting sqref="Z106:AB106 Z21:AB21 Z191:AB191">
    <cfRule type="expression" dxfId="897" priority="188" stopIfTrue="1">
      <formula>IF(#REF!&gt;8,0,1)</formula>
    </cfRule>
  </conditionalFormatting>
  <conditionalFormatting sqref="AC106:AE106 AC21:AE21 AC191:AE191">
    <cfRule type="expression" dxfId="896" priority="189" stopIfTrue="1">
      <formula>IF(#REF!&gt;9,0,1)</formula>
    </cfRule>
  </conditionalFormatting>
  <conditionalFormatting sqref="X315:X316 W306:W307 X306:Y306 X357:Z358 Y359:Y360 AB358:AB360 X354:X355 AE358:AE360 W309:Y314 Z310:AE313 AA314:AA316 I314:I316 C315:C316 B306:B307 C306:D306 B309:D314 E310:J313 F314:F316 I362:I364 C363:C364 B354:B355 C354:D354 B357:D362 E358:J361 AD314:AD316 F362:F364">
    <cfRule type="expression" dxfId="895" priority="190" stopIfTrue="1">
      <formula>IF(#REF!&gt;0,0,1)</formula>
    </cfRule>
  </conditionalFormatting>
  <conditionalFormatting sqref="AA306:AB306 AA354:AA358 AC357:AC358 AB357 AB314 AA309:AB309 Z314 Z306:Z309 F306:G306 G314 F309:G309 E314 E306:E309 F354:G354 G362 F357:G357 E362 E354:E357">
    <cfRule type="expression" dxfId="894" priority="191" stopIfTrue="1">
      <formula>IF(#REF!&gt;1,0,1)</formula>
    </cfRule>
  </conditionalFormatting>
  <conditionalFormatting sqref="AD354:AD358 AF357:AF358 AE357 AC306:AC309 AG358 AD306:AE306 AE314 AD309:AE309 AC314 H314 H306:H309 I306:J306 J314 I309:J309 H354:H357 I354:J354 J362 I357:J357 H362">
    <cfRule type="expression" dxfId="893" priority="192" stopIfTrue="1">
      <formula>IF(#REF!&gt;2,0,1)</formula>
    </cfRule>
  </conditionalFormatting>
  <conditionalFormatting sqref="X359 Z359 W315 Y315 B315 D315 B363 D363">
    <cfRule type="expression" dxfId="892" priority="193" stopIfTrue="1">
      <formula>IF(#REF!&lt;1,1,IF(#REF!&lt;2,1,0))</formula>
    </cfRule>
  </conditionalFormatting>
  <conditionalFormatting sqref="AA359 AC359 Z315 AB315 E315 G315 E363 G363">
    <cfRule type="expression" dxfId="891" priority="194" stopIfTrue="1">
      <formula>IF(#REF!&lt;2,1,IF(#REF!&lt;2,1,0))</formula>
    </cfRule>
  </conditionalFormatting>
  <conditionalFormatting sqref="AD359 AF359 AC315 AE315 H315 J315 H363 J363">
    <cfRule type="expression" dxfId="890" priority="195" stopIfTrue="1">
      <formula>IF(#REF!&lt;3,1,IF(#REF!&lt;2,1,0))</formula>
    </cfRule>
  </conditionalFormatting>
  <conditionalFormatting sqref="X360 Z360 Y316 B316 D316 B364 W316 D364">
    <cfRule type="expression" dxfId="889" priority="196" stopIfTrue="1">
      <formula>IF(#REF!&lt;1,1,IF(#REF!&lt;3,1,0))</formula>
    </cfRule>
  </conditionalFormatting>
  <conditionalFormatting sqref="AA360 AC360 AB316 E316 G316 E364 Z316 G364">
    <cfRule type="expression" dxfId="888" priority="197" stopIfTrue="1">
      <formula>IF(#REF!&lt;2,1,IF(#REF!&lt;3,1,0))</formula>
    </cfRule>
  </conditionalFormatting>
  <conditionalFormatting sqref="AD360 AF360 AE316 H316 J316 H364 AC316 J364">
    <cfRule type="expression" dxfId="887" priority="198" stopIfTrue="1">
      <formula>IF(#REF!&lt;3,1,IF(#REF!&lt;3,1,0))</formula>
    </cfRule>
  </conditionalFormatting>
  <conditionalFormatting sqref="AG109:AP113 AG24:AP28 AG194:AP198">
    <cfRule type="cellIs" dxfId="886" priority="199" stopIfTrue="1" operator="notBetween">
      <formula>-9999</formula>
      <formula>9999</formula>
    </cfRule>
  </conditionalFormatting>
  <conditionalFormatting sqref="AC7 AC92 AC177">
    <cfRule type="expression" dxfId="885" priority="200" stopIfTrue="1">
      <formula>IF($AK$11=0,1,0)</formula>
    </cfRule>
  </conditionalFormatting>
  <conditionalFormatting sqref="B103 B18 B188">
    <cfRule type="expression" dxfId="884" priority="201" stopIfTrue="1">
      <formula>IF($AK$9&gt;0,0,1)</formula>
    </cfRule>
  </conditionalFormatting>
  <conditionalFormatting sqref="B22:D23 B107:D108 B192:D193">
    <cfRule type="cellIs" dxfId="883" priority="202" stopIfTrue="1" operator="equal">
      <formula>99</formula>
    </cfRule>
  </conditionalFormatting>
  <conditionalFormatting sqref="C317 F317 X317 AA317 C365 F365">
    <cfRule type="expression" dxfId="882" priority="203" stopIfTrue="1">
      <formula>IF(#REF!&gt;0,0,1)</formula>
    </cfRule>
  </conditionalFormatting>
  <conditionalFormatting sqref="K306">
    <cfRule type="expression" dxfId="881" priority="3" stopIfTrue="1">
      <formula>IF(ISNUMBER(K314),0,1)</formula>
    </cfRule>
  </conditionalFormatting>
  <conditionalFormatting sqref="K354">
    <cfRule type="expression" dxfId="880" priority="2" stopIfTrue="1">
      <formula>IF(ISNUMBER(K362),0,1)</formula>
    </cfRule>
  </conditionalFormatting>
  <conditionalFormatting sqref="AF306">
    <cfRule type="expression" dxfId="879" priority="1" stopIfTrue="1">
      <formula>IF(ISNUMBER(AF314),0,1)</formula>
    </cfRule>
  </conditionalFormatting>
  <pageMargins left="0.25" right="0.25" top="0.25" bottom="0.25" header="0" footer="0"/>
  <pageSetup scale="52" orientation="portrait" horizontalDpi="4294967293" verticalDpi="4294967293"/>
  <headerFooter alignWithMargins="0"/>
  <rowBreaks count="4" manualBreakCount="4">
    <brk id="90" max="42" man="1"/>
    <brk id="175" max="42" man="1"/>
    <brk id="260" max="42" man="1"/>
    <brk id="325" max="42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7"/>
  <sheetViews>
    <sheetView workbookViewId="0"/>
  </sheetViews>
  <sheetFormatPr defaultRowHeight="12.75" x14ac:dyDescent="0.2"/>
  <cols>
    <col min="1" max="2" width="25.28515625" bestFit="1" customWidth="1"/>
    <col min="3" max="3" width="13.28515625" bestFit="1" customWidth="1"/>
    <col min="4" max="4" width="14.28515625" bestFit="1" customWidth="1"/>
    <col min="5" max="5" width="9.7109375" bestFit="1" customWidth="1"/>
    <col min="6" max="6" width="7.5703125" bestFit="1" customWidth="1"/>
    <col min="8" max="8" width="27.7109375" bestFit="1" customWidth="1"/>
  </cols>
  <sheetData>
    <row r="1" spans="1:8" ht="13.5" thickBot="1" x14ac:dyDescent="0.25">
      <c r="A1" s="1059" t="s">
        <v>6</v>
      </c>
      <c r="B1" s="1060" t="s">
        <v>7</v>
      </c>
      <c r="C1" s="1061" t="s">
        <v>8</v>
      </c>
      <c r="D1" s="1062" t="s">
        <v>9</v>
      </c>
      <c r="E1" s="1063" t="s">
        <v>10</v>
      </c>
      <c r="F1" s="1062" t="s">
        <v>11</v>
      </c>
      <c r="H1" t="s">
        <v>1219</v>
      </c>
    </row>
    <row r="2" spans="1:8" ht="13.5" thickBot="1" x14ac:dyDescent="0.25">
      <c r="A2" s="1079">
        <v>1</v>
      </c>
      <c r="B2" s="167" t="s">
        <v>626</v>
      </c>
      <c r="C2" s="167" t="s">
        <v>251</v>
      </c>
      <c r="D2" s="1080">
        <v>1192.0777643975948</v>
      </c>
      <c r="E2" s="1081">
        <v>1235.0933022219344</v>
      </c>
      <c r="F2" s="1082">
        <v>1235.0933022219344</v>
      </c>
      <c r="H2" t="s">
        <v>1219</v>
      </c>
    </row>
    <row r="3" spans="1:8" ht="13.5" thickBot="1" x14ac:dyDescent="0.25">
      <c r="A3" s="1090">
        <v>2</v>
      </c>
      <c r="B3" s="167" t="s">
        <v>566</v>
      </c>
      <c r="C3" s="167" t="s">
        <v>565</v>
      </c>
      <c r="D3" s="1080">
        <v>1216.9982652053041</v>
      </c>
      <c r="E3" s="1091">
        <v>1158.6168950584097</v>
      </c>
      <c r="F3" s="1092">
        <v>1158.6168950584097</v>
      </c>
      <c r="H3" t="s">
        <v>1219</v>
      </c>
    </row>
    <row r="4" spans="1:8" ht="13.5" thickBot="1" x14ac:dyDescent="0.25">
      <c r="A4" s="1090">
        <v>3</v>
      </c>
      <c r="B4" s="167" t="s">
        <v>615</v>
      </c>
      <c r="C4" s="167" t="s">
        <v>614</v>
      </c>
      <c r="D4" s="1080">
        <v>1157.3958897894904</v>
      </c>
      <c r="E4" s="1091">
        <v>1184.5649349646574</v>
      </c>
      <c r="F4" s="1092">
        <v>1184.5649349646574</v>
      </c>
      <c r="H4" t="s">
        <v>1219</v>
      </c>
    </row>
    <row r="5" spans="1:8" ht="13.5" thickBot="1" x14ac:dyDescent="0.25">
      <c r="A5" s="1090">
        <v>4</v>
      </c>
      <c r="B5" s="167" t="s">
        <v>568</v>
      </c>
      <c r="C5" s="167" t="s">
        <v>567</v>
      </c>
      <c r="D5" s="1080">
        <v>1190.9295575057661</v>
      </c>
      <c r="E5" s="1091">
        <v>1193.2734220466778</v>
      </c>
      <c r="F5" s="1092">
        <v>1193.2734220466778</v>
      </c>
      <c r="H5" t="s">
        <v>1219</v>
      </c>
    </row>
    <row r="6" spans="1:8" ht="13.5" thickBot="1" x14ac:dyDescent="0.25">
      <c r="A6" s="1126">
        <v>5</v>
      </c>
      <c r="B6" s="167" t="s">
        <v>632</v>
      </c>
      <c r="C6" s="167" t="s">
        <v>631</v>
      </c>
      <c r="D6" s="1080">
        <v>1119.6481618996331</v>
      </c>
      <c r="E6" s="1127">
        <v>1105.5010845061092</v>
      </c>
      <c r="F6" s="1128">
        <v>1105.5010845061092</v>
      </c>
      <c r="H6" t="s">
        <v>1219</v>
      </c>
    </row>
    <row r="7" spans="1:8" x14ac:dyDescent="0.2">
      <c r="A7" s="1242" t="s">
        <v>88</v>
      </c>
      <c r="B7" s="1239"/>
      <c r="C7" s="1239"/>
      <c r="D7" s="1243"/>
      <c r="E7" s="1239"/>
      <c r="F7" s="1239"/>
      <c r="H7" t="s">
        <v>1219</v>
      </c>
    </row>
    <row r="8" spans="1:8" x14ac:dyDescent="0.2">
      <c r="A8" s="1239" t="s">
        <v>626</v>
      </c>
      <c r="B8" s="1239">
        <v>1235.0933022219344</v>
      </c>
      <c r="C8" s="1239"/>
      <c r="D8" s="1243"/>
      <c r="E8" s="1239"/>
      <c r="F8" s="1239"/>
      <c r="H8" t="s">
        <v>1219</v>
      </c>
    </row>
    <row r="9" spans="1:8" x14ac:dyDescent="0.2">
      <c r="A9" s="1239" t="s">
        <v>566</v>
      </c>
      <c r="B9" s="1239">
        <v>1158.6168950584097</v>
      </c>
      <c r="C9" s="1239"/>
      <c r="D9" s="1243"/>
      <c r="E9" s="1239"/>
      <c r="F9" s="1239"/>
      <c r="H9" t="s">
        <v>1219</v>
      </c>
    </row>
    <row r="10" spans="1:8" x14ac:dyDescent="0.2">
      <c r="A10" s="1239" t="s">
        <v>615</v>
      </c>
      <c r="B10" s="1239">
        <v>1184.5649349646574</v>
      </c>
      <c r="C10" s="1239"/>
      <c r="D10" s="1243"/>
      <c r="E10" s="1239"/>
      <c r="F10" s="1239"/>
      <c r="H10" t="s">
        <v>1219</v>
      </c>
    </row>
    <row r="11" spans="1:8" x14ac:dyDescent="0.2">
      <c r="A11" s="1239" t="s">
        <v>568</v>
      </c>
      <c r="B11" s="1239">
        <v>1193.2734220466778</v>
      </c>
      <c r="C11" s="1239"/>
      <c r="D11" s="1243"/>
      <c r="E11" s="1239"/>
      <c r="F11" s="1239"/>
      <c r="H11" t="s">
        <v>1219</v>
      </c>
    </row>
    <row r="12" spans="1:8" ht="13.5" thickBot="1" x14ac:dyDescent="0.25">
      <c r="A12" s="1239" t="s">
        <v>632</v>
      </c>
      <c r="B12" s="1239">
        <v>1105.5010845061092</v>
      </c>
      <c r="C12" s="1239"/>
      <c r="D12" s="1243"/>
      <c r="E12" s="1239"/>
      <c r="F12" s="1239"/>
      <c r="H12" t="s">
        <v>1219</v>
      </c>
    </row>
    <row r="13" spans="1:8" ht="13.5" thickBot="1" x14ac:dyDescent="0.25">
      <c r="A13" s="1059" t="s">
        <v>6</v>
      </c>
      <c r="B13" s="1060" t="s">
        <v>7</v>
      </c>
      <c r="C13" s="1061" t="s">
        <v>8</v>
      </c>
      <c r="D13" s="1062" t="s">
        <v>9</v>
      </c>
      <c r="E13" s="1063" t="s">
        <v>10</v>
      </c>
      <c r="F13" s="1062" t="s">
        <v>11</v>
      </c>
      <c r="H13" t="s">
        <v>1220</v>
      </c>
    </row>
    <row r="14" spans="1:8" ht="13.5" thickBot="1" x14ac:dyDescent="0.25">
      <c r="A14" s="1079">
        <v>1</v>
      </c>
      <c r="B14" s="167" t="s">
        <v>628</v>
      </c>
      <c r="C14" s="167" t="s">
        <v>627</v>
      </c>
      <c r="D14" s="1080">
        <v>1367.5366284058239</v>
      </c>
      <c r="E14" s="1081">
        <v>1434.2378988305024</v>
      </c>
      <c r="F14" s="1082">
        <v>1434.2378988305024</v>
      </c>
      <c r="H14" t="s">
        <v>1220</v>
      </c>
    </row>
    <row r="15" spans="1:8" ht="13.5" thickBot="1" x14ac:dyDescent="0.25">
      <c r="A15" s="1090">
        <v>2</v>
      </c>
      <c r="B15" s="167" t="s">
        <v>621</v>
      </c>
      <c r="C15" s="167" t="s">
        <v>620</v>
      </c>
      <c r="D15" s="1080">
        <v>1291.463631335562</v>
      </c>
      <c r="E15" s="1091">
        <v>1292.4729575643664</v>
      </c>
      <c r="F15" s="1092">
        <v>1292.4729575643664</v>
      </c>
      <c r="H15" t="s">
        <v>1220</v>
      </c>
    </row>
    <row r="16" spans="1:8" ht="13.5" thickBot="1" x14ac:dyDescent="0.25">
      <c r="A16" s="1090">
        <v>3</v>
      </c>
      <c r="B16" s="167" t="s">
        <v>619</v>
      </c>
      <c r="C16" s="167" t="s">
        <v>618</v>
      </c>
      <c r="D16" s="1080">
        <v>1300.5249802000656</v>
      </c>
      <c r="E16" s="1091">
        <v>1266.5976262521745</v>
      </c>
      <c r="F16" s="1092">
        <v>1266.5976262521745</v>
      </c>
      <c r="H16" t="s">
        <v>1220</v>
      </c>
    </row>
    <row r="17" spans="1:8" ht="13.5" thickBot="1" x14ac:dyDescent="0.25">
      <c r="A17" s="1090">
        <v>4</v>
      </c>
      <c r="B17" s="167" t="s">
        <v>564</v>
      </c>
      <c r="C17" s="167" t="s">
        <v>563</v>
      </c>
      <c r="D17" s="1080">
        <v>1218.5956854627798</v>
      </c>
      <c r="E17" s="1091">
        <v>1184.8124427571879</v>
      </c>
      <c r="F17" s="1092">
        <v>1184.8124427571879</v>
      </c>
      <c r="H17" t="s">
        <v>1220</v>
      </c>
    </row>
    <row r="18" spans="1:8" x14ac:dyDescent="0.2">
      <c r="A18" s="1242" t="s">
        <v>88</v>
      </c>
      <c r="B18" s="1239"/>
      <c r="C18" s="1239"/>
      <c r="D18" s="1243"/>
      <c r="E18" s="1239"/>
      <c r="F18" s="1239"/>
      <c r="H18" t="s">
        <v>1220</v>
      </c>
    </row>
    <row r="19" spans="1:8" x14ac:dyDescent="0.2">
      <c r="A19" s="1239" t="s">
        <v>628</v>
      </c>
      <c r="B19" s="1239">
        <v>1434.2378988305024</v>
      </c>
      <c r="C19" s="1239"/>
      <c r="D19" s="1243"/>
      <c r="E19" s="1239"/>
      <c r="F19" s="1239"/>
      <c r="H19" t="s">
        <v>1220</v>
      </c>
    </row>
    <row r="20" spans="1:8" x14ac:dyDescent="0.2">
      <c r="A20" s="1239" t="s">
        <v>621</v>
      </c>
      <c r="B20" s="1239">
        <v>1292.4729575643664</v>
      </c>
      <c r="C20" s="1239"/>
      <c r="D20" s="1243"/>
      <c r="E20" s="1239"/>
      <c r="F20" s="1239"/>
      <c r="H20" t="s">
        <v>1220</v>
      </c>
    </row>
    <row r="21" spans="1:8" x14ac:dyDescent="0.2">
      <c r="A21" s="1239" t="s">
        <v>619</v>
      </c>
      <c r="B21" s="1239">
        <v>1266.5976262521745</v>
      </c>
      <c r="C21" s="1239"/>
      <c r="D21" s="1243"/>
      <c r="E21" s="1239"/>
      <c r="F21" s="1239"/>
      <c r="H21" t="s">
        <v>1220</v>
      </c>
    </row>
    <row r="22" spans="1:8" x14ac:dyDescent="0.2">
      <c r="A22" s="1239" t="s">
        <v>564</v>
      </c>
      <c r="B22" s="1239">
        <v>1184.8124427571879</v>
      </c>
      <c r="C22" s="1239"/>
      <c r="D22" s="1243"/>
      <c r="E22" s="1239"/>
      <c r="F22" s="1239"/>
      <c r="H22" t="s">
        <v>1220</v>
      </c>
    </row>
    <row r="23" spans="1:8" ht="13.5" thickBot="1" x14ac:dyDescent="0.25">
      <c r="A23" s="1239">
        <v>0</v>
      </c>
      <c r="B23" s="1239" t="e">
        <v>#N/A</v>
      </c>
      <c r="C23" s="1239"/>
      <c r="D23" s="1243"/>
      <c r="E23" s="1239"/>
      <c r="F23" s="1239"/>
      <c r="H23" t="s">
        <v>1220</v>
      </c>
    </row>
    <row r="24" spans="1:8" ht="13.5" thickBot="1" x14ac:dyDescent="0.25">
      <c r="A24" s="1059" t="s">
        <v>6</v>
      </c>
      <c r="B24" s="1060" t="s">
        <v>7</v>
      </c>
      <c r="C24" s="1061" t="s">
        <v>8</v>
      </c>
      <c r="D24" s="1062" t="s">
        <v>9</v>
      </c>
      <c r="E24" s="1063" t="s">
        <v>10</v>
      </c>
      <c r="F24" s="1062" t="s">
        <v>11</v>
      </c>
      <c r="H24" t="s">
        <v>1221</v>
      </c>
    </row>
    <row r="25" spans="1:8" ht="13.5" thickBot="1" x14ac:dyDescent="0.25">
      <c r="A25" s="1079">
        <v>1</v>
      </c>
      <c r="B25" s="167" t="s">
        <v>621</v>
      </c>
      <c r="C25" s="167" t="s">
        <v>620</v>
      </c>
      <c r="D25" s="16">
        <v>1252.9739815801377</v>
      </c>
      <c r="E25" s="1081">
        <v>1291.463631335562</v>
      </c>
      <c r="F25" s="1082">
        <v>1291.463631335562</v>
      </c>
      <c r="H25" t="s">
        <v>1221</v>
      </c>
    </row>
    <row r="26" spans="1:8" ht="13.5" thickBot="1" x14ac:dyDescent="0.25">
      <c r="A26" s="1090">
        <v>2</v>
      </c>
      <c r="B26" s="167" t="s">
        <v>615</v>
      </c>
      <c r="C26" s="167" t="s">
        <v>614</v>
      </c>
      <c r="D26" s="16">
        <v>1164.88819190138</v>
      </c>
      <c r="E26" s="1091">
        <v>1157.3958897894904</v>
      </c>
      <c r="F26" s="1092">
        <v>1157.3958897894904</v>
      </c>
      <c r="H26" t="s">
        <v>1221</v>
      </c>
    </row>
    <row r="27" spans="1:8" ht="13.5" thickBot="1" x14ac:dyDescent="0.25">
      <c r="A27" s="1090">
        <v>3</v>
      </c>
      <c r="B27" s="167" t="s">
        <v>566</v>
      </c>
      <c r="C27" s="167" t="s">
        <v>565</v>
      </c>
      <c r="D27" s="16">
        <v>1233.3466974331975</v>
      </c>
      <c r="E27" s="1091">
        <v>1216.9982652053041</v>
      </c>
      <c r="F27" s="1092">
        <v>1216.9982652053041</v>
      </c>
      <c r="H27" t="s">
        <v>1221</v>
      </c>
    </row>
    <row r="28" spans="1:8" ht="13.5" thickBot="1" x14ac:dyDescent="0.25">
      <c r="A28" s="1090">
        <v>4</v>
      </c>
      <c r="B28" s="167" t="s">
        <v>626</v>
      </c>
      <c r="C28" s="167" t="s">
        <v>251</v>
      </c>
      <c r="D28" s="16">
        <v>1206.7266798132362</v>
      </c>
      <c r="E28" s="1091">
        <v>1192.0777643975948</v>
      </c>
      <c r="F28" s="1092">
        <v>1192.0777643975948</v>
      </c>
      <c r="H28" t="s">
        <v>1221</v>
      </c>
    </row>
    <row r="29" spans="1:8" x14ac:dyDescent="0.2">
      <c r="A29" s="1242" t="s">
        <v>88</v>
      </c>
      <c r="B29" s="1239"/>
      <c r="C29" s="1239"/>
      <c r="D29" s="1243"/>
      <c r="E29" s="1239"/>
      <c r="F29" s="1239"/>
      <c r="H29" t="s">
        <v>1221</v>
      </c>
    </row>
    <row r="30" spans="1:8" x14ac:dyDescent="0.2">
      <c r="A30" s="1239" t="s">
        <v>621</v>
      </c>
      <c r="B30" s="1239">
        <v>1291.463631335562</v>
      </c>
      <c r="C30" s="1239"/>
      <c r="D30" s="1243"/>
      <c r="E30" s="1239"/>
      <c r="F30" s="1239"/>
      <c r="H30" t="s">
        <v>1221</v>
      </c>
    </row>
    <row r="31" spans="1:8" x14ac:dyDescent="0.2">
      <c r="A31" s="1239" t="s">
        <v>615</v>
      </c>
      <c r="B31" s="1239">
        <v>1157.3958897894904</v>
      </c>
      <c r="C31" s="1239"/>
      <c r="D31" s="1243"/>
      <c r="E31" s="1239"/>
      <c r="F31" s="1239"/>
      <c r="H31" t="s">
        <v>1221</v>
      </c>
    </row>
    <row r="32" spans="1:8" x14ac:dyDescent="0.2">
      <c r="A32" s="1239" t="s">
        <v>566</v>
      </c>
      <c r="B32" s="1239">
        <v>1216.9982652053041</v>
      </c>
      <c r="C32" s="1239"/>
      <c r="D32" s="1243"/>
      <c r="E32" s="1239"/>
      <c r="F32" s="1239"/>
      <c r="H32" t="s">
        <v>1221</v>
      </c>
    </row>
    <row r="33" spans="1:8" x14ac:dyDescent="0.2">
      <c r="A33" s="1239" t="s">
        <v>626</v>
      </c>
      <c r="B33" s="1239">
        <v>1192.0777643975948</v>
      </c>
      <c r="C33" s="1239"/>
      <c r="D33" s="1243"/>
      <c r="E33" s="1239"/>
      <c r="F33" s="1239"/>
      <c r="H33" t="s">
        <v>1221</v>
      </c>
    </row>
    <row r="34" spans="1:8" ht="13.5" thickBot="1" x14ac:dyDescent="0.25">
      <c r="A34" s="1239">
        <v>0</v>
      </c>
      <c r="B34" s="1239" t="e">
        <v>#N/A</v>
      </c>
      <c r="C34" s="1239"/>
      <c r="D34" s="1243"/>
      <c r="E34" s="1239"/>
      <c r="F34" s="1239"/>
      <c r="H34" t="s">
        <v>1221</v>
      </c>
    </row>
    <row r="35" spans="1:8" ht="13.5" thickBot="1" x14ac:dyDescent="0.25">
      <c r="A35" s="1059" t="s">
        <v>6</v>
      </c>
      <c r="B35" s="1060" t="s">
        <v>7</v>
      </c>
      <c r="C35" s="1061" t="s">
        <v>8</v>
      </c>
      <c r="D35" s="1062" t="s">
        <v>9</v>
      </c>
      <c r="E35" s="1063" t="s">
        <v>10</v>
      </c>
      <c r="F35" s="1062" t="s">
        <v>11</v>
      </c>
      <c r="H35" t="s">
        <v>1222</v>
      </c>
    </row>
    <row r="36" spans="1:8" ht="13.5" thickBot="1" x14ac:dyDescent="0.25">
      <c r="A36" s="1079">
        <v>1</v>
      </c>
      <c r="B36" s="167" t="s">
        <v>619</v>
      </c>
      <c r="C36" s="167" t="s">
        <v>618</v>
      </c>
      <c r="D36" s="16">
        <v>1293.6267294435881</v>
      </c>
      <c r="E36" s="1081">
        <v>1300.5249802000656</v>
      </c>
      <c r="F36" s="1082">
        <v>1300.5249802000656</v>
      </c>
      <c r="H36" t="s">
        <v>1222</v>
      </c>
    </row>
    <row r="37" spans="1:8" ht="13.5" thickBot="1" x14ac:dyDescent="0.25">
      <c r="A37" s="1090">
        <v>2</v>
      </c>
      <c r="B37" s="167" t="s">
        <v>632</v>
      </c>
      <c r="C37" s="167" t="s">
        <v>631</v>
      </c>
      <c r="D37" s="16">
        <v>1141.2104363370433</v>
      </c>
      <c r="E37" s="1091">
        <v>1119.6481618996331</v>
      </c>
      <c r="F37" s="1092">
        <v>1119.6481618996331</v>
      </c>
      <c r="H37" t="s">
        <v>1222</v>
      </c>
    </row>
    <row r="38" spans="1:8" ht="13.5" thickBot="1" x14ac:dyDescent="0.25">
      <c r="A38" s="1090">
        <v>3</v>
      </c>
      <c r="B38" s="167" t="s">
        <v>564</v>
      </c>
      <c r="C38" s="167" t="s">
        <v>563</v>
      </c>
      <c r="D38" s="16">
        <v>1199.3436780073632</v>
      </c>
      <c r="E38" s="1091">
        <v>1218.5956854627798</v>
      </c>
      <c r="F38" s="1092">
        <v>1218.5956854627798</v>
      </c>
      <c r="H38" t="s">
        <v>1222</v>
      </c>
    </row>
    <row r="39" spans="1:8" ht="13.5" thickBot="1" x14ac:dyDescent="0.25">
      <c r="A39" s="1090">
        <v>4</v>
      </c>
      <c r="B39" s="167" t="s">
        <v>568</v>
      </c>
      <c r="C39" s="167" t="s">
        <v>567</v>
      </c>
      <c r="D39" s="16">
        <v>1230.6391901737691</v>
      </c>
      <c r="E39" s="1091">
        <v>1190.9295575057661</v>
      </c>
      <c r="F39" s="1092">
        <v>1190.9295575057661</v>
      </c>
      <c r="H39" t="s">
        <v>1222</v>
      </c>
    </row>
    <row r="40" spans="1:8" ht="13.5" thickBot="1" x14ac:dyDescent="0.25">
      <c r="A40" s="1126">
        <v>5</v>
      </c>
      <c r="B40" s="167" t="s">
        <v>628</v>
      </c>
      <c r="C40" s="167" t="s">
        <v>627</v>
      </c>
      <c r="D40" s="16">
        <v>1332.4149795123046</v>
      </c>
      <c r="E40" s="1127">
        <v>1367.5366284058239</v>
      </c>
      <c r="F40" s="1128">
        <v>1367.5366284058239</v>
      </c>
      <c r="H40" t="s">
        <v>1222</v>
      </c>
    </row>
    <row r="41" spans="1:8" x14ac:dyDescent="0.2">
      <c r="A41" s="1242" t="s">
        <v>88</v>
      </c>
      <c r="B41" s="1239"/>
      <c r="C41" s="1239"/>
      <c r="D41" s="1243"/>
      <c r="E41" s="1239"/>
      <c r="F41" s="1239"/>
      <c r="H41" t="s">
        <v>1222</v>
      </c>
    </row>
    <row r="42" spans="1:8" x14ac:dyDescent="0.2">
      <c r="A42" s="1239" t="s">
        <v>619</v>
      </c>
      <c r="B42" s="1239">
        <v>1300.5249802000656</v>
      </c>
      <c r="C42" s="1239"/>
      <c r="D42" s="1243"/>
      <c r="E42" s="1239"/>
      <c r="F42" s="1239"/>
      <c r="H42" t="s">
        <v>1222</v>
      </c>
    </row>
    <row r="43" spans="1:8" x14ac:dyDescent="0.2">
      <c r="A43" s="1239" t="s">
        <v>632</v>
      </c>
      <c r="B43" s="1239">
        <v>1119.6481618996331</v>
      </c>
      <c r="C43" s="1239"/>
      <c r="D43" s="1243"/>
      <c r="E43" s="1239"/>
      <c r="F43" s="1239"/>
      <c r="H43" t="s">
        <v>1222</v>
      </c>
    </row>
    <row r="44" spans="1:8" x14ac:dyDescent="0.2">
      <c r="A44" s="1239" t="s">
        <v>564</v>
      </c>
      <c r="B44" s="1239">
        <v>1218.5956854627798</v>
      </c>
      <c r="C44" s="1239"/>
      <c r="D44" s="1243"/>
      <c r="E44" s="1239"/>
      <c r="F44" s="1239"/>
      <c r="H44" t="s">
        <v>1222</v>
      </c>
    </row>
    <row r="45" spans="1:8" x14ac:dyDescent="0.2">
      <c r="A45" s="1239" t="s">
        <v>568</v>
      </c>
      <c r="B45" s="1239">
        <v>1190.9295575057661</v>
      </c>
      <c r="C45" s="1239"/>
      <c r="D45" s="1243"/>
      <c r="E45" s="1239"/>
      <c r="F45" s="1239"/>
      <c r="H45" t="s">
        <v>1222</v>
      </c>
    </row>
    <row r="46" spans="1:8" ht="13.5" thickBot="1" x14ac:dyDescent="0.25">
      <c r="A46" s="1239" t="s">
        <v>628</v>
      </c>
      <c r="B46" s="1239">
        <v>1367.5366284058239</v>
      </c>
      <c r="C46" s="1239"/>
      <c r="D46" s="1243"/>
      <c r="E46" s="1239"/>
      <c r="F46" s="1239"/>
      <c r="H46" t="s">
        <v>1222</v>
      </c>
    </row>
    <row r="47" spans="1:8" ht="13.5" thickBot="1" x14ac:dyDescent="0.25">
      <c r="A47" s="196" t="s">
        <v>6</v>
      </c>
      <c r="B47" s="197" t="s">
        <v>7</v>
      </c>
      <c r="C47" s="198" t="s">
        <v>8</v>
      </c>
      <c r="D47" s="192" t="s">
        <v>9</v>
      </c>
      <c r="E47" s="199" t="s">
        <v>10</v>
      </c>
      <c r="F47" s="192" t="s">
        <v>11</v>
      </c>
      <c r="H47" t="s">
        <v>1223</v>
      </c>
    </row>
    <row r="48" spans="1:8" ht="13.5" thickBot="1" x14ac:dyDescent="0.25">
      <c r="A48" s="201">
        <v>1</v>
      </c>
      <c r="B48" s="167" t="s">
        <v>480</v>
      </c>
      <c r="C48" s="167" t="s">
        <v>481</v>
      </c>
      <c r="D48" s="16">
        <v>1552.5217618694735</v>
      </c>
      <c r="E48" s="202">
        <v>1569.7710046940956</v>
      </c>
      <c r="F48" s="203">
        <v>1577.5150270118809</v>
      </c>
      <c r="H48" t="s">
        <v>1223</v>
      </c>
    </row>
    <row r="49" spans="1:8" ht="13.5" thickBot="1" x14ac:dyDescent="0.25">
      <c r="A49" s="204">
        <v>2</v>
      </c>
      <c r="B49" s="167" t="s">
        <v>477</v>
      </c>
      <c r="C49" s="167" t="s">
        <v>224</v>
      </c>
      <c r="D49" s="16">
        <v>1547.6054388640575</v>
      </c>
      <c r="E49" s="205">
        <v>1620.2482713852037</v>
      </c>
      <c r="F49" s="206">
        <v>1636.452085468107</v>
      </c>
      <c r="H49" t="s">
        <v>1223</v>
      </c>
    </row>
    <row r="50" spans="1:8" ht="13.5" thickBot="1" x14ac:dyDescent="0.25">
      <c r="A50" s="204">
        <v>3</v>
      </c>
      <c r="B50" s="167" t="s">
        <v>517</v>
      </c>
      <c r="C50" s="167" t="s">
        <v>291</v>
      </c>
      <c r="D50" s="16">
        <v>1482.7085948011659</v>
      </c>
      <c r="E50" s="205">
        <v>1522.6067085520276</v>
      </c>
      <c r="F50" s="206">
        <v>1510.9885122956937</v>
      </c>
      <c r="H50" t="s">
        <v>1223</v>
      </c>
    </row>
    <row r="51" spans="1:8" ht="13.5" thickBot="1" x14ac:dyDescent="0.25">
      <c r="A51" s="204">
        <v>4</v>
      </c>
      <c r="B51" s="167" t="s">
        <v>471</v>
      </c>
      <c r="C51" s="167" t="s">
        <v>472</v>
      </c>
      <c r="D51" s="16">
        <v>1457.5420336558111</v>
      </c>
      <c r="E51" s="205">
        <v>1490.735250413635</v>
      </c>
      <c r="F51" s="206">
        <v>1477.5353118598305</v>
      </c>
      <c r="H51" t="s">
        <v>1223</v>
      </c>
    </row>
    <row r="52" spans="1:8" ht="13.5" thickBot="1" x14ac:dyDescent="0.25">
      <c r="A52" s="204">
        <v>5</v>
      </c>
      <c r="B52" s="352" t="s">
        <v>176</v>
      </c>
      <c r="C52" s="352" t="s">
        <v>226</v>
      </c>
      <c r="D52" s="16">
        <v>1425.4109540497846</v>
      </c>
      <c r="E52" s="205">
        <v>1452.1095814362172</v>
      </c>
      <c r="F52" s="206">
        <v>1442.1293939796219</v>
      </c>
      <c r="H52" t="s">
        <v>1223</v>
      </c>
    </row>
    <row r="53" spans="1:8" ht="13.5" thickBot="1" x14ac:dyDescent="0.25">
      <c r="A53" s="204">
        <v>6</v>
      </c>
      <c r="B53" s="167" t="s">
        <v>391</v>
      </c>
      <c r="C53" s="167" t="s">
        <v>392</v>
      </c>
      <c r="D53" s="16">
        <v>1442.8319701170221</v>
      </c>
      <c r="E53" s="205">
        <v>1488.6262431960561</v>
      </c>
      <c r="F53" s="206">
        <v>1476.2966030517014</v>
      </c>
      <c r="H53" t="s">
        <v>1223</v>
      </c>
    </row>
    <row r="54" spans="1:8" ht="13.5" thickBot="1" x14ac:dyDescent="0.25">
      <c r="A54" s="204">
        <v>7</v>
      </c>
      <c r="B54" s="167" t="s">
        <v>414</v>
      </c>
      <c r="C54" s="167" t="s">
        <v>289</v>
      </c>
      <c r="D54" s="16">
        <v>1439.4176887113954</v>
      </c>
      <c r="E54" s="205">
        <v>1389.2978929267476</v>
      </c>
      <c r="F54" s="206">
        <v>1389.2978929267476</v>
      </c>
      <c r="H54" t="s">
        <v>1223</v>
      </c>
    </row>
    <row r="55" spans="1:8" ht="13.5" thickBot="1" x14ac:dyDescent="0.25">
      <c r="A55" s="204">
        <v>8</v>
      </c>
      <c r="B55" s="167" t="s">
        <v>375</v>
      </c>
      <c r="C55" s="167" t="s">
        <v>376</v>
      </c>
      <c r="D55" s="16">
        <v>1420.2404492297683</v>
      </c>
      <c r="E55" s="205">
        <v>1311.3008440135307</v>
      </c>
      <c r="F55" s="206">
        <v>1311.3008440135307</v>
      </c>
      <c r="H55" t="s">
        <v>1223</v>
      </c>
    </row>
    <row r="56" spans="1:8" ht="13.5" thickBot="1" x14ac:dyDescent="0.25">
      <c r="A56" s="204">
        <v>9</v>
      </c>
      <c r="B56" s="167" t="s">
        <v>174</v>
      </c>
      <c r="C56" s="167" t="s">
        <v>236</v>
      </c>
      <c r="D56" s="16">
        <v>1428.9948068214296</v>
      </c>
      <c r="E56" s="205">
        <v>1423.3781162849898</v>
      </c>
      <c r="F56" s="206">
        <v>1440.949944070938</v>
      </c>
      <c r="H56" t="s">
        <v>1223</v>
      </c>
    </row>
    <row r="57" spans="1:8" ht="13.5" thickBot="1" x14ac:dyDescent="0.25">
      <c r="A57" s="204">
        <v>10</v>
      </c>
      <c r="B57" s="167" t="s">
        <v>476</v>
      </c>
      <c r="C57" s="167" t="s">
        <v>290</v>
      </c>
      <c r="D57" s="16">
        <v>1369.8984600179906</v>
      </c>
      <c r="E57" s="205">
        <v>1302.4238200457448</v>
      </c>
      <c r="F57" s="206">
        <v>1295.6142470840948</v>
      </c>
      <c r="H57" t="s">
        <v>1223</v>
      </c>
    </row>
    <row r="58" spans="1:8" ht="13.5" thickBot="1" x14ac:dyDescent="0.25">
      <c r="A58" s="204">
        <v>11</v>
      </c>
      <c r="B58" s="167" t="s">
        <v>418</v>
      </c>
      <c r="C58" s="167" t="s">
        <v>419</v>
      </c>
      <c r="D58" s="1035">
        <v>1349.1702617315095</v>
      </c>
      <c r="E58" s="205">
        <v>1355.9064609830045</v>
      </c>
      <c r="F58" s="206">
        <v>1349.1705702720267</v>
      </c>
      <c r="H58" t="s">
        <v>1223</v>
      </c>
    </row>
    <row r="59" spans="1:8" ht="13.5" thickBot="1" x14ac:dyDescent="0.25">
      <c r="A59" s="204">
        <v>12</v>
      </c>
      <c r="B59" s="167" t="s">
        <v>397</v>
      </c>
      <c r="C59" s="167" t="s">
        <v>398</v>
      </c>
      <c r="D59" s="16">
        <v>1340.443133695343</v>
      </c>
      <c r="E59" s="205">
        <v>1354.5101456744082</v>
      </c>
      <c r="F59" s="206">
        <v>1347.9072899202179</v>
      </c>
      <c r="H59" t="s">
        <v>1223</v>
      </c>
    </row>
    <row r="60" spans="1:8" ht="13.5" thickBot="1" x14ac:dyDescent="0.25">
      <c r="A60" s="204">
        <v>13</v>
      </c>
      <c r="B60" s="167" t="s">
        <v>171</v>
      </c>
      <c r="C60" s="167" t="s">
        <v>466</v>
      </c>
      <c r="D60" s="16">
        <v>1438.2606481323326</v>
      </c>
      <c r="E60" s="205">
        <v>1411.269916034259</v>
      </c>
      <c r="F60" s="206">
        <v>1431.4182354610773</v>
      </c>
      <c r="H60" t="s">
        <v>1223</v>
      </c>
    </row>
    <row r="61" spans="1:8" ht="13.5" thickBot="1" x14ac:dyDescent="0.25">
      <c r="A61" s="204">
        <v>14</v>
      </c>
      <c r="B61" s="167" t="s">
        <v>396</v>
      </c>
      <c r="C61" s="167" t="s">
        <v>294</v>
      </c>
      <c r="D61" s="16">
        <v>1411.3842368219443</v>
      </c>
      <c r="E61" s="205">
        <v>1414.2461828791081</v>
      </c>
      <c r="F61" s="206">
        <v>1419.8544811035597</v>
      </c>
      <c r="H61" t="s">
        <v>1223</v>
      </c>
    </row>
    <row r="62" spans="1:8" x14ac:dyDescent="0.2">
      <c r="A62" s="245" t="s">
        <v>88</v>
      </c>
      <c r="B62" s="241"/>
      <c r="C62" s="241"/>
      <c r="D62" s="246"/>
      <c r="E62" s="241"/>
      <c r="F62" s="241"/>
      <c r="H62" t="s">
        <v>1223</v>
      </c>
    </row>
    <row r="63" spans="1:8" x14ac:dyDescent="0.2">
      <c r="A63" s="241" t="s">
        <v>480</v>
      </c>
      <c r="B63" s="241">
        <v>1569.7710046940956</v>
      </c>
      <c r="C63" s="241"/>
      <c r="D63" s="246"/>
      <c r="E63" s="241"/>
      <c r="F63" s="241"/>
      <c r="H63" t="s">
        <v>1223</v>
      </c>
    </row>
    <row r="64" spans="1:8" x14ac:dyDescent="0.2">
      <c r="A64" s="241" t="s">
        <v>391</v>
      </c>
      <c r="B64" s="241">
        <v>1488.6262431960561</v>
      </c>
      <c r="C64" s="241"/>
      <c r="D64" s="246"/>
      <c r="E64" s="241"/>
      <c r="F64" s="241"/>
      <c r="H64" t="s">
        <v>1223</v>
      </c>
    </row>
    <row r="65" spans="1:8" x14ac:dyDescent="0.2">
      <c r="A65" s="241" t="s">
        <v>414</v>
      </c>
      <c r="B65" s="241">
        <v>1389.2978929267476</v>
      </c>
      <c r="C65" s="241"/>
      <c r="D65" s="246"/>
      <c r="E65" s="241"/>
      <c r="F65" s="241"/>
      <c r="H65" t="s">
        <v>1223</v>
      </c>
    </row>
    <row r="66" spans="1:8" x14ac:dyDescent="0.2">
      <c r="A66" s="241" t="s">
        <v>397</v>
      </c>
      <c r="B66" s="241">
        <v>1354.5101456744082</v>
      </c>
      <c r="C66" s="241"/>
      <c r="D66" s="246"/>
      <c r="E66" s="241"/>
      <c r="F66" s="241"/>
      <c r="H66" t="s">
        <v>1223</v>
      </c>
    </row>
    <row r="67" spans="1:8" ht="13.5" thickBot="1" x14ac:dyDescent="0.25">
      <c r="A67" s="241" t="s">
        <v>171</v>
      </c>
      <c r="B67" s="241">
        <v>1411.269916034259</v>
      </c>
      <c r="C67" s="241"/>
      <c r="D67" s="246"/>
      <c r="E67" s="241"/>
      <c r="F67" s="241"/>
      <c r="H67" t="s">
        <v>1223</v>
      </c>
    </row>
    <row r="68" spans="1:8" ht="13.5" thickBot="1" x14ac:dyDescent="0.25">
      <c r="A68" s="12" t="s">
        <v>6</v>
      </c>
      <c r="B68" s="5" t="s">
        <v>7</v>
      </c>
      <c r="C68" s="6" t="s">
        <v>8</v>
      </c>
      <c r="D68" s="8" t="s">
        <v>9</v>
      </c>
      <c r="E68" s="13" t="s">
        <v>10</v>
      </c>
      <c r="F68" s="8" t="s">
        <v>11</v>
      </c>
      <c r="H68" t="s">
        <v>1224</v>
      </c>
    </row>
    <row r="69" spans="1:8" ht="13.5" thickBot="1" x14ac:dyDescent="0.25">
      <c r="A69" s="15">
        <v>1</v>
      </c>
      <c r="B69" s="167" t="s">
        <v>421</v>
      </c>
      <c r="C69" s="167" t="s">
        <v>422</v>
      </c>
      <c r="D69" s="16">
        <v>1282.8814689298702</v>
      </c>
      <c r="E69" s="17">
        <v>1354.0267614924403</v>
      </c>
      <c r="F69" s="18">
        <v>1348.0654211657343</v>
      </c>
      <c r="H69" t="s">
        <v>1224</v>
      </c>
    </row>
    <row r="70" spans="1:8" ht="13.5" thickBot="1" x14ac:dyDescent="0.25">
      <c r="A70" s="19">
        <v>2</v>
      </c>
      <c r="B70" s="167" t="s">
        <v>513</v>
      </c>
      <c r="C70" s="167" t="s">
        <v>514</v>
      </c>
      <c r="D70" s="16">
        <v>1405.1025780622188</v>
      </c>
      <c r="E70" s="20">
        <v>1444.5594875899783</v>
      </c>
      <c r="F70" s="21">
        <v>1464.6860920817701</v>
      </c>
      <c r="H70" t="s">
        <v>1224</v>
      </c>
    </row>
    <row r="71" spans="1:8" ht="13.5" thickBot="1" x14ac:dyDescent="0.25">
      <c r="A71" s="19">
        <v>3</v>
      </c>
      <c r="B71" s="167" t="s">
        <v>292</v>
      </c>
      <c r="C71" s="167" t="s">
        <v>293</v>
      </c>
      <c r="D71" s="16">
        <v>1262.2688698980021</v>
      </c>
      <c r="E71" s="20">
        <v>1160.6389153145926</v>
      </c>
      <c r="F71" s="21">
        <v>1160.6389153145926</v>
      </c>
      <c r="H71" t="s">
        <v>1224</v>
      </c>
    </row>
    <row r="72" spans="1:8" ht="13.5" thickBot="1" x14ac:dyDescent="0.25">
      <c r="A72" s="19">
        <v>4</v>
      </c>
      <c r="B72" s="167" t="s">
        <v>503</v>
      </c>
      <c r="C72" s="167" t="s">
        <v>504</v>
      </c>
      <c r="D72" s="16">
        <v>1375.4433983168517</v>
      </c>
      <c r="E72" s="20">
        <v>1370.1272528343436</v>
      </c>
      <c r="F72" s="21">
        <v>1362.8879663810731</v>
      </c>
      <c r="H72" t="s">
        <v>1224</v>
      </c>
    </row>
    <row r="73" spans="1:8" ht="13.5" thickBot="1" x14ac:dyDescent="0.25">
      <c r="A73" s="19">
        <v>5</v>
      </c>
      <c r="B73" s="167" t="s">
        <v>173</v>
      </c>
      <c r="C73" s="167" t="s">
        <v>250</v>
      </c>
      <c r="D73" s="16">
        <v>1354.0026826130036</v>
      </c>
      <c r="E73" s="20">
        <v>1305.6049247791282</v>
      </c>
      <c r="F73" s="21">
        <v>1295.6475178966837</v>
      </c>
      <c r="H73" t="s">
        <v>1224</v>
      </c>
    </row>
    <row r="74" spans="1:8" ht="13.5" thickBot="1" x14ac:dyDescent="0.25">
      <c r="A74" s="19">
        <v>6</v>
      </c>
      <c r="B74" s="167" t="s">
        <v>484</v>
      </c>
      <c r="C74" s="167" t="s">
        <v>485</v>
      </c>
      <c r="D74" s="16">
        <v>1344.0894005280031</v>
      </c>
      <c r="E74" s="20">
        <v>1403.2647402531561</v>
      </c>
      <c r="F74" s="21">
        <v>1396.3387625413409</v>
      </c>
      <c r="H74" t="s">
        <v>1224</v>
      </c>
    </row>
    <row r="75" spans="1:8" ht="13.5" thickBot="1" x14ac:dyDescent="0.25">
      <c r="A75" s="19">
        <v>7</v>
      </c>
      <c r="B75" s="167" t="s">
        <v>373</v>
      </c>
      <c r="C75" s="167" t="s">
        <v>374</v>
      </c>
      <c r="D75" s="16">
        <v>1216.8565925282476</v>
      </c>
      <c r="E75" s="20">
        <v>1183.3446562815466</v>
      </c>
      <c r="F75" s="21">
        <v>1178.064106587741</v>
      </c>
      <c r="H75" t="s">
        <v>1224</v>
      </c>
    </row>
    <row r="76" spans="1:8" ht="13.5" thickBot="1" x14ac:dyDescent="0.25">
      <c r="A76" s="19">
        <v>8</v>
      </c>
      <c r="B76" s="167" t="s">
        <v>482</v>
      </c>
      <c r="C76" s="167" t="s">
        <v>483</v>
      </c>
      <c r="D76" s="16">
        <v>1314.8627941243271</v>
      </c>
      <c r="E76" s="20">
        <v>1306.3420087964055</v>
      </c>
      <c r="F76" s="21">
        <v>1323.8787834707246</v>
      </c>
      <c r="H76" t="s">
        <v>1224</v>
      </c>
    </row>
    <row r="77" spans="1:8" ht="13.5" thickBot="1" x14ac:dyDescent="0.25">
      <c r="A77" s="19">
        <v>9</v>
      </c>
      <c r="B77" s="167" t="s">
        <v>409</v>
      </c>
      <c r="C77" s="167" t="s">
        <v>410</v>
      </c>
      <c r="D77" s="16">
        <v>1172.8946927404108</v>
      </c>
      <c r="E77" s="20">
        <v>1163.9840888221456</v>
      </c>
      <c r="F77" s="21">
        <v>1163.9840888221456</v>
      </c>
      <c r="H77" t="s">
        <v>1224</v>
      </c>
    </row>
    <row r="78" spans="1:8" ht="13.5" thickBot="1" x14ac:dyDescent="0.25">
      <c r="A78" s="31">
        <v>10</v>
      </c>
      <c r="B78" s="167" t="s">
        <v>474</v>
      </c>
      <c r="C78" s="167" t="s">
        <v>475</v>
      </c>
      <c r="D78" s="16">
        <v>1182.3261223768773</v>
      </c>
      <c r="E78" s="32">
        <v>1218.8357639540752</v>
      </c>
      <c r="F78" s="33">
        <v>1216.5369458560062</v>
      </c>
      <c r="H78" t="s">
        <v>1224</v>
      </c>
    </row>
    <row r="79" spans="1:8" x14ac:dyDescent="0.2">
      <c r="A79" s="64" t="s">
        <v>88</v>
      </c>
      <c r="B79" s="61"/>
      <c r="C79" s="61"/>
      <c r="D79" s="65"/>
      <c r="E79" s="61"/>
      <c r="F79" s="61"/>
      <c r="H79" t="s">
        <v>1224</v>
      </c>
    </row>
    <row r="80" spans="1:8" x14ac:dyDescent="0.2">
      <c r="A80" s="61" t="s">
        <v>421</v>
      </c>
      <c r="B80" s="61">
        <v>1354.0267614924403</v>
      </c>
      <c r="C80" s="61"/>
      <c r="D80" s="65"/>
      <c r="E80" s="61"/>
      <c r="F80" s="61"/>
      <c r="H80" t="s">
        <v>1224</v>
      </c>
    </row>
    <row r="81" spans="1:8" x14ac:dyDescent="0.2">
      <c r="A81" s="61" t="s">
        <v>503</v>
      </c>
      <c r="B81" s="61">
        <v>1370.1272528343436</v>
      </c>
      <c r="C81" s="61"/>
      <c r="D81" s="65"/>
      <c r="E81" s="61"/>
      <c r="F81" s="61"/>
      <c r="H81" t="s">
        <v>1224</v>
      </c>
    </row>
    <row r="82" spans="1:8" x14ac:dyDescent="0.2">
      <c r="A82" s="61" t="s">
        <v>173</v>
      </c>
      <c r="B82" s="61">
        <v>1305.6049247791282</v>
      </c>
      <c r="C82" s="61"/>
      <c r="D82" s="65"/>
      <c r="E82" s="61"/>
      <c r="F82" s="61"/>
      <c r="H82" t="s">
        <v>1224</v>
      </c>
    </row>
    <row r="83" spans="1:8" x14ac:dyDescent="0.2">
      <c r="A83" s="61" t="s">
        <v>482</v>
      </c>
      <c r="B83" s="61">
        <v>1306.3420087964055</v>
      </c>
      <c r="C83" s="61"/>
      <c r="D83" s="65"/>
      <c r="E83" s="61"/>
      <c r="F83" s="61"/>
      <c r="H83" t="s">
        <v>1224</v>
      </c>
    </row>
    <row r="84" spans="1:8" ht="13.5" thickBot="1" x14ac:dyDescent="0.25">
      <c r="A84" s="61" t="s">
        <v>409</v>
      </c>
      <c r="B84" s="61">
        <v>1163.9840888221456</v>
      </c>
      <c r="C84" s="61"/>
      <c r="D84" s="65"/>
      <c r="E84" s="61"/>
      <c r="F84" s="61"/>
      <c r="H84" t="s">
        <v>1224</v>
      </c>
    </row>
    <row r="85" spans="1:8" ht="13.5" thickBot="1" x14ac:dyDescent="0.25">
      <c r="A85" s="12" t="s">
        <v>6</v>
      </c>
      <c r="B85" s="5" t="s">
        <v>7</v>
      </c>
      <c r="C85" s="6" t="s">
        <v>8</v>
      </c>
      <c r="D85" s="8" t="s">
        <v>9</v>
      </c>
      <c r="E85" s="7" t="s">
        <v>10</v>
      </c>
      <c r="F85" s="8" t="s">
        <v>11</v>
      </c>
      <c r="H85" t="s">
        <v>1225</v>
      </c>
    </row>
    <row r="86" spans="1:8" ht="13.5" thickBot="1" x14ac:dyDescent="0.25">
      <c r="A86" s="149">
        <v>1</v>
      </c>
      <c r="B86" s="148" t="s">
        <v>508</v>
      </c>
      <c r="C86" s="148" t="s">
        <v>509</v>
      </c>
      <c r="D86" s="16">
        <v>1868.4106312164884</v>
      </c>
      <c r="E86" s="17">
        <v>1861.2917168384377</v>
      </c>
      <c r="F86" s="18">
        <v>1857.7120355940935</v>
      </c>
      <c r="H86" t="s">
        <v>1225</v>
      </c>
    </row>
    <row r="87" spans="1:8" ht="13.5" thickBot="1" x14ac:dyDescent="0.25">
      <c r="A87" s="19">
        <v>2</v>
      </c>
      <c r="B87" s="148" t="s">
        <v>303</v>
      </c>
      <c r="C87" s="148" t="s">
        <v>304</v>
      </c>
      <c r="D87" s="16">
        <v>1855.4692952764783</v>
      </c>
      <c r="E87" s="20">
        <v>1820.9197353686502</v>
      </c>
      <c r="F87" s="21">
        <v>1840.7252067753311</v>
      </c>
      <c r="H87" t="s">
        <v>1225</v>
      </c>
    </row>
    <row r="88" spans="1:8" ht="13.5" thickBot="1" x14ac:dyDescent="0.25">
      <c r="A88" s="19">
        <v>3</v>
      </c>
      <c r="B88" s="148" t="s">
        <v>377</v>
      </c>
      <c r="C88" s="148" t="s">
        <v>218</v>
      </c>
      <c r="D88" s="16">
        <v>1879.4957453076413</v>
      </c>
      <c r="E88" s="20">
        <v>1865.7250287147676</v>
      </c>
      <c r="F88" s="21">
        <v>1852.7901971715694</v>
      </c>
      <c r="H88" t="s">
        <v>1225</v>
      </c>
    </row>
    <row r="89" spans="1:8" ht="13.5" thickBot="1" x14ac:dyDescent="0.25">
      <c r="A89" s="19">
        <v>4</v>
      </c>
      <c r="B89" s="148" t="s">
        <v>486</v>
      </c>
      <c r="C89" s="148" t="s">
        <v>232</v>
      </c>
      <c r="D89" s="16">
        <v>1718.3151948204377</v>
      </c>
      <c r="E89" s="20">
        <v>1740.3377839503121</v>
      </c>
      <c r="F89" s="21">
        <v>1740.617576890636</v>
      </c>
      <c r="H89" t="s">
        <v>1225</v>
      </c>
    </row>
    <row r="90" spans="1:8" ht="13.5" thickBot="1" x14ac:dyDescent="0.25">
      <c r="A90" s="19">
        <v>5</v>
      </c>
      <c r="B90" s="148" t="s">
        <v>492</v>
      </c>
      <c r="C90" s="148" t="s">
        <v>493</v>
      </c>
      <c r="D90" s="16">
        <v>1754.9535955038507</v>
      </c>
      <c r="E90" s="20">
        <v>1803.6548107089232</v>
      </c>
      <c r="F90" s="21">
        <v>1800.6174885332118</v>
      </c>
      <c r="H90" t="s">
        <v>1225</v>
      </c>
    </row>
    <row r="91" spans="1:8" ht="13.5" thickBot="1" x14ac:dyDescent="0.25">
      <c r="A91" s="19">
        <v>6</v>
      </c>
      <c r="B91" s="148" t="s">
        <v>178</v>
      </c>
      <c r="C91" s="148" t="s">
        <v>249</v>
      </c>
      <c r="D91" s="16">
        <v>1724.0595262997672</v>
      </c>
      <c r="E91" s="20">
        <v>1786.1625321837212</v>
      </c>
      <c r="F91" s="21">
        <v>1778.9601871978155</v>
      </c>
      <c r="H91" t="s">
        <v>1225</v>
      </c>
    </row>
    <row r="92" spans="1:8" ht="13.5" thickBot="1" x14ac:dyDescent="0.25">
      <c r="A92" s="19">
        <v>7</v>
      </c>
      <c r="B92" s="148" t="s">
        <v>177</v>
      </c>
      <c r="C92" s="148" t="s">
        <v>203</v>
      </c>
      <c r="D92" s="16">
        <v>1649.1598067006576</v>
      </c>
      <c r="E92" s="20">
        <v>1570.045589451209</v>
      </c>
      <c r="F92" s="21">
        <v>1570.045589451209</v>
      </c>
      <c r="H92" t="s">
        <v>1225</v>
      </c>
    </row>
    <row r="93" spans="1:8" ht="13.5" thickBot="1" x14ac:dyDescent="0.25">
      <c r="A93" s="19">
        <v>8</v>
      </c>
      <c r="B93" s="148" t="s">
        <v>366</v>
      </c>
      <c r="C93" s="148" t="s">
        <v>298</v>
      </c>
      <c r="D93" s="16">
        <v>1753.5034142818647</v>
      </c>
      <c r="E93" s="20">
        <v>1757.7047526785418</v>
      </c>
      <c r="F93" s="21">
        <v>1747.4620936172917</v>
      </c>
      <c r="H93" t="s">
        <v>1225</v>
      </c>
    </row>
    <row r="94" spans="1:8" ht="13.5" thickBot="1" x14ac:dyDescent="0.25">
      <c r="A94" s="19">
        <v>9</v>
      </c>
      <c r="B94" s="148" t="s">
        <v>301</v>
      </c>
      <c r="C94" s="148" t="s">
        <v>299</v>
      </c>
      <c r="D94" s="16">
        <v>1559.0584600733771</v>
      </c>
      <c r="E94" s="20">
        <v>1524.91900289658</v>
      </c>
      <c r="F94" s="21">
        <v>1524.91900289658</v>
      </c>
      <c r="H94" t="s">
        <v>1225</v>
      </c>
    </row>
    <row r="95" spans="1:8" ht="13.5" thickBot="1" x14ac:dyDescent="0.25">
      <c r="A95" s="19">
        <v>10</v>
      </c>
      <c r="B95" s="148" t="s">
        <v>399</v>
      </c>
      <c r="C95" s="148" t="s">
        <v>307</v>
      </c>
      <c r="D95" s="16">
        <v>1672.8922772837741</v>
      </c>
      <c r="E95" s="20">
        <v>1649.4978277891198</v>
      </c>
      <c r="F95" s="21">
        <v>1669.691703894817</v>
      </c>
      <c r="H95" t="s">
        <v>1225</v>
      </c>
    </row>
    <row r="96" spans="1:8" ht="13.5" thickBot="1" x14ac:dyDescent="0.25">
      <c r="A96" s="19">
        <v>11</v>
      </c>
      <c r="B96" s="148" t="s">
        <v>495</v>
      </c>
      <c r="C96" s="148" t="s">
        <v>496</v>
      </c>
      <c r="D96" s="16">
        <v>1531.9857171026847</v>
      </c>
      <c r="E96" s="20">
        <v>1509.9161662418283</v>
      </c>
      <c r="F96" s="21">
        <v>1504.9677174020592</v>
      </c>
      <c r="H96" t="s">
        <v>1225</v>
      </c>
    </row>
    <row r="97" spans="1:8" ht="13.5" thickBot="1" x14ac:dyDescent="0.25">
      <c r="A97" s="19">
        <v>12</v>
      </c>
      <c r="B97" s="148" t="s">
        <v>511</v>
      </c>
      <c r="C97" s="148" t="s">
        <v>512</v>
      </c>
      <c r="D97" s="16">
        <v>1532.3959580712301</v>
      </c>
      <c r="E97" s="20">
        <v>1574.4452714225863</v>
      </c>
      <c r="F97" s="21">
        <v>1571.8701672086986</v>
      </c>
      <c r="H97" t="s">
        <v>1225</v>
      </c>
    </row>
    <row r="98" spans="1:8" ht="13.5" thickBot="1" x14ac:dyDescent="0.25">
      <c r="A98" s="19">
        <v>13</v>
      </c>
      <c r="B98" s="148" t="s">
        <v>363</v>
      </c>
      <c r="C98" s="148" t="s">
        <v>364</v>
      </c>
      <c r="D98" s="16">
        <v>1644.9049961515773</v>
      </c>
      <c r="E98" s="20">
        <v>1620.8755534647216</v>
      </c>
      <c r="F98" s="21">
        <v>1615.8727852600437</v>
      </c>
      <c r="H98" t="s">
        <v>1225</v>
      </c>
    </row>
    <row r="99" spans="1:8" ht="13.5" thickBot="1" x14ac:dyDescent="0.25">
      <c r="A99" s="19">
        <v>14</v>
      </c>
      <c r="B99" s="148" t="s">
        <v>448</v>
      </c>
      <c r="C99" s="148" t="s">
        <v>309</v>
      </c>
      <c r="D99" s="1035">
        <v>1975.7226594081633</v>
      </c>
      <c r="E99" s="20">
        <v>1988.575482653684</v>
      </c>
      <c r="F99" s="21">
        <v>1975.7224030177772</v>
      </c>
      <c r="H99" t="s">
        <v>1225</v>
      </c>
    </row>
    <row r="100" spans="1:8" ht="13.5" thickBot="1" x14ac:dyDescent="0.25">
      <c r="A100" s="19">
        <v>15</v>
      </c>
      <c r="B100" s="148" t="s">
        <v>527</v>
      </c>
      <c r="C100" s="148" t="s">
        <v>528</v>
      </c>
      <c r="D100" s="16">
        <v>1625.5722405667989</v>
      </c>
      <c r="E100" s="20">
        <v>1615.6024569517674</v>
      </c>
      <c r="F100" s="21">
        <v>1634.6920739531975</v>
      </c>
      <c r="H100" t="s">
        <v>1225</v>
      </c>
    </row>
    <row r="101" spans="1:8" ht="13.5" thickBot="1" x14ac:dyDescent="0.25">
      <c r="A101" s="19">
        <v>16</v>
      </c>
      <c r="B101" s="170" t="s">
        <v>308</v>
      </c>
      <c r="C101" s="148" t="s">
        <v>427</v>
      </c>
      <c r="D101" s="1035">
        <v>2031.5626982129445</v>
      </c>
      <c r="E101" s="20">
        <v>2055.7363571869355</v>
      </c>
      <c r="F101" s="21">
        <v>2031.5628240207368</v>
      </c>
      <c r="H101" t="s">
        <v>1225</v>
      </c>
    </row>
    <row r="102" spans="1:8" ht="13.5" thickBot="1" x14ac:dyDescent="0.25">
      <c r="A102" s="19">
        <v>17</v>
      </c>
      <c r="B102" s="148" t="s">
        <v>179</v>
      </c>
      <c r="C102" s="148" t="s">
        <v>255</v>
      </c>
      <c r="D102" s="1035">
        <v>1973.9609100736691</v>
      </c>
      <c r="E102" s="20">
        <v>1986.8442842578486</v>
      </c>
      <c r="F102" s="21">
        <v>1973.9613648967495</v>
      </c>
      <c r="H102" t="s">
        <v>1225</v>
      </c>
    </row>
    <row r="103" spans="1:8" ht="13.5" thickBot="1" x14ac:dyDescent="0.25">
      <c r="A103" s="19">
        <v>18</v>
      </c>
      <c r="B103" s="170" t="s">
        <v>478</v>
      </c>
      <c r="C103" s="148" t="s">
        <v>479</v>
      </c>
      <c r="D103" s="16">
        <v>1597.0988941571195</v>
      </c>
      <c r="E103" s="20">
        <v>1744.1269044240819</v>
      </c>
      <c r="F103" s="21">
        <v>1784.1908394018988</v>
      </c>
      <c r="H103" t="s">
        <v>1225</v>
      </c>
    </row>
    <row r="104" spans="1:8" ht="13.5" thickBot="1" x14ac:dyDescent="0.25">
      <c r="A104" s="19">
        <v>19</v>
      </c>
      <c r="B104" s="148" t="s">
        <v>300</v>
      </c>
      <c r="C104" s="148" t="s">
        <v>245</v>
      </c>
      <c r="D104" s="16">
        <v>1592.2302498222155</v>
      </c>
      <c r="E104" s="20">
        <v>1553.1146881464708</v>
      </c>
      <c r="F104" s="21">
        <v>1553.1146881464708</v>
      </c>
      <c r="H104" t="s">
        <v>1225</v>
      </c>
    </row>
    <row r="105" spans="1:8" ht="13.5" thickBot="1" x14ac:dyDescent="0.25">
      <c r="A105" s="151">
        <v>20</v>
      </c>
      <c r="B105" s="148" t="s">
        <v>453</v>
      </c>
      <c r="C105" s="148" t="s">
        <v>454</v>
      </c>
      <c r="D105" s="16">
        <v>1578.5432678949517</v>
      </c>
      <c r="E105" s="152">
        <v>1489.7995928955042</v>
      </c>
      <c r="F105" s="153">
        <v>1489.7995928955042</v>
      </c>
      <c r="H105" t="s">
        <v>1225</v>
      </c>
    </row>
    <row r="106" spans="1:8" x14ac:dyDescent="0.2">
      <c r="A106" s="64" t="s">
        <v>88</v>
      </c>
      <c r="B106" s="61"/>
      <c r="C106" s="61"/>
      <c r="D106" s="65"/>
      <c r="E106" s="61"/>
      <c r="F106" s="61"/>
      <c r="H106" t="s">
        <v>1225</v>
      </c>
    </row>
    <row r="107" spans="1:8" x14ac:dyDescent="0.2">
      <c r="A107" s="61" t="s">
        <v>508</v>
      </c>
      <c r="B107" s="61">
        <v>1861.2917168384377</v>
      </c>
      <c r="C107" s="61"/>
      <c r="D107" s="65"/>
      <c r="E107" s="61"/>
      <c r="F107" s="61"/>
      <c r="H107" t="s">
        <v>1225</v>
      </c>
    </row>
    <row r="108" spans="1:8" x14ac:dyDescent="0.2">
      <c r="A108" s="61" t="s">
        <v>366</v>
      </c>
      <c r="B108" s="61">
        <v>1757.7047526785418</v>
      </c>
      <c r="C108" s="61"/>
      <c r="D108" s="65"/>
      <c r="E108" s="61"/>
      <c r="F108" s="61"/>
      <c r="H108" t="s">
        <v>1225</v>
      </c>
    </row>
    <row r="109" spans="1:8" x14ac:dyDescent="0.2">
      <c r="A109" s="61" t="s">
        <v>301</v>
      </c>
      <c r="B109" s="61">
        <v>1524.91900289658</v>
      </c>
      <c r="C109" s="61"/>
      <c r="D109" s="65"/>
      <c r="E109" s="61"/>
      <c r="F109" s="61"/>
      <c r="H109" t="s">
        <v>1225</v>
      </c>
    </row>
    <row r="110" spans="1:8" x14ac:dyDescent="0.2">
      <c r="A110" s="61" t="s">
        <v>308</v>
      </c>
      <c r="B110" s="61">
        <v>2055.7363571869355</v>
      </c>
      <c r="C110" s="61"/>
      <c r="D110" s="65"/>
      <c r="E110" s="61"/>
      <c r="F110" s="61"/>
      <c r="H110" t="s">
        <v>1225</v>
      </c>
    </row>
    <row r="111" spans="1:8" ht="13.5" thickBot="1" x14ac:dyDescent="0.25">
      <c r="A111" s="61" t="s">
        <v>179</v>
      </c>
      <c r="B111" s="61">
        <v>1986.8442842578486</v>
      </c>
      <c r="C111" s="61"/>
      <c r="D111" s="65"/>
      <c r="E111" s="61"/>
      <c r="F111" s="61"/>
      <c r="H111" t="s">
        <v>1225</v>
      </c>
    </row>
    <row r="112" spans="1:8" ht="13.5" thickBot="1" x14ac:dyDescent="0.25">
      <c r="A112" s="12" t="s">
        <v>6</v>
      </c>
      <c r="B112" s="5" t="s">
        <v>7</v>
      </c>
      <c r="C112" s="6" t="s">
        <v>8</v>
      </c>
      <c r="D112" s="8" t="s">
        <v>9</v>
      </c>
      <c r="E112" s="13" t="s">
        <v>10</v>
      </c>
      <c r="F112" s="8" t="s">
        <v>11</v>
      </c>
      <c r="H112" t="s">
        <v>1226</v>
      </c>
    </row>
    <row r="113" spans="1:8" ht="13.5" thickBot="1" x14ac:dyDescent="0.25">
      <c r="A113" s="15">
        <v>1</v>
      </c>
      <c r="B113" s="167" t="s">
        <v>180</v>
      </c>
      <c r="C113" s="167" t="s">
        <v>243</v>
      </c>
      <c r="D113" s="16">
        <v>1677.3980559149245</v>
      </c>
      <c r="E113" s="17">
        <v>1758.354629044893</v>
      </c>
      <c r="F113" s="18">
        <v>1772.6865459012897</v>
      </c>
      <c r="H113" t="s">
        <v>1226</v>
      </c>
    </row>
    <row r="114" spans="1:8" ht="13.5" thickBot="1" x14ac:dyDescent="0.25">
      <c r="A114" s="19">
        <v>2</v>
      </c>
      <c r="B114" s="167" t="s">
        <v>524</v>
      </c>
      <c r="C114" s="167" t="s">
        <v>525</v>
      </c>
      <c r="D114" s="16">
        <v>1600</v>
      </c>
      <c r="E114" s="20">
        <v>1551.0543894736661</v>
      </c>
      <c r="F114" s="21">
        <v>1544.6766769581895</v>
      </c>
      <c r="H114" t="s">
        <v>1226</v>
      </c>
    </row>
    <row r="115" spans="1:8" ht="13.5" thickBot="1" x14ac:dyDescent="0.25">
      <c r="A115" s="19">
        <v>3</v>
      </c>
      <c r="B115" s="167" t="s">
        <v>412</v>
      </c>
      <c r="C115" s="167" t="s">
        <v>413</v>
      </c>
      <c r="D115" s="16">
        <v>1541.5139178594579</v>
      </c>
      <c r="E115" s="20">
        <v>1491.3545061485115</v>
      </c>
      <c r="F115" s="21">
        <v>1491.3545061485115</v>
      </c>
      <c r="H115" t="s">
        <v>1226</v>
      </c>
    </row>
    <row r="116" spans="1:8" ht="13.5" thickBot="1" x14ac:dyDescent="0.25">
      <c r="A116" s="19">
        <v>4</v>
      </c>
      <c r="B116" s="167" t="s">
        <v>296</v>
      </c>
      <c r="C116" s="167" t="s">
        <v>297</v>
      </c>
      <c r="D116" s="16">
        <v>1506.9929479813056</v>
      </c>
      <c r="E116" s="20">
        <v>1455.919866359161</v>
      </c>
      <c r="F116" s="21">
        <v>1455.919866359161</v>
      </c>
      <c r="H116" t="s">
        <v>1226</v>
      </c>
    </row>
    <row r="117" spans="1:8" ht="13.5" thickBot="1" x14ac:dyDescent="0.25">
      <c r="A117" s="19">
        <v>5</v>
      </c>
      <c r="B117" s="167" t="s">
        <v>415</v>
      </c>
      <c r="C117" s="167" t="s">
        <v>248</v>
      </c>
      <c r="D117" s="16">
        <v>1641.1631745399584</v>
      </c>
      <c r="E117" s="20">
        <v>1622.4997451731924</v>
      </c>
      <c r="F117" s="21">
        <v>1638.7065670849699</v>
      </c>
      <c r="H117" t="s">
        <v>1226</v>
      </c>
    </row>
    <row r="118" spans="1:8" ht="13.5" thickBot="1" x14ac:dyDescent="0.25">
      <c r="A118" s="19">
        <v>6</v>
      </c>
      <c r="B118" s="167" t="s">
        <v>380</v>
      </c>
      <c r="C118" s="167" t="s">
        <v>381</v>
      </c>
      <c r="D118" s="16">
        <v>1571.3271481700851</v>
      </c>
      <c r="E118" s="20">
        <v>1612.4245874710323</v>
      </c>
      <c r="F118" s="21">
        <v>1604.7543289628434</v>
      </c>
      <c r="H118" t="s">
        <v>1226</v>
      </c>
    </row>
    <row r="119" spans="1:8" ht="13.5" thickBot="1" x14ac:dyDescent="0.25">
      <c r="A119" s="19">
        <v>7</v>
      </c>
      <c r="B119" s="167" t="s">
        <v>425</v>
      </c>
      <c r="C119" s="167" t="s">
        <v>426</v>
      </c>
      <c r="D119" s="16">
        <v>1552.399145092096</v>
      </c>
      <c r="E119" s="20">
        <v>1523.8845203225976</v>
      </c>
      <c r="F119" s="21">
        <v>1514.8461190674018</v>
      </c>
      <c r="H119" t="s">
        <v>1226</v>
      </c>
    </row>
    <row r="120" spans="1:8" ht="13.5" thickBot="1" x14ac:dyDescent="0.25">
      <c r="A120" s="19">
        <v>8</v>
      </c>
      <c r="B120" s="167" t="s">
        <v>488</v>
      </c>
      <c r="C120" s="167" t="s">
        <v>489</v>
      </c>
      <c r="D120" s="16">
        <v>1510.9636495195373</v>
      </c>
      <c r="E120" s="20">
        <v>1478.5314682985249</v>
      </c>
      <c r="F120" s="21">
        <v>1477.7407601574198</v>
      </c>
      <c r="H120" t="s">
        <v>1226</v>
      </c>
    </row>
    <row r="121" spans="1:8" ht="13.5" thickBot="1" x14ac:dyDescent="0.25">
      <c r="A121" s="19">
        <v>9</v>
      </c>
      <c r="B121" s="167" t="s">
        <v>305</v>
      </c>
      <c r="C121" s="167" t="s">
        <v>306</v>
      </c>
      <c r="D121" s="16">
        <v>1605.5410773854333</v>
      </c>
      <c r="E121" s="20">
        <v>1626.7531964653876</v>
      </c>
      <c r="F121" s="21">
        <v>1624.0611052715087</v>
      </c>
      <c r="H121" t="s">
        <v>1226</v>
      </c>
    </row>
    <row r="122" spans="1:8" ht="13.5" thickBot="1" x14ac:dyDescent="0.25">
      <c r="A122" s="31">
        <v>10</v>
      </c>
      <c r="B122" s="167" t="s">
        <v>175</v>
      </c>
      <c r="C122" s="167" t="s">
        <v>261</v>
      </c>
      <c r="D122" s="16">
        <v>1479.2171814305723</v>
      </c>
      <c r="E122" s="32">
        <v>1565.7393891364038</v>
      </c>
      <c r="F122" s="33">
        <v>1561.769821982075</v>
      </c>
      <c r="H122" t="s">
        <v>1226</v>
      </c>
    </row>
    <row r="123" spans="1:8" x14ac:dyDescent="0.2">
      <c r="A123" s="64" t="s">
        <v>88</v>
      </c>
      <c r="B123" s="61"/>
      <c r="C123" s="61"/>
      <c r="D123" s="65"/>
      <c r="E123" s="61"/>
      <c r="F123" s="61"/>
      <c r="H123" t="s">
        <v>1226</v>
      </c>
    </row>
    <row r="124" spans="1:8" x14ac:dyDescent="0.2">
      <c r="A124" s="61" t="s">
        <v>180</v>
      </c>
      <c r="B124" s="61">
        <v>1758.354629044893</v>
      </c>
      <c r="C124" s="61"/>
      <c r="D124" s="65"/>
      <c r="E124" s="61"/>
      <c r="F124" s="61"/>
      <c r="H124" t="s">
        <v>1226</v>
      </c>
    </row>
    <row r="125" spans="1:8" x14ac:dyDescent="0.2">
      <c r="A125" s="61" t="s">
        <v>296</v>
      </c>
      <c r="B125" s="61">
        <v>1455.919866359161</v>
      </c>
      <c r="C125" s="61"/>
      <c r="D125" s="65"/>
      <c r="E125" s="61"/>
      <c r="F125" s="61"/>
      <c r="H125" t="s">
        <v>1226</v>
      </c>
    </row>
    <row r="126" spans="1:8" x14ac:dyDescent="0.2">
      <c r="A126" s="61" t="s">
        <v>415</v>
      </c>
      <c r="B126" s="61">
        <v>1622.4997451731924</v>
      </c>
      <c r="C126" s="61"/>
      <c r="D126" s="65"/>
      <c r="E126" s="61"/>
      <c r="F126" s="61"/>
      <c r="H126" t="s">
        <v>1226</v>
      </c>
    </row>
    <row r="127" spans="1:8" x14ac:dyDescent="0.2">
      <c r="A127" s="61" t="s">
        <v>488</v>
      </c>
      <c r="B127" s="61">
        <v>1478.5314682985249</v>
      </c>
      <c r="C127" s="61"/>
      <c r="D127" s="65"/>
      <c r="E127" s="61"/>
      <c r="F127" s="61"/>
      <c r="H127" t="s">
        <v>1226</v>
      </c>
    </row>
    <row r="128" spans="1:8" ht="13.5" thickBot="1" x14ac:dyDescent="0.25">
      <c r="A128" s="61" t="s">
        <v>305</v>
      </c>
      <c r="B128" s="61">
        <v>1626.7531964653876</v>
      </c>
      <c r="C128" s="61"/>
      <c r="D128" s="65"/>
      <c r="E128" s="61"/>
      <c r="F128" s="61"/>
      <c r="H128" t="s">
        <v>1226</v>
      </c>
    </row>
    <row r="129" spans="1:8" ht="13.5" thickBot="1" x14ac:dyDescent="0.25">
      <c r="A129" s="12" t="s">
        <v>6</v>
      </c>
      <c r="B129" s="5" t="s">
        <v>7</v>
      </c>
      <c r="C129" s="6" t="s">
        <v>8</v>
      </c>
      <c r="D129" s="8" t="s">
        <v>9</v>
      </c>
      <c r="E129" s="13" t="s">
        <v>10</v>
      </c>
      <c r="F129" s="8" t="s">
        <v>11</v>
      </c>
      <c r="H129" t="s">
        <v>1227</v>
      </c>
    </row>
    <row r="130" spans="1:8" ht="13.5" thickBot="1" x14ac:dyDescent="0.25">
      <c r="A130" s="15">
        <v>1</v>
      </c>
      <c r="B130" s="167" t="s">
        <v>367</v>
      </c>
      <c r="C130" s="167" t="s">
        <v>215</v>
      </c>
      <c r="D130" s="16">
        <v>1963.0509671228099</v>
      </c>
      <c r="E130" s="17">
        <v>2003.7132660210884</v>
      </c>
      <c r="F130" s="18">
        <v>2006.3678428890369</v>
      </c>
      <c r="H130" t="s">
        <v>1227</v>
      </c>
    </row>
    <row r="131" spans="1:8" ht="13.5" thickBot="1" x14ac:dyDescent="0.25">
      <c r="A131" s="19">
        <v>2</v>
      </c>
      <c r="B131" s="167" t="s">
        <v>520</v>
      </c>
      <c r="C131" s="167" t="s">
        <v>521</v>
      </c>
      <c r="D131" s="16">
        <v>1917.7652604016778</v>
      </c>
      <c r="E131" s="20">
        <v>1947.0860402822027</v>
      </c>
      <c r="F131" s="21">
        <v>1936.0903343342557</v>
      </c>
      <c r="H131" t="s">
        <v>1227</v>
      </c>
    </row>
    <row r="132" spans="1:8" ht="13.5" thickBot="1" x14ac:dyDescent="0.25">
      <c r="A132" s="19">
        <v>3</v>
      </c>
      <c r="B132" s="167" t="s">
        <v>185</v>
      </c>
      <c r="C132" s="167" t="s">
        <v>234</v>
      </c>
      <c r="D132" s="16">
        <v>1914.8405147891358</v>
      </c>
      <c r="E132" s="20">
        <v>1934.1205810170186</v>
      </c>
      <c r="F132" s="21">
        <v>1925.295911556369</v>
      </c>
      <c r="H132" t="s">
        <v>1227</v>
      </c>
    </row>
    <row r="133" spans="1:8" ht="13.5" thickBot="1" x14ac:dyDescent="0.25">
      <c r="A133" s="19">
        <v>4</v>
      </c>
      <c r="B133" s="167" t="s">
        <v>316</v>
      </c>
      <c r="C133" s="167" t="s">
        <v>258</v>
      </c>
      <c r="D133" s="16">
        <v>1895.4903689374637</v>
      </c>
      <c r="E133" s="20">
        <v>1934.272282716566</v>
      </c>
      <c r="F133" s="21">
        <v>1931.1341198367875</v>
      </c>
      <c r="H133" t="s">
        <v>1227</v>
      </c>
    </row>
    <row r="134" spans="1:8" ht="13.5" thickBot="1" x14ac:dyDescent="0.25">
      <c r="A134" s="19">
        <v>5</v>
      </c>
      <c r="B134" s="352" t="s">
        <v>319</v>
      </c>
      <c r="C134" s="167" t="s">
        <v>320</v>
      </c>
      <c r="D134" s="16">
        <v>2148.0572046490697</v>
      </c>
      <c r="E134" s="20">
        <v>2125.5973103070378</v>
      </c>
      <c r="F134" s="21">
        <v>2135.8392479664076</v>
      </c>
      <c r="H134" t="s">
        <v>1227</v>
      </c>
    </row>
    <row r="135" spans="1:8" ht="13.5" thickBot="1" x14ac:dyDescent="0.25">
      <c r="A135" s="19">
        <v>6</v>
      </c>
      <c r="B135" s="167" t="s">
        <v>315</v>
      </c>
      <c r="C135" s="167" t="s">
        <v>233</v>
      </c>
      <c r="D135" s="16">
        <v>1891.4603047981896</v>
      </c>
      <c r="E135" s="20">
        <v>1880.1553601396777</v>
      </c>
      <c r="F135" s="21">
        <v>1900.4753549957709</v>
      </c>
      <c r="H135" t="s">
        <v>1227</v>
      </c>
    </row>
    <row r="136" spans="1:8" ht="13.5" thickBot="1" x14ac:dyDescent="0.25">
      <c r="A136" s="19">
        <v>7</v>
      </c>
      <c r="B136" s="167" t="s">
        <v>389</v>
      </c>
      <c r="C136" s="167" t="s">
        <v>390</v>
      </c>
      <c r="D136" s="16">
        <v>1830.5436089119114</v>
      </c>
      <c r="E136" s="20">
        <v>1810.3339217466503</v>
      </c>
      <c r="F136" s="21">
        <v>1808.3399317636411</v>
      </c>
      <c r="H136" t="s">
        <v>1227</v>
      </c>
    </row>
    <row r="137" spans="1:8" ht="13.5" thickBot="1" x14ac:dyDescent="0.25">
      <c r="A137" s="19">
        <v>8</v>
      </c>
      <c r="B137" s="167" t="s">
        <v>190</v>
      </c>
      <c r="C137" s="167" t="s">
        <v>487</v>
      </c>
      <c r="D137" s="16">
        <v>1890.1692768639286</v>
      </c>
      <c r="E137" s="20">
        <v>1811.3963190537154</v>
      </c>
      <c r="F137" s="21">
        <v>1811.3963190537154</v>
      </c>
      <c r="H137" t="s">
        <v>1227</v>
      </c>
    </row>
    <row r="138" spans="1:8" ht="13.5" thickBot="1" x14ac:dyDescent="0.25">
      <c r="A138" s="19">
        <v>9</v>
      </c>
      <c r="B138" s="167" t="s">
        <v>378</v>
      </c>
      <c r="C138" s="167" t="s">
        <v>379</v>
      </c>
      <c r="D138" s="16">
        <v>1933.3202027700872</v>
      </c>
      <c r="E138" s="20">
        <v>1851.0023848190285</v>
      </c>
      <c r="F138" s="21">
        <v>1843.6720858938916</v>
      </c>
      <c r="H138" t="s">
        <v>1227</v>
      </c>
    </row>
    <row r="139" spans="1:8" ht="13.5" thickBot="1" x14ac:dyDescent="0.25">
      <c r="A139" s="19">
        <v>10</v>
      </c>
      <c r="B139" s="167" t="s">
        <v>464</v>
      </c>
      <c r="C139" s="167" t="s">
        <v>465</v>
      </c>
      <c r="D139" s="16">
        <v>1865.2574148016322</v>
      </c>
      <c r="E139" s="20">
        <v>1898.1779669391633</v>
      </c>
      <c r="F139" s="21">
        <v>1900.0253559371931</v>
      </c>
      <c r="H139" t="s">
        <v>1227</v>
      </c>
    </row>
    <row r="140" spans="1:8" ht="13.5" thickBot="1" x14ac:dyDescent="0.25">
      <c r="A140" s="19">
        <v>11</v>
      </c>
      <c r="B140" s="167" t="s">
        <v>1177</v>
      </c>
      <c r="C140" s="167" t="s">
        <v>323</v>
      </c>
      <c r="D140" s="1035">
        <v>2191.3036846579344</v>
      </c>
      <c r="E140" s="20">
        <v>2179.3232925082521</v>
      </c>
      <c r="F140" s="21">
        <v>2191.3037844041428</v>
      </c>
      <c r="H140" t="s">
        <v>1227</v>
      </c>
    </row>
    <row r="141" spans="1:8" ht="13.5" thickBot="1" x14ac:dyDescent="0.25">
      <c r="A141" s="19">
        <v>12</v>
      </c>
      <c r="B141" s="167" t="s">
        <v>189</v>
      </c>
      <c r="C141" s="167" t="s">
        <v>317</v>
      </c>
      <c r="D141" s="16">
        <v>1828.7521321234813</v>
      </c>
      <c r="E141" s="20">
        <v>1808.1070716129773</v>
      </c>
      <c r="F141" s="21">
        <v>1808.1070716129773</v>
      </c>
      <c r="H141" t="s">
        <v>1227</v>
      </c>
    </row>
    <row r="142" spans="1:8" ht="13.5" thickBot="1" x14ac:dyDescent="0.25">
      <c r="A142" s="19">
        <v>13</v>
      </c>
      <c r="B142" s="167" t="s">
        <v>400</v>
      </c>
      <c r="C142" s="167" t="s">
        <v>401</v>
      </c>
      <c r="D142" s="1035">
        <v>2155.0438534730665</v>
      </c>
      <c r="E142" s="20">
        <v>2166.5412469090652</v>
      </c>
      <c r="F142" s="21">
        <v>2155.0443410250045</v>
      </c>
      <c r="H142" t="s">
        <v>1227</v>
      </c>
    </row>
    <row r="143" spans="1:8" ht="13.5" thickBot="1" x14ac:dyDescent="0.25">
      <c r="A143" s="19">
        <v>14</v>
      </c>
      <c r="B143" s="167" t="s">
        <v>187</v>
      </c>
      <c r="C143" s="167" t="s">
        <v>210</v>
      </c>
      <c r="D143" s="16">
        <v>1805.2356241346474</v>
      </c>
      <c r="E143" s="20">
        <v>1889.12808855605</v>
      </c>
      <c r="F143" s="21">
        <v>1885.8634313593002</v>
      </c>
      <c r="H143" t="s">
        <v>1227</v>
      </c>
    </row>
    <row r="144" spans="1:8" ht="13.5" thickBot="1" x14ac:dyDescent="0.25">
      <c r="A144" s="31">
        <v>15</v>
      </c>
      <c r="B144" s="167" t="s">
        <v>192</v>
      </c>
      <c r="C144" s="167" t="s">
        <v>244</v>
      </c>
      <c r="D144" s="16">
        <v>1769.7324273066286</v>
      </c>
      <c r="E144" s="32">
        <v>1761.0677131131711</v>
      </c>
      <c r="F144" s="33">
        <v>1761.0677131131711</v>
      </c>
      <c r="H144" t="s">
        <v>1227</v>
      </c>
    </row>
    <row r="145" spans="1:8" x14ac:dyDescent="0.2">
      <c r="A145" s="64" t="s">
        <v>88</v>
      </c>
      <c r="B145" s="61"/>
      <c r="C145" s="61"/>
      <c r="D145" s="65"/>
      <c r="E145" s="61"/>
      <c r="F145" s="61"/>
      <c r="H145" t="s">
        <v>1227</v>
      </c>
    </row>
    <row r="146" spans="1:8" x14ac:dyDescent="0.2">
      <c r="A146" s="61" t="s">
        <v>367</v>
      </c>
      <c r="B146" s="61">
        <v>2003.7132660210884</v>
      </c>
      <c r="C146" s="61"/>
      <c r="D146" s="65"/>
      <c r="E146" s="61"/>
      <c r="F146" s="61"/>
      <c r="H146" t="s">
        <v>1227</v>
      </c>
    </row>
    <row r="147" spans="1:8" x14ac:dyDescent="0.2">
      <c r="A147" s="61" t="s">
        <v>315</v>
      </c>
      <c r="B147" s="61">
        <v>1880.1553601396777</v>
      </c>
      <c r="C147" s="61"/>
      <c r="D147" s="65"/>
      <c r="E147" s="61"/>
      <c r="F147" s="61"/>
      <c r="H147" t="s">
        <v>1227</v>
      </c>
    </row>
    <row r="148" spans="1:8" x14ac:dyDescent="0.2">
      <c r="A148" s="61" t="s">
        <v>389</v>
      </c>
      <c r="B148" s="61">
        <v>1810.3339217466503</v>
      </c>
      <c r="C148" s="61"/>
      <c r="D148" s="65"/>
      <c r="E148" s="61"/>
      <c r="F148" s="61"/>
      <c r="H148" t="s">
        <v>1227</v>
      </c>
    </row>
    <row r="149" spans="1:8" x14ac:dyDescent="0.2">
      <c r="A149" s="61" t="s">
        <v>189</v>
      </c>
      <c r="B149" s="61">
        <v>1808.1070716129773</v>
      </c>
      <c r="C149" s="61"/>
      <c r="D149" s="65"/>
      <c r="E149" s="61"/>
      <c r="F149" s="61"/>
      <c r="H149" t="s">
        <v>1227</v>
      </c>
    </row>
    <row r="150" spans="1:8" ht="13.5" thickBot="1" x14ac:dyDescent="0.25">
      <c r="A150" s="61" t="s">
        <v>400</v>
      </c>
      <c r="B150" s="61">
        <v>2166.5412469090652</v>
      </c>
      <c r="C150" s="61"/>
      <c r="D150" s="65"/>
      <c r="E150" s="61"/>
      <c r="F150" s="61"/>
      <c r="H150" t="s">
        <v>1227</v>
      </c>
    </row>
    <row r="151" spans="1:8" ht="13.5" thickBot="1" x14ac:dyDescent="0.25">
      <c r="A151" s="196" t="s">
        <v>6</v>
      </c>
      <c r="B151" s="197" t="s">
        <v>7</v>
      </c>
      <c r="C151" s="198" t="s">
        <v>8</v>
      </c>
      <c r="D151" s="192" t="s">
        <v>9</v>
      </c>
      <c r="E151" s="199" t="s">
        <v>10</v>
      </c>
      <c r="F151" s="192" t="s">
        <v>11</v>
      </c>
      <c r="H151" t="s">
        <v>1228</v>
      </c>
    </row>
    <row r="152" spans="1:8" ht="13.5" thickBot="1" x14ac:dyDescent="0.25">
      <c r="A152" s="201">
        <v>1</v>
      </c>
      <c r="B152" s="167" t="s">
        <v>310</v>
      </c>
      <c r="C152" s="167" t="s">
        <v>311</v>
      </c>
      <c r="D152" s="16">
        <v>1811.1441592697583</v>
      </c>
      <c r="E152" s="202">
        <v>1813.3875911750119</v>
      </c>
      <c r="F152" s="203">
        <v>1832.4676561060883</v>
      </c>
      <c r="H152" t="s">
        <v>1228</v>
      </c>
    </row>
    <row r="153" spans="1:8" ht="13.5" thickBot="1" x14ac:dyDescent="0.25">
      <c r="A153" s="204">
        <v>2</v>
      </c>
      <c r="B153" s="167" t="s">
        <v>497</v>
      </c>
      <c r="C153" s="167" t="s">
        <v>498</v>
      </c>
      <c r="D153" s="16">
        <v>1741.8911152621556</v>
      </c>
      <c r="E153" s="205">
        <v>1800.7490095963151</v>
      </c>
      <c r="F153" s="206">
        <v>1799.434316797571</v>
      </c>
      <c r="H153" t="s">
        <v>1228</v>
      </c>
    </row>
    <row r="154" spans="1:8" ht="13.5" thickBot="1" x14ac:dyDescent="0.25">
      <c r="A154" s="204">
        <v>3</v>
      </c>
      <c r="B154" s="167" t="s">
        <v>186</v>
      </c>
      <c r="C154" s="167" t="s">
        <v>515</v>
      </c>
      <c r="D154" s="16">
        <v>1838.133719846739</v>
      </c>
      <c r="E154" s="205">
        <v>1911.7845303285756</v>
      </c>
      <c r="F154" s="206">
        <v>1920.2615501216155</v>
      </c>
      <c r="H154" t="s">
        <v>1228</v>
      </c>
    </row>
    <row r="155" spans="1:8" ht="13.5" thickBot="1" x14ac:dyDescent="0.25">
      <c r="A155" s="204">
        <v>4</v>
      </c>
      <c r="B155" s="167" t="s">
        <v>432</v>
      </c>
      <c r="C155" s="167" t="s">
        <v>433</v>
      </c>
      <c r="D155" s="1035">
        <v>1847.2848952463767</v>
      </c>
      <c r="E155" s="205">
        <v>1854.2214179244468</v>
      </c>
      <c r="F155" s="206">
        <v>1847.4634591582353</v>
      </c>
      <c r="H155" t="s">
        <v>1228</v>
      </c>
    </row>
    <row r="156" spans="1:8" ht="13.5" thickBot="1" x14ac:dyDescent="0.25">
      <c r="A156" s="204">
        <v>5</v>
      </c>
      <c r="B156" s="167" t="s">
        <v>1178</v>
      </c>
      <c r="C156" s="167" t="s">
        <v>439</v>
      </c>
      <c r="D156" s="1035">
        <v>2183.1579628857221</v>
      </c>
      <c r="E156" s="205">
        <v>2196.7281517451793</v>
      </c>
      <c r="F156" s="206">
        <v>2183.3270107723647</v>
      </c>
      <c r="H156" t="s">
        <v>1228</v>
      </c>
    </row>
    <row r="157" spans="1:8" ht="13.5" thickBot="1" x14ac:dyDescent="0.25">
      <c r="A157" s="204">
        <v>6</v>
      </c>
      <c r="B157" s="167" t="s">
        <v>455</v>
      </c>
      <c r="C157" s="167" t="s">
        <v>456</v>
      </c>
      <c r="D157" s="1035">
        <v>2200</v>
      </c>
      <c r="E157" s="205">
        <v>2219.9725103389865</v>
      </c>
      <c r="F157" s="206">
        <v>2226.2113243175049</v>
      </c>
      <c r="H157" t="s">
        <v>1228</v>
      </c>
    </row>
    <row r="158" spans="1:8" ht="13.5" thickBot="1" x14ac:dyDescent="0.25">
      <c r="A158" s="204">
        <v>7</v>
      </c>
      <c r="B158" s="167" t="s">
        <v>382</v>
      </c>
      <c r="C158" s="167" t="s">
        <v>383</v>
      </c>
      <c r="D158" s="16">
        <v>1805.1071930791211</v>
      </c>
      <c r="E158" s="205">
        <v>1839.7546501288846</v>
      </c>
      <c r="F158" s="206">
        <v>1831.1486890310628</v>
      </c>
      <c r="H158" t="s">
        <v>1228</v>
      </c>
    </row>
    <row r="159" spans="1:8" ht="13.5" thickBot="1" x14ac:dyDescent="0.25">
      <c r="A159" s="204">
        <v>8</v>
      </c>
      <c r="B159" s="167" t="s">
        <v>452</v>
      </c>
      <c r="C159" s="167" t="s">
        <v>322</v>
      </c>
      <c r="D159" s="1035">
        <v>1642.7424569844798</v>
      </c>
      <c r="E159" s="205">
        <v>1646.5246100135871</v>
      </c>
      <c r="F159" s="206">
        <v>1642.8084649465441</v>
      </c>
      <c r="H159" t="s">
        <v>1228</v>
      </c>
    </row>
    <row r="160" spans="1:8" ht="13.5" thickBot="1" x14ac:dyDescent="0.25">
      <c r="A160" s="204">
        <v>9</v>
      </c>
      <c r="B160" s="167" t="s">
        <v>506</v>
      </c>
      <c r="C160" s="167" t="s">
        <v>507</v>
      </c>
      <c r="D160" s="16">
        <v>1741.3689204677482</v>
      </c>
      <c r="E160" s="205">
        <v>1729.1507888646631</v>
      </c>
      <c r="F160" s="206">
        <v>1745.7532376061822</v>
      </c>
      <c r="H160" t="s">
        <v>1228</v>
      </c>
    </row>
    <row r="161" spans="1:8" ht="13.5" thickBot="1" x14ac:dyDescent="0.25">
      <c r="A161" s="204">
        <v>10</v>
      </c>
      <c r="B161" s="167" t="s">
        <v>416</v>
      </c>
      <c r="C161" s="167" t="s">
        <v>417</v>
      </c>
      <c r="D161" s="16">
        <v>1716.1266950832369</v>
      </c>
      <c r="E161" s="205">
        <v>1647.7574935264154</v>
      </c>
      <c r="F161" s="206">
        <v>1641.5980941199523</v>
      </c>
      <c r="H161" t="s">
        <v>1228</v>
      </c>
    </row>
    <row r="162" spans="1:8" ht="13.5" thickBot="1" x14ac:dyDescent="0.25">
      <c r="A162" s="204">
        <v>11</v>
      </c>
      <c r="B162" s="167" t="s">
        <v>434</v>
      </c>
      <c r="C162" s="167" t="s">
        <v>241</v>
      </c>
      <c r="D162" s="16">
        <v>1695.6949666343532</v>
      </c>
      <c r="E162" s="205">
        <v>1591.7374264549485</v>
      </c>
      <c r="F162" s="206">
        <v>1591.7374264549485</v>
      </c>
      <c r="H162" t="s">
        <v>1228</v>
      </c>
    </row>
    <row r="163" spans="1:8" ht="13.5" thickBot="1" x14ac:dyDescent="0.25">
      <c r="A163" s="204">
        <v>12</v>
      </c>
      <c r="B163" s="167" t="s">
        <v>313</v>
      </c>
      <c r="C163" s="167" t="s">
        <v>257</v>
      </c>
      <c r="D163" s="16">
        <v>1720.2289335203257</v>
      </c>
      <c r="E163" s="205">
        <v>1733.2566986071022</v>
      </c>
      <c r="F163" s="206">
        <v>1722.2995681426601</v>
      </c>
      <c r="H163" t="s">
        <v>1228</v>
      </c>
    </row>
    <row r="164" spans="1:8" ht="13.5" thickBot="1" x14ac:dyDescent="0.25">
      <c r="A164" s="204">
        <v>13</v>
      </c>
      <c r="B164" s="167" t="s">
        <v>435</v>
      </c>
      <c r="C164" s="167" t="s">
        <v>436</v>
      </c>
      <c r="D164" s="16">
        <v>1681.5214943555018</v>
      </c>
      <c r="E164" s="205">
        <v>1611.6303299747217</v>
      </c>
      <c r="F164" s="206">
        <v>1611.6303299747217</v>
      </c>
      <c r="H164" t="s">
        <v>1228</v>
      </c>
    </row>
    <row r="165" spans="1:8" ht="13.5" thickBot="1" x14ac:dyDescent="0.25">
      <c r="A165" s="204">
        <v>14</v>
      </c>
      <c r="B165" s="167" t="s">
        <v>184</v>
      </c>
      <c r="C165" s="167" t="s">
        <v>312</v>
      </c>
      <c r="D165" s="16">
        <v>1570.7017546104134</v>
      </c>
      <c r="E165" s="205">
        <v>1598.449058567094</v>
      </c>
      <c r="F165" s="206">
        <v>1598.9631396964801</v>
      </c>
      <c r="H165" t="s">
        <v>1228</v>
      </c>
    </row>
    <row r="166" spans="1:8" x14ac:dyDescent="0.2">
      <c r="A166" s="245" t="s">
        <v>88</v>
      </c>
      <c r="B166" s="241"/>
      <c r="C166" s="241"/>
      <c r="D166" s="246"/>
      <c r="E166" s="241"/>
      <c r="F166" s="241"/>
      <c r="H166" t="s">
        <v>1228</v>
      </c>
    </row>
    <row r="167" spans="1:8" x14ac:dyDescent="0.2">
      <c r="A167" s="241" t="s">
        <v>310</v>
      </c>
      <c r="B167" s="241">
        <v>1813.3875911750119</v>
      </c>
      <c r="C167" s="241"/>
      <c r="D167" s="246"/>
      <c r="E167" s="241"/>
      <c r="F167" s="241"/>
      <c r="H167" t="s">
        <v>1228</v>
      </c>
    </row>
    <row r="168" spans="1:8" x14ac:dyDescent="0.2">
      <c r="A168" s="241" t="s">
        <v>455</v>
      </c>
      <c r="B168" s="241">
        <v>2219.9725103389865</v>
      </c>
      <c r="C168" s="241"/>
      <c r="D168" s="246"/>
      <c r="E168" s="241"/>
      <c r="F168" s="241"/>
      <c r="H168" t="s">
        <v>1228</v>
      </c>
    </row>
    <row r="169" spans="1:8" x14ac:dyDescent="0.2">
      <c r="A169" s="241" t="s">
        <v>382</v>
      </c>
      <c r="B169" s="241">
        <v>1839.7546501288846</v>
      </c>
      <c r="C169" s="241"/>
      <c r="D169" s="246"/>
      <c r="E169" s="241"/>
      <c r="F169" s="241"/>
      <c r="H169" t="s">
        <v>1228</v>
      </c>
    </row>
    <row r="170" spans="1:8" x14ac:dyDescent="0.2">
      <c r="A170" s="241" t="s">
        <v>313</v>
      </c>
      <c r="B170" s="241">
        <v>1733.2566986071022</v>
      </c>
      <c r="C170" s="241"/>
      <c r="D170" s="246"/>
      <c r="E170" s="241"/>
      <c r="F170" s="241"/>
      <c r="H170" t="s">
        <v>1228</v>
      </c>
    </row>
    <row r="171" spans="1:8" ht="13.5" thickBot="1" x14ac:dyDescent="0.25">
      <c r="A171" s="241" t="s">
        <v>435</v>
      </c>
      <c r="B171" s="241">
        <v>1611.6303299747217</v>
      </c>
      <c r="C171" s="241"/>
      <c r="D171" s="246"/>
      <c r="E171" s="241"/>
      <c r="F171" s="241"/>
      <c r="H171" t="s">
        <v>1228</v>
      </c>
    </row>
    <row r="172" spans="1:8" ht="13.5" thickBot="1" x14ac:dyDescent="0.25">
      <c r="A172" s="12" t="s">
        <v>6</v>
      </c>
      <c r="B172" s="5" t="s">
        <v>7</v>
      </c>
      <c r="C172" s="6" t="s">
        <v>8</v>
      </c>
      <c r="D172" s="8" t="s">
        <v>9</v>
      </c>
      <c r="E172" s="13" t="s">
        <v>10</v>
      </c>
      <c r="F172" s="8" t="s">
        <v>11</v>
      </c>
      <c r="H172" t="s">
        <v>1229</v>
      </c>
    </row>
    <row r="173" spans="1:8" ht="13.5" thickBot="1" x14ac:dyDescent="0.25">
      <c r="A173" s="15">
        <v>1</v>
      </c>
      <c r="B173" s="167" t="s">
        <v>324</v>
      </c>
      <c r="C173" s="358" t="s">
        <v>325</v>
      </c>
      <c r="D173" s="16">
        <v>2098.0659243278974</v>
      </c>
      <c r="E173" s="17">
        <v>2079.7362165610371</v>
      </c>
      <c r="F173" s="18">
        <v>2070.0219407095829</v>
      </c>
      <c r="H173" t="s">
        <v>1229</v>
      </c>
    </row>
    <row r="174" spans="1:8" ht="13.5" thickBot="1" x14ac:dyDescent="0.25">
      <c r="A174" s="19">
        <v>2</v>
      </c>
      <c r="B174" s="167" t="s">
        <v>490</v>
      </c>
      <c r="C174" s="358" t="s">
        <v>491</v>
      </c>
      <c r="D174" s="16">
        <v>2073.7324729018796</v>
      </c>
      <c r="E174" s="20">
        <v>2102.4268038766127</v>
      </c>
      <c r="F174" s="21">
        <v>2121.4624860219083</v>
      </c>
      <c r="H174" t="s">
        <v>1229</v>
      </c>
    </row>
    <row r="175" spans="1:8" ht="13.5" thickBot="1" x14ac:dyDescent="0.25">
      <c r="A175" s="19">
        <v>3</v>
      </c>
      <c r="B175" s="167" t="s">
        <v>193</v>
      </c>
      <c r="C175" s="358" t="s">
        <v>516</v>
      </c>
      <c r="D175" s="16">
        <v>2075.6557959024376</v>
      </c>
      <c r="E175" s="20">
        <v>2118.7401114993418</v>
      </c>
      <c r="F175" s="21">
        <v>2111.1120209801334</v>
      </c>
      <c r="H175" t="s">
        <v>1229</v>
      </c>
    </row>
    <row r="176" spans="1:8" ht="13.5" thickBot="1" x14ac:dyDescent="0.25">
      <c r="A176" s="19">
        <v>4</v>
      </c>
      <c r="B176" s="167" t="s">
        <v>191</v>
      </c>
      <c r="C176" s="167" t="s">
        <v>200</v>
      </c>
      <c r="D176" s="16">
        <v>1954.3026425151425</v>
      </c>
      <c r="E176" s="20">
        <v>1933.5634861598403</v>
      </c>
      <c r="F176" s="21">
        <v>1927.6269084243409</v>
      </c>
      <c r="H176" t="s">
        <v>1229</v>
      </c>
    </row>
    <row r="177" spans="1:8" ht="13.5" thickBot="1" x14ac:dyDescent="0.25">
      <c r="A177" s="19">
        <v>5</v>
      </c>
      <c r="B177" s="167" t="s">
        <v>529</v>
      </c>
      <c r="C177" s="358" t="s">
        <v>530</v>
      </c>
      <c r="D177" s="1035">
        <v>2122.1116419046489</v>
      </c>
      <c r="E177" s="20">
        <v>2134.903585900568</v>
      </c>
      <c r="F177" s="21">
        <v>2122.1118164907834</v>
      </c>
      <c r="H177" t="s">
        <v>1229</v>
      </c>
    </row>
    <row r="178" spans="1:8" ht="13.5" thickBot="1" x14ac:dyDescent="0.25">
      <c r="A178" s="19">
        <v>6</v>
      </c>
      <c r="B178" s="167" t="s">
        <v>460</v>
      </c>
      <c r="C178" s="358" t="s">
        <v>461</v>
      </c>
      <c r="D178" s="1035">
        <v>1939.0384757383347</v>
      </c>
      <c r="E178" s="20">
        <v>1939.0389096090223</v>
      </c>
      <c r="F178" s="21">
        <v>1939.0389096090223</v>
      </c>
      <c r="H178" t="s">
        <v>1229</v>
      </c>
    </row>
    <row r="179" spans="1:8" ht="13.5" thickBot="1" x14ac:dyDescent="0.25">
      <c r="A179" s="19">
        <v>7</v>
      </c>
      <c r="B179" s="167" t="s">
        <v>371</v>
      </c>
      <c r="C179" s="167" t="s">
        <v>372</v>
      </c>
      <c r="D179" s="1035">
        <v>2087.228135437424</v>
      </c>
      <c r="E179" s="20">
        <v>2096.6431760724954</v>
      </c>
      <c r="F179" s="21">
        <v>2087.2291739947027</v>
      </c>
      <c r="H179" t="s">
        <v>1229</v>
      </c>
    </row>
    <row r="180" spans="1:8" ht="13.5" thickBot="1" x14ac:dyDescent="0.25">
      <c r="A180" s="19">
        <v>8</v>
      </c>
      <c r="B180" s="167" t="s">
        <v>442</v>
      </c>
      <c r="C180" s="358" t="s">
        <v>443</v>
      </c>
      <c r="D180" s="16">
        <v>1934.5993580275974</v>
      </c>
      <c r="E180" s="20">
        <v>1927.9008144743593</v>
      </c>
      <c r="F180" s="21">
        <v>1920.8120770077032</v>
      </c>
      <c r="H180" t="s">
        <v>1229</v>
      </c>
    </row>
    <row r="181" spans="1:8" ht="13.5" thickBot="1" x14ac:dyDescent="0.25">
      <c r="A181" s="19">
        <v>9</v>
      </c>
      <c r="B181" s="167" t="s">
        <v>423</v>
      </c>
      <c r="C181" s="358" t="s">
        <v>424</v>
      </c>
      <c r="D181" s="16">
        <v>1882.3588043028437</v>
      </c>
      <c r="E181" s="20">
        <v>1912.7577143886547</v>
      </c>
      <c r="F181" s="21">
        <v>1908.7373121074302</v>
      </c>
      <c r="H181" t="s">
        <v>1229</v>
      </c>
    </row>
    <row r="182" spans="1:8" ht="13.5" thickBot="1" x14ac:dyDescent="0.25">
      <c r="A182" s="19">
        <v>10</v>
      </c>
      <c r="B182" s="167" t="s">
        <v>405</v>
      </c>
      <c r="C182" s="358" t="s">
        <v>406</v>
      </c>
      <c r="D182" s="16">
        <v>1968.6719369166094</v>
      </c>
      <c r="E182" s="20">
        <v>2034.5820958872425</v>
      </c>
      <c r="F182" s="21">
        <v>2064.4159578940285</v>
      </c>
      <c r="H182" t="s">
        <v>1229</v>
      </c>
    </row>
    <row r="183" spans="1:8" ht="13.5" thickBot="1" x14ac:dyDescent="0.25">
      <c r="A183" s="19">
        <v>11</v>
      </c>
      <c r="B183" s="356" t="s">
        <v>518</v>
      </c>
      <c r="C183" s="356" t="s">
        <v>519</v>
      </c>
      <c r="D183" s="16">
        <v>1880.9536423839288</v>
      </c>
      <c r="E183" s="20">
        <v>1957.7422598925859</v>
      </c>
      <c r="F183" s="21">
        <v>1952.441255879969</v>
      </c>
      <c r="H183" t="s">
        <v>1229</v>
      </c>
    </row>
    <row r="184" spans="1:8" ht="13.5" thickBot="1" x14ac:dyDescent="0.25">
      <c r="A184" s="19">
        <v>12</v>
      </c>
      <c r="B184" s="167" t="s">
        <v>368</v>
      </c>
      <c r="C184" s="358" t="s">
        <v>326</v>
      </c>
      <c r="D184" s="16">
        <v>2037.3311358334597</v>
      </c>
      <c r="E184" s="20">
        <v>2025.2473010559765</v>
      </c>
      <c r="F184" s="21">
        <v>2044.6070675484093</v>
      </c>
      <c r="H184" t="s">
        <v>1229</v>
      </c>
    </row>
    <row r="185" spans="1:8" ht="13.5" thickBot="1" x14ac:dyDescent="0.25">
      <c r="A185" s="19">
        <v>13</v>
      </c>
      <c r="B185" s="167" t="s">
        <v>194</v>
      </c>
      <c r="C185" s="358" t="s">
        <v>252</v>
      </c>
      <c r="D185" s="16">
        <v>1946.6508848780252</v>
      </c>
      <c r="E185" s="20">
        <v>1967.648952916609</v>
      </c>
      <c r="F185" s="21">
        <v>1961.3145016263318</v>
      </c>
      <c r="H185" t="s">
        <v>1229</v>
      </c>
    </row>
    <row r="186" spans="1:8" ht="13.5" thickBot="1" x14ac:dyDescent="0.25">
      <c r="A186" s="19">
        <v>14</v>
      </c>
      <c r="B186" s="354" t="s">
        <v>1185</v>
      </c>
      <c r="C186" s="355" t="s">
        <v>1184</v>
      </c>
      <c r="D186" s="16">
        <v>2000</v>
      </c>
      <c r="E186" s="20">
        <v>1888.423651073929</v>
      </c>
      <c r="F186" s="21">
        <v>1888.423651073929</v>
      </c>
      <c r="H186" t="s">
        <v>1229</v>
      </c>
    </row>
    <row r="187" spans="1:8" ht="13.5" thickBot="1" x14ac:dyDescent="0.25">
      <c r="A187" s="31">
        <v>15</v>
      </c>
      <c r="B187" s="167" t="s">
        <v>1186</v>
      </c>
      <c r="C187" s="1430" t="s">
        <v>1233</v>
      </c>
      <c r="D187" s="16">
        <v>2000</v>
      </c>
      <c r="E187" s="32">
        <v>1881.3457717019537</v>
      </c>
      <c r="F187" s="33">
        <v>1881.3457717019537</v>
      </c>
      <c r="H187" t="s">
        <v>1229</v>
      </c>
    </row>
    <row r="188" spans="1:8" x14ac:dyDescent="0.2">
      <c r="A188" s="64" t="s">
        <v>88</v>
      </c>
      <c r="B188" s="61"/>
      <c r="C188" s="61"/>
      <c r="D188" s="65"/>
      <c r="E188" s="61"/>
      <c r="F188" s="61"/>
      <c r="H188" t="s">
        <v>1229</v>
      </c>
    </row>
    <row r="189" spans="1:8" x14ac:dyDescent="0.2">
      <c r="A189" s="61" t="s">
        <v>324</v>
      </c>
      <c r="B189" s="61">
        <v>2079.7362165610371</v>
      </c>
      <c r="C189" s="61"/>
      <c r="D189" s="65"/>
      <c r="E189" s="61"/>
      <c r="F189" s="61"/>
      <c r="H189" t="s">
        <v>1229</v>
      </c>
    </row>
    <row r="190" spans="1:8" x14ac:dyDescent="0.2">
      <c r="A190" s="61" t="s">
        <v>460</v>
      </c>
      <c r="B190" s="61">
        <v>1939.0389096090223</v>
      </c>
      <c r="C190" s="61"/>
      <c r="D190" s="65"/>
      <c r="E190" s="61"/>
      <c r="F190" s="61"/>
      <c r="H190" t="s">
        <v>1229</v>
      </c>
    </row>
    <row r="191" spans="1:8" x14ac:dyDescent="0.2">
      <c r="A191" s="61" t="s">
        <v>371</v>
      </c>
      <c r="B191" s="61">
        <v>2096.6431760724954</v>
      </c>
      <c r="C191" s="61"/>
      <c r="D191" s="65"/>
      <c r="E191" s="61"/>
      <c r="F191" s="61"/>
      <c r="H191" t="s">
        <v>1229</v>
      </c>
    </row>
    <row r="192" spans="1:8" x14ac:dyDescent="0.2">
      <c r="A192" s="61" t="s">
        <v>368</v>
      </c>
      <c r="B192" s="61">
        <v>2025.2473010559765</v>
      </c>
      <c r="C192" s="61"/>
      <c r="D192" s="65"/>
      <c r="E192" s="61"/>
      <c r="F192" s="61"/>
      <c r="H192" t="s">
        <v>1229</v>
      </c>
    </row>
    <row r="193" spans="1:8" ht="13.5" thickBot="1" x14ac:dyDescent="0.25">
      <c r="A193" s="61" t="s">
        <v>194</v>
      </c>
      <c r="B193" s="61">
        <v>1967.648952916609</v>
      </c>
      <c r="C193" s="61"/>
      <c r="D193" s="65"/>
      <c r="E193" s="61"/>
      <c r="F193" s="61"/>
      <c r="H193" t="s">
        <v>1229</v>
      </c>
    </row>
    <row r="194" spans="1:8" ht="13.5" thickBot="1" x14ac:dyDescent="0.25">
      <c r="A194" s="12" t="s">
        <v>6</v>
      </c>
      <c r="B194" s="5" t="s">
        <v>7</v>
      </c>
      <c r="C194" s="6" t="s">
        <v>8</v>
      </c>
      <c r="D194" s="8" t="s">
        <v>9</v>
      </c>
      <c r="E194" s="13" t="s">
        <v>10</v>
      </c>
      <c r="F194" s="8" t="s">
        <v>11</v>
      </c>
      <c r="H194" t="s">
        <v>1230</v>
      </c>
    </row>
    <row r="195" spans="1:8" ht="13.5" thickBot="1" x14ac:dyDescent="0.25">
      <c r="A195" s="15">
        <v>1</v>
      </c>
      <c r="B195" s="167" t="s">
        <v>384</v>
      </c>
      <c r="C195" s="167" t="s">
        <v>228</v>
      </c>
      <c r="D195" s="16">
        <v>2402.3375292126752</v>
      </c>
      <c r="E195" s="17">
        <v>2425.9374584524344</v>
      </c>
      <c r="F195" s="18">
        <v>2439.2272007225151</v>
      </c>
      <c r="H195" t="s">
        <v>1230</v>
      </c>
    </row>
    <row r="196" spans="1:8" ht="13.5" thickBot="1" x14ac:dyDescent="0.25">
      <c r="A196" s="19">
        <v>2</v>
      </c>
      <c r="B196" s="167" t="s">
        <v>534</v>
      </c>
      <c r="C196" s="167" t="s">
        <v>535</v>
      </c>
      <c r="D196" s="16">
        <v>2278.9436446962341</v>
      </c>
      <c r="E196" s="20">
        <v>2269.8759894215596</v>
      </c>
      <c r="F196" s="21">
        <v>2256.3277050759757</v>
      </c>
      <c r="H196" t="s">
        <v>1230</v>
      </c>
    </row>
    <row r="197" spans="1:8" ht="13.5" thickBot="1" x14ac:dyDescent="0.25">
      <c r="A197" s="19">
        <v>3</v>
      </c>
      <c r="B197" s="167" t="s">
        <v>1181</v>
      </c>
      <c r="C197" s="357" t="s">
        <v>1006</v>
      </c>
      <c r="D197" s="16">
        <v>2278.1955182796933</v>
      </c>
      <c r="E197" s="20">
        <v>2316.1447875978979</v>
      </c>
      <c r="F197" s="21">
        <v>2312.0153805811506</v>
      </c>
      <c r="H197" t="s">
        <v>1230</v>
      </c>
    </row>
    <row r="198" spans="1:8" ht="13.5" thickBot="1" x14ac:dyDescent="0.25">
      <c r="A198" s="19">
        <v>4</v>
      </c>
      <c r="B198" s="352" t="s">
        <v>467</v>
      </c>
      <c r="C198" s="167" t="s">
        <v>335</v>
      </c>
      <c r="D198" s="16">
        <v>2329.7910227662092</v>
      </c>
      <c r="E198" s="20">
        <v>2348.8404375877089</v>
      </c>
      <c r="F198" s="21">
        <v>2346.1947066340813</v>
      </c>
      <c r="H198" t="s">
        <v>1230</v>
      </c>
    </row>
    <row r="199" spans="1:8" ht="13.5" thickBot="1" x14ac:dyDescent="0.25">
      <c r="A199" s="19">
        <v>5</v>
      </c>
      <c r="B199" s="352" t="s">
        <v>387</v>
      </c>
      <c r="C199" s="167" t="s">
        <v>247</v>
      </c>
      <c r="D199" s="16">
        <v>2405.2146345930723</v>
      </c>
      <c r="E199" s="20">
        <v>2377.8239910778102</v>
      </c>
      <c r="F199" s="21">
        <v>2370.9248166756943</v>
      </c>
      <c r="H199" t="s">
        <v>1230</v>
      </c>
    </row>
    <row r="200" spans="1:8" ht="13.5" thickBot="1" x14ac:dyDescent="0.25">
      <c r="A200" s="19">
        <v>6</v>
      </c>
      <c r="B200" s="167" t="s">
        <v>195</v>
      </c>
      <c r="C200" s="353" t="s">
        <v>242</v>
      </c>
      <c r="D200" s="16">
        <v>2218.4199647772912</v>
      </c>
      <c r="E200" s="20">
        <v>2211.8662291865039</v>
      </c>
      <c r="F200" s="21">
        <v>2237.1722859639631</v>
      </c>
      <c r="H200" t="s">
        <v>1230</v>
      </c>
    </row>
    <row r="201" spans="1:8" ht="13.5" thickBot="1" x14ac:dyDescent="0.25">
      <c r="A201" s="19">
        <v>7</v>
      </c>
      <c r="B201" s="167" t="s">
        <v>449</v>
      </c>
      <c r="C201" s="167" t="s">
        <v>331</v>
      </c>
      <c r="D201" s="1035">
        <v>2600</v>
      </c>
      <c r="E201" s="20">
        <v>2630.0702149015451</v>
      </c>
      <c r="F201" s="21">
        <v>2643.0336908916624</v>
      </c>
      <c r="H201" t="s">
        <v>1230</v>
      </c>
    </row>
    <row r="202" spans="1:8" x14ac:dyDescent="0.2">
      <c r="A202" s="19">
        <v>8</v>
      </c>
      <c r="B202" s="353" t="s">
        <v>450</v>
      </c>
      <c r="C202" s="353" t="s">
        <v>345</v>
      </c>
      <c r="D202" s="1035">
        <v>2488.7144801532836</v>
      </c>
      <c r="E202" s="20">
        <v>2499.5786767285817</v>
      </c>
      <c r="F202" s="21">
        <v>2493.3903387088394</v>
      </c>
      <c r="H202" t="s">
        <v>1230</v>
      </c>
    </row>
    <row r="203" spans="1:8" ht="13.5" thickBot="1" x14ac:dyDescent="0.25">
      <c r="A203" s="19">
        <v>9</v>
      </c>
      <c r="B203" s="353" t="s">
        <v>1176</v>
      </c>
      <c r="C203" s="353" t="s">
        <v>533</v>
      </c>
      <c r="D203" s="16">
        <v>2200</v>
      </c>
      <c r="E203" s="20">
        <v>2156.507838112243</v>
      </c>
      <c r="F203" s="21">
        <v>2149.7718337099891</v>
      </c>
      <c r="H203" t="s">
        <v>1230</v>
      </c>
    </row>
    <row r="204" spans="1:8" ht="13.5" thickBot="1" x14ac:dyDescent="0.25">
      <c r="A204" s="19">
        <v>10</v>
      </c>
      <c r="B204" s="167" t="s">
        <v>440</v>
      </c>
      <c r="C204" s="167" t="s">
        <v>441</v>
      </c>
      <c r="D204" s="1035">
        <v>2206.1445769067795</v>
      </c>
      <c r="E204" s="20">
        <v>2210.2700326316517</v>
      </c>
      <c r="F204" s="21">
        <v>2206.3465706580109</v>
      </c>
      <c r="H204" t="s">
        <v>1230</v>
      </c>
    </row>
    <row r="205" spans="1:8" ht="13.5" thickBot="1" x14ac:dyDescent="0.25">
      <c r="A205" s="19">
        <v>11</v>
      </c>
      <c r="B205" s="167" t="s">
        <v>457</v>
      </c>
      <c r="C205" s="167" t="s">
        <v>458</v>
      </c>
      <c r="D205" s="1035">
        <v>2401.5817935954892</v>
      </c>
      <c r="E205" s="20">
        <v>2405.5792348047203</v>
      </c>
      <c r="F205" s="21">
        <v>2403.1121289103962</v>
      </c>
      <c r="H205" t="s">
        <v>1230</v>
      </c>
    </row>
    <row r="206" spans="1:8" ht="13.5" thickBot="1" x14ac:dyDescent="0.25">
      <c r="A206" s="19">
        <v>12</v>
      </c>
      <c r="B206" s="167" t="s">
        <v>499</v>
      </c>
      <c r="C206" s="167" t="s">
        <v>500</v>
      </c>
      <c r="D206" s="16">
        <v>2139.4047424288392</v>
      </c>
      <c r="E206" s="20">
        <v>2134.0056871375905</v>
      </c>
      <c r="F206" s="21">
        <v>2128.9839191079691</v>
      </c>
      <c r="H206" t="s">
        <v>1230</v>
      </c>
    </row>
    <row r="207" spans="1:8" ht="13.5" thickBot="1" x14ac:dyDescent="0.25">
      <c r="A207" s="19">
        <v>13</v>
      </c>
      <c r="B207" s="167" t="s">
        <v>196</v>
      </c>
      <c r="C207" s="167" t="s">
        <v>231</v>
      </c>
      <c r="D207" s="16">
        <v>2162.1770239839025</v>
      </c>
      <c r="E207" s="20">
        <v>2120.4596707246342</v>
      </c>
      <c r="F207" s="21">
        <v>2120.4596707246342</v>
      </c>
      <c r="H207" t="s">
        <v>1230</v>
      </c>
    </row>
    <row r="208" spans="1:8" ht="13.5" thickBot="1" x14ac:dyDescent="0.25">
      <c r="A208" s="19">
        <v>14</v>
      </c>
      <c r="B208" s="167" t="s">
        <v>328</v>
      </c>
      <c r="C208" s="167" t="s">
        <v>202</v>
      </c>
      <c r="D208" s="16">
        <v>2099.9123103292327</v>
      </c>
      <c r="E208" s="20">
        <v>2121.5089713346406</v>
      </c>
      <c r="F208" s="21">
        <v>2121.5089713346406</v>
      </c>
      <c r="H208" t="s">
        <v>1230</v>
      </c>
    </row>
    <row r="209" spans="1:8" ht="13.5" thickBot="1" x14ac:dyDescent="0.25">
      <c r="A209" s="31">
        <v>15</v>
      </c>
      <c r="B209" s="167" t="s">
        <v>385</v>
      </c>
      <c r="C209" s="167" t="s">
        <v>386</v>
      </c>
      <c r="D209" s="16">
        <v>2106.3788912330715</v>
      </c>
      <c r="E209" s="32">
        <v>2088.7469132562519</v>
      </c>
      <c r="F209" s="33">
        <v>2088.7469132562519</v>
      </c>
      <c r="H209" t="s">
        <v>1230</v>
      </c>
    </row>
    <row r="210" spans="1:8" x14ac:dyDescent="0.2">
      <c r="A210" s="64" t="s">
        <v>88</v>
      </c>
      <c r="B210" s="61"/>
      <c r="C210" s="61"/>
      <c r="D210" s="65"/>
      <c r="E210" s="61"/>
      <c r="F210" s="61"/>
      <c r="H210" t="s">
        <v>1230</v>
      </c>
    </row>
    <row r="211" spans="1:8" x14ac:dyDescent="0.2">
      <c r="A211" s="61" t="s">
        <v>384</v>
      </c>
      <c r="B211" s="61">
        <v>2425.9374584524344</v>
      </c>
      <c r="C211" s="61"/>
      <c r="D211" s="65"/>
      <c r="E211" s="61"/>
      <c r="F211" s="61"/>
      <c r="H211" t="s">
        <v>1230</v>
      </c>
    </row>
    <row r="212" spans="1:8" x14ac:dyDescent="0.2">
      <c r="A212" s="61" t="s">
        <v>195</v>
      </c>
      <c r="B212" s="61">
        <v>2211.8662291865039</v>
      </c>
      <c r="C212" s="61"/>
      <c r="D212" s="65"/>
      <c r="E212" s="61"/>
      <c r="F212" s="61"/>
      <c r="H212" t="s">
        <v>1230</v>
      </c>
    </row>
    <row r="213" spans="1:8" x14ac:dyDescent="0.2">
      <c r="A213" s="61" t="s">
        <v>449</v>
      </c>
      <c r="B213" s="61">
        <v>2630.0702149015451</v>
      </c>
      <c r="C213" s="61"/>
      <c r="D213" s="65"/>
      <c r="E213" s="61"/>
      <c r="F213" s="61"/>
      <c r="H213" t="s">
        <v>1230</v>
      </c>
    </row>
    <row r="214" spans="1:8" x14ac:dyDescent="0.2">
      <c r="A214" s="61" t="s">
        <v>499</v>
      </c>
      <c r="B214" s="61">
        <v>2134.0056871375905</v>
      </c>
      <c r="C214" s="61"/>
      <c r="D214" s="65"/>
      <c r="E214" s="61"/>
      <c r="F214" s="61"/>
      <c r="H214" t="s">
        <v>1230</v>
      </c>
    </row>
    <row r="215" spans="1:8" ht="13.5" thickBot="1" x14ac:dyDescent="0.25">
      <c r="A215" s="61" t="s">
        <v>196</v>
      </c>
      <c r="B215" s="61">
        <v>2120.4596707246342</v>
      </c>
      <c r="C215" s="61"/>
      <c r="D215" s="65"/>
      <c r="E215" s="61"/>
      <c r="F215" s="61"/>
      <c r="H215" t="s">
        <v>1230</v>
      </c>
    </row>
    <row r="216" spans="1:8" ht="13.5" thickBot="1" x14ac:dyDescent="0.25">
      <c r="A216" s="12" t="s">
        <v>6</v>
      </c>
      <c r="B216" s="5" t="s">
        <v>7</v>
      </c>
      <c r="C216" s="6" t="s">
        <v>8</v>
      </c>
      <c r="D216" s="8" t="s">
        <v>9</v>
      </c>
      <c r="E216" s="13" t="s">
        <v>10</v>
      </c>
      <c r="F216" s="8" t="s">
        <v>11</v>
      </c>
      <c r="H216" t="s">
        <v>1231</v>
      </c>
    </row>
    <row r="217" spans="1:8" ht="13.5" thickBot="1" x14ac:dyDescent="0.25">
      <c r="A217" s="15">
        <v>1</v>
      </c>
      <c r="B217" s="167" t="s">
        <v>365</v>
      </c>
      <c r="C217" s="167" t="s">
        <v>225</v>
      </c>
      <c r="D217" s="16">
        <v>2668.5988047345622</v>
      </c>
      <c r="E217" s="17">
        <v>2724.0107598595391</v>
      </c>
      <c r="F217" s="18">
        <v>2751.898412095823</v>
      </c>
      <c r="H217" t="s">
        <v>1231</v>
      </c>
    </row>
    <row r="218" spans="1:8" ht="13.5" thickBot="1" x14ac:dyDescent="0.25">
      <c r="A218" s="19">
        <v>2</v>
      </c>
      <c r="B218" s="167" t="s">
        <v>468</v>
      </c>
      <c r="C218" s="167" t="s">
        <v>469</v>
      </c>
      <c r="D218" s="16">
        <v>2679.7684181029094</v>
      </c>
      <c r="E218" s="20">
        <v>2654.8178449854754</v>
      </c>
      <c r="F218" s="21">
        <v>2657.5586247368501</v>
      </c>
      <c r="H218" t="s">
        <v>1231</v>
      </c>
    </row>
    <row r="219" spans="1:8" ht="13.5" thickBot="1" x14ac:dyDescent="0.25">
      <c r="A219" s="19">
        <v>3</v>
      </c>
      <c r="B219" s="167" t="s">
        <v>197</v>
      </c>
      <c r="C219" s="167" t="s">
        <v>447</v>
      </c>
      <c r="D219" s="16">
        <v>2574.5716672740141</v>
      </c>
      <c r="E219" s="20">
        <v>2535.4323182697462</v>
      </c>
      <c r="F219" s="21">
        <v>2525.9864157239717</v>
      </c>
      <c r="H219" t="s">
        <v>1231</v>
      </c>
    </row>
    <row r="220" spans="1:8" ht="13.5" thickBot="1" x14ac:dyDescent="0.25">
      <c r="A220" s="19">
        <v>4</v>
      </c>
      <c r="B220" s="167" t="s">
        <v>388</v>
      </c>
      <c r="C220" s="167" t="s">
        <v>223</v>
      </c>
      <c r="D220" s="16">
        <v>2580.5462836263409</v>
      </c>
      <c r="E220" s="20">
        <v>2494.8114327205249</v>
      </c>
      <c r="F220" s="21">
        <v>2494.8114327205249</v>
      </c>
      <c r="H220" t="s">
        <v>1231</v>
      </c>
    </row>
    <row r="221" spans="1:8" ht="13.5" thickBot="1" x14ac:dyDescent="0.25">
      <c r="A221" s="19">
        <v>5</v>
      </c>
      <c r="B221" s="167" t="s">
        <v>445</v>
      </c>
      <c r="C221" s="167" t="s">
        <v>446</v>
      </c>
      <c r="D221" s="16">
        <v>2490.7546597563824</v>
      </c>
      <c r="E221" s="20">
        <v>2526.3946992970846</v>
      </c>
      <c r="F221" s="21">
        <v>2522.9578399868501</v>
      </c>
      <c r="H221" t="s">
        <v>1231</v>
      </c>
    </row>
    <row r="222" spans="1:8" ht="13.5" thickBot="1" x14ac:dyDescent="0.25">
      <c r="A222" s="19">
        <v>6</v>
      </c>
      <c r="B222" s="167" t="s">
        <v>369</v>
      </c>
      <c r="C222" s="167" t="s">
        <v>370</v>
      </c>
      <c r="D222" s="16">
        <v>2470.5768512788477</v>
      </c>
      <c r="E222" s="20">
        <v>2421.1436762985313</v>
      </c>
      <c r="F222" s="21">
        <v>2445.8716574009577</v>
      </c>
      <c r="H222" t="s">
        <v>1231</v>
      </c>
    </row>
    <row r="223" spans="1:8" ht="13.5" thickBot="1" x14ac:dyDescent="0.25">
      <c r="A223" s="19">
        <v>7</v>
      </c>
      <c r="B223" s="167" t="s">
        <v>333</v>
      </c>
      <c r="C223" s="167" t="s">
        <v>334</v>
      </c>
      <c r="D223" s="16">
        <v>2456.2391071311727</v>
      </c>
      <c r="E223" s="20">
        <v>2445.180627308283</v>
      </c>
      <c r="F223" s="21">
        <v>2439.2132348910172</v>
      </c>
      <c r="H223" t="s">
        <v>1231</v>
      </c>
    </row>
    <row r="224" spans="1:8" ht="13.5" thickBot="1" x14ac:dyDescent="0.25">
      <c r="A224" s="19">
        <v>8</v>
      </c>
      <c r="B224" s="167" t="s">
        <v>394</v>
      </c>
      <c r="C224" s="167" t="s">
        <v>395</v>
      </c>
      <c r="D224" s="16">
        <v>2452.0796475240045</v>
      </c>
      <c r="E224" s="20">
        <v>2410.9866305444343</v>
      </c>
      <c r="F224" s="21">
        <v>2410.9866305444343</v>
      </c>
      <c r="H224" t="s">
        <v>1231</v>
      </c>
    </row>
    <row r="225" spans="1:8" ht="13.5" thickBot="1" x14ac:dyDescent="0.25">
      <c r="A225" s="19">
        <v>9</v>
      </c>
      <c r="B225" s="167" t="s">
        <v>407</v>
      </c>
      <c r="C225" s="167" t="s">
        <v>408</v>
      </c>
      <c r="D225" s="16">
        <v>2431.5669234490088</v>
      </c>
      <c r="E225" s="20">
        <v>2479.7635834823932</v>
      </c>
      <c r="F225" s="21">
        <v>2475.4846792924523</v>
      </c>
      <c r="H225" t="s">
        <v>1231</v>
      </c>
    </row>
    <row r="226" spans="1:8" ht="13.5" thickBot="1" x14ac:dyDescent="0.25">
      <c r="A226" s="19">
        <v>10</v>
      </c>
      <c r="B226" s="167" t="s">
        <v>501</v>
      </c>
      <c r="C226" s="167" t="s">
        <v>502</v>
      </c>
      <c r="D226" s="16">
        <v>2486.9719356907308</v>
      </c>
      <c r="E226" s="20">
        <v>2609.9625824912368</v>
      </c>
      <c r="F226" s="21">
        <v>2608.2421877492102</v>
      </c>
      <c r="H226" t="s">
        <v>1231</v>
      </c>
    </row>
    <row r="227" spans="1:8" ht="13.5" thickBot="1" x14ac:dyDescent="0.25">
      <c r="A227" s="19">
        <v>11</v>
      </c>
      <c r="B227" s="167" t="s">
        <v>451</v>
      </c>
      <c r="C227" s="167" t="s">
        <v>337</v>
      </c>
      <c r="D227" s="1035">
        <v>2956.509459619655</v>
      </c>
      <c r="E227" s="20">
        <v>2977.5978206932327</v>
      </c>
      <c r="F227" s="21">
        <v>2956.5091739262753</v>
      </c>
      <c r="H227" t="s">
        <v>1231</v>
      </c>
    </row>
    <row r="228" spans="1:8" ht="13.5" thickBot="1" x14ac:dyDescent="0.25">
      <c r="A228" s="19">
        <v>12</v>
      </c>
      <c r="B228" s="167" t="s">
        <v>459</v>
      </c>
      <c r="C228" s="167" t="s">
        <v>256</v>
      </c>
      <c r="D228" s="1035">
        <v>2585.9181415798507</v>
      </c>
      <c r="E228" s="20">
        <v>2590.9975753272629</v>
      </c>
      <c r="F228" s="21">
        <v>2585.9189645999631</v>
      </c>
      <c r="H228" t="s">
        <v>1231</v>
      </c>
    </row>
    <row r="229" spans="1:8" x14ac:dyDescent="0.2">
      <c r="A229" s="19">
        <v>13</v>
      </c>
      <c r="B229" s="353" t="s">
        <v>462</v>
      </c>
      <c r="C229" s="353" t="s">
        <v>463</v>
      </c>
      <c r="D229" s="1035">
        <v>2357.647276975752</v>
      </c>
      <c r="E229" s="20">
        <v>2357.647542906569</v>
      </c>
      <c r="F229" s="21">
        <v>2357.647542906569</v>
      </c>
      <c r="H229" t="s">
        <v>1231</v>
      </c>
    </row>
    <row r="230" spans="1:8" x14ac:dyDescent="0.2">
      <c r="A230" s="19">
        <v>14</v>
      </c>
      <c r="B230" s="353" t="s">
        <v>403</v>
      </c>
      <c r="C230" s="353" t="s">
        <v>404</v>
      </c>
      <c r="D230" s="1035">
        <v>2469.4470566494815</v>
      </c>
      <c r="E230" s="20">
        <v>2478.7622461322062</v>
      </c>
      <c r="F230" s="21">
        <v>2469.4475599928201</v>
      </c>
      <c r="H230" t="s">
        <v>1231</v>
      </c>
    </row>
    <row r="231" spans="1:8" x14ac:dyDescent="0.2">
      <c r="A231" s="31">
        <v>15</v>
      </c>
      <c r="B231" s="355" t="s">
        <v>1068</v>
      </c>
      <c r="C231" s="355" t="s">
        <v>1067</v>
      </c>
      <c r="D231" s="16">
        <v>2797.8823937745101</v>
      </c>
      <c r="E231" s="32">
        <v>2751.5692868507035</v>
      </c>
      <c r="F231" s="33">
        <v>2756.5442705995047</v>
      </c>
      <c r="H231" t="s">
        <v>1231</v>
      </c>
    </row>
    <row r="232" spans="1:8" x14ac:dyDescent="0.2">
      <c r="A232" s="64" t="s">
        <v>88</v>
      </c>
      <c r="B232" s="61"/>
      <c r="C232" s="61"/>
      <c r="D232" s="65"/>
      <c r="E232" s="61"/>
      <c r="F232" s="61"/>
      <c r="H232" t="s">
        <v>1231</v>
      </c>
    </row>
    <row r="233" spans="1:8" x14ac:dyDescent="0.2">
      <c r="A233" s="61" t="s">
        <v>365</v>
      </c>
      <c r="B233" s="61">
        <v>2724.0107598595391</v>
      </c>
      <c r="C233" s="61"/>
      <c r="D233" s="65"/>
      <c r="E233" s="61"/>
      <c r="F233" s="61"/>
      <c r="H233" t="s">
        <v>1231</v>
      </c>
    </row>
    <row r="234" spans="1:8" x14ac:dyDescent="0.2">
      <c r="A234" s="61" t="s">
        <v>369</v>
      </c>
      <c r="B234" s="61">
        <v>2421.1436762985313</v>
      </c>
      <c r="C234" s="61"/>
      <c r="D234" s="65"/>
      <c r="E234" s="61"/>
      <c r="F234" s="61"/>
      <c r="H234" t="s">
        <v>1231</v>
      </c>
    </row>
    <row r="235" spans="1:8" x14ac:dyDescent="0.2">
      <c r="A235" s="61" t="s">
        <v>333</v>
      </c>
      <c r="B235" s="61">
        <v>2445.180627308283</v>
      </c>
      <c r="C235" s="61"/>
      <c r="D235" s="65"/>
      <c r="E235" s="61"/>
      <c r="F235" s="61"/>
      <c r="H235" t="s">
        <v>1231</v>
      </c>
    </row>
    <row r="236" spans="1:8" x14ac:dyDescent="0.2">
      <c r="A236" s="61" t="s">
        <v>459</v>
      </c>
      <c r="B236" s="61">
        <v>2590.9975753272629</v>
      </c>
      <c r="C236" s="61"/>
      <c r="D236" s="65"/>
      <c r="E236" s="61"/>
      <c r="F236" s="61"/>
      <c r="H236" t="s">
        <v>1231</v>
      </c>
    </row>
    <row r="237" spans="1:8" x14ac:dyDescent="0.2">
      <c r="A237" s="61" t="s">
        <v>462</v>
      </c>
      <c r="B237" s="61">
        <v>2357.647542906569</v>
      </c>
      <c r="C237" s="61"/>
      <c r="D237" s="65"/>
      <c r="E237" s="61"/>
      <c r="F237" s="61"/>
      <c r="H237" t="s">
        <v>1231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5"/>
  <sheetViews>
    <sheetView topLeftCell="I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2" width="2.42578125" style="313" customWidth="1"/>
    <col min="3" max="6" width="8.42578125" style="313" bestFit="1" customWidth="1"/>
    <col min="7" max="7" width="13.140625" style="313" bestFit="1" customWidth="1"/>
    <col min="8" max="8" width="28.85546875" style="313" bestFit="1" customWidth="1"/>
    <col min="9" max="9" width="25.85546875" style="313" bestFit="1" customWidth="1"/>
    <col min="10" max="10" width="6.140625" style="313" bestFit="1" customWidth="1"/>
    <col min="11" max="11" width="13.85546875" style="314" bestFit="1" customWidth="1"/>
    <col min="12" max="12" width="11.42578125" style="313" bestFit="1" customWidth="1"/>
    <col min="13" max="13" width="10" style="314" bestFit="1" customWidth="1"/>
    <col min="14" max="15" width="6.7109375" style="313" bestFit="1" customWidth="1"/>
    <col min="16" max="16" width="6.7109375" style="313" customWidth="1"/>
    <col min="17" max="17" width="7.7109375" style="313" bestFit="1" customWidth="1"/>
    <col min="18" max="18" width="8.42578125" style="313" bestFit="1" customWidth="1"/>
    <col min="19" max="19" width="7.7109375" style="313" bestFit="1" customWidth="1"/>
    <col min="20" max="20" width="6.7109375" style="313" bestFit="1" customWidth="1"/>
    <col min="21" max="23" width="7.7109375" style="313" bestFit="1" customWidth="1"/>
    <col min="24" max="24" width="6.7109375" style="313" bestFit="1" customWidth="1"/>
    <col min="25" max="27" width="7.7109375" style="313" bestFit="1" customWidth="1"/>
    <col min="28" max="33" width="9.140625" style="313"/>
    <col min="35" max="35" width="12" bestFit="1" customWidth="1"/>
    <col min="36" max="36" width="12" style="313" bestFit="1" customWidth="1"/>
    <col min="37" max="16384" width="9.140625" style="313"/>
  </cols>
  <sheetData>
    <row r="1" spans="1:35" s="1029" customFormat="1" ht="30" x14ac:dyDescent="0.25">
      <c r="A1" s="1029" t="s">
        <v>536</v>
      </c>
      <c r="C1" s="1029" t="s">
        <v>537</v>
      </c>
      <c r="D1" s="1029" t="s">
        <v>145</v>
      </c>
      <c r="E1" s="1029" t="s">
        <v>14</v>
      </c>
      <c r="F1" s="1029" t="s">
        <v>538</v>
      </c>
      <c r="G1" s="1029" t="s">
        <v>539</v>
      </c>
      <c r="H1" s="1029" t="s">
        <v>540</v>
      </c>
      <c r="I1" s="1029" t="s">
        <v>7</v>
      </c>
      <c r="K1" s="1030" t="s">
        <v>541</v>
      </c>
      <c r="M1" s="1030" t="s">
        <v>89</v>
      </c>
      <c r="N1" s="1031" t="s">
        <v>542</v>
      </c>
      <c r="O1" s="1031" t="s">
        <v>543</v>
      </c>
      <c r="P1" s="1031" t="s">
        <v>543</v>
      </c>
      <c r="Q1" s="1031" t="s">
        <v>544</v>
      </c>
      <c r="R1" s="1031"/>
      <c r="S1" s="1031" t="s">
        <v>545</v>
      </c>
      <c r="T1" s="1031" t="s">
        <v>546</v>
      </c>
      <c r="U1" s="1031" t="s">
        <v>547</v>
      </c>
      <c r="V1" s="1031" t="s">
        <v>548</v>
      </c>
      <c r="W1" s="1031" t="s">
        <v>549</v>
      </c>
      <c r="X1" s="1031" t="s">
        <v>550</v>
      </c>
      <c r="Y1" s="1031" t="s">
        <v>551</v>
      </c>
      <c r="Z1" s="1031" t="s">
        <v>552</v>
      </c>
      <c r="AA1" s="1031" t="s">
        <v>553</v>
      </c>
      <c r="AB1" s="1031" t="s">
        <v>554</v>
      </c>
      <c r="AH1"/>
      <c r="AI1"/>
    </row>
    <row r="2" spans="1:35" x14ac:dyDescent="0.25">
      <c r="A2" s="313">
        <v>3</v>
      </c>
      <c r="C2" s="313">
        <f t="shared" ref="C2:C65" si="0">IF(E2=E1,C1+1,1)</f>
        <v>1</v>
      </c>
      <c r="D2" s="313">
        <f t="shared" ref="D2:D65" si="1">IF(M2=M1,D1,C2)</f>
        <v>1</v>
      </c>
      <c r="E2" s="313">
        <f t="shared" ref="E2:E65" si="2">10+VALUE(RIGHT(LEFT(G2,3),1))</f>
        <v>11</v>
      </c>
      <c r="F2" s="313" t="str">
        <f t="shared" ref="F2:F65" si="3">RIGHT(G2,2) &amp; IF(A2&lt;2,"x","")</f>
        <v>pm</v>
      </c>
      <c r="G2" s="313" t="s">
        <v>290</v>
      </c>
      <c r="H2" s="313" t="s">
        <v>207</v>
      </c>
      <c r="I2" s="313" t="s">
        <v>476</v>
      </c>
      <c r="K2" s="314">
        <f t="shared" ref="K2:K65" si="4">LOOKUP(1E+100,M2:AC2)</f>
        <v>1369.8984600179906</v>
      </c>
      <c r="M2" s="314">
        <v>1400</v>
      </c>
      <c r="R2" s="313" t="str">
        <f>IF(AND((J2="This"),(L2="Only")),VLOOKUP(G2,#REF!,7,FALSE),"")</f>
        <v/>
      </c>
      <c r="S2" s="313">
        <v>1437.9335235749238</v>
      </c>
      <c r="T2" s="313">
        <v>1369.8984600179906</v>
      </c>
    </row>
    <row r="3" spans="1:35" x14ac:dyDescent="0.25">
      <c r="A3" s="313">
        <v>1</v>
      </c>
      <c r="C3" s="313">
        <f t="shared" si="0"/>
        <v>2</v>
      </c>
      <c r="D3" s="313">
        <f t="shared" si="1"/>
        <v>1</v>
      </c>
      <c r="E3" s="313">
        <f t="shared" si="2"/>
        <v>11</v>
      </c>
      <c r="F3" s="313" t="str">
        <f t="shared" si="3"/>
        <v>pmx</v>
      </c>
      <c r="G3" s="313" t="s">
        <v>555</v>
      </c>
      <c r="H3" s="313" t="s">
        <v>556</v>
      </c>
      <c r="I3" s="313" t="s">
        <v>557</v>
      </c>
      <c r="K3" s="314">
        <f t="shared" si="4"/>
        <v>1424.6516343084484</v>
      </c>
      <c r="M3" s="314">
        <v>1400</v>
      </c>
      <c r="O3" s="313">
        <v>1424.6516343084484</v>
      </c>
      <c r="R3" s="313" t="str">
        <f>IF(AND((J3="This"),(L3="Only")),VLOOKUP(G3,#REF!,7,FALSE),"")</f>
        <v/>
      </c>
    </row>
    <row r="4" spans="1:35" x14ac:dyDescent="0.25">
      <c r="A4" s="313">
        <v>4</v>
      </c>
      <c r="C4" s="313">
        <f t="shared" si="0"/>
        <v>3</v>
      </c>
      <c r="D4" s="313">
        <f t="shared" si="1"/>
        <v>3</v>
      </c>
      <c r="E4" s="313">
        <f t="shared" si="2"/>
        <v>11</v>
      </c>
      <c r="F4" s="313" t="str">
        <f t="shared" si="3"/>
        <v>pm</v>
      </c>
      <c r="G4" s="313" t="s">
        <v>374</v>
      </c>
      <c r="H4" s="313" t="s">
        <v>219</v>
      </c>
      <c r="I4" s="313" t="s">
        <v>373</v>
      </c>
      <c r="K4" s="314">
        <f t="shared" si="4"/>
        <v>1216.8565925282476</v>
      </c>
      <c r="M4" s="314">
        <v>1300</v>
      </c>
      <c r="O4" s="313">
        <v>1220.3883471899449</v>
      </c>
      <c r="R4" s="313" t="str">
        <f>IF(AND((J4="This"),(L4="Only")),VLOOKUP(G4,#REF!,7,FALSE),"")</f>
        <v/>
      </c>
      <c r="S4" s="313">
        <v>1240.2255380634294</v>
      </c>
      <c r="V4" s="313">
        <v>1216.8565925282476</v>
      </c>
    </row>
    <row r="5" spans="1:35" x14ac:dyDescent="0.25">
      <c r="A5" s="313">
        <v>3</v>
      </c>
      <c r="C5" s="313">
        <f t="shared" si="0"/>
        <v>4</v>
      </c>
      <c r="D5" s="313">
        <f t="shared" si="1"/>
        <v>4</v>
      </c>
      <c r="E5" s="313">
        <f t="shared" si="2"/>
        <v>11</v>
      </c>
      <c r="F5" s="313" t="str">
        <f t="shared" si="3"/>
        <v>pm</v>
      </c>
      <c r="G5" s="313" t="s">
        <v>558</v>
      </c>
      <c r="H5" s="313" t="s">
        <v>559</v>
      </c>
      <c r="I5" s="313" t="s">
        <v>560</v>
      </c>
      <c r="K5" s="314">
        <f t="shared" si="4"/>
        <v>1214.9940196953432</v>
      </c>
      <c r="M5" s="314">
        <v>1266.6666666666667</v>
      </c>
      <c r="R5" s="313" t="str">
        <f>IF(AND((J5="This"),(L5="Only")),VLOOKUP(G5,#REF!,7,FALSE),"")</f>
        <v/>
      </c>
      <c r="S5" s="313">
        <v>1214.9940196953432</v>
      </c>
    </row>
    <row r="6" spans="1:35" x14ac:dyDescent="0.25">
      <c r="A6" s="313">
        <v>1</v>
      </c>
      <c r="C6" s="313">
        <f t="shared" si="0"/>
        <v>5</v>
      </c>
      <c r="D6" s="313">
        <f t="shared" si="1"/>
        <v>5</v>
      </c>
      <c r="E6" s="313">
        <f t="shared" si="2"/>
        <v>11</v>
      </c>
      <c r="F6" s="313" t="str">
        <f t="shared" si="3"/>
        <v>crx</v>
      </c>
      <c r="G6" s="313" t="s">
        <v>561</v>
      </c>
      <c r="H6" s="313" t="s">
        <v>209</v>
      </c>
      <c r="I6" s="313" t="s">
        <v>562</v>
      </c>
      <c r="K6" s="314">
        <f t="shared" si="4"/>
        <v>1209.7648192472977</v>
      </c>
      <c r="M6" s="314">
        <v>1200</v>
      </c>
      <c r="R6" s="313" t="str">
        <f>IF(AND((J6="This"),(L6="Only")),VLOOKUP(G6,#REF!,7,FALSE),"")</f>
        <v/>
      </c>
      <c r="S6" s="313">
        <v>1209.7648192472977</v>
      </c>
    </row>
    <row r="7" spans="1:35" x14ac:dyDescent="0.25">
      <c r="A7" s="313">
        <v>4</v>
      </c>
      <c r="C7" s="313">
        <f t="shared" si="0"/>
        <v>6</v>
      </c>
      <c r="D7" s="313">
        <f t="shared" si="1"/>
        <v>5</v>
      </c>
      <c r="E7" s="313">
        <f t="shared" si="2"/>
        <v>11</v>
      </c>
      <c r="F7" s="313" t="str">
        <f t="shared" si="3"/>
        <v>pm</v>
      </c>
      <c r="G7" s="313" t="s">
        <v>563</v>
      </c>
      <c r="H7" s="313" t="s">
        <v>201</v>
      </c>
      <c r="I7" s="313" t="s">
        <v>564</v>
      </c>
      <c r="K7" s="314">
        <f t="shared" si="4"/>
        <v>1199.3436780073632</v>
      </c>
      <c r="M7" s="314">
        <v>1200</v>
      </c>
      <c r="R7" s="313" t="str">
        <f>IF(AND((J7="This"),(L7="Only")),VLOOKUP(G7,#REF!,7,FALSE),"")</f>
        <v/>
      </c>
      <c r="S7" s="313">
        <v>1165.8661889498064</v>
      </c>
      <c r="V7" s="313">
        <v>1199.3436780073632</v>
      </c>
    </row>
    <row r="8" spans="1:35" x14ac:dyDescent="0.25">
      <c r="A8" s="313">
        <v>4</v>
      </c>
      <c r="C8" s="313">
        <f t="shared" si="0"/>
        <v>7</v>
      </c>
      <c r="D8" s="313">
        <f t="shared" si="1"/>
        <v>5</v>
      </c>
      <c r="E8" s="313">
        <f t="shared" si="2"/>
        <v>11</v>
      </c>
      <c r="F8" s="313" t="str">
        <f t="shared" si="3"/>
        <v>pm</v>
      </c>
      <c r="G8" s="313" t="s">
        <v>565</v>
      </c>
      <c r="H8" s="313" t="s">
        <v>201</v>
      </c>
      <c r="I8" s="313" t="s">
        <v>566</v>
      </c>
      <c r="K8" s="314">
        <f t="shared" si="4"/>
        <v>1233.3466974331975</v>
      </c>
      <c r="M8" s="314">
        <v>1200</v>
      </c>
      <c r="R8" s="313" t="str">
        <f>IF(AND((J8="This"),(L8="Only")),VLOOKUP(G8,#REF!,7,FALSE),"")</f>
        <v/>
      </c>
      <c r="S8" s="313">
        <v>1176.0869382150693</v>
      </c>
      <c r="V8" s="313">
        <v>1233.3466974331975</v>
      </c>
    </row>
    <row r="9" spans="1:35" x14ac:dyDescent="0.25">
      <c r="A9" s="313">
        <v>4</v>
      </c>
      <c r="C9" s="313">
        <f t="shared" si="0"/>
        <v>8</v>
      </c>
      <c r="D9" s="313">
        <f t="shared" si="1"/>
        <v>5</v>
      </c>
      <c r="E9" s="313">
        <f t="shared" si="2"/>
        <v>11</v>
      </c>
      <c r="F9" s="313" t="str">
        <f t="shared" si="3"/>
        <v>pm</v>
      </c>
      <c r="G9" s="313" t="s">
        <v>567</v>
      </c>
      <c r="H9" s="313" t="s">
        <v>201</v>
      </c>
      <c r="I9" s="313" t="s">
        <v>568</v>
      </c>
      <c r="K9" s="314">
        <f t="shared" si="4"/>
        <v>1230.6391901737691</v>
      </c>
      <c r="M9" s="314">
        <v>1200</v>
      </c>
      <c r="R9" s="313" t="str">
        <f>IF(AND((J9="This"),(L9="Only")),VLOOKUP(G9,#REF!,7,FALSE),"")</f>
        <v/>
      </c>
      <c r="S9" s="313">
        <v>1226.8555378745032</v>
      </c>
      <c r="V9" s="313">
        <v>1230.6391901737691</v>
      </c>
    </row>
    <row r="10" spans="1:35" x14ac:dyDescent="0.25">
      <c r="A10" s="313">
        <v>1</v>
      </c>
      <c r="C10" s="313">
        <f t="shared" si="0"/>
        <v>1</v>
      </c>
      <c r="D10" s="313">
        <f t="shared" si="1"/>
        <v>1</v>
      </c>
      <c r="E10" s="313">
        <f t="shared" si="2"/>
        <v>12</v>
      </c>
      <c r="F10" s="313" t="str">
        <f t="shared" si="3"/>
        <v>pmx</v>
      </c>
      <c r="G10" s="313" t="s">
        <v>569</v>
      </c>
      <c r="H10" s="313" t="s">
        <v>570</v>
      </c>
      <c r="I10" s="313" t="s">
        <v>571</v>
      </c>
      <c r="K10" s="314">
        <f t="shared" si="4"/>
        <v>2000</v>
      </c>
      <c r="M10" s="314">
        <v>2000</v>
      </c>
      <c r="R10" s="313" t="str">
        <f>IF(AND((J10="This"),(L10="Only")),VLOOKUP(G10,#REF!,7,FALSE),"")</f>
        <v/>
      </c>
    </row>
    <row r="11" spans="1:35" x14ac:dyDescent="0.25">
      <c r="A11" s="313">
        <v>1</v>
      </c>
      <c r="C11" s="313">
        <f t="shared" si="0"/>
        <v>2</v>
      </c>
      <c r="D11" s="313">
        <f t="shared" si="1"/>
        <v>2</v>
      </c>
      <c r="E11" s="313">
        <f t="shared" si="2"/>
        <v>12</v>
      </c>
      <c r="F11" s="313" t="str">
        <f t="shared" si="3"/>
        <v>pmx</v>
      </c>
      <c r="G11" s="313" t="s">
        <v>572</v>
      </c>
      <c r="H11" s="313" t="s">
        <v>556</v>
      </c>
      <c r="I11" s="313" t="s">
        <v>573</v>
      </c>
      <c r="K11" s="314">
        <f t="shared" si="4"/>
        <v>1784.2304146196925</v>
      </c>
      <c r="M11" s="314">
        <v>1800</v>
      </c>
      <c r="O11" s="313">
        <v>1784.2304146196925</v>
      </c>
      <c r="R11" s="313" t="str">
        <f>IF(AND((J11="This"),(L11="Only")),VLOOKUP(G11,#REF!,7,FALSE),"")</f>
        <v/>
      </c>
    </row>
    <row r="12" spans="1:35" x14ac:dyDescent="0.25">
      <c r="A12" s="313">
        <v>1</v>
      </c>
      <c r="C12" s="313">
        <f t="shared" si="0"/>
        <v>3</v>
      </c>
      <c r="D12" s="313">
        <f t="shared" si="1"/>
        <v>3</v>
      </c>
      <c r="E12" s="313">
        <f t="shared" si="2"/>
        <v>12</v>
      </c>
      <c r="F12" s="313" t="str">
        <f t="shared" si="3"/>
        <v>sox</v>
      </c>
      <c r="G12" s="1032" t="s">
        <v>574</v>
      </c>
      <c r="H12" s="313" t="s">
        <v>575</v>
      </c>
      <c r="I12" s="313" t="s">
        <v>576</v>
      </c>
      <c r="K12" s="314">
        <f t="shared" si="4"/>
        <v>1581.3689376475111</v>
      </c>
      <c r="M12" s="314">
        <v>1600</v>
      </c>
      <c r="R12" s="313" t="str">
        <f>IF(AND((J12="This"),(L12="Only")),VLOOKUP(G12,#REF!,7,FALSE),"")</f>
        <v/>
      </c>
      <c r="U12" s="313">
        <v>1581.3689376475111</v>
      </c>
    </row>
    <row r="13" spans="1:35" x14ac:dyDescent="0.25">
      <c r="A13" s="313">
        <v>1</v>
      </c>
      <c r="C13" s="313">
        <f t="shared" si="0"/>
        <v>4</v>
      </c>
      <c r="D13" s="313">
        <f t="shared" si="1"/>
        <v>3</v>
      </c>
      <c r="E13" s="313">
        <f t="shared" si="2"/>
        <v>12</v>
      </c>
      <c r="F13" s="313" t="str">
        <f t="shared" si="3"/>
        <v>pmx</v>
      </c>
      <c r="G13" s="313" t="s">
        <v>577</v>
      </c>
      <c r="H13" s="313" t="s">
        <v>578</v>
      </c>
      <c r="I13" s="313" t="s">
        <v>579</v>
      </c>
      <c r="K13" s="314">
        <f t="shared" si="4"/>
        <v>1614.2711162149969</v>
      </c>
      <c r="M13" s="314">
        <v>1600</v>
      </c>
      <c r="O13" s="313">
        <v>1614.2711162149969</v>
      </c>
      <c r="R13" s="313" t="str">
        <f>IF(AND((J13="This"),(L13="Only")),VLOOKUP(G13,#REF!,7,FALSE),"")</f>
        <v/>
      </c>
    </row>
    <row r="14" spans="1:35" x14ac:dyDescent="0.25">
      <c r="A14" s="313">
        <v>3</v>
      </c>
      <c r="C14" s="313">
        <f t="shared" si="0"/>
        <v>5</v>
      </c>
      <c r="D14" s="313">
        <f t="shared" si="1"/>
        <v>3</v>
      </c>
      <c r="E14" s="313">
        <f t="shared" si="2"/>
        <v>12</v>
      </c>
      <c r="F14" s="313" t="str">
        <f t="shared" si="3"/>
        <v>pm</v>
      </c>
      <c r="G14" s="313" t="s">
        <v>426</v>
      </c>
      <c r="H14" s="313" t="s">
        <v>207</v>
      </c>
      <c r="I14" s="313" t="s">
        <v>425</v>
      </c>
      <c r="K14" s="314">
        <f t="shared" si="4"/>
        <v>1552.399145092096</v>
      </c>
      <c r="M14" s="314">
        <v>1600</v>
      </c>
      <c r="R14" s="313" t="str">
        <f>IF(AND((J14="This"),(L14="Only")),VLOOKUP(G14,#REF!,7,FALSE),"")</f>
        <v/>
      </c>
      <c r="S14" s="313">
        <v>1545.0658002022537</v>
      </c>
      <c r="T14" s="313">
        <v>1552.399145092096</v>
      </c>
    </row>
    <row r="15" spans="1:35" x14ac:dyDescent="0.25">
      <c r="A15" s="313">
        <v>4</v>
      </c>
      <c r="C15" s="313">
        <f t="shared" si="0"/>
        <v>6</v>
      </c>
      <c r="D15" s="313">
        <f t="shared" si="1"/>
        <v>3</v>
      </c>
      <c r="E15" s="313">
        <f t="shared" si="2"/>
        <v>12</v>
      </c>
      <c r="F15" s="313" t="str">
        <f t="shared" si="3"/>
        <v>pm</v>
      </c>
      <c r="G15" s="313" t="s">
        <v>580</v>
      </c>
      <c r="H15" s="313" t="s">
        <v>281</v>
      </c>
      <c r="I15" s="313" t="s">
        <v>581</v>
      </c>
      <c r="K15" s="314">
        <f t="shared" si="4"/>
        <v>1585.2104517597488</v>
      </c>
      <c r="M15" s="314">
        <v>1600</v>
      </c>
      <c r="R15" s="313" t="str">
        <f>IF(AND((J15="This"),(L15="Only")),VLOOKUP(G15,#REF!,7,FALSE),"")</f>
        <v/>
      </c>
      <c r="S15" s="313">
        <v>1594.5351714058854</v>
      </c>
      <c r="W15" s="313">
        <v>1585.2104517597488</v>
      </c>
    </row>
    <row r="16" spans="1:35" x14ac:dyDescent="0.25">
      <c r="A16" s="313">
        <v>1</v>
      </c>
      <c r="C16" s="313">
        <f t="shared" si="0"/>
        <v>7</v>
      </c>
      <c r="D16" s="313">
        <f t="shared" si="1"/>
        <v>3</v>
      </c>
      <c r="E16" s="313">
        <f t="shared" si="2"/>
        <v>12</v>
      </c>
      <c r="F16" s="313" t="str">
        <f t="shared" si="3"/>
        <v>pmx</v>
      </c>
      <c r="G16" s="313" t="s">
        <v>582</v>
      </c>
      <c r="H16" s="313" t="s">
        <v>556</v>
      </c>
      <c r="I16" s="313" t="s">
        <v>583</v>
      </c>
      <c r="K16" s="314">
        <f t="shared" si="4"/>
        <v>1637.1751345319028</v>
      </c>
      <c r="M16" s="314">
        <v>1600</v>
      </c>
      <c r="O16" s="313">
        <v>1637.1751345319028</v>
      </c>
      <c r="R16" s="313" t="str">
        <f>IF(AND((J16="This"),(L16="Only")),VLOOKUP(G16,#REF!,7,FALSE),"")</f>
        <v/>
      </c>
    </row>
    <row r="17" spans="1:22" x14ac:dyDescent="0.25">
      <c r="A17" s="313">
        <v>4</v>
      </c>
      <c r="C17" s="313">
        <f t="shared" si="0"/>
        <v>8</v>
      </c>
      <c r="D17" s="313">
        <f t="shared" si="1"/>
        <v>8</v>
      </c>
      <c r="E17" s="313">
        <f t="shared" si="2"/>
        <v>12</v>
      </c>
      <c r="F17" s="313" t="str">
        <f t="shared" si="3"/>
        <v>pm</v>
      </c>
      <c r="G17" s="313" t="s">
        <v>584</v>
      </c>
      <c r="H17" s="313" t="s">
        <v>559</v>
      </c>
      <c r="I17" s="313" t="s">
        <v>585</v>
      </c>
      <c r="K17" s="314">
        <f t="shared" si="4"/>
        <v>1588.7121935660714</v>
      </c>
      <c r="M17" s="314">
        <v>1500</v>
      </c>
      <c r="R17" s="313" t="str">
        <f>IF(AND((J17="This"),(L17="Only")),VLOOKUP(G17,#REF!,7,FALSE),"")</f>
        <v/>
      </c>
      <c r="S17" s="313">
        <v>1588.7121935660714</v>
      </c>
    </row>
    <row r="18" spans="1:22" x14ac:dyDescent="0.25">
      <c r="A18" s="313">
        <v>5</v>
      </c>
      <c r="C18" s="313">
        <f t="shared" si="0"/>
        <v>9</v>
      </c>
      <c r="D18" s="313">
        <f t="shared" si="1"/>
        <v>9</v>
      </c>
      <c r="E18" s="313">
        <f t="shared" si="2"/>
        <v>12</v>
      </c>
      <c r="F18" s="313" t="str">
        <f t="shared" si="3"/>
        <v>pm</v>
      </c>
      <c r="G18" s="1032" t="s">
        <v>392</v>
      </c>
      <c r="H18" s="313" t="s">
        <v>393</v>
      </c>
      <c r="I18" s="313" t="s">
        <v>391</v>
      </c>
      <c r="K18" s="314">
        <f t="shared" si="4"/>
        <v>1442.8319701170221</v>
      </c>
      <c r="M18" s="314">
        <v>1400</v>
      </c>
      <c r="O18" s="313">
        <v>1359.8313547797393</v>
      </c>
      <c r="R18" s="313" t="str">
        <f>IF(AND((J18="This"),(L18="Only")),VLOOKUP(G18,#REF!,7,FALSE),"")</f>
        <v/>
      </c>
      <c r="S18" s="313">
        <v>1376.9109943231629</v>
      </c>
      <c r="T18" s="313">
        <v>1442.8319701170221</v>
      </c>
    </row>
    <row r="19" spans="1:22" x14ac:dyDescent="0.25">
      <c r="A19" s="313">
        <v>2</v>
      </c>
      <c r="C19" s="313">
        <f t="shared" si="0"/>
        <v>10</v>
      </c>
      <c r="D19" s="313">
        <f t="shared" si="1"/>
        <v>9</v>
      </c>
      <c r="E19" s="313">
        <f t="shared" si="2"/>
        <v>12</v>
      </c>
      <c r="F19" s="313" t="str">
        <f t="shared" si="3"/>
        <v>cr</v>
      </c>
      <c r="G19" s="313" t="s">
        <v>208</v>
      </c>
      <c r="H19" s="313" t="s">
        <v>209</v>
      </c>
      <c r="I19" s="313" t="s">
        <v>172</v>
      </c>
      <c r="K19" s="314">
        <f t="shared" si="4"/>
        <v>1413.9007393424706</v>
      </c>
      <c r="M19" s="314">
        <v>1400</v>
      </c>
      <c r="R19" s="313" t="str">
        <f>IF(AND((J19="This"),(L19="Only")),VLOOKUP(G19,#REF!,7,FALSE),"")</f>
        <v/>
      </c>
      <c r="S19" s="313">
        <v>1413.9007393424706</v>
      </c>
    </row>
    <row r="20" spans="1:22" x14ac:dyDescent="0.25">
      <c r="A20" s="313">
        <v>1</v>
      </c>
      <c r="C20" s="313">
        <f t="shared" si="0"/>
        <v>11</v>
      </c>
      <c r="D20" s="313">
        <f t="shared" si="1"/>
        <v>9</v>
      </c>
      <c r="E20" s="313">
        <f t="shared" si="2"/>
        <v>12</v>
      </c>
      <c r="F20" s="313" t="str">
        <f t="shared" si="3"/>
        <v>pmx</v>
      </c>
      <c r="G20" s="313" t="s">
        <v>586</v>
      </c>
      <c r="H20" s="313" t="s">
        <v>578</v>
      </c>
      <c r="I20" s="313" t="s">
        <v>587</v>
      </c>
      <c r="K20" s="314">
        <f t="shared" si="4"/>
        <v>1379.3213417745701</v>
      </c>
      <c r="M20" s="314">
        <v>1400</v>
      </c>
      <c r="O20" s="313">
        <v>1379.3213417745701</v>
      </c>
      <c r="R20" s="313" t="str">
        <f>IF(AND((J20="This"),(L20="Only")),VLOOKUP(G20,#REF!,7,FALSE),"")</f>
        <v/>
      </c>
    </row>
    <row r="21" spans="1:22" x14ac:dyDescent="0.25">
      <c r="A21" s="313">
        <v>1</v>
      </c>
      <c r="C21" s="313">
        <f t="shared" si="0"/>
        <v>12</v>
      </c>
      <c r="D21" s="313">
        <f t="shared" si="1"/>
        <v>9</v>
      </c>
      <c r="E21" s="313">
        <f t="shared" si="2"/>
        <v>12</v>
      </c>
      <c r="F21" s="313" t="str">
        <f t="shared" si="3"/>
        <v>pmx</v>
      </c>
      <c r="G21" s="313" t="s">
        <v>588</v>
      </c>
      <c r="H21" s="313" t="s">
        <v>578</v>
      </c>
      <c r="I21" s="313" t="s">
        <v>589</v>
      </c>
      <c r="K21" s="314">
        <f t="shared" si="4"/>
        <v>1356.8915347774796</v>
      </c>
      <c r="M21" s="314">
        <v>1400</v>
      </c>
      <c r="O21" s="313">
        <v>1356.8915347774796</v>
      </c>
      <c r="R21" s="313" t="str">
        <f>IF(AND((J21="This"),(L21="Only")),VLOOKUP(G21,#REF!,7,FALSE),"")</f>
        <v/>
      </c>
    </row>
    <row r="22" spans="1:22" x14ac:dyDescent="0.25">
      <c r="A22" s="313">
        <v>4</v>
      </c>
      <c r="C22" s="313">
        <f t="shared" si="0"/>
        <v>13</v>
      </c>
      <c r="D22" s="313">
        <f t="shared" si="1"/>
        <v>9</v>
      </c>
      <c r="E22" s="313">
        <f t="shared" si="2"/>
        <v>12</v>
      </c>
      <c r="F22" s="313" t="str">
        <f t="shared" si="3"/>
        <v>pm</v>
      </c>
      <c r="G22" s="313" t="s">
        <v>590</v>
      </c>
      <c r="H22" s="313" t="s">
        <v>213</v>
      </c>
      <c r="I22" s="313" t="s">
        <v>591</v>
      </c>
      <c r="K22" s="314">
        <f t="shared" si="4"/>
        <v>1584.5549621974531</v>
      </c>
      <c r="M22" s="314">
        <v>1400</v>
      </c>
      <c r="O22" s="313">
        <v>1424.8014199287991</v>
      </c>
      <c r="R22" s="313" t="str">
        <f>IF(AND((J22="This"),(L22="Only")),VLOOKUP(G22,#REF!,7,FALSE),"")</f>
        <v/>
      </c>
      <c r="T22" s="313">
        <v>1531.814236061155</v>
      </c>
      <c r="V22" s="313">
        <v>1584.5549621974531</v>
      </c>
    </row>
    <row r="23" spans="1:22" x14ac:dyDescent="0.25">
      <c r="A23" s="313">
        <v>3</v>
      </c>
      <c r="C23" s="313">
        <f t="shared" si="0"/>
        <v>14</v>
      </c>
      <c r="D23" s="313">
        <f t="shared" si="1"/>
        <v>9</v>
      </c>
      <c r="E23" s="313">
        <f t="shared" si="2"/>
        <v>12</v>
      </c>
      <c r="F23" s="313" t="str">
        <f t="shared" si="3"/>
        <v>pm</v>
      </c>
      <c r="G23" s="313" t="s">
        <v>224</v>
      </c>
      <c r="H23" s="313" t="s">
        <v>207</v>
      </c>
      <c r="I23" s="313" t="s">
        <v>477</v>
      </c>
      <c r="K23" s="314">
        <f t="shared" si="4"/>
        <v>1547.6054388640575</v>
      </c>
      <c r="M23" s="314">
        <v>1400</v>
      </c>
      <c r="O23" s="313">
        <v>1474.9258546035371</v>
      </c>
      <c r="R23" s="313" t="str">
        <f>IF(AND((J23="This"),(L23="Only")),VLOOKUP(G23,#REF!,7,FALSE),"")</f>
        <v/>
      </c>
      <c r="S23" s="313">
        <v>1547.6054388640575</v>
      </c>
    </row>
    <row r="24" spans="1:22" x14ac:dyDescent="0.25">
      <c r="A24" s="313">
        <v>3</v>
      </c>
      <c r="C24" s="313">
        <f t="shared" si="0"/>
        <v>15</v>
      </c>
      <c r="D24" s="313">
        <f t="shared" si="1"/>
        <v>9</v>
      </c>
      <c r="E24" s="313">
        <f t="shared" si="2"/>
        <v>12</v>
      </c>
      <c r="F24" s="313" t="str">
        <f t="shared" si="3"/>
        <v>pm</v>
      </c>
      <c r="G24" s="313" t="s">
        <v>479</v>
      </c>
      <c r="H24" s="313" t="s">
        <v>207</v>
      </c>
      <c r="I24" s="313" t="s">
        <v>478</v>
      </c>
      <c r="K24" s="314">
        <f t="shared" si="4"/>
        <v>1597.0988941571195</v>
      </c>
      <c r="M24" s="314">
        <v>1400</v>
      </c>
      <c r="O24" s="313">
        <v>1490.8936464090691</v>
      </c>
      <c r="R24" s="313" t="str">
        <f>IF(AND((J24="This"),(L24="Only")),VLOOKUP(G24,#REF!,7,FALSE),"")</f>
        <v/>
      </c>
      <c r="S24" s="313">
        <v>1597.0988941571195</v>
      </c>
    </row>
    <row r="25" spans="1:22" x14ac:dyDescent="0.25">
      <c r="A25" s="313">
        <v>3</v>
      </c>
      <c r="C25" s="313">
        <f t="shared" si="0"/>
        <v>16</v>
      </c>
      <c r="D25" s="313">
        <f t="shared" si="1"/>
        <v>9</v>
      </c>
      <c r="E25" s="313">
        <f t="shared" si="2"/>
        <v>12</v>
      </c>
      <c r="F25" s="313" t="str">
        <f t="shared" si="3"/>
        <v>pm</v>
      </c>
      <c r="G25" s="313" t="s">
        <v>481</v>
      </c>
      <c r="H25" s="313" t="s">
        <v>207</v>
      </c>
      <c r="I25" s="313" t="s">
        <v>480</v>
      </c>
      <c r="K25" s="314">
        <f t="shared" si="4"/>
        <v>1552.5217618694735</v>
      </c>
      <c r="M25" s="314">
        <v>1400</v>
      </c>
      <c r="O25" s="313">
        <v>1470.8271049211355</v>
      </c>
      <c r="R25" s="313" t="str">
        <f>IF(AND((J25="This"),(L25="Only")),VLOOKUP(G25,#REF!,7,FALSE),"")</f>
        <v/>
      </c>
      <c r="S25" s="313">
        <v>1552.5217618694735</v>
      </c>
    </row>
    <row r="26" spans="1:22" x14ac:dyDescent="0.25">
      <c r="A26" s="313">
        <v>3</v>
      </c>
      <c r="C26" s="313">
        <f t="shared" si="0"/>
        <v>17</v>
      </c>
      <c r="D26" s="313">
        <f t="shared" si="1"/>
        <v>9</v>
      </c>
      <c r="E26" s="313">
        <f t="shared" si="2"/>
        <v>12</v>
      </c>
      <c r="F26" s="313" t="str">
        <f t="shared" si="3"/>
        <v>pm</v>
      </c>
      <c r="G26" s="313" t="s">
        <v>483</v>
      </c>
      <c r="H26" s="313" t="s">
        <v>207</v>
      </c>
      <c r="I26" s="313" t="s">
        <v>482</v>
      </c>
      <c r="K26" s="314">
        <f t="shared" si="4"/>
        <v>1314.8627941243271</v>
      </c>
      <c r="M26" s="314">
        <v>1400</v>
      </c>
      <c r="R26" s="313" t="str">
        <f>IF(AND((J26="This"),(L26="Only")),VLOOKUP(G26,#REF!,7,FALSE),"")</f>
        <v/>
      </c>
      <c r="S26" s="313">
        <v>1395.3301340799349</v>
      </c>
      <c r="T26" s="313">
        <v>1314.8627941243271</v>
      </c>
    </row>
    <row r="27" spans="1:22" x14ac:dyDescent="0.25">
      <c r="A27" s="313">
        <v>3</v>
      </c>
      <c r="C27" s="313">
        <f t="shared" si="0"/>
        <v>18</v>
      </c>
      <c r="D27" s="313">
        <f t="shared" si="1"/>
        <v>9</v>
      </c>
      <c r="E27" s="313">
        <f t="shared" si="2"/>
        <v>12</v>
      </c>
      <c r="F27" s="313" t="str">
        <f t="shared" si="3"/>
        <v>pm</v>
      </c>
      <c r="G27" s="313" t="s">
        <v>485</v>
      </c>
      <c r="H27" s="313" t="s">
        <v>207</v>
      </c>
      <c r="I27" s="313" t="s">
        <v>484</v>
      </c>
      <c r="K27" s="314">
        <f t="shared" si="4"/>
        <v>1344.0894005280031</v>
      </c>
      <c r="M27" s="314">
        <v>1400</v>
      </c>
      <c r="R27" s="313" t="str">
        <f>IF(AND((J27="This"),(L27="Only")),VLOOKUP(G27,#REF!,7,FALSE),"")</f>
        <v/>
      </c>
      <c r="S27" s="313">
        <v>1313.5677811716366</v>
      </c>
      <c r="T27" s="313">
        <v>1344.0894005280031</v>
      </c>
    </row>
    <row r="28" spans="1:22" x14ac:dyDescent="0.25">
      <c r="A28" s="313">
        <v>4</v>
      </c>
      <c r="C28" s="313">
        <f t="shared" si="0"/>
        <v>19</v>
      </c>
      <c r="D28" s="313">
        <f t="shared" si="1"/>
        <v>9</v>
      </c>
      <c r="E28" s="313">
        <f t="shared" si="2"/>
        <v>12</v>
      </c>
      <c r="F28" s="313" t="str">
        <f t="shared" si="3"/>
        <v>pm</v>
      </c>
      <c r="G28" s="313" t="s">
        <v>291</v>
      </c>
      <c r="H28" s="313" t="s">
        <v>286</v>
      </c>
      <c r="I28" s="313" t="s">
        <v>517</v>
      </c>
      <c r="K28" s="314">
        <f t="shared" si="4"/>
        <v>1482.7085948011659</v>
      </c>
      <c r="M28" s="314">
        <v>1400</v>
      </c>
      <c r="R28" s="313" t="str">
        <f>IF(AND((J28="This"),(L28="Only")),VLOOKUP(G28,#REF!,7,FALSE),"")</f>
        <v/>
      </c>
      <c r="S28" s="313">
        <v>1481.9064108927323</v>
      </c>
      <c r="T28" s="313">
        <v>1482.7085948011659</v>
      </c>
    </row>
    <row r="29" spans="1:22" x14ac:dyDescent="0.25">
      <c r="A29" s="313">
        <v>5</v>
      </c>
      <c r="C29" s="313">
        <f t="shared" si="0"/>
        <v>20</v>
      </c>
      <c r="D29" s="313">
        <f t="shared" si="1"/>
        <v>9</v>
      </c>
      <c r="E29" s="313">
        <f t="shared" si="2"/>
        <v>12</v>
      </c>
      <c r="F29" s="313" t="str">
        <f t="shared" si="3"/>
        <v>pm</v>
      </c>
      <c r="G29" s="313" t="s">
        <v>236</v>
      </c>
      <c r="H29" s="313" t="s">
        <v>204</v>
      </c>
      <c r="I29" s="313" t="s">
        <v>174</v>
      </c>
      <c r="K29" s="314">
        <f t="shared" si="4"/>
        <v>1428.9948068214296</v>
      </c>
      <c r="M29" s="314">
        <v>1400</v>
      </c>
      <c r="R29" s="313" t="str">
        <f>IF(AND((J29="This"),(L29="Only")),VLOOKUP(G29,#REF!,7,FALSE),"")</f>
        <v/>
      </c>
      <c r="S29" s="313">
        <v>1439.3040279119832</v>
      </c>
      <c r="T29" s="313">
        <v>1410.8128235954669</v>
      </c>
      <c r="V29" s="313">
        <v>1428.9948068214296</v>
      </c>
    </row>
    <row r="30" spans="1:22" x14ac:dyDescent="0.25">
      <c r="A30" s="313">
        <v>4</v>
      </c>
      <c r="C30" s="313">
        <f t="shared" si="0"/>
        <v>21</v>
      </c>
      <c r="D30" s="313">
        <f t="shared" si="1"/>
        <v>9</v>
      </c>
      <c r="E30" s="313">
        <f t="shared" si="2"/>
        <v>12</v>
      </c>
      <c r="F30" s="313" t="str">
        <f t="shared" si="3"/>
        <v>pm</v>
      </c>
      <c r="G30" s="313" t="s">
        <v>475</v>
      </c>
      <c r="H30" s="313" t="s">
        <v>199</v>
      </c>
      <c r="I30" s="313" t="s">
        <v>474</v>
      </c>
      <c r="K30" s="314">
        <f t="shared" si="4"/>
        <v>1182.3261223768773</v>
      </c>
      <c r="M30" s="314">
        <v>1400</v>
      </c>
      <c r="R30" s="313" t="str">
        <f>IF(AND((J30="This"),(L30="Only")),VLOOKUP(G30,#REF!,7,FALSE),"")</f>
        <v/>
      </c>
      <c r="S30" s="313">
        <v>1296.3634893108842</v>
      </c>
      <c r="T30" s="313">
        <v>1221.8365208689011</v>
      </c>
      <c r="V30" s="313">
        <v>1182.3261223768773</v>
      </c>
    </row>
    <row r="31" spans="1:22" x14ac:dyDescent="0.25">
      <c r="A31" s="313">
        <v>2</v>
      </c>
      <c r="C31" s="313">
        <f t="shared" si="0"/>
        <v>22</v>
      </c>
      <c r="D31" s="313">
        <f t="shared" si="1"/>
        <v>9</v>
      </c>
      <c r="E31" s="313">
        <f t="shared" si="2"/>
        <v>12</v>
      </c>
      <c r="F31" s="313" t="str">
        <f t="shared" si="3"/>
        <v>pm</v>
      </c>
      <c r="G31" s="313" t="s">
        <v>472</v>
      </c>
      <c r="H31" s="313" t="s">
        <v>473</v>
      </c>
      <c r="I31" s="313" t="s">
        <v>471</v>
      </c>
      <c r="K31" s="314">
        <f t="shared" si="4"/>
        <v>1457.5420336558111</v>
      </c>
      <c r="M31" s="314">
        <v>1400</v>
      </c>
      <c r="R31" s="313" t="str">
        <f>IF(AND((J31="This"),(L31="Only")),VLOOKUP(G31,#REF!,7,FALSE),"")</f>
        <v/>
      </c>
      <c r="T31" s="313">
        <v>1457.5420336558111</v>
      </c>
    </row>
    <row r="32" spans="1:22" x14ac:dyDescent="0.25">
      <c r="A32" s="313">
        <v>6</v>
      </c>
      <c r="C32" s="313">
        <f t="shared" si="0"/>
        <v>23</v>
      </c>
      <c r="D32" s="313">
        <f t="shared" si="1"/>
        <v>9</v>
      </c>
      <c r="E32" s="313">
        <f t="shared" si="2"/>
        <v>12</v>
      </c>
      <c r="F32" s="313" t="str">
        <f t="shared" si="3"/>
        <v>pm</v>
      </c>
      <c r="G32" s="313" t="s">
        <v>410</v>
      </c>
      <c r="H32" s="313" t="s">
        <v>411</v>
      </c>
      <c r="I32" s="313" t="s">
        <v>409</v>
      </c>
      <c r="K32" s="314">
        <f t="shared" si="4"/>
        <v>1172.8946927404108</v>
      </c>
      <c r="M32" s="314">
        <v>1400</v>
      </c>
      <c r="O32" s="313">
        <v>1301.6735721662928</v>
      </c>
      <c r="R32" s="313" t="str">
        <f>IF(AND((J32="This"),(L32="Only")),VLOOKUP(G32,#REF!,7,FALSE),"")</f>
        <v/>
      </c>
      <c r="S32" s="313">
        <v>1246.3111984541233</v>
      </c>
      <c r="T32" s="313">
        <v>1226.0702313271092</v>
      </c>
      <c r="V32" s="313">
        <v>1172.8946927404108</v>
      </c>
    </row>
    <row r="33" spans="1:22" x14ac:dyDescent="0.25">
      <c r="A33" s="313">
        <v>4</v>
      </c>
      <c r="C33" s="313">
        <f t="shared" si="0"/>
        <v>24</v>
      </c>
      <c r="D33" s="313">
        <f t="shared" si="1"/>
        <v>9</v>
      </c>
      <c r="E33" s="313">
        <f t="shared" si="2"/>
        <v>12</v>
      </c>
      <c r="F33" s="313" t="str">
        <f t="shared" si="3"/>
        <v>pm</v>
      </c>
      <c r="G33" s="313" t="s">
        <v>250</v>
      </c>
      <c r="H33" s="313" t="s">
        <v>198</v>
      </c>
      <c r="I33" s="313" t="s">
        <v>173</v>
      </c>
      <c r="K33" s="314">
        <f t="shared" si="4"/>
        <v>1354.0026826130036</v>
      </c>
      <c r="M33" s="314">
        <v>1400</v>
      </c>
      <c r="R33" s="313" t="str">
        <f>IF(AND((J33="This"),(L33="Only")),VLOOKUP(G33,#REF!,7,FALSE),"")</f>
        <v/>
      </c>
      <c r="S33" s="313">
        <v>1339.4461517631892</v>
      </c>
      <c r="T33" s="313">
        <v>1354.0026826130036</v>
      </c>
    </row>
    <row r="34" spans="1:22" x14ac:dyDescent="0.25">
      <c r="A34" s="313">
        <v>3</v>
      </c>
      <c r="C34" s="313">
        <f t="shared" si="0"/>
        <v>25</v>
      </c>
      <c r="D34" s="313">
        <f t="shared" si="1"/>
        <v>9</v>
      </c>
      <c r="E34" s="313">
        <f t="shared" si="2"/>
        <v>12</v>
      </c>
      <c r="F34" s="313" t="str">
        <f t="shared" si="3"/>
        <v>pm</v>
      </c>
      <c r="G34" s="313" t="s">
        <v>293</v>
      </c>
      <c r="H34" s="313" t="s">
        <v>198</v>
      </c>
      <c r="I34" s="313" t="s">
        <v>292</v>
      </c>
      <c r="K34" s="314">
        <f t="shared" si="4"/>
        <v>1262.2688698980021</v>
      </c>
      <c r="M34" s="314">
        <v>1400</v>
      </c>
      <c r="R34" s="313" t="str">
        <f>IF(AND((J34="This"),(L34="Only")),VLOOKUP(G34,#REF!,7,FALSE),"")</f>
        <v/>
      </c>
      <c r="T34" s="313">
        <v>1262.2688698980021</v>
      </c>
    </row>
    <row r="35" spans="1:22" x14ac:dyDescent="0.25">
      <c r="A35" s="313">
        <v>4</v>
      </c>
      <c r="C35" s="313">
        <f t="shared" si="0"/>
        <v>26</v>
      </c>
      <c r="D35" s="313">
        <f t="shared" si="1"/>
        <v>9</v>
      </c>
      <c r="E35" s="313">
        <f t="shared" si="2"/>
        <v>12</v>
      </c>
      <c r="F35" s="313" t="str">
        <f t="shared" si="3"/>
        <v>pm</v>
      </c>
      <c r="G35" s="313" t="s">
        <v>422</v>
      </c>
      <c r="H35" s="313" t="s">
        <v>235</v>
      </c>
      <c r="I35" s="313" t="s">
        <v>421</v>
      </c>
      <c r="K35" s="314">
        <f t="shared" si="4"/>
        <v>1282.8814689298702</v>
      </c>
      <c r="M35" s="314">
        <v>1400</v>
      </c>
      <c r="R35" s="313" t="str">
        <f>IF(AND((J35="This"),(L35="Only")),VLOOKUP(G35,#REF!,7,FALSE),"")</f>
        <v/>
      </c>
      <c r="T35" s="313">
        <v>1304.5564991499768</v>
      </c>
      <c r="V35" s="313">
        <v>1282.8814689298702</v>
      </c>
    </row>
    <row r="36" spans="1:22" x14ac:dyDescent="0.25">
      <c r="A36" s="313">
        <v>2</v>
      </c>
      <c r="C36" s="313">
        <f t="shared" si="0"/>
        <v>27</v>
      </c>
      <c r="D36" s="313">
        <f t="shared" si="1"/>
        <v>9</v>
      </c>
      <c r="E36" s="313">
        <f t="shared" si="2"/>
        <v>12</v>
      </c>
      <c r="F36" s="313" t="str">
        <f t="shared" si="3"/>
        <v>cr</v>
      </c>
      <c r="G36" s="313" t="s">
        <v>592</v>
      </c>
      <c r="H36" s="313" t="s">
        <v>593</v>
      </c>
      <c r="I36" s="313" t="s">
        <v>594</v>
      </c>
      <c r="K36" s="314">
        <f t="shared" si="4"/>
        <v>1453.7727056479055</v>
      </c>
      <c r="M36" s="314">
        <v>1400</v>
      </c>
      <c r="R36" s="313" t="str">
        <f>IF(AND((J36="This"),(L36="Only")),VLOOKUP(G36,#REF!,7,FALSE),"")</f>
        <v/>
      </c>
      <c r="T36" s="313">
        <v>1453.7727056479055</v>
      </c>
    </row>
    <row r="37" spans="1:22" x14ac:dyDescent="0.25">
      <c r="A37" s="313">
        <v>3</v>
      </c>
      <c r="C37" s="313">
        <f t="shared" si="0"/>
        <v>28</v>
      </c>
      <c r="D37" s="313">
        <f t="shared" si="1"/>
        <v>9</v>
      </c>
      <c r="E37" s="313">
        <f t="shared" si="2"/>
        <v>12</v>
      </c>
      <c r="F37" s="313" t="str">
        <f t="shared" si="3"/>
        <v>pm</v>
      </c>
      <c r="G37" s="313" t="s">
        <v>595</v>
      </c>
      <c r="H37" s="313" t="s">
        <v>559</v>
      </c>
      <c r="I37" s="313" t="s">
        <v>596</v>
      </c>
      <c r="K37" s="314">
        <f t="shared" si="4"/>
        <v>1498.741500196315</v>
      </c>
      <c r="M37" s="314">
        <v>1400</v>
      </c>
      <c r="R37" s="313" t="str">
        <f>IF(AND((J37="This"),(L37="Only")),VLOOKUP(G37,#REF!,7,FALSE),"")</f>
        <v/>
      </c>
      <c r="V37" s="313">
        <v>1498.741500196315</v>
      </c>
    </row>
    <row r="38" spans="1:22" x14ac:dyDescent="0.25">
      <c r="A38" s="313">
        <v>3</v>
      </c>
      <c r="C38" s="313">
        <f t="shared" si="0"/>
        <v>29</v>
      </c>
      <c r="D38" s="313">
        <f t="shared" si="1"/>
        <v>9</v>
      </c>
      <c r="E38" s="313">
        <f t="shared" si="2"/>
        <v>12</v>
      </c>
      <c r="F38" s="313" t="str">
        <f t="shared" si="3"/>
        <v>pm</v>
      </c>
      <c r="G38" s="313" t="s">
        <v>597</v>
      </c>
      <c r="H38" s="313" t="s">
        <v>559</v>
      </c>
      <c r="I38" s="313" t="s">
        <v>598</v>
      </c>
      <c r="K38" s="314">
        <f t="shared" si="4"/>
        <v>1298.9950797310169</v>
      </c>
      <c r="M38" s="314">
        <v>1400</v>
      </c>
      <c r="R38" s="313" t="str">
        <f>IF(AND((J38="This"),(L38="Only")),VLOOKUP(G38,#REF!,7,FALSE),"")</f>
        <v/>
      </c>
      <c r="S38" s="313">
        <v>1298.9950797310169</v>
      </c>
    </row>
    <row r="39" spans="1:22" x14ac:dyDescent="0.25">
      <c r="A39" s="313">
        <v>3</v>
      </c>
      <c r="C39" s="313">
        <f t="shared" si="0"/>
        <v>30</v>
      </c>
      <c r="D39" s="313">
        <f t="shared" si="1"/>
        <v>9</v>
      </c>
      <c r="E39" s="313">
        <f t="shared" si="2"/>
        <v>12</v>
      </c>
      <c r="F39" s="313" t="str">
        <f t="shared" si="3"/>
        <v>pm</v>
      </c>
      <c r="G39" s="313" t="s">
        <v>599</v>
      </c>
      <c r="H39" s="313" t="s">
        <v>559</v>
      </c>
      <c r="I39" s="313" t="s">
        <v>600</v>
      </c>
      <c r="K39" s="314">
        <f t="shared" si="4"/>
        <v>1363.4627166828639</v>
      </c>
      <c r="M39" s="314">
        <v>1400</v>
      </c>
      <c r="R39" s="313" t="str">
        <f>IF(AND((J39="This"),(L39="Only")),VLOOKUP(G39,#REF!,7,FALSE),"")</f>
        <v/>
      </c>
      <c r="S39" s="313">
        <v>1363.4627166828639</v>
      </c>
    </row>
    <row r="40" spans="1:22" x14ac:dyDescent="0.25">
      <c r="A40" s="313">
        <v>3</v>
      </c>
      <c r="C40" s="313">
        <f t="shared" si="0"/>
        <v>31</v>
      </c>
      <c r="D40" s="313">
        <f t="shared" si="1"/>
        <v>9</v>
      </c>
      <c r="E40" s="313">
        <f t="shared" si="2"/>
        <v>12</v>
      </c>
      <c r="F40" s="313" t="str">
        <f t="shared" si="3"/>
        <v>pm</v>
      </c>
      <c r="G40" s="313" t="s">
        <v>601</v>
      </c>
      <c r="H40" s="313" t="s">
        <v>559</v>
      </c>
      <c r="I40" s="313" t="s">
        <v>602</v>
      </c>
      <c r="K40" s="314">
        <f t="shared" si="4"/>
        <v>1392.8100796128085</v>
      </c>
      <c r="M40" s="314">
        <v>1400</v>
      </c>
      <c r="R40" s="313" t="str">
        <f>IF(AND((J40="This"),(L40="Only")),VLOOKUP(G40,#REF!,7,FALSE),"")</f>
        <v/>
      </c>
      <c r="V40" s="313">
        <v>1392.8100796128085</v>
      </c>
    </row>
    <row r="41" spans="1:22" x14ac:dyDescent="0.25">
      <c r="A41" s="313">
        <v>5</v>
      </c>
      <c r="C41" s="313">
        <f t="shared" si="0"/>
        <v>32</v>
      </c>
      <c r="D41" s="313">
        <f t="shared" si="1"/>
        <v>9</v>
      </c>
      <c r="E41" s="313">
        <f t="shared" si="2"/>
        <v>12</v>
      </c>
      <c r="F41" s="313" t="str">
        <f t="shared" si="3"/>
        <v>pm</v>
      </c>
      <c r="G41" s="313" t="s">
        <v>504</v>
      </c>
      <c r="H41" s="313" t="s">
        <v>505</v>
      </c>
      <c r="I41" s="313" t="s">
        <v>503</v>
      </c>
      <c r="K41" s="314">
        <f t="shared" si="4"/>
        <v>1375.4433983168517</v>
      </c>
      <c r="M41" s="314">
        <v>1400</v>
      </c>
      <c r="O41" s="313">
        <v>1317.0177436725585</v>
      </c>
      <c r="R41" s="313" t="str">
        <f>IF(AND((J41="This"),(L41="Only")),VLOOKUP(G41,#REF!,7,FALSE),"")</f>
        <v/>
      </c>
      <c r="T41" s="313">
        <v>1396.2263060585235</v>
      </c>
      <c r="V41" s="313">
        <v>1375.4433983168517</v>
      </c>
    </row>
    <row r="42" spans="1:22" x14ac:dyDescent="0.25">
      <c r="A42" s="313">
        <v>5</v>
      </c>
      <c r="C42" s="313">
        <f t="shared" si="0"/>
        <v>33</v>
      </c>
      <c r="D42" s="313">
        <f t="shared" si="1"/>
        <v>9</v>
      </c>
      <c r="E42" s="313">
        <f t="shared" si="2"/>
        <v>12</v>
      </c>
      <c r="F42" s="313" t="str">
        <f t="shared" si="3"/>
        <v>pm</v>
      </c>
      <c r="G42" s="313" t="s">
        <v>289</v>
      </c>
      <c r="H42" s="313" t="s">
        <v>211</v>
      </c>
      <c r="I42" s="313" t="s">
        <v>414</v>
      </c>
      <c r="K42" s="314">
        <f t="shared" si="4"/>
        <v>1439.4176887113954</v>
      </c>
      <c r="M42" s="314">
        <v>1400</v>
      </c>
      <c r="R42" s="313" t="str">
        <f>IF(AND((J42="This"),(L42="Only")),VLOOKUP(G42,#REF!,7,FALSE),"")</f>
        <v/>
      </c>
      <c r="S42" s="313">
        <v>1420.6812562153646</v>
      </c>
      <c r="T42" s="313">
        <v>1439.4176887113954</v>
      </c>
    </row>
    <row r="43" spans="1:22" x14ac:dyDescent="0.25">
      <c r="A43" s="313">
        <v>5</v>
      </c>
      <c r="C43" s="313">
        <f t="shared" si="0"/>
        <v>34</v>
      </c>
      <c r="D43" s="313">
        <f t="shared" si="1"/>
        <v>9</v>
      </c>
      <c r="E43" s="313">
        <f t="shared" si="2"/>
        <v>12</v>
      </c>
      <c r="F43" s="313" t="str">
        <f t="shared" si="3"/>
        <v>pm</v>
      </c>
      <c r="G43" s="313" t="s">
        <v>466</v>
      </c>
      <c r="H43" s="313" t="s">
        <v>201</v>
      </c>
      <c r="I43" s="313" t="s">
        <v>171</v>
      </c>
      <c r="K43" s="314">
        <f t="shared" si="4"/>
        <v>1438.2606481323326</v>
      </c>
      <c r="M43" s="314">
        <v>1400</v>
      </c>
      <c r="R43" s="313" t="str">
        <f>IF(AND((J43="This"),(L43="Only")),VLOOKUP(G43,#REF!,7,FALSE),"")</f>
        <v/>
      </c>
      <c r="S43" s="313">
        <v>1394.6922807192168</v>
      </c>
      <c r="T43" s="313">
        <v>1450.3242032415919</v>
      </c>
      <c r="V43" s="313">
        <v>1438.2606481323326</v>
      </c>
    </row>
    <row r="44" spans="1:22" x14ac:dyDescent="0.25">
      <c r="A44" s="313">
        <v>4</v>
      </c>
      <c r="C44" s="313">
        <f t="shared" si="0"/>
        <v>35</v>
      </c>
      <c r="D44" s="313">
        <f t="shared" si="1"/>
        <v>9</v>
      </c>
      <c r="E44" s="313">
        <f t="shared" si="2"/>
        <v>12</v>
      </c>
      <c r="F44" s="313" t="str">
        <f t="shared" si="3"/>
        <v>pm</v>
      </c>
      <c r="G44" s="313" t="s">
        <v>294</v>
      </c>
      <c r="H44" s="313" t="s">
        <v>182</v>
      </c>
      <c r="I44" s="313" t="s">
        <v>396</v>
      </c>
      <c r="K44" s="314">
        <f t="shared" si="4"/>
        <v>1411.3842368219443</v>
      </c>
      <c r="M44" s="314">
        <v>1400</v>
      </c>
      <c r="R44" s="313" t="str">
        <f>IF(AND((J44="This"),(L44="Only")),VLOOKUP(G44,#REF!,7,FALSE),"")</f>
        <v/>
      </c>
      <c r="S44" s="313">
        <v>1365.2789041780873</v>
      </c>
      <c r="T44" s="313">
        <v>1411.3842368219443</v>
      </c>
    </row>
    <row r="45" spans="1:22" x14ac:dyDescent="0.25">
      <c r="A45" s="313">
        <v>4</v>
      </c>
      <c r="C45" s="313">
        <f t="shared" si="0"/>
        <v>36</v>
      </c>
      <c r="D45" s="313">
        <f t="shared" si="1"/>
        <v>9</v>
      </c>
      <c r="E45" s="313">
        <f t="shared" si="2"/>
        <v>12</v>
      </c>
      <c r="F45" s="313" t="str">
        <f t="shared" si="3"/>
        <v>pm</v>
      </c>
      <c r="G45" s="313" t="s">
        <v>398</v>
      </c>
      <c r="H45" s="313" t="s">
        <v>182</v>
      </c>
      <c r="I45" s="313" t="s">
        <v>397</v>
      </c>
      <c r="K45" s="314">
        <f t="shared" si="4"/>
        <v>1340.443133695343</v>
      </c>
      <c r="M45" s="314">
        <v>1400</v>
      </c>
      <c r="R45" s="313" t="str">
        <f>IF(AND((J45="This"),(L45="Only")),VLOOKUP(G45,#REF!,7,FALSE),"")</f>
        <v/>
      </c>
      <c r="S45" s="313">
        <v>1441.9714593347824</v>
      </c>
      <c r="T45" s="313">
        <v>1340.443133695343</v>
      </c>
    </row>
    <row r="46" spans="1:22" x14ac:dyDescent="0.25">
      <c r="A46" s="313">
        <v>1</v>
      </c>
      <c r="C46" s="313">
        <f t="shared" si="0"/>
        <v>37</v>
      </c>
      <c r="D46" s="313">
        <f t="shared" si="1"/>
        <v>9</v>
      </c>
      <c r="E46" s="313">
        <f t="shared" si="2"/>
        <v>12</v>
      </c>
      <c r="F46" s="313" t="str">
        <f t="shared" si="3"/>
        <v>crx</v>
      </c>
      <c r="G46" s="313" t="s">
        <v>603</v>
      </c>
      <c r="H46" s="313" t="s">
        <v>604</v>
      </c>
      <c r="I46" s="313" t="s">
        <v>605</v>
      </c>
      <c r="K46" s="314">
        <f t="shared" si="4"/>
        <v>1400</v>
      </c>
      <c r="M46" s="314">
        <v>1400</v>
      </c>
      <c r="R46" s="313" t="str">
        <f>IF(AND((J46="This"),(L46="Only")),VLOOKUP(G46,#REF!,7,FALSE),"")</f>
        <v/>
      </c>
    </row>
    <row r="47" spans="1:22" x14ac:dyDescent="0.25">
      <c r="A47" s="313">
        <v>1</v>
      </c>
      <c r="C47" s="313">
        <f t="shared" si="0"/>
        <v>38</v>
      </c>
      <c r="D47" s="313">
        <f t="shared" si="1"/>
        <v>9</v>
      </c>
      <c r="E47" s="313">
        <f t="shared" si="2"/>
        <v>12</v>
      </c>
      <c r="F47" s="313" t="str">
        <f t="shared" si="3"/>
        <v>crx</v>
      </c>
      <c r="G47" s="313" t="s">
        <v>606</v>
      </c>
      <c r="H47" s="313" t="s">
        <v>604</v>
      </c>
      <c r="I47" s="313" t="s">
        <v>607</v>
      </c>
      <c r="K47" s="314">
        <f t="shared" si="4"/>
        <v>1400</v>
      </c>
      <c r="M47" s="314">
        <v>1400</v>
      </c>
      <c r="R47" s="313" t="str">
        <f>IF(AND((J47="This"),(L47="Only")),VLOOKUP(G47,#REF!,7,FALSE),"")</f>
        <v/>
      </c>
    </row>
    <row r="48" spans="1:22" x14ac:dyDescent="0.25">
      <c r="A48" s="313">
        <v>6</v>
      </c>
      <c r="C48" s="313">
        <f t="shared" si="0"/>
        <v>39</v>
      </c>
      <c r="D48" s="313">
        <f t="shared" si="1"/>
        <v>39</v>
      </c>
      <c r="E48" s="313">
        <f t="shared" si="2"/>
        <v>12</v>
      </c>
      <c r="F48" s="313" t="str">
        <f t="shared" si="3"/>
        <v>pm</v>
      </c>
      <c r="G48" s="313" t="s">
        <v>514</v>
      </c>
      <c r="H48" s="313" t="s">
        <v>216</v>
      </c>
      <c r="I48" s="313" t="s">
        <v>513</v>
      </c>
      <c r="K48" s="314">
        <f t="shared" si="4"/>
        <v>1405.1025780622188</v>
      </c>
      <c r="M48" s="314">
        <v>1366.6666666666667</v>
      </c>
      <c r="O48" s="313">
        <v>1368.846762184352</v>
      </c>
      <c r="R48" s="313" t="str">
        <f>IF(AND((J48="This"),(L48="Only")),VLOOKUP(G48,#REF!,7,FALSE),"")</f>
        <v/>
      </c>
      <c r="S48" s="313">
        <v>1343.7160524871026</v>
      </c>
      <c r="T48" s="313">
        <v>1420.369437083843</v>
      </c>
      <c r="V48" s="313">
        <v>1405.1025780622188</v>
      </c>
    </row>
    <row r="49" spans="1:22" x14ac:dyDescent="0.25">
      <c r="A49" s="313">
        <v>3</v>
      </c>
      <c r="C49" s="313">
        <f t="shared" si="0"/>
        <v>40</v>
      </c>
      <c r="D49" s="313">
        <f t="shared" si="1"/>
        <v>40</v>
      </c>
      <c r="E49" s="313">
        <f t="shared" si="2"/>
        <v>12</v>
      </c>
      <c r="F49" s="313" t="str">
        <f t="shared" si="3"/>
        <v>pm</v>
      </c>
      <c r="G49" s="1032" t="s">
        <v>608</v>
      </c>
      <c r="H49" s="313" t="s">
        <v>393</v>
      </c>
      <c r="I49" s="313" t="s">
        <v>609</v>
      </c>
      <c r="K49" s="314">
        <f t="shared" si="4"/>
        <v>1138.6942092454178</v>
      </c>
      <c r="M49" s="314">
        <v>1200</v>
      </c>
      <c r="R49" s="313" t="str">
        <f>IF(AND((J49="This"),(L49="Only")),VLOOKUP(G49,#REF!,7,FALSE),"")</f>
        <v/>
      </c>
      <c r="S49" s="313">
        <v>1159.5990105628869</v>
      </c>
      <c r="T49" s="313">
        <v>1138.6942092454178</v>
      </c>
    </row>
    <row r="50" spans="1:22" x14ac:dyDescent="0.25">
      <c r="A50" s="313">
        <v>3</v>
      </c>
      <c r="C50" s="313">
        <f t="shared" si="0"/>
        <v>41</v>
      </c>
      <c r="D50" s="313">
        <f t="shared" si="1"/>
        <v>40</v>
      </c>
      <c r="E50" s="313">
        <f t="shared" si="2"/>
        <v>12</v>
      </c>
      <c r="F50" s="313" t="str">
        <f t="shared" si="3"/>
        <v>pm</v>
      </c>
      <c r="G50" s="313" t="s">
        <v>610</v>
      </c>
      <c r="H50" s="313" t="s">
        <v>207</v>
      </c>
      <c r="I50" s="313" t="s">
        <v>611</v>
      </c>
      <c r="K50" s="314">
        <f t="shared" si="4"/>
        <v>1232.4333282362945</v>
      </c>
      <c r="M50" s="314">
        <v>1200</v>
      </c>
      <c r="R50" s="313" t="str">
        <f>IF(AND((J50="This"),(L50="Only")),VLOOKUP(G50,#REF!,7,FALSE),"")</f>
        <v/>
      </c>
      <c r="S50" s="313">
        <v>1198.7332252889023</v>
      </c>
      <c r="T50" s="313">
        <v>1207.2949680843783</v>
      </c>
      <c r="V50" s="313">
        <v>1232.4333282362945</v>
      </c>
    </row>
    <row r="51" spans="1:22" x14ac:dyDescent="0.25">
      <c r="A51" s="313">
        <v>3</v>
      </c>
      <c r="C51" s="313">
        <f t="shared" si="0"/>
        <v>42</v>
      </c>
      <c r="D51" s="313">
        <f t="shared" si="1"/>
        <v>40</v>
      </c>
      <c r="E51" s="313">
        <f t="shared" si="2"/>
        <v>12</v>
      </c>
      <c r="F51" s="313" t="str">
        <f t="shared" si="3"/>
        <v>pm</v>
      </c>
      <c r="G51" s="313" t="s">
        <v>612</v>
      </c>
      <c r="H51" s="313" t="s">
        <v>207</v>
      </c>
      <c r="I51" s="313" t="s">
        <v>613</v>
      </c>
      <c r="K51" s="314">
        <f t="shared" si="4"/>
        <v>1107.1369587677066</v>
      </c>
      <c r="M51" s="314">
        <v>1200</v>
      </c>
      <c r="R51" s="313" t="str">
        <f>IF(AND((J51="This"),(L51="Only")),VLOOKUP(G51,#REF!,7,FALSE),"")</f>
        <v/>
      </c>
      <c r="S51" s="313">
        <v>1164.9127778263323</v>
      </c>
      <c r="T51" s="313">
        <v>1162.9144133651291</v>
      </c>
      <c r="V51" s="313">
        <v>1107.1369587677066</v>
      </c>
    </row>
    <row r="52" spans="1:22" x14ac:dyDescent="0.25">
      <c r="A52" s="313">
        <v>1</v>
      </c>
      <c r="C52" s="313">
        <f t="shared" si="0"/>
        <v>43</v>
      </c>
      <c r="D52" s="313">
        <f t="shared" si="1"/>
        <v>40</v>
      </c>
      <c r="E52" s="313">
        <f t="shared" si="2"/>
        <v>12</v>
      </c>
      <c r="F52" s="313" t="str">
        <f t="shared" si="3"/>
        <v>pmx</v>
      </c>
      <c r="G52" s="313" t="s">
        <v>614</v>
      </c>
      <c r="H52" s="313" t="s">
        <v>199</v>
      </c>
      <c r="I52" s="313" t="s">
        <v>615</v>
      </c>
      <c r="K52" s="314">
        <f t="shared" si="4"/>
        <v>1164.88819190138</v>
      </c>
      <c r="M52" s="314">
        <v>1200</v>
      </c>
      <c r="R52" s="313" t="str">
        <f>IF(AND((J52="This"),(L52="Only")),VLOOKUP(G52,#REF!,7,FALSE),"")</f>
        <v/>
      </c>
      <c r="S52" s="313">
        <v>1208.7030381965719</v>
      </c>
      <c r="T52" s="313">
        <v>1192.3440303301518</v>
      </c>
      <c r="V52" s="313">
        <v>1164.88819190138</v>
      </c>
    </row>
    <row r="53" spans="1:22" x14ac:dyDescent="0.25">
      <c r="A53" s="313">
        <v>1</v>
      </c>
      <c r="C53" s="313">
        <f t="shared" si="0"/>
        <v>44</v>
      </c>
      <c r="D53" s="313">
        <f t="shared" si="1"/>
        <v>40</v>
      </c>
      <c r="E53" s="313">
        <f t="shared" si="2"/>
        <v>12</v>
      </c>
      <c r="F53" s="313" t="str">
        <f t="shared" si="3"/>
        <v>pmx</v>
      </c>
      <c r="G53" s="313" t="s">
        <v>616</v>
      </c>
      <c r="H53" s="313" t="s">
        <v>199</v>
      </c>
      <c r="I53" s="313" t="s">
        <v>617</v>
      </c>
      <c r="K53" s="314">
        <f t="shared" si="4"/>
        <v>1121.134561842277</v>
      </c>
      <c r="M53" s="314">
        <v>1200</v>
      </c>
      <c r="R53" s="313" t="str">
        <f>IF(AND((J53="This"),(L53="Only")),VLOOKUP(G53,#REF!,7,FALSE),"")</f>
        <v/>
      </c>
      <c r="S53" s="313">
        <v>1206.6525831479435</v>
      </c>
      <c r="T53" s="313">
        <v>1154.8449608707572</v>
      </c>
      <c r="V53" s="313">
        <v>1121.134561842277</v>
      </c>
    </row>
    <row r="54" spans="1:22" x14ac:dyDescent="0.25">
      <c r="A54" s="313">
        <v>3</v>
      </c>
      <c r="C54" s="313">
        <f t="shared" si="0"/>
        <v>45</v>
      </c>
      <c r="D54" s="313">
        <f t="shared" si="1"/>
        <v>40</v>
      </c>
      <c r="E54" s="313">
        <f t="shared" si="2"/>
        <v>12</v>
      </c>
      <c r="F54" s="313" t="str">
        <f t="shared" si="3"/>
        <v>pm</v>
      </c>
      <c r="G54" s="313" t="s">
        <v>618</v>
      </c>
      <c r="H54" s="313" t="s">
        <v>281</v>
      </c>
      <c r="I54" s="313" t="s">
        <v>619</v>
      </c>
      <c r="K54" s="314">
        <f t="shared" si="4"/>
        <v>1293.6267294435881</v>
      </c>
      <c r="M54" s="314">
        <v>1200</v>
      </c>
      <c r="R54" s="313" t="str">
        <f>IF(AND((J54="This"),(L54="Only")),VLOOKUP(G54,#REF!,7,FALSE),"")</f>
        <v/>
      </c>
      <c r="S54" s="313">
        <v>1222.3604297626539</v>
      </c>
      <c r="T54" s="313">
        <v>1250.6062258294207</v>
      </c>
      <c r="V54" s="313">
        <v>1293.6267294435881</v>
      </c>
    </row>
    <row r="55" spans="1:22" x14ac:dyDescent="0.25">
      <c r="A55" s="313">
        <v>2</v>
      </c>
      <c r="C55" s="313">
        <f t="shared" si="0"/>
        <v>46</v>
      </c>
      <c r="D55" s="313">
        <f t="shared" si="1"/>
        <v>40</v>
      </c>
      <c r="E55" s="313">
        <f t="shared" si="2"/>
        <v>12</v>
      </c>
      <c r="F55" s="313" t="str">
        <f t="shared" si="3"/>
        <v>pm</v>
      </c>
      <c r="G55" s="313" t="s">
        <v>620</v>
      </c>
      <c r="H55" s="313" t="s">
        <v>281</v>
      </c>
      <c r="I55" s="313" t="s">
        <v>621</v>
      </c>
      <c r="K55" s="314">
        <f t="shared" si="4"/>
        <v>1252.9739815801377</v>
      </c>
      <c r="M55" s="314">
        <v>1200</v>
      </c>
      <c r="R55" s="313" t="str">
        <f>IF(AND((J55="This"),(L55="Only")),VLOOKUP(G55,#REF!,7,FALSE),"")</f>
        <v/>
      </c>
      <c r="S55" s="313">
        <v>1177.5284599285887</v>
      </c>
      <c r="T55" s="313">
        <v>1231.7907169886246</v>
      </c>
      <c r="V55" s="313">
        <v>1252.9739815801377</v>
      </c>
    </row>
    <row r="56" spans="1:22" x14ac:dyDescent="0.25">
      <c r="A56" s="313">
        <v>2</v>
      </c>
      <c r="C56" s="313">
        <f t="shared" si="0"/>
        <v>47</v>
      </c>
      <c r="D56" s="313">
        <f t="shared" si="1"/>
        <v>40</v>
      </c>
      <c r="E56" s="313">
        <f t="shared" si="2"/>
        <v>12</v>
      </c>
      <c r="F56" s="313" t="str">
        <f t="shared" si="3"/>
        <v>pm</v>
      </c>
      <c r="G56" s="313" t="s">
        <v>622</v>
      </c>
      <c r="H56" s="313" t="s">
        <v>198</v>
      </c>
      <c r="I56" s="313" t="s">
        <v>623</v>
      </c>
      <c r="K56" s="314">
        <f t="shared" si="4"/>
        <v>1190.8699600920074</v>
      </c>
      <c r="M56" s="314">
        <v>1200</v>
      </c>
      <c r="R56" s="313" t="str">
        <f>IF(AND((J56="This"),(L56="Only")),VLOOKUP(G56,#REF!,7,FALSE),"")</f>
        <v/>
      </c>
      <c r="V56" s="313">
        <v>1190.8699600920074</v>
      </c>
    </row>
    <row r="57" spans="1:22" x14ac:dyDescent="0.25">
      <c r="A57" s="313">
        <v>1</v>
      </c>
      <c r="C57" s="313">
        <f t="shared" si="0"/>
        <v>48</v>
      </c>
      <c r="D57" s="313">
        <f t="shared" si="1"/>
        <v>40</v>
      </c>
      <c r="E57" s="313">
        <f t="shared" si="2"/>
        <v>12</v>
      </c>
      <c r="F57" s="313" t="str">
        <f t="shared" si="3"/>
        <v>sox</v>
      </c>
      <c r="G57" s="313" t="s">
        <v>624</v>
      </c>
      <c r="H57" s="313" t="s">
        <v>222</v>
      </c>
      <c r="I57" s="313" t="s">
        <v>625</v>
      </c>
      <c r="K57" s="314">
        <f t="shared" si="4"/>
        <v>1200</v>
      </c>
      <c r="M57" s="314">
        <v>1200</v>
      </c>
      <c r="R57" s="313" t="str">
        <f>IF(AND((J57="This"),(L57="Only")),VLOOKUP(G57,#REF!,7,FALSE),"")</f>
        <v/>
      </c>
    </row>
    <row r="58" spans="1:22" x14ac:dyDescent="0.25">
      <c r="A58" s="313">
        <v>4</v>
      </c>
      <c r="C58" s="313">
        <f t="shared" si="0"/>
        <v>49</v>
      </c>
      <c r="D58" s="313">
        <f t="shared" si="1"/>
        <v>40</v>
      </c>
      <c r="E58" s="313">
        <f t="shared" si="2"/>
        <v>12</v>
      </c>
      <c r="F58" s="313" t="str">
        <f t="shared" si="3"/>
        <v>pm</v>
      </c>
      <c r="G58" s="313" t="s">
        <v>251</v>
      </c>
      <c r="H58" s="313" t="s">
        <v>201</v>
      </c>
      <c r="I58" s="313" t="s">
        <v>626</v>
      </c>
      <c r="K58" s="314">
        <f t="shared" si="4"/>
        <v>1206.7266798132362</v>
      </c>
      <c r="M58" s="314">
        <v>1200</v>
      </c>
      <c r="R58" s="313" t="str">
        <f>IF(AND((J58="This"),(L58="Only")),VLOOKUP(G58,#REF!,7,FALSE),"")</f>
        <v/>
      </c>
      <c r="S58" s="313">
        <v>1210.0364093066682</v>
      </c>
      <c r="V58" s="313">
        <v>1206.7266798132362</v>
      </c>
    </row>
    <row r="59" spans="1:22" x14ac:dyDescent="0.25">
      <c r="A59" s="313">
        <v>4</v>
      </c>
      <c r="C59" s="313">
        <f t="shared" si="0"/>
        <v>50</v>
      </c>
      <c r="D59" s="313">
        <f t="shared" si="1"/>
        <v>40</v>
      </c>
      <c r="E59" s="313">
        <f t="shared" si="2"/>
        <v>12</v>
      </c>
      <c r="F59" s="313" t="str">
        <f t="shared" si="3"/>
        <v>pm</v>
      </c>
      <c r="G59" s="313" t="s">
        <v>627</v>
      </c>
      <c r="H59" s="313" t="s">
        <v>201</v>
      </c>
      <c r="I59" s="313" t="s">
        <v>628</v>
      </c>
      <c r="K59" s="314">
        <f t="shared" si="4"/>
        <v>1332.4149795123046</v>
      </c>
      <c r="M59" s="314">
        <v>1200</v>
      </c>
      <c r="R59" s="313" t="str">
        <f>IF(AND((J59="This"),(L59="Only")),VLOOKUP(G59,#REF!,7,FALSE),"")</f>
        <v/>
      </c>
      <c r="S59" s="313">
        <v>1268.8246362009256</v>
      </c>
      <c r="V59" s="313">
        <v>1332.4149795123046</v>
      </c>
    </row>
    <row r="60" spans="1:22" x14ac:dyDescent="0.25">
      <c r="A60" s="313">
        <v>1</v>
      </c>
      <c r="C60" s="313">
        <f t="shared" si="0"/>
        <v>51</v>
      </c>
      <c r="D60" s="313">
        <f t="shared" si="1"/>
        <v>40</v>
      </c>
      <c r="E60" s="313">
        <f t="shared" si="2"/>
        <v>12</v>
      </c>
      <c r="F60" s="313" t="str">
        <f t="shared" si="3"/>
        <v>pmx</v>
      </c>
      <c r="G60" s="313" t="s">
        <v>629</v>
      </c>
      <c r="H60" s="313" t="s">
        <v>201</v>
      </c>
      <c r="I60" s="313" t="s">
        <v>630</v>
      </c>
      <c r="K60" s="314">
        <f t="shared" si="4"/>
        <v>1200</v>
      </c>
      <c r="M60" s="314">
        <v>1200</v>
      </c>
      <c r="R60" s="313" t="str">
        <f>IF(AND((J60="This"),(L60="Only")),VLOOKUP(G60,#REF!,7,FALSE),"")</f>
        <v/>
      </c>
    </row>
    <row r="61" spans="1:22" x14ac:dyDescent="0.25">
      <c r="A61" s="313">
        <v>4</v>
      </c>
      <c r="C61" s="313">
        <f t="shared" si="0"/>
        <v>52</v>
      </c>
      <c r="D61" s="313">
        <f t="shared" si="1"/>
        <v>40</v>
      </c>
      <c r="E61" s="313">
        <f t="shared" si="2"/>
        <v>12</v>
      </c>
      <c r="F61" s="313" t="str">
        <f t="shared" si="3"/>
        <v>pm</v>
      </c>
      <c r="G61" s="313" t="s">
        <v>631</v>
      </c>
      <c r="H61" s="313" t="s">
        <v>287</v>
      </c>
      <c r="I61" s="313" t="s">
        <v>632</v>
      </c>
      <c r="K61" s="314">
        <f t="shared" si="4"/>
        <v>1141.2104363370433</v>
      </c>
      <c r="M61" s="314">
        <v>1200</v>
      </c>
      <c r="R61" s="313" t="str">
        <f>IF(AND((J61="This"),(L61="Only")),VLOOKUP(G61,#REF!,7,FALSE),"")</f>
        <v/>
      </c>
      <c r="S61" s="313">
        <v>1235.9114015896889</v>
      </c>
      <c r="V61" s="313">
        <v>1141.2104363370433</v>
      </c>
    </row>
    <row r="62" spans="1:22" x14ac:dyDescent="0.25">
      <c r="A62" s="313">
        <v>0</v>
      </c>
      <c r="C62" s="313">
        <f t="shared" si="0"/>
        <v>53</v>
      </c>
      <c r="D62" s="313">
        <f t="shared" si="1"/>
        <v>40</v>
      </c>
      <c r="E62" s="313">
        <f t="shared" si="2"/>
        <v>12</v>
      </c>
      <c r="F62" s="313" t="str">
        <f t="shared" si="3"/>
        <v>pmx</v>
      </c>
      <c r="G62" s="313" t="s">
        <v>633</v>
      </c>
      <c r="H62" s="313" t="s">
        <v>578</v>
      </c>
      <c r="I62" s="313" t="s">
        <v>634</v>
      </c>
      <c r="K62" s="314">
        <f t="shared" si="4"/>
        <v>1276.5963499507407</v>
      </c>
      <c r="M62" s="314">
        <v>1200</v>
      </c>
      <c r="O62" s="313">
        <v>1276.5963499507407</v>
      </c>
      <c r="R62" s="313" t="str">
        <f>IF(AND((J62="This"),(L62="Only")),VLOOKUP(G62,#REF!,7,FALSE),"")</f>
        <v/>
      </c>
    </row>
    <row r="63" spans="1:22" x14ac:dyDescent="0.25">
      <c r="A63" s="313">
        <v>2</v>
      </c>
      <c r="C63" s="313">
        <f t="shared" si="0"/>
        <v>1</v>
      </c>
      <c r="D63" s="313">
        <f t="shared" si="1"/>
        <v>1</v>
      </c>
      <c r="E63" s="313">
        <f t="shared" si="2"/>
        <v>13</v>
      </c>
      <c r="F63" s="313" t="str">
        <f t="shared" si="3"/>
        <v>cr</v>
      </c>
      <c r="G63" s="1032" t="s">
        <v>635</v>
      </c>
      <c r="H63" s="313" t="s">
        <v>636</v>
      </c>
      <c r="I63" s="313" t="s">
        <v>637</v>
      </c>
      <c r="K63" s="314">
        <f t="shared" si="4"/>
        <v>2111.8344007482601</v>
      </c>
      <c r="M63" s="314">
        <v>2100</v>
      </c>
      <c r="P63" s="313">
        <v>2111.1803947450967</v>
      </c>
      <c r="R63" s="313" t="str">
        <f>IF(AND((J63="This"),(L63="Only")),VLOOKUP(G63,#REF!,7,FALSE),"")</f>
        <v/>
      </c>
      <c r="S63" s="313">
        <v>2111.8344007482601</v>
      </c>
    </row>
    <row r="64" spans="1:22" x14ac:dyDescent="0.25">
      <c r="A64" s="313">
        <v>1</v>
      </c>
      <c r="C64" s="313">
        <f t="shared" si="0"/>
        <v>2</v>
      </c>
      <c r="D64" s="313">
        <f t="shared" si="1"/>
        <v>2</v>
      </c>
      <c r="E64" s="313">
        <f t="shared" si="2"/>
        <v>13</v>
      </c>
      <c r="F64" s="313" t="str">
        <f t="shared" si="3"/>
        <v>sox</v>
      </c>
      <c r="G64" s="313" t="s">
        <v>638</v>
      </c>
      <c r="H64" s="313" t="s">
        <v>575</v>
      </c>
      <c r="I64" s="313" t="s">
        <v>639</v>
      </c>
      <c r="K64" s="314">
        <f t="shared" si="4"/>
        <v>1923.4584917001632</v>
      </c>
      <c r="M64" s="314">
        <v>2000</v>
      </c>
      <c r="R64" s="313" t="str">
        <f>IF(AND((J64="This"),(L64="Only")),VLOOKUP(G64,#REF!,7,FALSE),"")</f>
        <v/>
      </c>
      <c r="U64" s="313">
        <v>1923.4584917001632</v>
      </c>
    </row>
    <row r="65" spans="1:23" x14ac:dyDescent="0.25">
      <c r="A65" s="313">
        <v>2</v>
      </c>
      <c r="C65" s="313">
        <f t="shared" si="0"/>
        <v>3</v>
      </c>
      <c r="D65" s="313">
        <f t="shared" si="1"/>
        <v>2</v>
      </c>
      <c r="E65" s="313">
        <f t="shared" si="2"/>
        <v>13</v>
      </c>
      <c r="F65" s="313" t="str">
        <f t="shared" si="3"/>
        <v>pm</v>
      </c>
      <c r="G65" s="313" t="s">
        <v>640</v>
      </c>
      <c r="H65" s="313" t="s">
        <v>213</v>
      </c>
      <c r="I65" s="313" t="s">
        <v>641</v>
      </c>
      <c r="K65" s="314">
        <f t="shared" si="4"/>
        <v>1957.4424167884204</v>
      </c>
      <c r="M65" s="314">
        <v>2000</v>
      </c>
      <c r="N65" s="313">
        <v>1957.4424167884204</v>
      </c>
      <c r="R65" s="313" t="str">
        <f>IF(AND((J65="This"),(L65="Only")),VLOOKUP(G65,#REF!,7,FALSE),"")</f>
        <v/>
      </c>
    </row>
    <row r="66" spans="1:23" x14ac:dyDescent="0.25">
      <c r="A66" s="313">
        <v>1</v>
      </c>
      <c r="C66" s="313">
        <f t="shared" ref="C66:C129" si="5">IF(E66=E65,C65+1,1)</f>
        <v>4</v>
      </c>
      <c r="D66" s="313">
        <f t="shared" ref="D66:D129" si="6">IF(M66=M65,D65,C66)</f>
        <v>2</v>
      </c>
      <c r="E66" s="313">
        <f t="shared" ref="E66:E129" si="7">10+VALUE(RIGHT(LEFT(G66,3),1))</f>
        <v>13</v>
      </c>
      <c r="F66" s="313" t="str">
        <f t="shared" ref="F66:F129" si="8">RIGHT(G66,2) &amp; IF(A66&lt;2,"x","")</f>
        <v>crx</v>
      </c>
      <c r="G66" s="313" t="s">
        <v>642</v>
      </c>
      <c r="H66" s="313" t="s">
        <v>643</v>
      </c>
      <c r="I66" s="313" t="s">
        <v>644</v>
      </c>
      <c r="K66" s="314">
        <f t="shared" ref="K66:K129" si="9">LOOKUP(1E+100,M66:AC66)</f>
        <v>2019.1725953669204</v>
      </c>
      <c r="M66" s="314">
        <v>2000</v>
      </c>
      <c r="N66" s="313">
        <v>2019.1725953669204</v>
      </c>
      <c r="R66" s="313" t="str">
        <f>IF(AND((J66="This"),(L66="Only")),VLOOKUP(G66,#REF!,7,FALSE),"")</f>
        <v/>
      </c>
    </row>
    <row r="67" spans="1:23" x14ac:dyDescent="0.25">
      <c r="A67" s="313">
        <v>4</v>
      </c>
      <c r="C67" s="313">
        <f t="shared" si="5"/>
        <v>5</v>
      </c>
      <c r="D67" s="313">
        <f t="shared" si="6"/>
        <v>2</v>
      </c>
      <c r="E67" s="313">
        <f t="shared" si="7"/>
        <v>13</v>
      </c>
      <c r="F67" s="313" t="str">
        <f t="shared" si="8"/>
        <v>pm</v>
      </c>
      <c r="G67" s="313" t="s">
        <v>645</v>
      </c>
      <c r="H67" s="313" t="s">
        <v>207</v>
      </c>
      <c r="I67" s="313" t="s">
        <v>646</v>
      </c>
      <c r="K67" s="314">
        <f t="shared" si="9"/>
        <v>2168.0055370911878</v>
      </c>
      <c r="M67" s="314">
        <v>2000</v>
      </c>
      <c r="N67" s="313">
        <v>2136.3174765642048</v>
      </c>
      <c r="R67" s="313" t="str">
        <f>IF(AND((J67="This"),(L67="Only")),VLOOKUP(G67,#REF!,7,FALSE),"")</f>
        <v/>
      </c>
      <c r="U67" s="313">
        <v>2179.8632995599451</v>
      </c>
      <c r="W67" s="313">
        <v>2168.0055370911878</v>
      </c>
    </row>
    <row r="68" spans="1:23" x14ac:dyDescent="0.25">
      <c r="A68" s="313">
        <v>6</v>
      </c>
      <c r="C68" s="313">
        <f t="shared" si="5"/>
        <v>6</v>
      </c>
      <c r="D68" s="313">
        <f t="shared" si="6"/>
        <v>2</v>
      </c>
      <c r="E68" s="313">
        <f t="shared" si="7"/>
        <v>13</v>
      </c>
      <c r="F68" s="313" t="str">
        <f t="shared" si="8"/>
        <v>pm</v>
      </c>
      <c r="G68" s="313" t="s">
        <v>260</v>
      </c>
      <c r="H68" s="313" t="s">
        <v>204</v>
      </c>
      <c r="I68" s="313" t="s">
        <v>259</v>
      </c>
      <c r="K68" s="314">
        <f t="shared" si="9"/>
        <v>2114.218467395664</v>
      </c>
      <c r="M68" s="314">
        <v>2000</v>
      </c>
      <c r="N68" s="313">
        <v>2121.6308368759796</v>
      </c>
      <c r="P68" s="313">
        <v>2175.8772912480499</v>
      </c>
      <c r="R68" s="313" t="str">
        <f>IF(AND((J68="This"),(L68="Only")),VLOOKUP(G68,#REF!,7,FALSE),"")</f>
        <v/>
      </c>
      <c r="S68" s="313">
        <v>2102.4237747330426</v>
      </c>
      <c r="U68" s="313">
        <v>2056.8719586490975</v>
      </c>
      <c r="W68" s="313">
        <v>2114.218467395664</v>
      </c>
    </row>
    <row r="69" spans="1:23" x14ac:dyDescent="0.25">
      <c r="A69" s="313">
        <v>3</v>
      </c>
      <c r="C69" s="313">
        <f t="shared" si="5"/>
        <v>7</v>
      </c>
      <c r="D69" s="313">
        <f t="shared" si="6"/>
        <v>2</v>
      </c>
      <c r="E69" s="313">
        <f t="shared" si="7"/>
        <v>13</v>
      </c>
      <c r="F69" s="313" t="str">
        <f t="shared" si="8"/>
        <v>pm</v>
      </c>
      <c r="G69" s="313" t="s">
        <v>647</v>
      </c>
      <c r="H69" s="313" t="s">
        <v>473</v>
      </c>
      <c r="I69" s="313" t="s">
        <v>648</v>
      </c>
      <c r="K69" s="314">
        <f t="shared" si="9"/>
        <v>2032.4693952819664</v>
      </c>
      <c r="M69" s="314">
        <v>2000</v>
      </c>
      <c r="R69" s="313" t="str">
        <f>IF(AND((J69="This"),(L69="Only")),VLOOKUP(G69,#REF!,7,FALSE),"")</f>
        <v/>
      </c>
      <c r="S69" s="313">
        <v>2019.5944937514193</v>
      </c>
      <c r="U69" s="313">
        <v>2032.4693952819664</v>
      </c>
    </row>
    <row r="70" spans="1:23" x14ac:dyDescent="0.25">
      <c r="A70" s="313">
        <v>1</v>
      </c>
      <c r="C70" s="313">
        <f t="shared" si="5"/>
        <v>8</v>
      </c>
      <c r="D70" s="313">
        <f t="shared" si="6"/>
        <v>2</v>
      </c>
      <c r="E70" s="313">
        <f t="shared" si="7"/>
        <v>13</v>
      </c>
      <c r="F70" s="313" t="str">
        <f t="shared" si="8"/>
        <v>pmx</v>
      </c>
      <c r="G70" s="313" t="s">
        <v>649</v>
      </c>
      <c r="H70" s="313" t="s">
        <v>650</v>
      </c>
      <c r="I70" s="313" t="s">
        <v>651</v>
      </c>
      <c r="K70" s="314">
        <f t="shared" si="9"/>
        <v>2103.1493812409949</v>
      </c>
      <c r="M70" s="314">
        <v>2000</v>
      </c>
      <c r="R70" s="313" t="str">
        <f>IF(AND((J70="This"),(L70="Only")),VLOOKUP(G70,#REF!,7,FALSE),"")</f>
        <v/>
      </c>
      <c r="U70" s="313">
        <v>2103.1493812409949</v>
      </c>
    </row>
    <row r="71" spans="1:23" x14ac:dyDescent="0.25">
      <c r="A71" s="313">
        <v>3</v>
      </c>
      <c r="C71" s="313">
        <f t="shared" si="5"/>
        <v>9</v>
      </c>
      <c r="D71" s="313">
        <f t="shared" si="6"/>
        <v>2</v>
      </c>
      <c r="E71" s="313">
        <f t="shared" si="7"/>
        <v>13</v>
      </c>
      <c r="F71" s="313" t="str">
        <f t="shared" si="8"/>
        <v>pm</v>
      </c>
      <c r="G71" s="313" t="s">
        <v>652</v>
      </c>
      <c r="H71" s="313" t="s">
        <v>282</v>
      </c>
      <c r="I71" s="313" t="s">
        <v>653</v>
      </c>
      <c r="K71" s="314">
        <f t="shared" si="9"/>
        <v>2126.7732935713634</v>
      </c>
      <c r="M71" s="314">
        <v>2000</v>
      </c>
      <c r="N71" s="313">
        <v>2068.8673410456058</v>
      </c>
      <c r="R71" s="313" t="str">
        <f>IF(AND((J71="This"),(L71="Only")),VLOOKUP(G71,#REF!,7,FALSE),"")</f>
        <v/>
      </c>
      <c r="U71" s="313">
        <v>2126.7732935713634</v>
      </c>
    </row>
    <row r="72" spans="1:23" x14ac:dyDescent="0.25">
      <c r="A72" s="313">
        <v>2</v>
      </c>
      <c r="C72" s="313">
        <f t="shared" si="5"/>
        <v>10</v>
      </c>
      <c r="D72" s="313">
        <f t="shared" si="6"/>
        <v>2</v>
      </c>
      <c r="E72" s="313">
        <f t="shared" si="7"/>
        <v>13</v>
      </c>
      <c r="F72" s="313" t="str">
        <f t="shared" si="8"/>
        <v>pm</v>
      </c>
      <c r="G72" s="313" t="s">
        <v>654</v>
      </c>
      <c r="H72" s="313" t="s">
        <v>559</v>
      </c>
      <c r="I72" s="313" t="s">
        <v>655</v>
      </c>
      <c r="K72" s="314">
        <f t="shared" si="9"/>
        <v>2070.7625433400967</v>
      </c>
      <c r="M72" s="314">
        <v>2000</v>
      </c>
      <c r="R72" s="313" t="str">
        <f>IF(AND((J72="This"),(L72="Only")),VLOOKUP(G72,#REF!,7,FALSE),"")</f>
        <v/>
      </c>
      <c r="S72" s="313">
        <v>2070.7625433400967</v>
      </c>
    </row>
    <row r="73" spans="1:23" x14ac:dyDescent="0.25">
      <c r="A73" s="313">
        <v>2</v>
      </c>
      <c r="C73" s="313">
        <f t="shared" si="5"/>
        <v>11</v>
      </c>
      <c r="D73" s="313">
        <f t="shared" si="6"/>
        <v>2</v>
      </c>
      <c r="E73" s="313">
        <f t="shared" si="7"/>
        <v>13</v>
      </c>
      <c r="F73" s="313" t="str">
        <f t="shared" si="8"/>
        <v>pm</v>
      </c>
      <c r="G73" s="313" t="s">
        <v>656</v>
      </c>
      <c r="H73" s="313" t="s">
        <v>559</v>
      </c>
      <c r="I73" s="313" t="s">
        <v>657</v>
      </c>
      <c r="K73" s="314">
        <f t="shared" si="9"/>
        <v>1981.8462673264924</v>
      </c>
      <c r="M73" s="314">
        <v>2000</v>
      </c>
      <c r="R73" s="313" t="str">
        <f>IF(AND((J73="This"),(L73="Only")),VLOOKUP(G73,#REF!,7,FALSE),"")</f>
        <v/>
      </c>
      <c r="S73" s="313">
        <v>1981.8462673264924</v>
      </c>
    </row>
    <row r="74" spans="1:23" x14ac:dyDescent="0.25">
      <c r="A74" s="313">
        <v>2</v>
      </c>
      <c r="C74" s="313">
        <f t="shared" si="5"/>
        <v>12</v>
      </c>
      <c r="D74" s="313">
        <f t="shared" si="6"/>
        <v>2</v>
      </c>
      <c r="E74" s="313">
        <f t="shared" si="7"/>
        <v>13</v>
      </c>
      <c r="F74" s="313" t="str">
        <f t="shared" si="8"/>
        <v>pm</v>
      </c>
      <c r="G74" s="313" t="s">
        <v>658</v>
      </c>
      <c r="H74" s="313" t="s">
        <v>559</v>
      </c>
      <c r="I74" s="313" t="s">
        <v>659</v>
      </c>
      <c r="K74" s="314">
        <f t="shared" si="9"/>
        <v>2007.9837421737384</v>
      </c>
      <c r="M74" s="314">
        <v>2000</v>
      </c>
      <c r="R74" s="313" t="str">
        <f>IF(AND((J74="This"),(L74="Only")),VLOOKUP(G74,#REF!,7,FALSE),"")</f>
        <v/>
      </c>
      <c r="W74" s="313">
        <v>2007.9837421737384</v>
      </c>
    </row>
    <row r="75" spans="1:23" x14ac:dyDescent="0.25">
      <c r="A75" s="313">
        <v>3</v>
      </c>
      <c r="C75" s="313">
        <f t="shared" si="5"/>
        <v>13</v>
      </c>
      <c r="D75" s="313">
        <f t="shared" si="6"/>
        <v>2</v>
      </c>
      <c r="E75" s="313">
        <f t="shared" si="7"/>
        <v>13</v>
      </c>
      <c r="F75" s="313" t="str">
        <f t="shared" si="8"/>
        <v>pm</v>
      </c>
      <c r="G75" s="313" t="s">
        <v>660</v>
      </c>
      <c r="H75" s="313" t="s">
        <v>505</v>
      </c>
      <c r="I75" s="313" t="s">
        <v>661</v>
      </c>
      <c r="K75" s="314">
        <f t="shared" si="9"/>
        <v>1852.6607629227449</v>
      </c>
      <c r="M75" s="314">
        <v>2000</v>
      </c>
      <c r="P75" s="313">
        <v>1982.4597396585023</v>
      </c>
      <c r="R75" s="313" t="str">
        <f>IF(AND((J75="This"),(L75="Only")),VLOOKUP(G75,#REF!,7,FALSE),"")</f>
        <v/>
      </c>
      <c r="S75" s="313">
        <v>1890.178619221768</v>
      </c>
      <c r="W75" s="313">
        <v>1852.6607629227449</v>
      </c>
    </row>
    <row r="76" spans="1:23" x14ac:dyDescent="0.25">
      <c r="A76" s="313">
        <v>3</v>
      </c>
      <c r="C76" s="313">
        <f t="shared" si="5"/>
        <v>14</v>
      </c>
      <c r="D76" s="313">
        <f t="shared" si="6"/>
        <v>2</v>
      </c>
      <c r="E76" s="313">
        <f t="shared" si="7"/>
        <v>13</v>
      </c>
      <c r="F76" s="313" t="str">
        <f t="shared" si="8"/>
        <v>pm</v>
      </c>
      <c r="G76" s="313" t="s">
        <v>662</v>
      </c>
      <c r="H76" s="313" t="s">
        <v>505</v>
      </c>
      <c r="I76" s="313" t="s">
        <v>663</v>
      </c>
      <c r="K76" s="314">
        <f t="shared" si="9"/>
        <v>1832.1637689168383</v>
      </c>
      <c r="M76" s="314">
        <v>2000</v>
      </c>
      <c r="P76" s="313">
        <v>1955.7555748936616</v>
      </c>
      <c r="R76" s="313" t="str">
        <f>IF(AND((J76="This"),(L76="Only")),VLOOKUP(G76,#REF!,7,FALSE),"")</f>
        <v/>
      </c>
      <c r="S76" s="313">
        <v>1903.1806533714757</v>
      </c>
      <c r="W76" s="313">
        <v>1832.1637689168383</v>
      </c>
    </row>
    <row r="77" spans="1:23" x14ac:dyDescent="0.25">
      <c r="A77" s="313">
        <v>1</v>
      </c>
      <c r="C77" s="313">
        <f t="shared" si="5"/>
        <v>15</v>
      </c>
      <c r="D77" s="313">
        <f t="shared" si="6"/>
        <v>2</v>
      </c>
      <c r="E77" s="313">
        <f t="shared" si="7"/>
        <v>13</v>
      </c>
      <c r="F77" s="313" t="str">
        <f t="shared" si="8"/>
        <v>odx</v>
      </c>
      <c r="G77" s="313" t="s">
        <v>664</v>
      </c>
      <c r="H77" s="313" t="s">
        <v>665</v>
      </c>
      <c r="I77" s="313" t="s">
        <v>666</v>
      </c>
      <c r="K77" s="314">
        <f t="shared" si="9"/>
        <v>1968.9126868555159</v>
      </c>
      <c r="M77" s="314">
        <v>2000</v>
      </c>
      <c r="R77" s="313" t="str">
        <f>IF(AND((J77="This"),(L77="Only")),VLOOKUP(G77,#REF!,7,FALSE),"")</f>
        <v/>
      </c>
      <c r="U77" s="313">
        <v>1968.9126868555159</v>
      </c>
    </row>
    <row r="78" spans="1:23" x14ac:dyDescent="0.25">
      <c r="A78" s="313">
        <v>2</v>
      </c>
      <c r="C78" s="313">
        <f t="shared" si="5"/>
        <v>16</v>
      </c>
      <c r="D78" s="313">
        <f t="shared" si="6"/>
        <v>2</v>
      </c>
      <c r="E78" s="313">
        <f t="shared" si="7"/>
        <v>13</v>
      </c>
      <c r="F78" s="313" t="str">
        <f t="shared" si="8"/>
        <v>pm</v>
      </c>
      <c r="G78" s="313" t="s">
        <v>667</v>
      </c>
      <c r="H78" s="313" t="s">
        <v>201</v>
      </c>
      <c r="I78" s="313" t="s">
        <v>668</v>
      </c>
      <c r="K78" s="314">
        <f t="shared" si="9"/>
        <v>2048.3591129165875</v>
      </c>
      <c r="M78" s="314">
        <v>2000</v>
      </c>
      <c r="R78" s="313" t="str">
        <f>IF(AND((J78="This"),(L78="Only")),VLOOKUP(G78,#REF!,7,FALSE),"")</f>
        <v/>
      </c>
      <c r="U78" s="313">
        <v>1993.5078969377387</v>
      </c>
      <c r="W78" s="313">
        <v>2048.3591129165875</v>
      </c>
    </row>
    <row r="79" spans="1:23" x14ac:dyDescent="0.25">
      <c r="A79" s="313">
        <v>1</v>
      </c>
      <c r="C79" s="313">
        <f t="shared" si="5"/>
        <v>17</v>
      </c>
      <c r="D79" s="313">
        <f t="shared" si="6"/>
        <v>2</v>
      </c>
      <c r="E79" s="313">
        <f t="shared" si="7"/>
        <v>13</v>
      </c>
      <c r="F79" s="313" t="str">
        <f t="shared" si="8"/>
        <v>crx</v>
      </c>
      <c r="G79" s="313" t="s">
        <v>669</v>
      </c>
      <c r="H79" s="313" t="s">
        <v>670</v>
      </c>
      <c r="I79" s="313" t="s">
        <v>671</v>
      </c>
      <c r="K79" s="314">
        <f t="shared" si="9"/>
        <v>1965.1680982309992</v>
      </c>
      <c r="M79" s="314">
        <v>2000</v>
      </c>
      <c r="R79" s="313" t="str">
        <f>IF(AND((J79="This"),(L79="Only")),VLOOKUP(G79,#REF!,7,FALSE),"")</f>
        <v/>
      </c>
      <c r="U79" s="313">
        <v>1965.1680982309992</v>
      </c>
    </row>
    <row r="80" spans="1:23" x14ac:dyDescent="0.25">
      <c r="A80" s="313">
        <v>1</v>
      </c>
      <c r="C80" s="313">
        <f t="shared" si="5"/>
        <v>18</v>
      </c>
      <c r="D80" s="313">
        <f t="shared" si="6"/>
        <v>2</v>
      </c>
      <c r="E80" s="313">
        <f t="shared" si="7"/>
        <v>13</v>
      </c>
      <c r="F80" s="313" t="str">
        <f t="shared" si="8"/>
        <v>crx</v>
      </c>
      <c r="G80" s="313" t="s">
        <v>672</v>
      </c>
      <c r="H80" s="313" t="s">
        <v>604</v>
      </c>
      <c r="I80" s="313" t="s">
        <v>673</v>
      </c>
      <c r="K80" s="314">
        <f t="shared" si="9"/>
        <v>1940.6695289847978</v>
      </c>
      <c r="M80" s="314">
        <v>2000</v>
      </c>
      <c r="P80" s="313">
        <v>1940.6695289847978</v>
      </c>
      <c r="R80" s="313" t="str">
        <f>IF(AND((J80="This"),(L80="Only")),VLOOKUP(G80,#REF!,7,FALSE),"")</f>
        <v/>
      </c>
    </row>
    <row r="81" spans="1:23" x14ac:dyDescent="0.25">
      <c r="A81" s="313">
        <v>1</v>
      </c>
      <c r="C81" s="313">
        <f t="shared" si="5"/>
        <v>19</v>
      </c>
      <c r="D81" s="313">
        <f t="shared" si="6"/>
        <v>2</v>
      </c>
      <c r="E81" s="313">
        <f t="shared" si="7"/>
        <v>13</v>
      </c>
      <c r="F81" s="313" t="str">
        <f t="shared" si="8"/>
        <v>pmx</v>
      </c>
      <c r="G81" s="313" t="s">
        <v>674</v>
      </c>
      <c r="H81" s="313" t="s">
        <v>570</v>
      </c>
      <c r="I81" s="313" t="s">
        <v>675</v>
      </c>
      <c r="K81" s="314">
        <f t="shared" si="9"/>
        <v>2000</v>
      </c>
      <c r="M81" s="314">
        <v>2000</v>
      </c>
      <c r="R81" s="313" t="str">
        <f>IF(AND((J81="This"),(L81="Only")),VLOOKUP(G81,#REF!,7,FALSE),"")</f>
        <v/>
      </c>
    </row>
    <row r="82" spans="1:23" x14ac:dyDescent="0.25">
      <c r="A82" s="313">
        <v>1</v>
      </c>
      <c r="C82" s="313">
        <f t="shared" si="5"/>
        <v>20</v>
      </c>
      <c r="D82" s="313">
        <f t="shared" si="6"/>
        <v>2</v>
      </c>
      <c r="E82" s="313">
        <f t="shared" si="7"/>
        <v>13</v>
      </c>
      <c r="F82" s="313" t="str">
        <f t="shared" si="8"/>
        <v>pmx</v>
      </c>
      <c r="G82" s="313" t="s">
        <v>676</v>
      </c>
      <c r="H82" s="313" t="s">
        <v>570</v>
      </c>
      <c r="I82" s="313" t="s">
        <v>677</v>
      </c>
      <c r="K82" s="314">
        <f t="shared" si="9"/>
        <v>2000</v>
      </c>
      <c r="M82" s="314">
        <v>2000</v>
      </c>
      <c r="R82" s="313" t="str">
        <f>IF(AND((J82="This"),(L82="Only")),VLOOKUP(G82,#REF!,7,FALSE),"")</f>
        <v/>
      </c>
    </row>
    <row r="83" spans="1:23" x14ac:dyDescent="0.25">
      <c r="A83" s="313">
        <v>1</v>
      </c>
      <c r="C83" s="313">
        <f t="shared" si="5"/>
        <v>21</v>
      </c>
      <c r="D83" s="313">
        <f t="shared" si="6"/>
        <v>2</v>
      </c>
      <c r="E83" s="313">
        <f t="shared" si="7"/>
        <v>13</v>
      </c>
      <c r="F83" s="313" t="str">
        <f t="shared" si="8"/>
        <v>pmx</v>
      </c>
      <c r="G83" s="313" t="s">
        <v>678</v>
      </c>
      <c r="H83" s="313" t="s">
        <v>570</v>
      </c>
      <c r="I83" s="313" t="s">
        <v>679</v>
      </c>
      <c r="K83" s="314">
        <f t="shared" si="9"/>
        <v>2000</v>
      </c>
      <c r="M83" s="314">
        <v>2000</v>
      </c>
      <c r="R83" s="313" t="str">
        <f>IF(AND((J83="This"),(L83="Only")),VLOOKUP(G83,#REF!,7,FALSE),"")</f>
        <v/>
      </c>
    </row>
    <row r="84" spans="1:23" x14ac:dyDescent="0.25">
      <c r="A84" s="313">
        <v>1</v>
      </c>
      <c r="C84" s="313">
        <f t="shared" si="5"/>
        <v>22</v>
      </c>
      <c r="D84" s="313">
        <f t="shared" si="6"/>
        <v>2</v>
      </c>
      <c r="E84" s="313">
        <f t="shared" si="7"/>
        <v>13</v>
      </c>
      <c r="F84" s="313" t="str">
        <f t="shared" si="8"/>
        <v>pmx</v>
      </c>
      <c r="G84" s="313" t="s">
        <v>680</v>
      </c>
      <c r="H84" s="313" t="s">
        <v>570</v>
      </c>
      <c r="I84" s="313" t="s">
        <v>681</v>
      </c>
      <c r="K84" s="314">
        <f t="shared" si="9"/>
        <v>2000</v>
      </c>
      <c r="M84" s="314">
        <v>2000</v>
      </c>
      <c r="R84" s="313" t="str">
        <f>IF(AND((J84="This"),(L84="Only")),VLOOKUP(G84,#REF!,7,FALSE),"")</f>
        <v/>
      </c>
    </row>
    <row r="85" spans="1:23" x14ac:dyDescent="0.25">
      <c r="A85" s="313">
        <v>3</v>
      </c>
      <c r="C85" s="313">
        <f t="shared" si="5"/>
        <v>23</v>
      </c>
      <c r="D85" s="313">
        <f t="shared" si="6"/>
        <v>2</v>
      </c>
      <c r="E85" s="313">
        <f t="shared" si="7"/>
        <v>13</v>
      </c>
      <c r="F85" s="313" t="str">
        <f t="shared" si="8"/>
        <v>pm</v>
      </c>
      <c r="G85" s="313" t="s">
        <v>682</v>
      </c>
      <c r="H85" s="313" t="s">
        <v>494</v>
      </c>
      <c r="I85" s="313" t="s">
        <v>683</v>
      </c>
      <c r="K85" s="314">
        <f t="shared" si="9"/>
        <v>2221.8453806431626</v>
      </c>
      <c r="M85" s="314">
        <v>2000</v>
      </c>
      <c r="P85" s="313">
        <v>2108.9668891287279</v>
      </c>
      <c r="R85" s="313" t="str">
        <f>IF(AND((J85="This"),(L85="Only")),VLOOKUP(G85,#REF!,7,FALSE),"")</f>
        <v/>
      </c>
      <c r="W85" s="313">
        <v>2221.8453806431626</v>
      </c>
    </row>
    <row r="86" spans="1:23" x14ac:dyDescent="0.25">
      <c r="A86" s="313">
        <v>4</v>
      </c>
      <c r="C86" s="313">
        <f t="shared" si="5"/>
        <v>24</v>
      </c>
      <c r="D86" s="313">
        <f t="shared" si="6"/>
        <v>24</v>
      </c>
      <c r="E86" s="313">
        <f t="shared" si="7"/>
        <v>13</v>
      </c>
      <c r="F86" s="313" t="str">
        <f t="shared" si="8"/>
        <v>pm</v>
      </c>
      <c r="G86" s="313" t="s">
        <v>684</v>
      </c>
      <c r="H86" s="313" t="s">
        <v>281</v>
      </c>
      <c r="I86" s="313" t="s">
        <v>685</v>
      </c>
      <c r="K86" s="314">
        <f t="shared" si="9"/>
        <v>1966.4775519220375</v>
      </c>
      <c r="M86" s="314">
        <v>1950</v>
      </c>
      <c r="R86" s="313" t="str">
        <f>IF(AND((J86="This"),(L86="Only")),VLOOKUP(G86,#REF!,7,FALSE),"")</f>
        <v/>
      </c>
      <c r="S86" s="313">
        <v>2043.9635883050619</v>
      </c>
      <c r="W86" s="313">
        <v>1966.4775519220375</v>
      </c>
    </row>
    <row r="87" spans="1:23" x14ac:dyDescent="0.25">
      <c r="A87" s="313">
        <v>5</v>
      </c>
      <c r="C87" s="313">
        <f t="shared" si="5"/>
        <v>25</v>
      </c>
      <c r="D87" s="313">
        <f t="shared" si="6"/>
        <v>25</v>
      </c>
      <c r="E87" s="313">
        <f t="shared" si="7"/>
        <v>13</v>
      </c>
      <c r="F87" s="313" t="str">
        <f t="shared" si="8"/>
        <v>pm</v>
      </c>
      <c r="G87" s="313" t="s">
        <v>302</v>
      </c>
      <c r="H87" s="313" t="s">
        <v>281</v>
      </c>
      <c r="I87" s="313" t="s">
        <v>686</v>
      </c>
      <c r="K87" s="314">
        <f t="shared" si="9"/>
        <v>1699.5013431577072</v>
      </c>
      <c r="M87" s="314">
        <v>1920</v>
      </c>
      <c r="P87" s="313">
        <v>1850.7216154182379</v>
      </c>
      <c r="R87" s="313" t="str">
        <f>IF(AND((J87="This"),(L87="Only")),VLOOKUP(G87,#REF!,7,FALSE),"")</f>
        <v/>
      </c>
      <c r="S87" s="313">
        <v>1725.6641033884546</v>
      </c>
      <c r="W87" s="313">
        <v>1699.5013431577072</v>
      </c>
    </row>
    <row r="88" spans="1:23" x14ac:dyDescent="0.25">
      <c r="A88" s="313">
        <v>3</v>
      </c>
      <c r="C88" s="313">
        <f t="shared" si="5"/>
        <v>26</v>
      </c>
      <c r="D88" s="313">
        <f t="shared" si="6"/>
        <v>26</v>
      </c>
      <c r="E88" s="313">
        <f t="shared" si="7"/>
        <v>13</v>
      </c>
      <c r="F88" s="313" t="str">
        <f t="shared" si="8"/>
        <v>pm</v>
      </c>
      <c r="G88" s="313" t="s">
        <v>687</v>
      </c>
      <c r="H88" s="313" t="s">
        <v>688</v>
      </c>
      <c r="I88" s="313" t="s">
        <v>688</v>
      </c>
      <c r="K88" s="314">
        <f t="shared" si="9"/>
        <v>1853.6534291311473</v>
      </c>
      <c r="M88" s="314">
        <v>1800</v>
      </c>
      <c r="O88" s="313">
        <v>1834.3577946522198</v>
      </c>
      <c r="R88" s="313" t="str">
        <f>IF(AND((J88="This"),(L88="Only")),VLOOKUP(G88,#REF!,7,FALSE),"")</f>
        <v/>
      </c>
      <c r="S88" s="313">
        <v>1820.8676337248239</v>
      </c>
      <c r="V88" s="313">
        <v>1853.6534291311473</v>
      </c>
    </row>
    <row r="89" spans="1:23" x14ac:dyDescent="0.25">
      <c r="A89" s="313">
        <v>1</v>
      </c>
      <c r="C89" s="313">
        <f t="shared" si="5"/>
        <v>27</v>
      </c>
      <c r="D89" s="313">
        <f t="shared" si="6"/>
        <v>26</v>
      </c>
      <c r="E89" s="313">
        <f t="shared" si="7"/>
        <v>13</v>
      </c>
      <c r="F89" s="313" t="str">
        <f t="shared" si="8"/>
        <v>crx</v>
      </c>
      <c r="G89" s="313" t="s">
        <v>689</v>
      </c>
      <c r="H89" s="313" t="s">
        <v>690</v>
      </c>
      <c r="I89" s="313" t="s">
        <v>691</v>
      </c>
      <c r="K89" s="314">
        <f t="shared" si="9"/>
        <v>1860.0180291254051</v>
      </c>
      <c r="M89" s="314">
        <v>1800</v>
      </c>
      <c r="O89" s="313">
        <v>1860.0180291254051</v>
      </c>
      <c r="R89" s="313" t="str">
        <f>IF(AND((J89="This"),(L89="Only")),VLOOKUP(G89,#REF!,7,FALSE),"")</f>
        <v/>
      </c>
    </row>
    <row r="90" spans="1:23" x14ac:dyDescent="0.25">
      <c r="A90" s="313">
        <v>5</v>
      </c>
      <c r="C90" s="313">
        <f t="shared" si="5"/>
        <v>28</v>
      </c>
      <c r="D90" s="313">
        <f t="shared" si="6"/>
        <v>28</v>
      </c>
      <c r="E90" s="313">
        <f t="shared" si="7"/>
        <v>13</v>
      </c>
      <c r="F90" s="313" t="str">
        <f t="shared" si="8"/>
        <v>pm</v>
      </c>
      <c r="G90" s="313" t="s">
        <v>218</v>
      </c>
      <c r="H90" s="313" t="s">
        <v>219</v>
      </c>
      <c r="I90" s="313" t="s">
        <v>377</v>
      </c>
      <c r="K90" s="314">
        <f t="shared" si="9"/>
        <v>1879.4957453076413</v>
      </c>
      <c r="M90" s="314">
        <v>1760</v>
      </c>
      <c r="O90" s="313">
        <v>1754.0671620760272</v>
      </c>
      <c r="R90" s="313" t="str">
        <f>IF(AND((J90="This"),(L90="Only")),VLOOKUP(G90,#REF!,7,FALSE),"")</f>
        <v/>
      </c>
      <c r="S90" s="313">
        <v>1795.4888670336384</v>
      </c>
      <c r="W90" s="313">
        <v>1879.4957453076413</v>
      </c>
    </row>
    <row r="91" spans="1:23" x14ac:dyDescent="0.25">
      <c r="A91" s="313">
        <v>3</v>
      </c>
      <c r="C91" s="313">
        <f t="shared" si="5"/>
        <v>29</v>
      </c>
      <c r="D91" s="313">
        <f t="shared" si="6"/>
        <v>29</v>
      </c>
      <c r="E91" s="313">
        <f t="shared" si="7"/>
        <v>13</v>
      </c>
      <c r="F91" s="313" t="str">
        <f t="shared" si="8"/>
        <v>pm</v>
      </c>
      <c r="G91" s="313" t="s">
        <v>304</v>
      </c>
      <c r="H91" s="313" t="s">
        <v>213</v>
      </c>
      <c r="I91" s="313" t="s">
        <v>303</v>
      </c>
      <c r="K91" s="314">
        <f t="shared" si="9"/>
        <v>1855.4692952764783</v>
      </c>
      <c r="M91" s="314">
        <v>1733.3333333333333</v>
      </c>
      <c r="O91" s="313">
        <v>1800.3799320591111</v>
      </c>
      <c r="R91" s="313" t="str">
        <f>IF(AND((J91="This"),(L91="Only")),VLOOKUP(G91,#REF!,7,FALSE),"")</f>
        <v/>
      </c>
      <c r="W91" s="313">
        <v>1855.4692952764783</v>
      </c>
    </row>
    <row r="92" spans="1:23" x14ac:dyDescent="0.25">
      <c r="A92" s="313">
        <v>3</v>
      </c>
      <c r="C92" s="313">
        <f t="shared" si="5"/>
        <v>30</v>
      </c>
      <c r="D92" s="313">
        <f t="shared" si="6"/>
        <v>29</v>
      </c>
      <c r="E92" s="313">
        <f t="shared" si="7"/>
        <v>13</v>
      </c>
      <c r="F92" s="313" t="str">
        <f t="shared" si="8"/>
        <v>pm</v>
      </c>
      <c r="G92" s="313" t="s">
        <v>692</v>
      </c>
      <c r="H92" s="313" t="s">
        <v>559</v>
      </c>
      <c r="I92" s="313" t="s">
        <v>693</v>
      </c>
      <c r="K92" s="314">
        <f t="shared" si="9"/>
        <v>1767.6030214270597</v>
      </c>
      <c r="M92" s="314">
        <v>1733.3333333333333</v>
      </c>
      <c r="R92" s="313" t="str">
        <f>IF(AND((J92="This"),(L92="Only")),VLOOKUP(G92,#REF!,7,FALSE),"")</f>
        <v/>
      </c>
      <c r="S92" s="313">
        <v>1767.6030214270597</v>
      </c>
    </row>
    <row r="93" spans="1:23" x14ac:dyDescent="0.25">
      <c r="A93" s="313">
        <v>5</v>
      </c>
      <c r="C93" s="313">
        <f t="shared" si="5"/>
        <v>31</v>
      </c>
      <c r="D93" s="313">
        <f t="shared" si="6"/>
        <v>31</v>
      </c>
      <c r="E93" s="313">
        <f t="shared" si="7"/>
        <v>13</v>
      </c>
      <c r="F93" s="313" t="str">
        <f t="shared" si="8"/>
        <v>pm</v>
      </c>
      <c r="G93" s="313" t="s">
        <v>509</v>
      </c>
      <c r="H93" s="313" t="s">
        <v>510</v>
      </c>
      <c r="I93" s="313" t="s">
        <v>508</v>
      </c>
      <c r="K93" s="314">
        <f t="shared" si="9"/>
        <v>1868.4106312164884</v>
      </c>
      <c r="M93" s="314">
        <v>1680</v>
      </c>
      <c r="O93" s="313">
        <v>1727.4141373732955</v>
      </c>
      <c r="R93" s="313" t="str">
        <f>IF(AND((J93="This"),(L93="Only")),VLOOKUP(G93,#REF!,7,FALSE),"")</f>
        <v/>
      </c>
      <c r="S93" s="313">
        <v>1802.3707013759865</v>
      </c>
      <c r="U93" s="313">
        <v>1818.9402748303323</v>
      </c>
      <c r="V93" s="313">
        <v>1868.4106312164884</v>
      </c>
    </row>
    <row r="94" spans="1:23" x14ac:dyDescent="0.25">
      <c r="A94" s="313">
        <v>5</v>
      </c>
      <c r="C94" s="313">
        <f t="shared" si="5"/>
        <v>32</v>
      </c>
      <c r="D94" s="313">
        <f t="shared" si="6"/>
        <v>31</v>
      </c>
      <c r="E94" s="313">
        <f t="shared" si="7"/>
        <v>13</v>
      </c>
      <c r="F94" s="313" t="str">
        <f t="shared" si="8"/>
        <v>pm</v>
      </c>
      <c r="G94" s="313" t="s">
        <v>512</v>
      </c>
      <c r="H94" s="313" t="s">
        <v>510</v>
      </c>
      <c r="I94" s="313" t="s">
        <v>511</v>
      </c>
      <c r="K94" s="314">
        <f t="shared" si="9"/>
        <v>1532.3959580712301</v>
      </c>
      <c r="M94" s="314">
        <v>1680</v>
      </c>
      <c r="O94" s="313">
        <v>1638.9266878949168</v>
      </c>
      <c r="R94" s="313" t="str">
        <f>IF(AND((J94="This"),(L94="Only")),VLOOKUP(G94,#REF!,7,FALSE),"")</f>
        <v/>
      </c>
      <c r="S94" s="313">
        <v>1615.8472257401343</v>
      </c>
      <c r="V94" s="313">
        <v>1532.3959580712301</v>
      </c>
    </row>
    <row r="95" spans="1:23" x14ac:dyDescent="0.25">
      <c r="A95" s="313">
        <v>2</v>
      </c>
      <c r="C95" s="313">
        <f t="shared" si="5"/>
        <v>33</v>
      </c>
      <c r="D95" s="313">
        <f t="shared" si="6"/>
        <v>33</v>
      </c>
      <c r="E95" s="313">
        <f t="shared" si="7"/>
        <v>13</v>
      </c>
      <c r="F95" s="313" t="str">
        <f t="shared" si="8"/>
        <v>cr</v>
      </c>
      <c r="G95" s="313" t="s">
        <v>255</v>
      </c>
      <c r="H95" s="313" t="s">
        <v>209</v>
      </c>
      <c r="I95" s="313" t="s">
        <v>179</v>
      </c>
      <c r="K95" s="314">
        <f t="shared" si="9"/>
        <v>1600</v>
      </c>
      <c r="M95" s="314">
        <v>1600</v>
      </c>
      <c r="R95" s="313" t="str">
        <f>IF(AND((J95="This"),(L95="Only")),VLOOKUP(G95,#REF!,7,FALSE),"")</f>
        <v/>
      </c>
    </row>
    <row r="96" spans="1:23" x14ac:dyDescent="0.25">
      <c r="A96" s="313">
        <v>3</v>
      </c>
      <c r="C96" s="313">
        <f t="shared" si="5"/>
        <v>34</v>
      </c>
      <c r="D96" s="313">
        <f t="shared" si="6"/>
        <v>33</v>
      </c>
      <c r="E96" s="313">
        <f t="shared" si="7"/>
        <v>13</v>
      </c>
      <c r="F96" s="313" t="str">
        <f t="shared" si="8"/>
        <v>cr</v>
      </c>
      <c r="G96" s="313" t="s">
        <v>221</v>
      </c>
      <c r="H96" s="313" t="s">
        <v>209</v>
      </c>
      <c r="I96" s="313" t="s">
        <v>181</v>
      </c>
      <c r="K96" s="314">
        <f t="shared" si="9"/>
        <v>1637.3083549280275</v>
      </c>
      <c r="M96" s="314">
        <v>1600</v>
      </c>
      <c r="R96" s="313" t="str">
        <f>IF(AND((J96="This"),(L96="Only")),VLOOKUP(G96,#REF!,7,FALSE),"")</f>
        <v/>
      </c>
      <c r="S96" s="313">
        <v>1637.3083549280275</v>
      </c>
    </row>
    <row r="97" spans="1:22" x14ac:dyDescent="0.25">
      <c r="A97" s="313">
        <v>1</v>
      </c>
      <c r="C97" s="313">
        <f t="shared" si="5"/>
        <v>35</v>
      </c>
      <c r="D97" s="313">
        <f t="shared" si="6"/>
        <v>33</v>
      </c>
      <c r="E97" s="313">
        <f t="shared" si="7"/>
        <v>13</v>
      </c>
      <c r="F97" s="313" t="str">
        <f t="shared" si="8"/>
        <v>crx</v>
      </c>
      <c r="G97" s="313" t="s">
        <v>694</v>
      </c>
      <c r="H97" s="313" t="s">
        <v>209</v>
      </c>
      <c r="I97" s="313" t="s">
        <v>695</v>
      </c>
      <c r="K97" s="314">
        <f t="shared" si="9"/>
        <v>1523.7931400751718</v>
      </c>
      <c r="M97" s="314">
        <v>1600</v>
      </c>
      <c r="R97" s="313" t="str">
        <f>IF(AND((J97="This"),(L97="Only")),VLOOKUP(G97,#REF!,7,FALSE),"")</f>
        <v/>
      </c>
      <c r="S97" s="313">
        <v>1523.7931400751718</v>
      </c>
    </row>
    <row r="98" spans="1:22" x14ac:dyDescent="0.25">
      <c r="A98" s="313">
        <v>5</v>
      </c>
      <c r="C98" s="313">
        <f t="shared" si="5"/>
        <v>36</v>
      </c>
      <c r="D98" s="313">
        <f t="shared" si="6"/>
        <v>33</v>
      </c>
      <c r="E98" s="313">
        <f t="shared" si="7"/>
        <v>13</v>
      </c>
      <c r="F98" s="313" t="str">
        <f t="shared" si="8"/>
        <v>pm</v>
      </c>
      <c r="G98" s="313" t="s">
        <v>696</v>
      </c>
      <c r="H98" s="313" t="s">
        <v>697</v>
      </c>
      <c r="I98" s="313" t="s">
        <v>698</v>
      </c>
      <c r="K98" s="314">
        <f t="shared" si="9"/>
        <v>1467.8957556218759</v>
      </c>
      <c r="M98" s="314">
        <v>1600</v>
      </c>
      <c r="O98" s="313">
        <v>1543.1379599637289</v>
      </c>
      <c r="R98" s="313" t="str">
        <f>IF(AND((J98="This"),(L98="Only")),VLOOKUP(G98,#REF!,7,FALSE),"")</f>
        <v/>
      </c>
      <c r="T98" s="313">
        <v>1458.4555688261864</v>
      </c>
      <c r="V98" s="313">
        <v>1467.8957556218759</v>
      </c>
    </row>
    <row r="99" spans="1:22" x14ac:dyDescent="0.25">
      <c r="A99" s="313">
        <v>4</v>
      </c>
      <c r="C99" s="313">
        <f t="shared" si="5"/>
        <v>37</v>
      </c>
      <c r="D99" s="313">
        <f t="shared" si="6"/>
        <v>33</v>
      </c>
      <c r="E99" s="313">
        <f t="shared" si="7"/>
        <v>13</v>
      </c>
      <c r="F99" s="313" t="str">
        <f t="shared" si="8"/>
        <v>pm</v>
      </c>
      <c r="G99" s="313" t="s">
        <v>306</v>
      </c>
      <c r="H99" s="313" t="s">
        <v>213</v>
      </c>
      <c r="I99" s="313" t="s">
        <v>305</v>
      </c>
      <c r="K99" s="314">
        <f t="shared" si="9"/>
        <v>1605.5410773854333</v>
      </c>
      <c r="M99" s="314">
        <v>1600</v>
      </c>
      <c r="O99" s="313">
        <v>1510.6135428350065</v>
      </c>
      <c r="R99" s="313" t="str">
        <f>IF(AND((J99="This"),(L99="Only")),VLOOKUP(G99,#REF!,7,FALSE),"")</f>
        <v/>
      </c>
      <c r="V99" s="313">
        <v>1605.5410773854333</v>
      </c>
    </row>
    <row r="100" spans="1:22" x14ac:dyDescent="0.25">
      <c r="A100" s="313">
        <v>3</v>
      </c>
      <c r="C100" s="313">
        <f t="shared" si="5"/>
        <v>38</v>
      </c>
      <c r="D100" s="313">
        <f t="shared" si="6"/>
        <v>33</v>
      </c>
      <c r="E100" s="313">
        <f t="shared" si="7"/>
        <v>13</v>
      </c>
      <c r="F100" s="313" t="str">
        <f t="shared" si="8"/>
        <v>pm</v>
      </c>
      <c r="G100" s="313" t="s">
        <v>232</v>
      </c>
      <c r="H100" s="313" t="s">
        <v>207</v>
      </c>
      <c r="I100" s="313" t="s">
        <v>486</v>
      </c>
      <c r="K100" s="314">
        <f t="shared" si="9"/>
        <v>1718.3151948204377</v>
      </c>
      <c r="M100" s="314">
        <v>1600</v>
      </c>
      <c r="O100" s="313">
        <v>1640.5992668477998</v>
      </c>
      <c r="R100" s="313" t="str">
        <f>IF(AND((J100="This"),(L100="Only")),VLOOKUP(G100,#REF!,7,FALSE),"")</f>
        <v/>
      </c>
      <c r="S100" s="313">
        <v>1718.3151948204377</v>
      </c>
    </row>
    <row r="101" spans="1:22" x14ac:dyDescent="0.25">
      <c r="A101" s="313">
        <v>3</v>
      </c>
      <c r="C101" s="313">
        <f t="shared" si="5"/>
        <v>39</v>
      </c>
      <c r="D101" s="313">
        <f t="shared" si="6"/>
        <v>33</v>
      </c>
      <c r="E101" s="313">
        <f t="shared" si="7"/>
        <v>13</v>
      </c>
      <c r="F101" s="313" t="str">
        <f t="shared" si="8"/>
        <v>pm</v>
      </c>
      <c r="G101" s="313" t="s">
        <v>245</v>
      </c>
      <c r="H101" s="313" t="s">
        <v>207</v>
      </c>
      <c r="I101" s="313" t="s">
        <v>300</v>
      </c>
      <c r="K101" s="314">
        <f t="shared" si="9"/>
        <v>1592.2302498222155</v>
      </c>
      <c r="M101" s="314">
        <v>1600</v>
      </c>
      <c r="R101" s="313" t="str">
        <f>IF(AND((J101="This"),(L101="Only")),VLOOKUP(G101,#REF!,7,FALSE),"")</f>
        <v/>
      </c>
      <c r="S101" s="313">
        <v>1612.3030183432836</v>
      </c>
      <c r="T101" s="313">
        <v>1592.2302498222155</v>
      </c>
    </row>
    <row r="102" spans="1:22" x14ac:dyDescent="0.25">
      <c r="A102" s="313">
        <v>3</v>
      </c>
      <c r="C102" s="313">
        <f t="shared" si="5"/>
        <v>40</v>
      </c>
      <c r="D102" s="313">
        <f t="shared" si="6"/>
        <v>33</v>
      </c>
      <c r="E102" s="313">
        <f t="shared" si="7"/>
        <v>13</v>
      </c>
      <c r="F102" s="313" t="str">
        <f t="shared" si="8"/>
        <v>pm</v>
      </c>
      <c r="G102" s="313" t="s">
        <v>299</v>
      </c>
      <c r="H102" s="313" t="s">
        <v>207</v>
      </c>
      <c r="I102" s="313" t="s">
        <v>301</v>
      </c>
      <c r="K102" s="314">
        <f t="shared" si="9"/>
        <v>1559.0584600733771</v>
      </c>
      <c r="M102" s="314">
        <v>1600</v>
      </c>
      <c r="R102" s="313" t="str">
        <f>IF(AND((J102="This"),(L102="Only")),VLOOKUP(G102,#REF!,7,FALSE),"")</f>
        <v/>
      </c>
      <c r="S102" s="313">
        <v>1673.4893306775402</v>
      </c>
      <c r="T102" s="313">
        <v>1559.0584600733771</v>
      </c>
    </row>
    <row r="103" spans="1:22" x14ac:dyDescent="0.25">
      <c r="A103" s="313">
        <v>5</v>
      </c>
      <c r="C103" s="313">
        <f t="shared" si="5"/>
        <v>41</v>
      </c>
      <c r="D103" s="313">
        <f t="shared" si="6"/>
        <v>33</v>
      </c>
      <c r="E103" s="313">
        <f t="shared" si="7"/>
        <v>13</v>
      </c>
      <c r="F103" s="313" t="str">
        <f t="shared" si="8"/>
        <v>pm</v>
      </c>
      <c r="G103" s="313" t="s">
        <v>519</v>
      </c>
      <c r="H103" s="313" t="s">
        <v>286</v>
      </c>
      <c r="I103" s="313" t="s">
        <v>518</v>
      </c>
      <c r="K103" s="314">
        <f t="shared" si="9"/>
        <v>1880.9536423839288</v>
      </c>
      <c r="M103" s="314">
        <v>1600</v>
      </c>
      <c r="O103" s="313">
        <v>1728.897291095632</v>
      </c>
      <c r="R103" s="313" t="str">
        <f>IF(AND((J103="This"),(L103="Only")),VLOOKUP(G103,#REF!,7,FALSE),"")</f>
        <v/>
      </c>
      <c r="S103" s="313">
        <v>1819.6471570862507</v>
      </c>
      <c r="T103" s="313">
        <v>1880.9536423839288</v>
      </c>
    </row>
    <row r="104" spans="1:22" x14ac:dyDescent="0.25">
      <c r="A104" s="313">
        <v>6</v>
      </c>
      <c r="C104" s="313">
        <f t="shared" si="5"/>
        <v>42</v>
      </c>
      <c r="D104" s="313">
        <f t="shared" si="6"/>
        <v>33</v>
      </c>
      <c r="E104" s="313">
        <f t="shared" si="7"/>
        <v>13</v>
      </c>
      <c r="F104" s="313" t="str">
        <f t="shared" si="8"/>
        <v>pm</v>
      </c>
      <c r="G104" s="313" t="s">
        <v>203</v>
      </c>
      <c r="H104" s="313" t="s">
        <v>204</v>
      </c>
      <c r="I104" s="313" t="s">
        <v>177</v>
      </c>
      <c r="K104" s="314">
        <f t="shared" si="9"/>
        <v>1649.1598067006576</v>
      </c>
      <c r="M104" s="314">
        <v>1600</v>
      </c>
      <c r="O104" s="313">
        <v>1625.3262917022503</v>
      </c>
      <c r="R104" s="313" t="str">
        <f>IF(AND((J104="This"),(L104="Only")),VLOOKUP(G104,#REF!,7,FALSE),"")</f>
        <v/>
      </c>
      <c r="S104" s="313">
        <v>1619.5179443157126</v>
      </c>
      <c r="T104" s="313">
        <v>1693.3818306474545</v>
      </c>
      <c r="V104" s="313">
        <v>1649.1598067006576</v>
      </c>
    </row>
    <row r="105" spans="1:22" x14ac:dyDescent="0.25">
      <c r="A105" s="313">
        <v>5</v>
      </c>
      <c r="C105" s="313">
        <f t="shared" si="5"/>
        <v>43</v>
      </c>
      <c r="D105" s="313">
        <f t="shared" si="6"/>
        <v>33</v>
      </c>
      <c r="E105" s="313">
        <f t="shared" si="7"/>
        <v>13</v>
      </c>
      <c r="F105" s="313" t="str">
        <f t="shared" si="8"/>
        <v>pm</v>
      </c>
      <c r="G105" s="313" t="s">
        <v>297</v>
      </c>
      <c r="H105" s="313" t="s">
        <v>204</v>
      </c>
      <c r="I105" s="313" t="s">
        <v>296</v>
      </c>
      <c r="K105" s="314">
        <f t="shared" si="9"/>
        <v>1506.9929479813056</v>
      </c>
      <c r="M105" s="314">
        <v>1600</v>
      </c>
      <c r="R105" s="313" t="str">
        <f>IF(AND((J105="This"),(L105="Only")),VLOOKUP(G105,#REF!,7,FALSE),"")</f>
        <v/>
      </c>
      <c r="S105" s="313">
        <v>1521.1076517388424</v>
      </c>
      <c r="T105" s="313">
        <v>1577.3037892908403</v>
      </c>
      <c r="V105" s="313">
        <v>1506.9929479813056</v>
      </c>
    </row>
    <row r="106" spans="1:22" x14ac:dyDescent="0.25">
      <c r="A106" s="313">
        <v>1</v>
      </c>
      <c r="C106" s="313">
        <f t="shared" si="5"/>
        <v>44</v>
      </c>
      <c r="D106" s="313">
        <f t="shared" si="6"/>
        <v>33</v>
      </c>
      <c r="E106" s="313">
        <f t="shared" si="7"/>
        <v>13</v>
      </c>
      <c r="F106" s="313" t="str">
        <f t="shared" si="8"/>
        <v>sox</v>
      </c>
      <c r="G106" s="313" t="s">
        <v>427</v>
      </c>
      <c r="H106" s="313" t="s">
        <v>295</v>
      </c>
      <c r="I106" s="313" t="s">
        <v>308</v>
      </c>
      <c r="K106" s="314">
        <f t="shared" si="9"/>
        <v>1600</v>
      </c>
      <c r="M106" s="314">
        <v>1600</v>
      </c>
      <c r="R106" s="313" t="str">
        <f>IF(AND((J106="This"),(L106="Only")),VLOOKUP(G106,#REF!,7,FALSE),"")</f>
        <v/>
      </c>
    </row>
    <row r="107" spans="1:22" x14ac:dyDescent="0.25">
      <c r="A107" s="313">
        <v>2</v>
      </c>
      <c r="C107" s="313">
        <f t="shared" si="5"/>
        <v>45</v>
      </c>
      <c r="D107" s="313">
        <f t="shared" si="6"/>
        <v>33</v>
      </c>
      <c r="E107" s="313">
        <f t="shared" si="7"/>
        <v>13</v>
      </c>
      <c r="F107" s="313" t="str">
        <f t="shared" si="8"/>
        <v>so</v>
      </c>
      <c r="G107" s="313" t="s">
        <v>429</v>
      </c>
      <c r="H107" s="313" t="s">
        <v>295</v>
      </c>
      <c r="I107" s="313" t="s">
        <v>428</v>
      </c>
      <c r="K107" s="314">
        <f t="shared" si="9"/>
        <v>1565.2223545511395</v>
      </c>
      <c r="M107" s="314">
        <v>1600</v>
      </c>
      <c r="R107" s="313" t="str">
        <f>IF(AND((J107="This"),(L107="Only")),VLOOKUP(G107,#REF!,7,FALSE),"")</f>
        <v/>
      </c>
      <c r="S107" s="313">
        <v>1565.2223545511395</v>
      </c>
    </row>
    <row r="108" spans="1:22" x14ac:dyDescent="0.25">
      <c r="A108" s="313">
        <v>5</v>
      </c>
      <c r="C108" s="313">
        <f t="shared" si="5"/>
        <v>46</v>
      </c>
      <c r="D108" s="313">
        <f t="shared" si="6"/>
        <v>33</v>
      </c>
      <c r="E108" s="313">
        <f t="shared" si="7"/>
        <v>13</v>
      </c>
      <c r="F108" s="313" t="str">
        <f t="shared" si="8"/>
        <v>pm</v>
      </c>
      <c r="G108" s="313" t="s">
        <v>298</v>
      </c>
      <c r="H108" s="313" t="s">
        <v>199</v>
      </c>
      <c r="I108" s="313" t="s">
        <v>366</v>
      </c>
      <c r="K108" s="314">
        <f t="shared" si="9"/>
        <v>1753.5034142818647</v>
      </c>
      <c r="M108" s="314">
        <v>1600</v>
      </c>
      <c r="O108" s="313">
        <v>1605.2989833259981</v>
      </c>
      <c r="R108" s="313" t="str">
        <f>IF(AND((J108="This"),(L108="Only")),VLOOKUP(G108,#REF!,7,FALSE),"")</f>
        <v/>
      </c>
      <c r="S108" s="313">
        <v>1690.2861109118255</v>
      </c>
      <c r="V108" s="313">
        <v>1753.5034142818647</v>
      </c>
    </row>
    <row r="109" spans="1:22" x14ac:dyDescent="0.25">
      <c r="A109" s="313">
        <v>6</v>
      </c>
      <c r="C109" s="313">
        <f t="shared" si="5"/>
        <v>47</v>
      </c>
      <c r="D109" s="313">
        <f t="shared" si="6"/>
        <v>33</v>
      </c>
      <c r="E109" s="313">
        <f t="shared" si="7"/>
        <v>13</v>
      </c>
      <c r="F109" s="313" t="str">
        <f t="shared" si="8"/>
        <v>pm</v>
      </c>
      <c r="G109" s="313" t="s">
        <v>413</v>
      </c>
      <c r="H109" s="313" t="s">
        <v>411</v>
      </c>
      <c r="I109" s="313" t="s">
        <v>412</v>
      </c>
      <c r="K109" s="314">
        <f t="shared" si="9"/>
        <v>1541.5139178594579</v>
      </c>
      <c r="M109" s="314">
        <v>1600</v>
      </c>
      <c r="O109" s="313">
        <v>1508.2672187375808</v>
      </c>
      <c r="R109" s="313" t="str">
        <f>IF(AND((J109="This"),(L109="Only")),VLOOKUP(G109,#REF!,7,FALSE),"")</f>
        <v/>
      </c>
      <c r="S109" s="313">
        <v>1540.7626731767975</v>
      </c>
      <c r="T109" s="313">
        <v>1618.6634729877185</v>
      </c>
      <c r="V109" s="313">
        <v>1541.5139178594579</v>
      </c>
    </row>
    <row r="110" spans="1:22" x14ac:dyDescent="0.25">
      <c r="A110" s="313">
        <v>4</v>
      </c>
      <c r="C110" s="313">
        <f t="shared" si="5"/>
        <v>48</v>
      </c>
      <c r="D110" s="313">
        <f t="shared" si="6"/>
        <v>33</v>
      </c>
      <c r="E110" s="313">
        <f t="shared" si="7"/>
        <v>13</v>
      </c>
      <c r="F110" s="313" t="str">
        <f t="shared" si="8"/>
        <v>pm</v>
      </c>
      <c r="G110" s="313" t="s">
        <v>243</v>
      </c>
      <c r="H110" s="313" t="s">
        <v>198</v>
      </c>
      <c r="I110" s="313" t="s">
        <v>180</v>
      </c>
      <c r="K110" s="314">
        <f t="shared" si="9"/>
        <v>1677.3980559149245</v>
      </c>
      <c r="M110" s="314">
        <v>1600</v>
      </c>
      <c r="R110" s="313" t="str">
        <f>IF(AND((J110="This"),(L110="Only")),VLOOKUP(G110,#REF!,7,FALSE),"")</f>
        <v/>
      </c>
      <c r="T110" s="313">
        <v>1669.8390646286034</v>
      </c>
      <c r="V110" s="313">
        <v>1677.3980559149245</v>
      </c>
    </row>
    <row r="111" spans="1:22" x14ac:dyDescent="0.25">
      <c r="A111" s="313">
        <v>3</v>
      </c>
      <c r="C111" s="313">
        <f t="shared" si="5"/>
        <v>49</v>
      </c>
      <c r="D111" s="313">
        <f t="shared" si="6"/>
        <v>33</v>
      </c>
      <c r="E111" s="313">
        <f t="shared" si="7"/>
        <v>13</v>
      </c>
      <c r="F111" s="313" t="str">
        <f t="shared" si="8"/>
        <v>pm</v>
      </c>
      <c r="G111" s="313" t="s">
        <v>699</v>
      </c>
      <c r="H111" s="313" t="s">
        <v>700</v>
      </c>
      <c r="I111" s="313" t="s">
        <v>701</v>
      </c>
      <c r="K111" s="314">
        <f t="shared" si="9"/>
        <v>1604.6972640134418</v>
      </c>
      <c r="M111" s="314">
        <v>1600</v>
      </c>
      <c r="R111" s="313" t="str">
        <f>IF(AND((J111="This"),(L111="Only")),VLOOKUP(G111,#REF!,7,FALSE),"")</f>
        <v/>
      </c>
      <c r="T111" s="313">
        <v>1604.6972640134418</v>
      </c>
    </row>
    <row r="112" spans="1:22" x14ac:dyDescent="0.25">
      <c r="A112" s="313">
        <v>1</v>
      </c>
      <c r="C112" s="313">
        <f t="shared" si="5"/>
        <v>50</v>
      </c>
      <c r="D112" s="313">
        <f t="shared" si="6"/>
        <v>33</v>
      </c>
      <c r="E112" s="313">
        <f t="shared" si="7"/>
        <v>13</v>
      </c>
      <c r="F112" s="313" t="str">
        <f t="shared" si="8"/>
        <v>sox</v>
      </c>
      <c r="G112" s="313" t="s">
        <v>309</v>
      </c>
      <c r="H112" s="313" t="s">
        <v>229</v>
      </c>
      <c r="I112" s="313" t="s">
        <v>448</v>
      </c>
      <c r="K112" s="314">
        <f t="shared" si="9"/>
        <v>1600</v>
      </c>
      <c r="M112" s="314">
        <v>1600</v>
      </c>
      <c r="R112" s="313" t="str">
        <f>IF(AND((J112="This"),(L112="Only")),VLOOKUP(G112,#REF!,7,FALSE),"")</f>
        <v/>
      </c>
    </row>
    <row r="113" spans="1:22" x14ac:dyDescent="0.25">
      <c r="A113" s="313">
        <v>5</v>
      </c>
      <c r="C113" s="313">
        <f t="shared" si="5"/>
        <v>51</v>
      </c>
      <c r="D113" s="313">
        <f t="shared" si="6"/>
        <v>33</v>
      </c>
      <c r="E113" s="313">
        <f t="shared" si="7"/>
        <v>13</v>
      </c>
      <c r="F113" s="313" t="str">
        <f t="shared" si="8"/>
        <v>pm</v>
      </c>
      <c r="G113" s="313" t="s">
        <v>702</v>
      </c>
      <c r="H113" s="313" t="s">
        <v>235</v>
      </c>
      <c r="I113" s="313" t="s">
        <v>703</v>
      </c>
      <c r="K113" s="314">
        <f t="shared" si="9"/>
        <v>1600</v>
      </c>
      <c r="M113" s="314">
        <v>1600</v>
      </c>
      <c r="R113" s="313" t="str">
        <f>IF(AND((J113="This"),(L113="Only")),VLOOKUP(G113,#REF!,7,FALSE),"")</f>
        <v/>
      </c>
    </row>
    <row r="114" spans="1:22" x14ac:dyDescent="0.25">
      <c r="A114" s="313">
        <v>6</v>
      </c>
      <c r="C114" s="313">
        <f t="shared" si="5"/>
        <v>52</v>
      </c>
      <c r="D114" s="313">
        <f t="shared" si="6"/>
        <v>33</v>
      </c>
      <c r="E114" s="313">
        <f t="shared" si="7"/>
        <v>13</v>
      </c>
      <c r="F114" s="313" t="str">
        <f t="shared" si="8"/>
        <v>pm</v>
      </c>
      <c r="G114" s="313" t="s">
        <v>249</v>
      </c>
      <c r="H114" s="313" t="s">
        <v>216</v>
      </c>
      <c r="I114" s="313" t="s">
        <v>178</v>
      </c>
      <c r="K114" s="314">
        <f t="shared" si="9"/>
        <v>1724.0595262997672</v>
      </c>
      <c r="M114" s="314">
        <v>1600</v>
      </c>
      <c r="O114" s="313">
        <v>1645.408006056949</v>
      </c>
      <c r="R114" s="313" t="str">
        <f>IF(AND((J114="This"),(L114="Only")),VLOOKUP(G114,#REF!,7,FALSE),"")</f>
        <v/>
      </c>
      <c r="S114" s="313">
        <v>1656.4894223319777</v>
      </c>
      <c r="T114" s="313">
        <v>1696.3067637980012</v>
      </c>
      <c r="V114" s="313">
        <v>1724.0595262997672</v>
      </c>
    </row>
    <row r="115" spans="1:22" x14ac:dyDescent="0.25">
      <c r="A115" s="313">
        <v>2</v>
      </c>
      <c r="C115" s="313">
        <f t="shared" si="5"/>
        <v>53</v>
      </c>
      <c r="D115" s="313">
        <f t="shared" si="6"/>
        <v>33</v>
      </c>
      <c r="E115" s="313">
        <f t="shared" si="7"/>
        <v>13</v>
      </c>
      <c r="F115" s="313" t="str">
        <f t="shared" si="8"/>
        <v>cr</v>
      </c>
      <c r="G115" s="313" t="s">
        <v>704</v>
      </c>
      <c r="H115" s="313" t="s">
        <v>593</v>
      </c>
      <c r="I115" s="313" t="s">
        <v>705</v>
      </c>
      <c r="K115" s="314">
        <f t="shared" si="9"/>
        <v>1694.6591687633331</v>
      </c>
      <c r="M115" s="314">
        <v>1600</v>
      </c>
      <c r="R115" s="313" t="str">
        <f>IF(AND((J115="This"),(L115="Only")),VLOOKUP(G115,#REF!,7,FALSE),"")</f>
        <v/>
      </c>
      <c r="T115" s="313">
        <v>1694.6591687633331</v>
      </c>
    </row>
    <row r="116" spans="1:22" x14ac:dyDescent="0.25">
      <c r="A116" s="313">
        <v>2</v>
      </c>
      <c r="C116" s="313">
        <f t="shared" si="5"/>
        <v>54</v>
      </c>
      <c r="D116" s="313">
        <f t="shared" si="6"/>
        <v>33</v>
      </c>
      <c r="E116" s="313">
        <f t="shared" si="7"/>
        <v>13</v>
      </c>
      <c r="F116" s="313" t="str">
        <f t="shared" si="8"/>
        <v>cr</v>
      </c>
      <c r="G116" s="313" t="s">
        <v>706</v>
      </c>
      <c r="H116" s="313" t="s">
        <v>593</v>
      </c>
      <c r="I116" s="313" t="s">
        <v>707</v>
      </c>
      <c r="K116" s="314">
        <f t="shared" si="9"/>
        <v>1582.7925814313389</v>
      </c>
      <c r="M116" s="314">
        <v>1600</v>
      </c>
      <c r="R116" s="313" t="str">
        <f>IF(AND((J116="This"),(L116="Only")),VLOOKUP(G116,#REF!,7,FALSE),"")</f>
        <v/>
      </c>
      <c r="T116" s="313">
        <v>1582.7925814313389</v>
      </c>
    </row>
    <row r="117" spans="1:22" x14ac:dyDescent="0.25">
      <c r="A117" s="313">
        <v>2</v>
      </c>
      <c r="C117" s="313">
        <f t="shared" si="5"/>
        <v>55</v>
      </c>
      <c r="D117" s="313">
        <f t="shared" si="6"/>
        <v>33</v>
      </c>
      <c r="E117" s="313">
        <f t="shared" si="7"/>
        <v>13</v>
      </c>
      <c r="F117" s="313" t="str">
        <f t="shared" si="8"/>
        <v>pm</v>
      </c>
      <c r="G117" s="313" t="s">
        <v>708</v>
      </c>
      <c r="H117" s="313" t="s">
        <v>559</v>
      </c>
      <c r="I117" s="313" t="s">
        <v>709</v>
      </c>
      <c r="K117" s="314">
        <f t="shared" si="9"/>
        <v>1660.7607370584117</v>
      </c>
      <c r="M117" s="314">
        <v>1600</v>
      </c>
      <c r="R117" s="313" t="str">
        <f>IF(AND((J117="This"),(L117="Only")),VLOOKUP(G117,#REF!,7,FALSE),"")</f>
        <v/>
      </c>
      <c r="S117" s="313">
        <v>1660.7607370584117</v>
      </c>
    </row>
    <row r="118" spans="1:22" x14ac:dyDescent="0.25">
      <c r="A118" s="313">
        <v>2</v>
      </c>
      <c r="C118" s="313">
        <f t="shared" si="5"/>
        <v>56</v>
      </c>
      <c r="D118" s="313">
        <f t="shared" si="6"/>
        <v>33</v>
      </c>
      <c r="E118" s="313">
        <f t="shared" si="7"/>
        <v>13</v>
      </c>
      <c r="F118" s="313" t="str">
        <f t="shared" si="8"/>
        <v>pm</v>
      </c>
      <c r="G118" s="313" t="s">
        <v>710</v>
      </c>
      <c r="H118" s="313" t="s">
        <v>559</v>
      </c>
      <c r="I118" s="313" t="s">
        <v>711</v>
      </c>
      <c r="K118" s="314">
        <f t="shared" si="9"/>
        <v>1617.872536849952</v>
      </c>
      <c r="M118" s="314">
        <v>1600</v>
      </c>
      <c r="R118" s="313" t="str">
        <f>IF(AND((J118="This"),(L118="Only")),VLOOKUP(G118,#REF!,7,FALSE),"")</f>
        <v/>
      </c>
      <c r="V118" s="313">
        <v>1617.872536849952</v>
      </c>
    </row>
    <row r="119" spans="1:22" x14ac:dyDescent="0.25">
      <c r="A119" s="313">
        <v>2</v>
      </c>
      <c r="C119" s="313">
        <f t="shared" si="5"/>
        <v>57</v>
      </c>
      <c r="D119" s="313">
        <f t="shared" si="6"/>
        <v>33</v>
      </c>
      <c r="E119" s="313">
        <f t="shared" si="7"/>
        <v>13</v>
      </c>
      <c r="F119" s="313" t="str">
        <f t="shared" si="8"/>
        <v>pm</v>
      </c>
      <c r="G119" s="313" t="s">
        <v>712</v>
      </c>
      <c r="H119" s="313" t="s">
        <v>559</v>
      </c>
      <c r="I119" s="313" t="s">
        <v>713</v>
      </c>
      <c r="K119" s="314">
        <f t="shared" si="9"/>
        <v>1520.584890435453</v>
      </c>
      <c r="M119" s="314">
        <v>1600</v>
      </c>
      <c r="R119" s="313" t="str">
        <f>IF(AND((J119="This"),(L119="Only")),VLOOKUP(G119,#REF!,7,FALSE),"")</f>
        <v/>
      </c>
      <c r="S119" s="313">
        <v>1520.584890435453</v>
      </c>
    </row>
    <row r="120" spans="1:22" x14ac:dyDescent="0.25">
      <c r="A120" s="313">
        <v>2</v>
      </c>
      <c r="C120" s="313">
        <f t="shared" si="5"/>
        <v>58</v>
      </c>
      <c r="D120" s="313">
        <f t="shared" si="6"/>
        <v>33</v>
      </c>
      <c r="E120" s="313">
        <f t="shared" si="7"/>
        <v>13</v>
      </c>
      <c r="F120" s="313" t="str">
        <f t="shared" si="8"/>
        <v>pm</v>
      </c>
      <c r="G120" s="313" t="s">
        <v>714</v>
      </c>
      <c r="H120" s="313" t="s">
        <v>559</v>
      </c>
      <c r="I120" s="313" t="s">
        <v>715</v>
      </c>
      <c r="K120" s="314">
        <f t="shared" si="9"/>
        <v>1554.3863321425481</v>
      </c>
      <c r="M120" s="314">
        <v>1600</v>
      </c>
      <c r="R120" s="313" t="str">
        <f>IF(AND((J120="This"),(L120="Only")),VLOOKUP(G120,#REF!,7,FALSE),"")</f>
        <v/>
      </c>
      <c r="S120" s="313">
        <v>1554.3863321425481</v>
      </c>
    </row>
    <row r="121" spans="1:22" x14ac:dyDescent="0.25">
      <c r="A121" s="313">
        <v>5</v>
      </c>
      <c r="C121" s="313">
        <f t="shared" si="5"/>
        <v>59</v>
      </c>
      <c r="D121" s="313">
        <f t="shared" si="6"/>
        <v>33</v>
      </c>
      <c r="E121" s="313">
        <f t="shared" si="7"/>
        <v>13</v>
      </c>
      <c r="F121" s="313" t="str">
        <f t="shared" si="8"/>
        <v>pm</v>
      </c>
      <c r="G121" s="313" t="s">
        <v>376</v>
      </c>
      <c r="H121" s="313" t="s">
        <v>219</v>
      </c>
      <c r="I121" s="313" t="s">
        <v>375</v>
      </c>
      <c r="K121" s="314">
        <f t="shared" si="9"/>
        <v>1420.2404492297683</v>
      </c>
      <c r="M121" s="314">
        <v>1600</v>
      </c>
      <c r="O121" s="313">
        <v>1496.0605297120387</v>
      </c>
      <c r="R121" s="313" t="str">
        <f>IF(AND((J121="This"),(L121="Only")),VLOOKUP(G121,#REF!,7,FALSE),"")</f>
        <v/>
      </c>
      <c r="T121" s="313">
        <v>1420.2404492297683</v>
      </c>
    </row>
    <row r="122" spans="1:22" x14ac:dyDescent="0.25">
      <c r="A122" s="313">
        <v>2</v>
      </c>
      <c r="C122" s="313">
        <f t="shared" si="5"/>
        <v>60</v>
      </c>
      <c r="D122" s="313">
        <f t="shared" si="6"/>
        <v>33</v>
      </c>
      <c r="E122" s="313">
        <f t="shared" si="7"/>
        <v>13</v>
      </c>
      <c r="F122" s="313" t="str">
        <f t="shared" si="8"/>
        <v>pm</v>
      </c>
      <c r="G122" s="313" t="s">
        <v>489</v>
      </c>
      <c r="H122" s="313" t="s">
        <v>254</v>
      </c>
      <c r="I122" s="313" t="s">
        <v>488</v>
      </c>
      <c r="K122" s="314">
        <f t="shared" si="9"/>
        <v>1510.9636495195373</v>
      </c>
      <c r="M122" s="314">
        <v>1600</v>
      </c>
      <c r="R122" s="313" t="str">
        <f>IF(AND((J122="This"),(L122="Only")),VLOOKUP(G122,#REF!,7,FALSE),"")</f>
        <v/>
      </c>
      <c r="S122" s="313">
        <v>1510.9636495195373</v>
      </c>
    </row>
    <row r="123" spans="1:22" x14ac:dyDescent="0.25">
      <c r="A123" s="313">
        <v>1</v>
      </c>
      <c r="C123" s="313">
        <f t="shared" si="5"/>
        <v>61</v>
      </c>
      <c r="D123" s="313">
        <f t="shared" si="6"/>
        <v>33</v>
      </c>
      <c r="E123" s="313">
        <f t="shared" si="7"/>
        <v>13</v>
      </c>
      <c r="F123" s="313" t="str">
        <f t="shared" si="8"/>
        <v>sox</v>
      </c>
      <c r="G123" s="313" t="s">
        <v>716</v>
      </c>
      <c r="H123" s="313" t="s">
        <v>222</v>
      </c>
      <c r="I123" s="313" t="s">
        <v>717</v>
      </c>
      <c r="K123" s="314">
        <f t="shared" si="9"/>
        <v>1677.9066198304924</v>
      </c>
      <c r="M123" s="314">
        <v>1600</v>
      </c>
      <c r="R123" s="313" t="str">
        <f>IF(AND((J123="This"),(L123="Only")),VLOOKUP(G123,#REF!,7,FALSE),"")</f>
        <v/>
      </c>
      <c r="T123" s="313">
        <v>1677.9066198304924</v>
      </c>
    </row>
    <row r="124" spans="1:22" x14ac:dyDescent="0.25">
      <c r="A124" s="313">
        <v>2</v>
      </c>
      <c r="C124" s="313">
        <f t="shared" si="5"/>
        <v>62</v>
      </c>
      <c r="D124" s="313">
        <f t="shared" si="6"/>
        <v>33</v>
      </c>
      <c r="E124" s="313">
        <f t="shared" si="7"/>
        <v>13</v>
      </c>
      <c r="F124" s="313" t="str">
        <f t="shared" si="8"/>
        <v>so</v>
      </c>
      <c r="G124" s="313" t="s">
        <v>454</v>
      </c>
      <c r="H124" s="313" t="s">
        <v>222</v>
      </c>
      <c r="I124" s="313" t="s">
        <v>453</v>
      </c>
      <c r="K124" s="314">
        <f t="shared" si="9"/>
        <v>1578.5432678949517</v>
      </c>
      <c r="M124" s="314">
        <v>1600</v>
      </c>
      <c r="R124" s="313" t="str">
        <f>IF(AND((J124="This"),(L124="Only")),VLOOKUP(G124,#REF!,7,FALSE),"")</f>
        <v/>
      </c>
      <c r="T124" s="313">
        <v>1578.5432678949517</v>
      </c>
    </row>
    <row r="125" spans="1:22" x14ac:dyDescent="0.25">
      <c r="A125" s="313">
        <v>7</v>
      </c>
      <c r="C125" s="313">
        <f t="shared" si="5"/>
        <v>63</v>
      </c>
      <c r="D125" s="313">
        <f t="shared" si="6"/>
        <v>33</v>
      </c>
      <c r="E125" s="313">
        <f t="shared" si="7"/>
        <v>13</v>
      </c>
      <c r="F125" s="313" t="str">
        <f t="shared" si="8"/>
        <v>pm</v>
      </c>
      <c r="G125" s="313" t="s">
        <v>248</v>
      </c>
      <c r="H125" s="313" t="s">
        <v>211</v>
      </c>
      <c r="I125" s="313" t="s">
        <v>415</v>
      </c>
      <c r="K125" s="314">
        <f t="shared" si="9"/>
        <v>1641.1631745399584</v>
      </c>
      <c r="M125" s="314">
        <v>1600</v>
      </c>
      <c r="O125" s="313">
        <v>1577.4900729060989</v>
      </c>
      <c r="R125" s="313" t="str">
        <f>IF(AND((J125="This"),(L125="Only")),VLOOKUP(G125,#REF!,7,FALSE),"")</f>
        <v/>
      </c>
      <c r="S125" s="313">
        <v>1551.9367302009932</v>
      </c>
      <c r="T125" s="313">
        <v>1570.0470154155958</v>
      </c>
      <c r="V125" s="313">
        <v>1641.1631745399584</v>
      </c>
    </row>
    <row r="126" spans="1:22" x14ac:dyDescent="0.25">
      <c r="A126" s="313">
        <v>5</v>
      </c>
      <c r="C126" s="313">
        <f t="shared" si="5"/>
        <v>64</v>
      </c>
      <c r="D126" s="313">
        <f t="shared" si="6"/>
        <v>33</v>
      </c>
      <c r="E126" s="313">
        <f t="shared" si="7"/>
        <v>13</v>
      </c>
      <c r="F126" s="313" t="str">
        <f t="shared" si="8"/>
        <v>pm</v>
      </c>
      <c r="G126" s="313" t="s">
        <v>261</v>
      </c>
      <c r="H126" s="313" t="s">
        <v>201</v>
      </c>
      <c r="I126" s="313" t="s">
        <v>175</v>
      </c>
      <c r="K126" s="314">
        <f t="shared" si="9"/>
        <v>1479.2171814305723</v>
      </c>
      <c r="M126" s="314">
        <v>1600</v>
      </c>
      <c r="R126" s="313" t="str">
        <f>IF(AND((J126="This"),(L126="Only")),VLOOKUP(G126,#REF!,7,FALSE),"")</f>
        <v/>
      </c>
      <c r="S126" s="313">
        <v>1501.4152753915264</v>
      </c>
      <c r="T126" s="313">
        <v>1488.4874647585782</v>
      </c>
      <c r="V126" s="313">
        <v>1479.2171814305723</v>
      </c>
    </row>
    <row r="127" spans="1:22" x14ac:dyDescent="0.25">
      <c r="A127" s="313">
        <v>5</v>
      </c>
      <c r="C127" s="313">
        <f t="shared" si="5"/>
        <v>65</v>
      </c>
      <c r="D127" s="313">
        <f t="shared" si="6"/>
        <v>33</v>
      </c>
      <c r="E127" s="313">
        <f t="shared" si="7"/>
        <v>13</v>
      </c>
      <c r="F127" s="313" t="str">
        <f t="shared" si="8"/>
        <v>pm</v>
      </c>
      <c r="G127" s="313" t="s">
        <v>226</v>
      </c>
      <c r="H127" s="313" t="s">
        <v>201</v>
      </c>
      <c r="I127" s="313" t="s">
        <v>176</v>
      </c>
      <c r="K127" s="314">
        <f t="shared" si="9"/>
        <v>1425.4109540497846</v>
      </c>
      <c r="M127" s="314">
        <v>1600</v>
      </c>
      <c r="R127" s="313" t="str">
        <f>IF(AND((J127="This"),(L127="Only")),VLOOKUP(G127,#REF!,7,FALSE),"")</f>
        <v/>
      </c>
      <c r="S127" s="313">
        <v>1526.5577404254093</v>
      </c>
      <c r="T127" s="313">
        <v>1447.3909581757298</v>
      </c>
      <c r="V127" s="313">
        <v>1425.4109540497846</v>
      </c>
    </row>
    <row r="128" spans="1:22" x14ac:dyDescent="0.25">
      <c r="A128" s="313">
        <v>3</v>
      </c>
      <c r="C128" s="313">
        <f t="shared" si="5"/>
        <v>66</v>
      </c>
      <c r="D128" s="313">
        <f t="shared" si="6"/>
        <v>33</v>
      </c>
      <c r="E128" s="313">
        <f t="shared" si="7"/>
        <v>13</v>
      </c>
      <c r="F128" s="313" t="str">
        <f t="shared" si="8"/>
        <v>pm</v>
      </c>
      <c r="G128" s="313" t="s">
        <v>307</v>
      </c>
      <c r="H128" s="313" t="s">
        <v>182</v>
      </c>
      <c r="I128" s="313" t="s">
        <v>399</v>
      </c>
      <c r="K128" s="314">
        <f t="shared" si="9"/>
        <v>1672.8922772837741</v>
      </c>
      <c r="M128" s="314">
        <v>1600</v>
      </c>
      <c r="R128" s="313" t="str">
        <f>IF(AND((J128="This"),(L128="Only")),VLOOKUP(G128,#REF!,7,FALSE),"")</f>
        <v/>
      </c>
      <c r="S128" s="313">
        <v>1663.3222275324013</v>
      </c>
      <c r="T128" s="313">
        <v>1672.8922772837741</v>
      </c>
    </row>
    <row r="129" spans="1:23" x14ac:dyDescent="0.25">
      <c r="A129" s="313">
        <v>5</v>
      </c>
      <c r="C129" s="313">
        <f t="shared" si="5"/>
        <v>67</v>
      </c>
      <c r="D129" s="313">
        <f t="shared" si="6"/>
        <v>33</v>
      </c>
      <c r="E129" s="313">
        <f t="shared" si="7"/>
        <v>13</v>
      </c>
      <c r="F129" s="313" t="str">
        <f t="shared" si="8"/>
        <v>pm</v>
      </c>
      <c r="G129" s="313" t="s">
        <v>381</v>
      </c>
      <c r="H129" s="313" t="s">
        <v>205</v>
      </c>
      <c r="I129" s="313" t="s">
        <v>380</v>
      </c>
      <c r="K129" s="314">
        <f t="shared" si="9"/>
        <v>1571.3271481700851</v>
      </c>
      <c r="M129" s="314">
        <v>1600</v>
      </c>
      <c r="R129" s="313" t="str">
        <f>IF(AND((J129="This"),(L129="Only")),VLOOKUP(G129,#REF!,7,FALSE),"")</f>
        <v/>
      </c>
      <c r="S129" s="313">
        <v>1571.3618286035594</v>
      </c>
      <c r="T129" s="313">
        <v>1568.1003447488174</v>
      </c>
      <c r="V129" s="313">
        <v>1571.3271481700851</v>
      </c>
    </row>
    <row r="130" spans="1:23" x14ac:dyDescent="0.25">
      <c r="A130" s="313">
        <v>4</v>
      </c>
      <c r="C130" s="313">
        <f t="shared" ref="C130:C193" si="10">IF(E130=E129,C129+1,1)</f>
        <v>68</v>
      </c>
      <c r="D130" s="313">
        <f t="shared" ref="D130:D193" si="11">IF(M130=M129,D129,C130)</f>
        <v>33</v>
      </c>
      <c r="E130" s="313">
        <f t="shared" ref="E130:E193" si="12">10+VALUE(RIGHT(LEFT(G130,3),1))</f>
        <v>13</v>
      </c>
      <c r="F130" s="313" t="str">
        <f t="shared" ref="F130:F193" si="13">RIGHT(G130,2) &amp; IF(A130&lt;2,"x","")</f>
        <v>pm</v>
      </c>
      <c r="G130" s="313" t="s">
        <v>493</v>
      </c>
      <c r="H130" s="313" t="s">
        <v>494</v>
      </c>
      <c r="I130" s="313" t="s">
        <v>492</v>
      </c>
      <c r="K130" s="314">
        <f t="shared" ref="K130:K193" si="14">LOOKUP(1E+100,M130:AC130)</f>
        <v>1754.9535955038507</v>
      </c>
      <c r="M130" s="314">
        <v>1600</v>
      </c>
      <c r="R130" s="313" t="str">
        <f>IF(AND((J130="This"),(L130="Only")),VLOOKUP(G130,#REF!,7,FALSE),"")</f>
        <v/>
      </c>
      <c r="S130" s="313">
        <v>1696.7395363532391</v>
      </c>
      <c r="V130" s="313">
        <v>1754.9535955038507</v>
      </c>
    </row>
    <row r="131" spans="1:23" x14ac:dyDescent="0.25">
      <c r="A131" s="313">
        <v>4</v>
      </c>
      <c r="C131" s="313">
        <f t="shared" si="10"/>
        <v>69</v>
      </c>
      <c r="D131" s="313">
        <f t="shared" si="11"/>
        <v>33</v>
      </c>
      <c r="E131" s="313">
        <f t="shared" si="12"/>
        <v>13</v>
      </c>
      <c r="F131" s="313" t="str">
        <f t="shared" si="13"/>
        <v>pm</v>
      </c>
      <c r="G131" s="313" t="s">
        <v>496</v>
      </c>
      <c r="H131" s="313" t="s">
        <v>494</v>
      </c>
      <c r="I131" s="313" t="s">
        <v>495</v>
      </c>
      <c r="K131" s="314">
        <f t="shared" si="14"/>
        <v>1531.9857171026847</v>
      </c>
      <c r="M131" s="314">
        <v>1600</v>
      </c>
      <c r="R131" s="313" t="str">
        <f>IF(AND((J131="This"),(L131="Only")),VLOOKUP(G131,#REF!,7,FALSE),"")</f>
        <v/>
      </c>
      <c r="S131" s="313">
        <v>1636.6616321677709</v>
      </c>
      <c r="V131" s="313">
        <v>1531.9857171026847</v>
      </c>
    </row>
    <row r="132" spans="1:23" x14ac:dyDescent="0.25">
      <c r="A132" s="313">
        <v>1</v>
      </c>
      <c r="C132" s="313">
        <f t="shared" si="10"/>
        <v>1</v>
      </c>
      <c r="D132" s="313">
        <f t="shared" si="11"/>
        <v>1</v>
      </c>
      <c r="E132" s="313">
        <f t="shared" si="12"/>
        <v>14</v>
      </c>
      <c r="F132" s="313" t="str">
        <f t="shared" si="13"/>
        <v>sox</v>
      </c>
      <c r="G132" s="313" t="s">
        <v>718</v>
      </c>
      <c r="H132" s="313" t="s">
        <v>719</v>
      </c>
      <c r="I132" s="313" t="s">
        <v>720</v>
      </c>
      <c r="K132" s="314">
        <f t="shared" si="14"/>
        <v>2200</v>
      </c>
      <c r="M132" s="314">
        <v>2200</v>
      </c>
      <c r="R132" s="313" t="str">
        <f>IF(AND((J132="This"),(L132="Only")),VLOOKUP(G132,#REF!,7,FALSE),"")</f>
        <v/>
      </c>
    </row>
    <row r="133" spans="1:23" x14ac:dyDescent="0.25">
      <c r="A133" s="313">
        <v>1</v>
      </c>
      <c r="C133" s="313">
        <f t="shared" si="10"/>
        <v>2</v>
      </c>
      <c r="D133" s="313">
        <f t="shared" si="11"/>
        <v>1</v>
      </c>
      <c r="E133" s="313">
        <f t="shared" si="12"/>
        <v>14</v>
      </c>
      <c r="F133" s="313" t="str">
        <f t="shared" si="13"/>
        <v>sox</v>
      </c>
      <c r="G133" s="313" t="s">
        <v>721</v>
      </c>
      <c r="H133" s="313" t="s">
        <v>575</v>
      </c>
      <c r="I133" s="313" t="s">
        <v>722</v>
      </c>
      <c r="K133" s="314">
        <f t="shared" si="14"/>
        <v>2200</v>
      </c>
      <c r="M133" s="314">
        <v>2200</v>
      </c>
      <c r="R133" s="313" t="str">
        <f>IF(AND((J133="This"),(L133="Only")),VLOOKUP(G133,#REF!,7,FALSE),"")</f>
        <v/>
      </c>
    </row>
    <row r="134" spans="1:23" x14ac:dyDescent="0.25">
      <c r="A134" s="313">
        <v>2</v>
      </c>
      <c r="C134" s="313">
        <f t="shared" si="10"/>
        <v>3</v>
      </c>
      <c r="D134" s="313">
        <f t="shared" si="11"/>
        <v>1</v>
      </c>
      <c r="E134" s="313">
        <f t="shared" si="12"/>
        <v>14</v>
      </c>
      <c r="F134" s="313" t="str">
        <f t="shared" si="13"/>
        <v>cr</v>
      </c>
      <c r="G134" s="313" t="s">
        <v>723</v>
      </c>
      <c r="H134" s="313" t="s">
        <v>209</v>
      </c>
      <c r="I134" s="313" t="s">
        <v>724</v>
      </c>
      <c r="K134" s="314">
        <f t="shared" si="14"/>
        <v>2256.4726642229521</v>
      </c>
      <c r="M134" s="314">
        <v>2200</v>
      </c>
      <c r="P134" s="313">
        <v>2256.4726642229521</v>
      </c>
      <c r="R134" s="313" t="str">
        <f>IF(AND((J134="This"),(L134="Only")),VLOOKUP(G134,#REF!,7,FALSE),"")</f>
        <v/>
      </c>
    </row>
    <row r="135" spans="1:23" x14ac:dyDescent="0.25">
      <c r="A135" s="313">
        <v>2</v>
      </c>
      <c r="C135" s="313">
        <f t="shared" si="10"/>
        <v>4</v>
      </c>
      <c r="D135" s="313">
        <f t="shared" si="11"/>
        <v>1</v>
      </c>
      <c r="E135" s="313">
        <f t="shared" si="12"/>
        <v>14</v>
      </c>
      <c r="F135" s="313" t="str">
        <f t="shared" si="13"/>
        <v>pm</v>
      </c>
      <c r="G135" s="313" t="s">
        <v>214</v>
      </c>
      <c r="H135" s="313" t="s">
        <v>213</v>
      </c>
      <c r="I135" s="313" t="s">
        <v>183</v>
      </c>
      <c r="K135" s="314">
        <f t="shared" si="14"/>
        <v>2242.8082264482937</v>
      </c>
      <c r="M135" s="314">
        <v>2200</v>
      </c>
      <c r="N135" s="313">
        <v>2242.8082264482937</v>
      </c>
      <c r="R135" s="313" t="str">
        <f>IF(AND((J135="This"),(L135="Only")),VLOOKUP(G135,#REF!,7,FALSE),"")</f>
        <v/>
      </c>
    </row>
    <row r="136" spans="1:23" x14ac:dyDescent="0.25">
      <c r="A136" s="313">
        <v>2</v>
      </c>
      <c r="C136" s="313">
        <f t="shared" si="10"/>
        <v>5</v>
      </c>
      <c r="D136" s="313">
        <f t="shared" si="11"/>
        <v>1</v>
      </c>
      <c r="E136" s="313">
        <f t="shared" si="12"/>
        <v>14</v>
      </c>
      <c r="F136" s="313" t="str">
        <f t="shared" si="13"/>
        <v>pm</v>
      </c>
      <c r="G136" s="313" t="s">
        <v>320</v>
      </c>
      <c r="H136" s="313" t="s">
        <v>213</v>
      </c>
      <c r="I136" s="313" t="s">
        <v>319</v>
      </c>
      <c r="K136" s="314">
        <f t="shared" si="14"/>
        <v>2148.0572046490697</v>
      </c>
      <c r="M136" s="314">
        <v>2200</v>
      </c>
      <c r="N136" s="313">
        <v>2148.0572046490697</v>
      </c>
      <c r="R136" s="313" t="str">
        <f>IF(AND((J136="This"),(L136="Only")),VLOOKUP(G136,#REF!,7,FALSE),"")</f>
        <v/>
      </c>
    </row>
    <row r="137" spans="1:23" x14ac:dyDescent="0.25">
      <c r="A137" s="313">
        <v>3</v>
      </c>
      <c r="C137" s="313">
        <f t="shared" si="10"/>
        <v>6</v>
      </c>
      <c r="D137" s="313">
        <f t="shared" si="11"/>
        <v>1</v>
      </c>
      <c r="E137" s="313">
        <f t="shared" si="12"/>
        <v>14</v>
      </c>
      <c r="F137" s="313" t="str">
        <f t="shared" si="13"/>
        <v>pm</v>
      </c>
      <c r="G137" s="313" t="s">
        <v>725</v>
      </c>
      <c r="H137" s="313" t="s">
        <v>207</v>
      </c>
      <c r="I137" s="313" t="s">
        <v>726</v>
      </c>
      <c r="K137" s="314">
        <f t="shared" si="14"/>
        <v>2360.4440637068092</v>
      </c>
      <c r="M137" s="314">
        <v>2200</v>
      </c>
      <c r="N137" s="313">
        <v>2306.5141993458815</v>
      </c>
      <c r="R137" s="313" t="str">
        <f>IF(AND((J137="This"),(L137="Only")),VLOOKUP(G137,#REF!,7,FALSE),"")</f>
        <v/>
      </c>
      <c r="U137" s="313">
        <v>2360.4440637068092</v>
      </c>
    </row>
    <row r="138" spans="1:23" x14ac:dyDescent="0.25">
      <c r="A138" s="313">
        <v>4</v>
      </c>
      <c r="C138" s="313">
        <f t="shared" si="10"/>
        <v>7</v>
      </c>
      <c r="D138" s="313">
        <f t="shared" si="11"/>
        <v>1</v>
      </c>
      <c r="E138" s="313">
        <f t="shared" si="12"/>
        <v>14</v>
      </c>
      <c r="F138" s="313" t="str">
        <f t="shared" si="13"/>
        <v>pm</v>
      </c>
      <c r="G138" s="313" t="s">
        <v>727</v>
      </c>
      <c r="H138" s="313" t="s">
        <v>207</v>
      </c>
      <c r="I138" s="313" t="s">
        <v>728</v>
      </c>
      <c r="K138" s="314">
        <f t="shared" si="14"/>
        <v>2326.7309739793168</v>
      </c>
      <c r="M138" s="314">
        <v>2200</v>
      </c>
      <c r="N138" s="313">
        <v>2234.317086556041</v>
      </c>
      <c r="R138" s="313" t="str">
        <f>IF(AND((J138="This"),(L138="Only")),VLOOKUP(G138,#REF!,7,FALSE),"")</f>
        <v/>
      </c>
      <c r="U138" s="313">
        <v>2295.955969587601</v>
      </c>
      <c r="W138" s="313">
        <v>2326.7309739793168</v>
      </c>
    </row>
    <row r="139" spans="1:23" x14ac:dyDescent="0.25">
      <c r="A139" s="313">
        <v>4</v>
      </c>
      <c r="C139" s="313">
        <f t="shared" si="10"/>
        <v>8</v>
      </c>
      <c r="D139" s="313">
        <f t="shared" si="11"/>
        <v>1</v>
      </c>
      <c r="E139" s="313">
        <f t="shared" si="12"/>
        <v>14</v>
      </c>
      <c r="F139" s="313" t="str">
        <f t="shared" si="13"/>
        <v>pm</v>
      </c>
      <c r="G139" s="313" t="s">
        <v>206</v>
      </c>
      <c r="H139" s="313" t="s">
        <v>207</v>
      </c>
      <c r="I139" s="313" t="s">
        <v>729</v>
      </c>
      <c r="K139" s="314">
        <f t="shared" si="14"/>
        <v>2122.2966793804871</v>
      </c>
      <c r="M139" s="314">
        <v>2200</v>
      </c>
      <c r="N139" s="313">
        <v>2160.6945874992289</v>
      </c>
      <c r="R139" s="313" t="str">
        <f>IF(AND((J139="This"),(L139="Only")),VLOOKUP(G139,#REF!,7,FALSE),"")</f>
        <v/>
      </c>
      <c r="U139" s="313">
        <v>2148.9859090201348</v>
      </c>
      <c r="W139" s="313">
        <v>2122.2966793804871</v>
      </c>
    </row>
    <row r="140" spans="1:23" x14ac:dyDescent="0.25">
      <c r="A140" s="313">
        <v>6</v>
      </c>
      <c r="C140" s="313">
        <f t="shared" si="10"/>
        <v>9</v>
      </c>
      <c r="D140" s="313">
        <f t="shared" si="11"/>
        <v>1</v>
      </c>
      <c r="E140" s="313">
        <f t="shared" si="12"/>
        <v>14</v>
      </c>
      <c r="F140" s="313" t="str">
        <f t="shared" si="13"/>
        <v>pm</v>
      </c>
      <c r="G140" s="313" t="s">
        <v>730</v>
      </c>
      <c r="H140" s="313" t="s">
        <v>204</v>
      </c>
      <c r="I140" s="313" t="s">
        <v>731</v>
      </c>
      <c r="K140" s="314">
        <f t="shared" si="14"/>
        <v>2130.206287549629</v>
      </c>
      <c r="M140" s="314">
        <v>2200</v>
      </c>
      <c r="N140" s="313">
        <v>2142.6540778770523</v>
      </c>
      <c r="P140" s="313">
        <v>2105.2510909599187</v>
      </c>
      <c r="R140" s="313" t="str">
        <f>IF(AND((J140="This"),(L140="Only")),VLOOKUP(G140,#REF!,7,FALSE),"")</f>
        <v/>
      </c>
      <c r="S140" s="313">
        <v>2097.7644613858624</v>
      </c>
      <c r="U140" s="313">
        <v>2153.2095704362496</v>
      </c>
      <c r="W140" s="313">
        <v>2130.206287549629</v>
      </c>
    </row>
    <row r="141" spans="1:23" x14ac:dyDescent="0.25">
      <c r="A141" s="313">
        <v>2</v>
      </c>
      <c r="C141" s="313">
        <f t="shared" si="10"/>
        <v>10</v>
      </c>
      <c r="D141" s="313">
        <f t="shared" si="11"/>
        <v>1</v>
      </c>
      <c r="E141" s="313">
        <f t="shared" si="12"/>
        <v>14</v>
      </c>
      <c r="F141" s="313" t="str">
        <f t="shared" si="13"/>
        <v>pm</v>
      </c>
      <c r="G141" s="313" t="s">
        <v>732</v>
      </c>
      <c r="H141" s="313" t="s">
        <v>393</v>
      </c>
      <c r="I141" s="313" t="s">
        <v>733</v>
      </c>
      <c r="K141" s="314">
        <f t="shared" si="14"/>
        <v>2335.7533430560889</v>
      </c>
      <c r="M141" s="314">
        <v>2200</v>
      </c>
      <c r="N141" s="313">
        <v>2248.7430591333896</v>
      </c>
      <c r="R141" s="313" t="str">
        <f>IF(AND((J141="This"),(L141="Only")),VLOOKUP(G141,#REF!,7,FALSE),"")</f>
        <v/>
      </c>
      <c r="S141" s="313">
        <v>2335.7533430560889</v>
      </c>
    </row>
    <row r="142" spans="1:23" x14ac:dyDescent="0.25">
      <c r="A142" s="313">
        <v>1</v>
      </c>
      <c r="C142" s="313">
        <f t="shared" si="10"/>
        <v>11</v>
      </c>
      <c r="D142" s="313">
        <f t="shared" si="11"/>
        <v>1</v>
      </c>
      <c r="E142" s="313">
        <f t="shared" si="12"/>
        <v>14</v>
      </c>
      <c r="F142" s="313" t="str">
        <f t="shared" si="13"/>
        <v>pmx</v>
      </c>
      <c r="G142" s="313" t="s">
        <v>734</v>
      </c>
      <c r="H142" s="313" t="s">
        <v>650</v>
      </c>
      <c r="I142" s="313" t="s">
        <v>735</v>
      </c>
      <c r="K142" s="314">
        <f t="shared" si="14"/>
        <v>2249.9246776686837</v>
      </c>
      <c r="M142" s="314">
        <v>2200</v>
      </c>
      <c r="R142" s="313" t="str">
        <f>IF(AND((J142="This"),(L142="Only")),VLOOKUP(G142,#REF!,7,FALSE),"")</f>
        <v/>
      </c>
      <c r="U142" s="313">
        <v>2249.9246776686837</v>
      </c>
    </row>
    <row r="143" spans="1:23" x14ac:dyDescent="0.25">
      <c r="A143" s="313">
        <v>1</v>
      </c>
      <c r="C143" s="313">
        <f t="shared" si="10"/>
        <v>12</v>
      </c>
      <c r="D143" s="313">
        <f t="shared" si="11"/>
        <v>1</v>
      </c>
      <c r="E143" s="313">
        <f t="shared" si="12"/>
        <v>14</v>
      </c>
      <c r="F143" s="313" t="str">
        <f t="shared" si="13"/>
        <v>pmx</v>
      </c>
      <c r="G143" s="313" t="s">
        <v>736</v>
      </c>
      <c r="H143" s="313" t="s">
        <v>650</v>
      </c>
      <c r="I143" s="313" t="s">
        <v>737</v>
      </c>
      <c r="K143" s="314">
        <f t="shared" si="14"/>
        <v>2103.2414788342721</v>
      </c>
      <c r="M143" s="314">
        <v>2200</v>
      </c>
      <c r="R143" s="313" t="str">
        <f>IF(AND((J143="This"),(L143="Only")),VLOOKUP(G143,#REF!,7,FALSE),"")</f>
        <v/>
      </c>
      <c r="U143" s="313">
        <v>2103.2414788342721</v>
      </c>
    </row>
    <row r="144" spans="1:23" x14ac:dyDescent="0.25">
      <c r="A144" s="313">
        <v>1</v>
      </c>
      <c r="C144" s="313">
        <f t="shared" si="10"/>
        <v>13</v>
      </c>
      <c r="D144" s="313">
        <f t="shared" si="11"/>
        <v>1</v>
      </c>
      <c r="E144" s="313">
        <f t="shared" si="12"/>
        <v>14</v>
      </c>
      <c r="F144" s="313" t="str">
        <f t="shared" si="13"/>
        <v>crx</v>
      </c>
      <c r="G144" s="313" t="s">
        <v>738</v>
      </c>
      <c r="H144" s="313" t="s">
        <v>283</v>
      </c>
      <c r="I144" s="313" t="s">
        <v>739</v>
      </c>
      <c r="K144" s="314">
        <f t="shared" si="14"/>
        <v>2200</v>
      </c>
      <c r="M144" s="314">
        <v>2200</v>
      </c>
      <c r="R144" s="313" t="str">
        <f>IF(AND((J144="This"),(L144="Only")),VLOOKUP(G144,#REF!,7,FALSE),"")</f>
        <v/>
      </c>
    </row>
    <row r="145" spans="1:23" x14ac:dyDescent="0.25">
      <c r="A145" s="313">
        <v>1</v>
      </c>
      <c r="C145" s="313">
        <f t="shared" si="10"/>
        <v>14</v>
      </c>
      <c r="D145" s="313">
        <f t="shared" si="11"/>
        <v>1</v>
      </c>
      <c r="E145" s="313">
        <f t="shared" si="12"/>
        <v>14</v>
      </c>
      <c r="F145" s="313" t="str">
        <f t="shared" si="13"/>
        <v>crx</v>
      </c>
      <c r="G145" s="313" t="s">
        <v>740</v>
      </c>
      <c r="H145" s="313" t="s">
        <v>283</v>
      </c>
      <c r="I145" s="313" t="s">
        <v>741</v>
      </c>
      <c r="K145" s="314">
        <f t="shared" si="14"/>
        <v>2200</v>
      </c>
      <c r="M145" s="314">
        <v>2200</v>
      </c>
      <c r="R145" s="313" t="str">
        <f>IF(AND((J145="This"),(L145="Only")),VLOOKUP(G145,#REF!,7,FALSE),"")</f>
        <v/>
      </c>
    </row>
    <row r="146" spans="1:23" x14ac:dyDescent="0.25">
      <c r="A146" s="313">
        <v>4</v>
      </c>
      <c r="C146" s="313">
        <f t="shared" si="10"/>
        <v>15</v>
      </c>
      <c r="D146" s="313">
        <f t="shared" si="11"/>
        <v>1</v>
      </c>
      <c r="E146" s="313">
        <f t="shared" si="12"/>
        <v>14</v>
      </c>
      <c r="F146" s="313" t="str">
        <f t="shared" si="13"/>
        <v>pm</v>
      </c>
      <c r="G146" s="313" t="s">
        <v>253</v>
      </c>
      <c r="H146" s="313" t="s">
        <v>198</v>
      </c>
      <c r="I146" s="313" t="s">
        <v>188</v>
      </c>
      <c r="K146" s="314">
        <f t="shared" si="14"/>
        <v>2174.4435664290072</v>
      </c>
      <c r="M146" s="314">
        <v>2200</v>
      </c>
      <c r="P146" s="313">
        <v>2233.7867329179321</v>
      </c>
      <c r="R146" s="313" t="str">
        <f>IF(AND((J146="This"),(L146="Only")),VLOOKUP(G146,#REF!,7,FALSE),"")</f>
        <v/>
      </c>
      <c r="S146" s="313">
        <v>2194.7898785702087</v>
      </c>
      <c r="U146" s="313">
        <v>2174.4435664290072</v>
      </c>
    </row>
    <row r="147" spans="1:23" x14ac:dyDescent="0.25">
      <c r="A147" s="313">
        <v>6</v>
      </c>
      <c r="C147" s="313">
        <f t="shared" si="10"/>
        <v>16</v>
      </c>
      <c r="D147" s="313">
        <f t="shared" si="11"/>
        <v>1</v>
      </c>
      <c r="E147" s="313">
        <f t="shared" si="12"/>
        <v>14</v>
      </c>
      <c r="F147" s="313" t="str">
        <f t="shared" si="13"/>
        <v>pm</v>
      </c>
      <c r="G147" s="313" t="s">
        <v>220</v>
      </c>
      <c r="H147" s="313" t="s">
        <v>216</v>
      </c>
      <c r="I147" s="313" t="s">
        <v>742</v>
      </c>
      <c r="K147" s="314">
        <f t="shared" si="14"/>
        <v>2290.1397423732751</v>
      </c>
      <c r="M147" s="314">
        <v>2200</v>
      </c>
      <c r="N147" s="313">
        <v>2235.4451064009868</v>
      </c>
      <c r="P147" s="313">
        <v>2278.4614151352116</v>
      </c>
      <c r="R147" s="313" t="str">
        <f>IF(AND((J147="This"),(L147="Only")),VLOOKUP(G147,#REF!,7,FALSE),"")</f>
        <v/>
      </c>
      <c r="S147" s="313">
        <v>2248.6070344959771</v>
      </c>
      <c r="U147" s="313">
        <v>2276.7378483263374</v>
      </c>
      <c r="W147" s="313">
        <v>2290.1397423732751</v>
      </c>
    </row>
    <row r="148" spans="1:23" x14ac:dyDescent="0.25">
      <c r="A148" s="313">
        <v>5</v>
      </c>
      <c r="C148" s="313">
        <f t="shared" si="10"/>
        <v>17</v>
      </c>
      <c r="D148" s="313">
        <f t="shared" si="11"/>
        <v>1</v>
      </c>
      <c r="E148" s="313">
        <f t="shared" si="12"/>
        <v>14</v>
      </c>
      <c r="F148" s="313" t="str">
        <f t="shared" si="13"/>
        <v>pm</v>
      </c>
      <c r="G148" s="313" t="s">
        <v>743</v>
      </c>
      <c r="H148" s="313" t="s">
        <v>282</v>
      </c>
      <c r="I148" s="313" t="s">
        <v>744</v>
      </c>
      <c r="K148" s="314">
        <f t="shared" si="14"/>
        <v>2114.4847623771152</v>
      </c>
      <c r="M148" s="314">
        <v>2200</v>
      </c>
      <c r="N148" s="313">
        <v>2158.7277915153195</v>
      </c>
      <c r="R148" s="313" t="str">
        <f>IF(AND((J148="This"),(L148="Only")),VLOOKUP(G148,#REF!,7,FALSE),"")</f>
        <v/>
      </c>
      <c r="U148" s="313">
        <v>2117.4442736423839</v>
      </c>
      <c r="W148" s="313">
        <v>2114.4847623771152</v>
      </c>
    </row>
    <row r="149" spans="1:23" x14ac:dyDescent="0.25">
      <c r="A149" s="313">
        <v>2</v>
      </c>
      <c r="C149" s="313">
        <f t="shared" si="10"/>
        <v>18</v>
      </c>
      <c r="D149" s="313">
        <f t="shared" si="11"/>
        <v>1</v>
      </c>
      <c r="E149" s="313">
        <f t="shared" si="12"/>
        <v>14</v>
      </c>
      <c r="F149" s="313" t="str">
        <f t="shared" si="13"/>
        <v>pm</v>
      </c>
      <c r="G149" s="313" t="s">
        <v>745</v>
      </c>
      <c r="H149" s="313" t="s">
        <v>559</v>
      </c>
      <c r="I149" s="313" t="s">
        <v>746</v>
      </c>
      <c r="K149" s="314">
        <f t="shared" si="14"/>
        <v>2234.955109981981</v>
      </c>
      <c r="M149" s="314">
        <v>2200</v>
      </c>
      <c r="R149" s="313" t="str">
        <f>IF(AND((J149="This"),(L149="Only")),VLOOKUP(G149,#REF!,7,FALSE),"")</f>
        <v/>
      </c>
      <c r="S149" s="313">
        <v>2234.955109981981</v>
      </c>
    </row>
    <row r="150" spans="1:23" x14ac:dyDescent="0.25">
      <c r="A150" s="313">
        <v>2</v>
      </c>
      <c r="C150" s="313">
        <f t="shared" si="10"/>
        <v>19</v>
      </c>
      <c r="D150" s="313">
        <f t="shared" si="11"/>
        <v>1</v>
      </c>
      <c r="E150" s="313">
        <f t="shared" si="12"/>
        <v>14</v>
      </c>
      <c r="F150" s="313" t="str">
        <f t="shared" si="13"/>
        <v>pm</v>
      </c>
      <c r="G150" s="313" t="s">
        <v>747</v>
      </c>
      <c r="H150" s="313" t="s">
        <v>559</v>
      </c>
      <c r="I150" s="313" t="s">
        <v>748</v>
      </c>
      <c r="K150" s="314">
        <f t="shared" si="14"/>
        <v>2262.6255966977401</v>
      </c>
      <c r="M150" s="314">
        <v>2200</v>
      </c>
      <c r="R150" s="313" t="str">
        <f>IF(AND((J150="This"),(L150="Only")),VLOOKUP(G150,#REF!,7,FALSE),"")</f>
        <v/>
      </c>
      <c r="S150" s="313">
        <v>2262.6255966977401</v>
      </c>
    </row>
    <row r="151" spans="1:23" x14ac:dyDescent="0.25">
      <c r="A151" s="313">
        <v>2</v>
      </c>
      <c r="C151" s="313">
        <f t="shared" si="10"/>
        <v>20</v>
      </c>
      <c r="D151" s="313">
        <f t="shared" si="11"/>
        <v>1</v>
      </c>
      <c r="E151" s="313">
        <f t="shared" si="12"/>
        <v>14</v>
      </c>
      <c r="F151" s="313" t="str">
        <f t="shared" si="13"/>
        <v>pm</v>
      </c>
      <c r="G151" s="313" t="s">
        <v>749</v>
      </c>
      <c r="H151" s="313" t="s">
        <v>559</v>
      </c>
      <c r="I151" s="313" t="s">
        <v>750</v>
      </c>
      <c r="K151" s="314">
        <f t="shared" si="14"/>
        <v>2222.4603306929507</v>
      </c>
      <c r="M151" s="314">
        <v>2200</v>
      </c>
      <c r="R151" s="313" t="str">
        <f>IF(AND((J151="This"),(L151="Only")),VLOOKUP(G151,#REF!,7,FALSE),"")</f>
        <v/>
      </c>
      <c r="W151" s="313">
        <v>2222.4603306929507</v>
      </c>
    </row>
    <row r="152" spans="1:23" x14ac:dyDescent="0.25">
      <c r="A152" s="313">
        <v>1</v>
      </c>
      <c r="C152" s="313">
        <f t="shared" si="10"/>
        <v>21</v>
      </c>
      <c r="D152" s="313">
        <f t="shared" si="11"/>
        <v>1</v>
      </c>
      <c r="E152" s="313">
        <f t="shared" si="12"/>
        <v>14</v>
      </c>
      <c r="F152" s="313" t="str">
        <f t="shared" si="13"/>
        <v>sox</v>
      </c>
      <c r="G152" s="313" t="s">
        <v>751</v>
      </c>
      <c r="H152" s="313" t="s">
        <v>285</v>
      </c>
      <c r="I152" s="313" t="s">
        <v>752</v>
      </c>
      <c r="K152" s="314">
        <f t="shared" si="14"/>
        <v>2163.8222309199368</v>
      </c>
      <c r="M152" s="314">
        <v>2200</v>
      </c>
      <c r="R152" s="313" t="str">
        <f>IF(AND((J152="This"),(L152="Only")),VLOOKUP(G152,#REF!,7,FALSE),"")</f>
        <v/>
      </c>
      <c r="U152" s="313">
        <v>2163.8222309199368</v>
      </c>
    </row>
    <row r="153" spans="1:23" x14ac:dyDescent="0.25">
      <c r="A153" s="313">
        <v>1</v>
      </c>
      <c r="C153" s="313">
        <f t="shared" si="10"/>
        <v>22</v>
      </c>
      <c r="D153" s="313">
        <f t="shared" si="11"/>
        <v>1</v>
      </c>
      <c r="E153" s="313">
        <f t="shared" si="12"/>
        <v>14</v>
      </c>
      <c r="F153" s="313" t="str">
        <f t="shared" si="13"/>
        <v>sox</v>
      </c>
      <c r="G153" s="313" t="s">
        <v>753</v>
      </c>
      <c r="H153" s="313" t="s">
        <v>222</v>
      </c>
      <c r="I153" s="313" t="s">
        <v>754</v>
      </c>
      <c r="K153" s="314">
        <f t="shared" si="14"/>
        <v>2110.2833451779379</v>
      </c>
      <c r="M153" s="314">
        <v>2200</v>
      </c>
      <c r="P153" s="313">
        <v>2110.2833451779379</v>
      </c>
      <c r="R153" s="313" t="str">
        <f>IF(AND((J153="This"),(L153="Only")),VLOOKUP(G153,#REF!,7,FALSE),"")</f>
        <v/>
      </c>
    </row>
    <row r="154" spans="1:23" x14ac:dyDescent="0.25">
      <c r="A154" s="313">
        <v>1</v>
      </c>
      <c r="C154" s="313">
        <f t="shared" si="10"/>
        <v>23</v>
      </c>
      <c r="D154" s="313">
        <f t="shared" si="11"/>
        <v>1</v>
      </c>
      <c r="E154" s="313">
        <f t="shared" si="12"/>
        <v>14</v>
      </c>
      <c r="F154" s="313" t="str">
        <f t="shared" si="13"/>
        <v>odx</v>
      </c>
      <c r="G154" s="313" t="s">
        <v>755</v>
      </c>
      <c r="H154" s="313" t="s">
        <v>756</v>
      </c>
      <c r="I154" s="313" t="s">
        <v>757</v>
      </c>
      <c r="K154" s="314">
        <f t="shared" si="14"/>
        <v>2200</v>
      </c>
      <c r="M154" s="314">
        <v>2200</v>
      </c>
      <c r="R154" s="313" t="str">
        <f>IF(AND((J154="This"),(L154="Only")),VLOOKUP(G154,#REF!,7,FALSE),"")</f>
        <v/>
      </c>
    </row>
    <row r="155" spans="1:23" x14ac:dyDescent="0.25">
      <c r="A155" s="313">
        <v>3</v>
      </c>
      <c r="C155" s="313">
        <f t="shared" si="10"/>
        <v>24</v>
      </c>
      <c r="D155" s="313">
        <f t="shared" si="11"/>
        <v>1</v>
      </c>
      <c r="E155" s="313">
        <f t="shared" si="12"/>
        <v>14</v>
      </c>
      <c r="F155" s="313" t="str">
        <f t="shared" si="13"/>
        <v>pm</v>
      </c>
      <c r="G155" s="313" t="s">
        <v>758</v>
      </c>
      <c r="H155" s="313" t="s">
        <v>510</v>
      </c>
      <c r="I155" s="313" t="s">
        <v>759</v>
      </c>
      <c r="K155" s="314">
        <f t="shared" si="14"/>
        <v>1962.4290924555107</v>
      </c>
      <c r="M155" s="314">
        <v>2200</v>
      </c>
      <c r="N155" s="313">
        <v>2089.6484920282369</v>
      </c>
      <c r="R155" s="313" t="str">
        <f>IF(AND((J155="This"),(L155="Only")),VLOOKUP(G155,#REF!,7,FALSE),"")</f>
        <v/>
      </c>
      <c r="S155" s="313">
        <v>2006.2959936375398</v>
      </c>
      <c r="U155" s="313">
        <v>1962.4290924555107</v>
      </c>
    </row>
    <row r="156" spans="1:23" x14ac:dyDescent="0.25">
      <c r="A156" s="313">
        <v>3</v>
      </c>
      <c r="C156" s="313">
        <f t="shared" si="10"/>
        <v>25</v>
      </c>
      <c r="D156" s="313">
        <f t="shared" si="11"/>
        <v>1</v>
      </c>
      <c r="E156" s="313">
        <f t="shared" si="12"/>
        <v>14</v>
      </c>
      <c r="F156" s="313" t="str">
        <f t="shared" si="13"/>
        <v>pm</v>
      </c>
      <c r="G156" s="313" t="s">
        <v>760</v>
      </c>
      <c r="H156" s="313" t="s">
        <v>505</v>
      </c>
      <c r="I156" s="313" t="s">
        <v>761</v>
      </c>
      <c r="K156" s="314">
        <f t="shared" si="14"/>
        <v>2006.1553511094478</v>
      </c>
      <c r="M156" s="314">
        <v>2200</v>
      </c>
      <c r="P156" s="313">
        <v>2078.3089119158358</v>
      </c>
      <c r="R156" s="313" t="str">
        <f>IF(AND((J156="This"),(L156="Only")),VLOOKUP(G156,#REF!,7,FALSE),"")</f>
        <v/>
      </c>
      <c r="S156" s="313">
        <v>2071.4063032898539</v>
      </c>
      <c r="W156" s="313">
        <v>2006.1553511094478</v>
      </c>
    </row>
    <row r="157" spans="1:23" x14ac:dyDescent="0.25">
      <c r="A157" s="313">
        <v>7</v>
      </c>
      <c r="C157" s="313">
        <f t="shared" si="10"/>
        <v>26</v>
      </c>
      <c r="D157" s="313">
        <f t="shared" si="11"/>
        <v>1</v>
      </c>
      <c r="E157" s="313">
        <f t="shared" si="12"/>
        <v>14</v>
      </c>
      <c r="F157" s="313" t="str">
        <f t="shared" si="13"/>
        <v>pm</v>
      </c>
      <c r="G157" s="313" t="s">
        <v>762</v>
      </c>
      <c r="H157" s="313" t="s">
        <v>211</v>
      </c>
      <c r="I157" s="313" t="s">
        <v>763</v>
      </c>
      <c r="K157" s="314">
        <f t="shared" si="14"/>
        <v>1991.208506628537</v>
      </c>
      <c r="M157" s="314">
        <v>2200</v>
      </c>
      <c r="N157" s="313">
        <v>2083.9994997349372</v>
      </c>
      <c r="P157" s="313">
        <v>2109.776316100691</v>
      </c>
      <c r="R157" s="313" t="str">
        <f>IF(AND((J157="This"),(L157="Only")),VLOOKUP(G157,#REF!,7,FALSE),"")</f>
        <v/>
      </c>
      <c r="S157" s="313">
        <v>2072.4598338911765</v>
      </c>
      <c r="U157" s="313">
        <v>2051.882735573779</v>
      </c>
      <c r="W157" s="313">
        <v>1991.208506628537</v>
      </c>
    </row>
    <row r="158" spans="1:23" x14ac:dyDescent="0.25">
      <c r="A158" s="313">
        <v>2</v>
      </c>
      <c r="C158" s="313">
        <f t="shared" si="10"/>
        <v>27</v>
      </c>
      <c r="D158" s="313">
        <f t="shared" si="11"/>
        <v>1</v>
      </c>
      <c r="E158" s="313">
        <f t="shared" si="12"/>
        <v>14</v>
      </c>
      <c r="F158" s="313" t="str">
        <f t="shared" si="13"/>
        <v>pm</v>
      </c>
      <c r="G158" s="313" t="s">
        <v>764</v>
      </c>
      <c r="H158" s="313" t="s">
        <v>201</v>
      </c>
      <c r="I158" s="313" t="s">
        <v>765</v>
      </c>
      <c r="K158" s="314">
        <f t="shared" si="14"/>
        <v>2362.6766295698312</v>
      </c>
      <c r="M158" s="314">
        <v>2200</v>
      </c>
      <c r="R158" s="313" t="str">
        <f>IF(AND((J158="This"),(L158="Only")),VLOOKUP(G158,#REF!,7,FALSE),"")</f>
        <v/>
      </c>
      <c r="U158" s="313">
        <v>2326.0573699748429</v>
      </c>
      <c r="W158" s="313">
        <v>2362.6766295698312</v>
      </c>
    </row>
    <row r="159" spans="1:23" x14ac:dyDescent="0.25">
      <c r="A159" s="313">
        <v>4</v>
      </c>
      <c r="C159" s="313">
        <f t="shared" si="10"/>
        <v>28</v>
      </c>
      <c r="D159" s="313">
        <f t="shared" si="11"/>
        <v>1</v>
      </c>
      <c r="E159" s="313">
        <f t="shared" si="12"/>
        <v>14</v>
      </c>
      <c r="F159" s="313" t="str">
        <f t="shared" si="13"/>
        <v>pm</v>
      </c>
      <c r="G159" s="313" t="s">
        <v>766</v>
      </c>
      <c r="H159" s="313" t="s">
        <v>201</v>
      </c>
      <c r="I159" s="313" t="s">
        <v>767</v>
      </c>
      <c r="K159" s="314">
        <f t="shared" si="14"/>
        <v>2097.9177541838917</v>
      </c>
      <c r="M159" s="314">
        <v>2200</v>
      </c>
      <c r="P159" s="313">
        <v>2181.4831126580739</v>
      </c>
      <c r="R159" s="313" t="str">
        <f>IF(AND((J159="This"),(L159="Only")),VLOOKUP(G159,#REF!,7,FALSE),"")</f>
        <v/>
      </c>
      <c r="U159" s="313">
        <v>2163.1779238560807</v>
      </c>
      <c r="W159" s="313">
        <v>2097.9177541838917</v>
      </c>
    </row>
    <row r="160" spans="1:23" x14ac:dyDescent="0.25">
      <c r="A160" s="313">
        <v>1</v>
      </c>
      <c r="C160" s="313">
        <f t="shared" si="10"/>
        <v>29</v>
      </c>
      <c r="D160" s="313">
        <f t="shared" si="11"/>
        <v>1</v>
      </c>
      <c r="E160" s="313">
        <f t="shared" si="12"/>
        <v>14</v>
      </c>
      <c r="F160" s="313" t="str">
        <f t="shared" si="13"/>
        <v>crx</v>
      </c>
      <c r="G160" s="313" t="s">
        <v>768</v>
      </c>
      <c r="H160" s="313" t="s">
        <v>670</v>
      </c>
      <c r="I160" s="313" t="s">
        <v>769</v>
      </c>
      <c r="K160" s="314">
        <f t="shared" si="14"/>
        <v>2223.720133126676</v>
      </c>
      <c r="M160" s="314">
        <v>2200</v>
      </c>
      <c r="R160" s="313" t="str">
        <f>IF(AND((J160="This"),(L160="Only")),VLOOKUP(G160,#REF!,7,FALSE),"")</f>
        <v/>
      </c>
      <c r="U160" s="313">
        <v>2223.720133126676</v>
      </c>
    </row>
    <row r="161" spans="1:23" x14ac:dyDescent="0.25">
      <c r="A161" s="313">
        <v>1</v>
      </c>
      <c r="C161" s="313">
        <f t="shared" si="10"/>
        <v>30</v>
      </c>
      <c r="D161" s="313">
        <f t="shared" si="11"/>
        <v>1</v>
      </c>
      <c r="E161" s="313">
        <f t="shared" si="12"/>
        <v>14</v>
      </c>
      <c r="F161" s="313" t="str">
        <f t="shared" si="13"/>
        <v>crx</v>
      </c>
      <c r="G161" s="313" t="s">
        <v>770</v>
      </c>
      <c r="H161" s="313" t="s">
        <v>670</v>
      </c>
      <c r="I161" s="313" t="s">
        <v>771</v>
      </c>
      <c r="K161" s="314">
        <f t="shared" si="14"/>
        <v>2150.1762617273243</v>
      </c>
      <c r="M161" s="314">
        <v>2200</v>
      </c>
      <c r="R161" s="313" t="str">
        <f>IF(AND((J161="This"),(L161="Only")),VLOOKUP(G161,#REF!,7,FALSE),"")</f>
        <v/>
      </c>
      <c r="U161" s="313">
        <v>2150.1762617273243</v>
      </c>
    </row>
    <row r="162" spans="1:23" x14ac:dyDescent="0.25">
      <c r="A162" s="313">
        <v>1</v>
      </c>
      <c r="C162" s="313">
        <f t="shared" si="10"/>
        <v>31</v>
      </c>
      <c r="D162" s="313">
        <f t="shared" si="11"/>
        <v>1</v>
      </c>
      <c r="E162" s="313">
        <f t="shared" si="12"/>
        <v>14</v>
      </c>
      <c r="F162" s="313" t="str">
        <f t="shared" si="13"/>
        <v>pmx</v>
      </c>
      <c r="G162" s="313" t="s">
        <v>321</v>
      </c>
      <c r="H162" s="313" t="s">
        <v>182</v>
      </c>
      <c r="I162" s="313" t="s">
        <v>772</v>
      </c>
      <c r="K162" s="314">
        <f t="shared" si="14"/>
        <v>2205.0583548575696</v>
      </c>
      <c r="M162" s="314">
        <v>2200</v>
      </c>
      <c r="P162" s="313">
        <v>2205.0583548575696</v>
      </c>
      <c r="R162" s="313" t="str">
        <f>IF(AND((J162="This"),(L162="Only")),VLOOKUP(G162,#REF!,7,FALSE),"")</f>
        <v/>
      </c>
    </row>
    <row r="163" spans="1:23" x14ac:dyDescent="0.25">
      <c r="A163" s="313">
        <v>1</v>
      </c>
      <c r="C163" s="313">
        <f t="shared" si="10"/>
        <v>32</v>
      </c>
      <c r="D163" s="313">
        <f t="shared" si="11"/>
        <v>1</v>
      </c>
      <c r="E163" s="313">
        <f t="shared" si="12"/>
        <v>14</v>
      </c>
      <c r="F163" s="313" t="str">
        <f t="shared" si="13"/>
        <v>crx</v>
      </c>
      <c r="G163" s="313" t="s">
        <v>773</v>
      </c>
      <c r="H163" s="313" t="s">
        <v>604</v>
      </c>
      <c r="I163" s="313" t="s">
        <v>774</v>
      </c>
      <c r="K163" s="314">
        <f t="shared" si="14"/>
        <v>2235.9520901444639</v>
      </c>
      <c r="M163" s="314">
        <v>2200</v>
      </c>
      <c r="P163" s="313">
        <v>2235.9520901444639</v>
      </c>
      <c r="R163" s="313" t="str">
        <f>IF(AND((J163="This"),(L163="Only")),VLOOKUP(G163,#REF!,7,FALSE),"")</f>
        <v/>
      </c>
    </row>
    <row r="164" spans="1:23" x14ac:dyDescent="0.25">
      <c r="A164" s="313">
        <v>4</v>
      </c>
      <c r="C164" s="313">
        <f t="shared" si="10"/>
        <v>33</v>
      </c>
      <c r="D164" s="313">
        <f t="shared" si="11"/>
        <v>1</v>
      </c>
      <c r="E164" s="313">
        <f t="shared" si="12"/>
        <v>14</v>
      </c>
      <c r="F164" s="313" t="str">
        <f t="shared" si="13"/>
        <v>pm</v>
      </c>
      <c r="G164" s="313" t="s">
        <v>775</v>
      </c>
      <c r="H164" s="313" t="s">
        <v>240</v>
      </c>
      <c r="I164" s="313" t="s">
        <v>776</v>
      </c>
      <c r="K164" s="314">
        <f t="shared" si="14"/>
        <v>2125.9611979965498</v>
      </c>
      <c r="M164" s="314">
        <v>2200</v>
      </c>
      <c r="N164" s="313">
        <v>2154.4080062376902</v>
      </c>
      <c r="R164" s="313" t="str">
        <f>IF(AND((J164="This"),(L164="Only")),VLOOKUP(G164,#REF!,7,FALSE),"")</f>
        <v/>
      </c>
      <c r="S164" s="313">
        <v>2153.5198214457323</v>
      </c>
      <c r="U164" s="313">
        <v>2125.9611979965498</v>
      </c>
    </row>
    <row r="165" spans="1:23" x14ac:dyDescent="0.25">
      <c r="A165" s="313">
        <v>1</v>
      </c>
      <c r="C165" s="313">
        <f t="shared" si="10"/>
        <v>34</v>
      </c>
      <c r="D165" s="313">
        <f t="shared" si="11"/>
        <v>1</v>
      </c>
      <c r="E165" s="313">
        <f t="shared" si="12"/>
        <v>14</v>
      </c>
      <c r="F165" s="313" t="str">
        <f t="shared" si="13"/>
        <v>pmx</v>
      </c>
      <c r="G165" s="313" t="s">
        <v>777</v>
      </c>
      <c r="H165" s="313" t="s">
        <v>570</v>
      </c>
      <c r="I165" s="313" t="s">
        <v>778</v>
      </c>
      <c r="K165" s="314">
        <f t="shared" si="14"/>
        <v>2200</v>
      </c>
      <c r="M165" s="314">
        <v>2200</v>
      </c>
      <c r="R165" s="313" t="str">
        <f>IF(AND((J165="This"),(L165="Only")),VLOOKUP(G165,#REF!,7,FALSE),"")</f>
        <v/>
      </c>
    </row>
    <row r="166" spans="1:23" x14ac:dyDescent="0.25">
      <c r="A166" s="313">
        <v>3</v>
      </c>
      <c r="C166" s="313">
        <f t="shared" si="10"/>
        <v>35</v>
      </c>
      <c r="D166" s="313">
        <f t="shared" si="11"/>
        <v>1</v>
      </c>
      <c r="E166" s="313">
        <f t="shared" si="12"/>
        <v>14</v>
      </c>
      <c r="F166" s="313" t="str">
        <f t="shared" si="13"/>
        <v>pm</v>
      </c>
      <c r="G166" s="313" t="s">
        <v>779</v>
      </c>
      <c r="H166" s="313" t="s">
        <v>494</v>
      </c>
      <c r="I166" s="313" t="s">
        <v>780</v>
      </c>
      <c r="K166" s="314">
        <f t="shared" si="14"/>
        <v>2197.5788039433905</v>
      </c>
      <c r="M166" s="314">
        <v>2200</v>
      </c>
      <c r="P166" s="313">
        <v>2240.256748099006</v>
      </c>
      <c r="R166" s="313" t="str">
        <f>IF(AND((J166="This"),(L166="Only")),VLOOKUP(G166,#REF!,7,FALSE),"")</f>
        <v/>
      </c>
      <c r="W166" s="313">
        <v>2197.5788039433905</v>
      </c>
    </row>
    <row r="167" spans="1:23" x14ac:dyDescent="0.25">
      <c r="A167" s="313">
        <v>4</v>
      </c>
      <c r="C167" s="313">
        <f t="shared" si="10"/>
        <v>36</v>
      </c>
      <c r="D167" s="313">
        <f t="shared" si="11"/>
        <v>36</v>
      </c>
      <c r="E167" s="313">
        <f t="shared" si="12"/>
        <v>14</v>
      </c>
      <c r="F167" s="313" t="str">
        <f t="shared" si="13"/>
        <v>pm</v>
      </c>
      <c r="G167" s="313" t="s">
        <v>781</v>
      </c>
      <c r="H167" s="313" t="s">
        <v>281</v>
      </c>
      <c r="I167" s="313" t="s">
        <v>782</v>
      </c>
      <c r="K167" s="314">
        <f t="shared" si="14"/>
        <v>2320.3402125650441</v>
      </c>
      <c r="M167" s="314">
        <v>2150</v>
      </c>
      <c r="R167" s="313" t="str">
        <f>IF(AND((J167="This"),(L167="Only")),VLOOKUP(G167,#REF!,7,FALSE),"")</f>
        <v/>
      </c>
      <c r="S167" s="313">
        <v>2244.178282513466</v>
      </c>
      <c r="W167" s="313">
        <v>2320.3402125650441</v>
      </c>
    </row>
    <row r="168" spans="1:23" x14ac:dyDescent="0.25">
      <c r="A168" s="313">
        <v>6</v>
      </c>
      <c r="C168" s="313">
        <f t="shared" si="10"/>
        <v>37</v>
      </c>
      <c r="D168" s="313">
        <f t="shared" si="11"/>
        <v>37</v>
      </c>
      <c r="E168" s="313">
        <f t="shared" si="12"/>
        <v>14</v>
      </c>
      <c r="F168" s="313" t="str">
        <f t="shared" si="13"/>
        <v>pm</v>
      </c>
      <c r="G168" s="313" t="s">
        <v>783</v>
      </c>
      <c r="H168" s="313" t="s">
        <v>697</v>
      </c>
      <c r="I168" s="313" t="s">
        <v>784</v>
      </c>
      <c r="K168" s="314">
        <f t="shared" si="14"/>
        <v>1875.901547419704</v>
      </c>
      <c r="M168" s="314">
        <v>2133.3333333333335</v>
      </c>
      <c r="N168" s="313">
        <v>2016.8195230308613</v>
      </c>
      <c r="R168" s="313" t="str">
        <f>IF(AND((J168="This"),(L168="Only")),VLOOKUP(G168,#REF!,7,FALSE),"")</f>
        <v/>
      </c>
      <c r="S168" s="313">
        <v>1960.2450351185873</v>
      </c>
      <c r="U168" s="313">
        <v>1942.5335283191307</v>
      </c>
      <c r="W168" s="313">
        <v>1875.901547419704</v>
      </c>
    </row>
    <row r="169" spans="1:23" x14ac:dyDescent="0.25">
      <c r="A169" s="313">
        <v>4</v>
      </c>
      <c r="C169" s="313">
        <f t="shared" si="10"/>
        <v>38</v>
      </c>
      <c r="D169" s="313">
        <f t="shared" si="11"/>
        <v>38</v>
      </c>
      <c r="E169" s="313">
        <f t="shared" si="12"/>
        <v>14</v>
      </c>
      <c r="F169" s="313" t="str">
        <f t="shared" si="13"/>
        <v>pm</v>
      </c>
      <c r="G169" s="313" t="s">
        <v>318</v>
      </c>
      <c r="H169" s="313" t="s">
        <v>281</v>
      </c>
      <c r="I169" s="313" t="s">
        <v>785</v>
      </c>
      <c r="K169" s="314">
        <f t="shared" si="14"/>
        <v>1996.8375770424129</v>
      </c>
      <c r="M169" s="314">
        <v>2100</v>
      </c>
      <c r="P169" s="313">
        <v>2027.2781141395997</v>
      </c>
      <c r="R169" s="313" t="str">
        <f>IF(AND((J169="This"),(L169="Only")),VLOOKUP(G169,#REF!,7,FALSE),"")</f>
        <v/>
      </c>
      <c r="S169" s="313">
        <v>1992.6977665424979</v>
      </c>
      <c r="W169" s="313">
        <v>1996.8375770424129</v>
      </c>
    </row>
    <row r="170" spans="1:23" x14ac:dyDescent="0.25">
      <c r="A170" s="313">
        <v>3</v>
      </c>
      <c r="C170" s="313">
        <f t="shared" si="10"/>
        <v>39</v>
      </c>
      <c r="D170" s="313">
        <f t="shared" si="11"/>
        <v>39</v>
      </c>
      <c r="E170" s="313">
        <f t="shared" si="12"/>
        <v>14</v>
      </c>
      <c r="F170" s="313" t="str">
        <f t="shared" si="13"/>
        <v>pm</v>
      </c>
      <c r="G170" s="313" t="s">
        <v>786</v>
      </c>
      <c r="H170" s="313" t="s">
        <v>700</v>
      </c>
      <c r="I170" s="313" t="s">
        <v>787</v>
      </c>
      <c r="K170" s="314">
        <f t="shared" si="14"/>
        <v>2253.0290632225715</v>
      </c>
      <c r="M170" s="314">
        <v>2066.6666666666665</v>
      </c>
      <c r="P170" s="313">
        <v>2159.383839052045</v>
      </c>
      <c r="R170" s="313" t="str">
        <f>IF(AND((J170="This"),(L170="Only")),VLOOKUP(G170,#REF!,7,FALSE),"")</f>
        <v/>
      </c>
      <c r="S170" s="313">
        <v>2224.1169108397717</v>
      </c>
      <c r="V170" s="313">
        <v>2253.0290632225715</v>
      </c>
    </row>
    <row r="171" spans="1:23" x14ac:dyDescent="0.25">
      <c r="A171" s="313">
        <v>3</v>
      </c>
      <c r="C171" s="313">
        <f t="shared" si="10"/>
        <v>40</v>
      </c>
      <c r="D171" s="313">
        <f t="shared" si="11"/>
        <v>39</v>
      </c>
      <c r="E171" s="313">
        <f t="shared" si="12"/>
        <v>14</v>
      </c>
      <c r="F171" s="313" t="str">
        <f t="shared" si="13"/>
        <v>pm</v>
      </c>
      <c r="G171" s="313" t="s">
        <v>491</v>
      </c>
      <c r="H171" s="313" t="s">
        <v>254</v>
      </c>
      <c r="I171" s="313" t="s">
        <v>490</v>
      </c>
      <c r="K171" s="314">
        <f t="shared" si="14"/>
        <v>2073.7324729018796</v>
      </c>
      <c r="M171" s="314">
        <v>2066.6666666666665</v>
      </c>
      <c r="N171" s="313">
        <v>2073.7324729018796</v>
      </c>
      <c r="R171" s="313" t="str">
        <f>IF(AND((J171="This"),(L171="Only")),VLOOKUP(G171,#REF!,7,FALSE),"")</f>
        <v/>
      </c>
    </row>
    <row r="172" spans="1:23" x14ac:dyDescent="0.25">
      <c r="A172" s="313">
        <v>5</v>
      </c>
      <c r="C172" s="313">
        <f t="shared" si="10"/>
        <v>41</v>
      </c>
      <c r="D172" s="313">
        <f t="shared" si="11"/>
        <v>41</v>
      </c>
      <c r="E172" s="313">
        <f t="shared" si="12"/>
        <v>14</v>
      </c>
      <c r="F172" s="313" t="str">
        <f t="shared" si="13"/>
        <v>pm</v>
      </c>
      <c r="G172" s="313" t="s">
        <v>314</v>
      </c>
      <c r="H172" s="313" t="s">
        <v>230</v>
      </c>
      <c r="I172" s="313" t="s">
        <v>788</v>
      </c>
      <c r="K172" s="314">
        <f t="shared" si="14"/>
        <v>2205.4841047721684</v>
      </c>
      <c r="M172" s="1033">
        <v>2120</v>
      </c>
      <c r="O172" s="313">
        <v>2163.8355327864051</v>
      </c>
      <c r="P172" s="313">
        <v>2170.8481480848104</v>
      </c>
      <c r="R172" s="313" t="str">
        <f>IF(AND((J172="This"),(L172="Only")),VLOOKUP(G172,#REF!,7,FALSE),"")</f>
        <v/>
      </c>
      <c r="S172" s="313">
        <v>2193.5433511420206</v>
      </c>
      <c r="U172" s="313">
        <v>2205.4841047721684</v>
      </c>
    </row>
    <row r="173" spans="1:23" x14ac:dyDescent="0.25">
      <c r="A173" s="313">
        <v>5</v>
      </c>
      <c r="C173" s="313">
        <f t="shared" si="10"/>
        <v>42</v>
      </c>
      <c r="D173" s="313">
        <f t="shared" si="11"/>
        <v>42</v>
      </c>
      <c r="E173" s="313">
        <f t="shared" si="12"/>
        <v>14</v>
      </c>
      <c r="F173" s="313" t="str">
        <f t="shared" si="13"/>
        <v>pm</v>
      </c>
      <c r="G173" s="313" t="s">
        <v>379</v>
      </c>
      <c r="H173" s="313" t="s">
        <v>219</v>
      </c>
      <c r="I173" s="313" t="s">
        <v>378</v>
      </c>
      <c r="K173" s="314">
        <f t="shared" si="14"/>
        <v>1933.3202027700872</v>
      </c>
      <c r="M173" s="314">
        <v>1960</v>
      </c>
      <c r="O173" s="313">
        <v>1886.1471271036833</v>
      </c>
      <c r="R173" s="313" t="str">
        <f>IF(AND((J173="This"),(L173="Only")),VLOOKUP(G173,#REF!,7,FALSE),"")</f>
        <v/>
      </c>
      <c r="S173" s="313">
        <v>1865.9020532314012</v>
      </c>
      <c r="W173" s="313">
        <v>1933.3202027700872</v>
      </c>
    </row>
    <row r="174" spans="1:23" x14ac:dyDescent="0.25">
      <c r="A174" s="313">
        <v>4</v>
      </c>
      <c r="C174" s="313">
        <f t="shared" si="10"/>
        <v>43</v>
      </c>
      <c r="D174" s="313">
        <f t="shared" si="11"/>
        <v>43</v>
      </c>
      <c r="E174" s="313">
        <f t="shared" si="12"/>
        <v>14</v>
      </c>
      <c r="F174" s="313" t="str">
        <f t="shared" si="13"/>
        <v>pm</v>
      </c>
      <c r="G174" s="313" t="s">
        <v>789</v>
      </c>
      <c r="H174" s="313" t="s">
        <v>526</v>
      </c>
      <c r="I174" s="313" t="s">
        <v>790</v>
      </c>
      <c r="K174" s="314">
        <f t="shared" si="14"/>
        <v>1775.1763729480085</v>
      </c>
      <c r="M174" s="314">
        <v>1900</v>
      </c>
      <c r="O174" s="313">
        <v>1778.9420275432644</v>
      </c>
      <c r="R174" s="313" t="str">
        <f>IF(AND((J174="This"),(L174="Only")),VLOOKUP(G174,#REF!,7,FALSE),"")</f>
        <v/>
      </c>
      <c r="T174" s="313">
        <v>1801.8461220598372</v>
      </c>
      <c r="U174" s="313">
        <v>1775.1763729480085</v>
      </c>
    </row>
    <row r="175" spans="1:23" x14ac:dyDescent="0.25">
      <c r="A175" s="313">
        <v>4</v>
      </c>
      <c r="C175" s="313">
        <f t="shared" si="10"/>
        <v>44</v>
      </c>
      <c r="D175" s="313">
        <f t="shared" si="11"/>
        <v>43</v>
      </c>
      <c r="E175" s="313">
        <f t="shared" si="12"/>
        <v>14</v>
      </c>
      <c r="F175" s="313" t="str">
        <f t="shared" si="13"/>
        <v>pm</v>
      </c>
      <c r="G175" s="313" t="s">
        <v>241</v>
      </c>
      <c r="H175" s="313" t="s">
        <v>240</v>
      </c>
      <c r="I175" s="313" t="s">
        <v>434</v>
      </c>
      <c r="K175" s="314">
        <f t="shared" si="14"/>
        <v>1695.6949666343532</v>
      </c>
      <c r="M175" s="314">
        <v>1900</v>
      </c>
      <c r="O175" s="313">
        <v>1765.0448102640312</v>
      </c>
      <c r="R175" s="313" t="str">
        <f>IF(AND((J175="This"),(L175="Only")),VLOOKUP(G175,#REF!,7,FALSE),"")</f>
        <v/>
      </c>
      <c r="S175" s="313">
        <v>1716.6048936697202</v>
      </c>
      <c r="U175" s="313">
        <v>1695.6949666343532</v>
      </c>
    </row>
    <row r="176" spans="1:23" x14ac:dyDescent="0.25">
      <c r="A176" s="313">
        <v>5</v>
      </c>
      <c r="C176" s="313">
        <f t="shared" si="10"/>
        <v>45</v>
      </c>
      <c r="D176" s="313">
        <f t="shared" si="11"/>
        <v>45</v>
      </c>
      <c r="E176" s="313">
        <f t="shared" si="12"/>
        <v>14</v>
      </c>
      <c r="F176" s="313" t="str">
        <f t="shared" si="13"/>
        <v>pm</v>
      </c>
      <c r="G176" s="313" t="s">
        <v>791</v>
      </c>
      <c r="H176" s="313" t="s">
        <v>230</v>
      </c>
      <c r="I176" s="313" t="s">
        <v>792</v>
      </c>
      <c r="K176" s="314">
        <f t="shared" si="14"/>
        <v>1850.7380858738534</v>
      </c>
      <c r="M176" s="314">
        <v>1800</v>
      </c>
      <c r="O176" s="313">
        <v>1878.114620855217</v>
      </c>
      <c r="R176" s="313" t="str">
        <f>IF(AND((J176="This"),(L176="Only")),VLOOKUP(G176,#REF!,7,FALSE),"")</f>
        <v/>
      </c>
      <c r="T176" s="313">
        <v>1899.6480727597882</v>
      </c>
      <c r="V176" s="313">
        <v>1850.7380858738534</v>
      </c>
    </row>
    <row r="177" spans="1:22" x14ac:dyDescent="0.25">
      <c r="A177" s="313">
        <v>3</v>
      </c>
      <c r="C177" s="313">
        <f t="shared" si="10"/>
        <v>46</v>
      </c>
      <c r="D177" s="313">
        <f t="shared" si="11"/>
        <v>45</v>
      </c>
      <c r="E177" s="313">
        <f t="shared" si="12"/>
        <v>14</v>
      </c>
      <c r="F177" s="313" t="str">
        <f t="shared" si="13"/>
        <v>cr</v>
      </c>
      <c r="G177" s="313" t="s">
        <v>210</v>
      </c>
      <c r="H177" s="313" t="s">
        <v>209</v>
      </c>
      <c r="I177" s="313" t="s">
        <v>187</v>
      </c>
      <c r="K177" s="314">
        <f t="shared" si="14"/>
        <v>1805.2356241346474</v>
      </c>
      <c r="M177" s="314">
        <v>1800</v>
      </c>
      <c r="R177" s="313" t="str">
        <f>IF(AND((J177="This"),(L177="Only")),VLOOKUP(G177,#REF!,7,FALSE),"")</f>
        <v/>
      </c>
      <c r="S177" s="313">
        <v>1805.2356241346474</v>
      </c>
    </row>
    <row r="178" spans="1:22" x14ac:dyDescent="0.25">
      <c r="A178" s="313">
        <v>3</v>
      </c>
      <c r="C178" s="313">
        <f t="shared" si="10"/>
        <v>47</v>
      </c>
      <c r="D178" s="313">
        <f t="shared" si="11"/>
        <v>45</v>
      </c>
      <c r="E178" s="313">
        <f t="shared" si="12"/>
        <v>14</v>
      </c>
      <c r="F178" s="313" t="str">
        <f t="shared" si="13"/>
        <v>cr</v>
      </c>
      <c r="G178" s="313" t="s">
        <v>311</v>
      </c>
      <c r="H178" s="313" t="s">
        <v>209</v>
      </c>
      <c r="I178" s="313" t="s">
        <v>310</v>
      </c>
      <c r="K178" s="314">
        <f t="shared" si="14"/>
        <v>1811.1441592697583</v>
      </c>
      <c r="M178" s="314">
        <v>1800</v>
      </c>
      <c r="R178" s="313" t="str">
        <f>IF(AND((J178="This"),(L178="Only")),VLOOKUP(G178,#REF!,7,FALSE),"")</f>
        <v/>
      </c>
      <c r="S178" s="313">
        <v>1811.1441592697583</v>
      </c>
    </row>
    <row r="179" spans="1:22" x14ac:dyDescent="0.25">
      <c r="A179" s="313">
        <v>5</v>
      </c>
      <c r="C179" s="313">
        <f t="shared" si="10"/>
        <v>48</v>
      </c>
      <c r="D179" s="313">
        <f t="shared" si="11"/>
        <v>45</v>
      </c>
      <c r="E179" s="313">
        <f t="shared" si="12"/>
        <v>14</v>
      </c>
      <c r="F179" s="313" t="str">
        <f t="shared" si="13"/>
        <v>pm</v>
      </c>
      <c r="G179" s="313" t="s">
        <v>364</v>
      </c>
      <c r="H179" s="313" t="s">
        <v>217</v>
      </c>
      <c r="I179" s="313" t="s">
        <v>363</v>
      </c>
      <c r="K179" s="314">
        <f t="shared" si="14"/>
        <v>1644.9049961515773</v>
      </c>
      <c r="M179" s="314">
        <v>1800</v>
      </c>
      <c r="O179" s="313">
        <v>1721.0245607386446</v>
      </c>
      <c r="R179" s="313" t="str">
        <f>IF(AND((J179="This"),(L179="Only")),VLOOKUP(G179,#REF!,7,FALSE),"")</f>
        <v/>
      </c>
      <c r="S179" s="313">
        <v>1700.0432703271169</v>
      </c>
      <c r="T179" s="313">
        <v>1636.641799015636</v>
      </c>
      <c r="V179" s="313">
        <v>1644.9049961515773</v>
      </c>
    </row>
    <row r="180" spans="1:22" x14ac:dyDescent="0.25">
      <c r="A180" s="313">
        <v>1</v>
      </c>
      <c r="C180" s="313">
        <f t="shared" si="10"/>
        <v>49</v>
      </c>
      <c r="D180" s="313">
        <f t="shared" si="11"/>
        <v>45</v>
      </c>
      <c r="E180" s="313">
        <f t="shared" si="12"/>
        <v>14</v>
      </c>
      <c r="F180" s="313" t="str">
        <f t="shared" si="13"/>
        <v>pmx</v>
      </c>
      <c r="G180" s="313" t="s">
        <v>793</v>
      </c>
      <c r="H180" s="313" t="s">
        <v>578</v>
      </c>
      <c r="I180" s="313" t="s">
        <v>794</v>
      </c>
      <c r="K180" s="314">
        <f t="shared" si="14"/>
        <v>1807.3210148453811</v>
      </c>
      <c r="M180" s="314">
        <v>1800</v>
      </c>
      <c r="O180" s="313">
        <v>1807.3210148453811</v>
      </c>
      <c r="R180" s="313" t="str">
        <f>IF(AND((J180="This"),(L180="Only")),VLOOKUP(G180,#REF!,7,FALSE),"")</f>
        <v/>
      </c>
    </row>
    <row r="181" spans="1:22" x14ac:dyDescent="0.25">
      <c r="A181" s="313">
        <v>4</v>
      </c>
      <c r="C181" s="313">
        <f t="shared" si="10"/>
        <v>50</v>
      </c>
      <c r="D181" s="313">
        <f t="shared" si="11"/>
        <v>45</v>
      </c>
      <c r="E181" s="313">
        <f t="shared" si="12"/>
        <v>14</v>
      </c>
      <c r="F181" s="313" t="str">
        <f t="shared" si="13"/>
        <v>pm</v>
      </c>
      <c r="G181" s="313" t="s">
        <v>390</v>
      </c>
      <c r="H181" s="313" t="s">
        <v>213</v>
      </c>
      <c r="I181" s="313" t="s">
        <v>389</v>
      </c>
      <c r="K181" s="314">
        <f t="shared" si="14"/>
        <v>1830.5436089119114</v>
      </c>
      <c r="M181" s="314">
        <v>1800</v>
      </c>
      <c r="O181" s="313">
        <v>1831.4590904430709</v>
      </c>
      <c r="R181" s="313" t="str">
        <f>IF(AND((J181="This"),(L181="Only")),VLOOKUP(G181,#REF!,7,FALSE),"")</f>
        <v/>
      </c>
      <c r="T181" s="313">
        <v>1880.3757698226127</v>
      </c>
      <c r="V181" s="313">
        <v>1830.5436089119114</v>
      </c>
    </row>
    <row r="182" spans="1:22" x14ac:dyDescent="0.25">
      <c r="A182" s="313">
        <v>1</v>
      </c>
      <c r="C182" s="313">
        <f t="shared" si="10"/>
        <v>51</v>
      </c>
      <c r="D182" s="313">
        <f t="shared" si="11"/>
        <v>45</v>
      </c>
      <c r="E182" s="313">
        <f t="shared" si="12"/>
        <v>14</v>
      </c>
      <c r="F182" s="313" t="str">
        <f t="shared" si="13"/>
        <v>crx</v>
      </c>
      <c r="G182" s="313" t="s">
        <v>521</v>
      </c>
      <c r="H182" s="313" t="s">
        <v>522</v>
      </c>
      <c r="I182" s="313" t="s">
        <v>520</v>
      </c>
      <c r="K182" s="314">
        <f t="shared" si="14"/>
        <v>1917.7652604016778</v>
      </c>
      <c r="M182" s="314">
        <v>1800</v>
      </c>
      <c r="R182" s="313" t="str">
        <f>IF(AND((J182="This"),(L182="Only")),VLOOKUP(G182,#REF!,7,FALSE),"")</f>
        <v/>
      </c>
      <c r="S182" s="313">
        <v>1917.7652604016778</v>
      </c>
    </row>
    <row r="183" spans="1:22" x14ac:dyDescent="0.25">
      <c r="A183" s="313">
        <v>3</v>
      </c>
      <c r="C183" s="313">
        <f t="shared" si="10"/>
        <v>52</v>
      </c>
      <c r="D183" s="313">
        <f t="shared" si="11"/>
        <v>45</v>
      </c>
      <c r="E183" s="313">
        <f t="shared" si="12"/>
        <v>14</v>
      </c>
      <c r="F183" s="313" t="str">
        <f t="shared" si="13"/>
        <v>pm</v>
      </c>
      <c r="G183" s="313" t="s">
        <v>233</v>
      </c>
      <c r="H183" s="313" t="s">
        <v>207</v>
      </c>
      <c r="I183" s="313" t="s">
        <v>315</v>
      </c>
      <c r="K183" s="314">
        <f t="shared" si="14"/>
        <v>1891.4603047981896</v>
      </c>
      <c r="M183" s="314">
        <v>1800</v>
      </c>
      <c r="O183" s="313">
        <v>1885.5732286269356</v>
      </c>
      <c r="R183" s="313" t="str">
        <f>IF(AND((J183="This"),(L183="Only")),VLOOKUP(G183,#REF!,7,FALSE),"")</f>
        <v/>
      </c>
      <c r="S183" s="313">
        <v>1891.4603047981896</v>
      </c>
    </row>
    <row r="184" spans="1:22" x14ac:dyDescent="0.25">
      <c r="A184" s="313">
        <v>3</v>
      </c>
      <c r="C184" s="313">
        <f t="shared" si="10"/>
        <v>53</v>
      </c>
      <c r="D184" s="313">
        <f t="shared" si="11"/>
        <v>45</v>
      </c>
      <c r="E184" s="313">
        <f t="shared" si="12"/>
        <v>14</v>
      </c>
      <c r="F184" s="313" t="str">
        <f t="shared" si="13"/>
        <v>pm</v>
      </c>
      <c r="G184" s="313" t="s">
        <v>258</v>
      </c>
      <c r="H184" s="313" t="s">
        <v>207</v>
      </c>
      <c r="I184" s="313" t="s">
        <v>316</v>
      </c>
      <c r="K184" s="314">
        <f t="shared" si="14"/>
        <v>1895.4903689374637</v>
      </c>
      <c r="M184" s="314">
        <v>1800</v>
      </c>
      <c r="O184" s="313">
        <v>1897.8835552697344</v>
      </c>
      <c r="R184" s="313" t="str">
        <f>IF(AND((J184="This"),(L184="Only")),VLOOKUP(G184,#REF!,7,FALSE),"")</f>
        <v/>
      </c>
      <c r="S184" s="313">
        <v>1895.4903689374637</v>
      </c>
    </row>
    <row r="185" spans="1:22" x14ac:dyDescent="0.25">
      <c r="A185" s="313">
        <v>3</v>
      </c>
      <c r="C185" s="313">
        <f t="shared" si="10"/>
        <v>54</v>
      </c>
      <c r="D185" s="313">
        <f t="shared" si="11"/>
        <v>45</v>
      </c>
      <c r="E185" s="313">
        <f t="shared" si="12"/>
        <v>14</v>
      </c>
      <c r="F185" s="313" t="str">
        <f t="shared" si="13"/>
        <v>pm</v>
      </c>
      <c r="G185" s="313" t="s">
        <v>317</v>
      </c>
      <c r="H185" s="313" t="s">
        <v>207</v>
      </c>
      <c r="I185" s="313" t="s">
        <v>189</v>
      </c>
      <c r="K185" s="314">
        <f t="shared" si="14"/>
        <v>1828.7521321234813</v>
      </c>
      <c r="M185" s="314">
        <v>1800</v>
      </c>
      <c r="O185" s="313">
        <v>1797.7221920256341</v>
      </c>
      <c r="R185" s="313" t="str">
        <f>IF(AND((J185="This"),(L185="Only")),VLOOKUP(G185,#REF!,7,FALSE),"")</f>
        <v/>
      </c>
      <c r="S185" s="313">
        <v>1828.7521321234813</v>
      </c>
    </row>
    <row r="186" spans="1:22" x14ac:dyDescent="0.25">
      <c r="A186" s="313">
        <v>3</v>
      </c>
      <c r="C186" s="313">
        <f t="shared" si="10"/>
        <v>55</v>
      </c>
      <c r="D186" s="313">
        <f t="shared" si="11"/>
        <v>45</v>
      </c>
      <c r="E186" s="313">
        <f t="shared" si="12"/>
        <v>14</v>
      </c>
      <c r="F186" s="313" t="str">
        <f t="shared" si="13"/>
        <v>pm</v>
      </c>
      <c r="G186" s="313" t="s">
        <v>487</v>
      </c>
      <c r="H186" s="313" t="s">
        <v>207</v>
      </c>
      <c r="I186" s="313" t="s">
        <v>190</v>
      </c>
      <c r="K186" s="314">
        <f t="shared" si="14"/>
        <v>1890.1692768639286</v>
      </c>
      <c r="M186" s="314">
        <v>1800</v>
      </c>
      <c r="R186" s="313" t="str">
        <f>IF(AND((J186="This"),(L186="Only")),VLOOKUP(G186,#REF!,7,FALSE),"")</f>
        <v/>
      </c>
      <c r="S186" s="313">
        <v>1917.047248554828</v>
      </c>
      <c r="T186" s="313">
        <v>1890.1692768639286</v>
      </c>
    </row>
    <row r="187" spans="1:22" x14ac:dyDescent="0.25">
      <c r="A187" s="313">
        <v>6</v>
      </c>
      <c r="C187" s="313">
        <f t="shared" si="10"/>
        <v>56</v>
      </c>
      <c r="D187" s="313">
        <f t="shared" si="11"/>
        <v>45</v>
      </c>
      <c r="E187" s="313">
        <f t="shared" si="12"/>
        <v>14</v>
      </c>
      <c r="F187" s="313" t="str">
        <f t="shared" si="13"/>
        <v>pm</v>
      </c>
      <c r="G187" s="313" t="s">
        <v>234</v>
      </c>
      <c r="H187" s="313" t="s">
        <v>204</v>
      </c>
      <c r="I187" s="313" t="s">
        <v>185</v>
      </c>
      <c r="K187" s="314">
        <f t="shared" si="14"/>
        <v>1914.8405147891358</v>
      </c>
      <c r="M187" s="314">
        <v>1800</v>
      </c>
      <c r="O187" s="313">
        <v>1832.7769050427903</v>
      </c>
      <c r="R187" s="313" t="str">
        <f>IF(AND((J187="This"),(L187="Only")),VLOOKUP(G187,#REF!,7,FALSE),"")</f>
        <v/>
      </c>
      <c r="S187" s="313">
        <v>1858.1436790158755</v>
      </c>
      <c r="T187" s="313">
        <v>1907.7374614602916</v>
      </c>
      <c r="V187" s="313">
        <v>1914.8405147891358</v>
      </c>
    </row>
    <row r="188" spans="1:22" x14ac:dyDescent="0.25">
      <c r="A188" s="313">
        <v>1</v>
      </c>
      <c r="C188" s="313">
        <f t="shared" si="10"/>
        <v>57</v>
      </c>
      <c r="D188" s="313">
        <f t="shared" si="11"/>
        <v>45</v>
      </c>
      <c r="E188" s="313">
        <f t="shared" si="12"/>
        <v>14</v>
      </c>
      <c r="F188" s="313" t="str">
        <f t="shared" si="13"/>
        <v>sox</v>
      </c>
      <c r="G188" s="313" t="s">
        <v>431</v>
      </c>
      <c r="H188" s="313" t="s">
        <v>295</v>
      </c>
      <c r="I188" s="313" t="s">
        <v>430</v>
      </c>
      <c r="K188" s="314">
        <f t="shared" si="14"/>
        <v>1800</v>
      </c>
      <c r="M188" s="314">
        <v>1800</v>
      </c>
      <c r="R188" s="313" t="str">
        <f>IF(AND((J188="This"),(L188="Only")),VLOOKUP(G188,#REF!,7,FALSE),"")</f>
        <v/>
      </c>
    </row>
    <row r="189" spans="1:22" x14ac:dyDescent="0.25">
      <c r="A189" s="313">
        <v>2</v>
      </c>
      <c r="C189" s="313">
        <f t="shared" si="10"/>
        <v>58</v>
      </c>
      <c r="D189" s="313">
        <f t="shared" si="11"/>
        <v>45</v>
      </c>
      <c r="E189" s="313">
        <f t="shared" si="12"/>
        <v>14</v>
      </c>
      <c r="F189" s="313" t="str">
        <f t="shared" si="13"/>
        <v>so</v>
      </c>
      <c r="G189" s="313" t="s">
        <v>433</v>
      </c>
      <c r="H189" s="313" t="s">
        <v>295</v>
      </c>
      <c r="I189" s="313" t="s">
        <v>432</v>
      </c>
      <c r="K189" s="314">
        <f t="shared" si="14"/>
        <v>1800</v>
      </c>
      <c r="M189" s="314">
        <v>1800</v>
      </c>
      <c r="R189" s="313" t="str">
        <f>IF(AND((J189="This"),(L189="Only")),VLOOKUP(G189,#REF!,7,FALSE),"")</f>
        <v/>
      </c>
    </row>
    <row r="190" spans="1:22" x14ac:dyDescent="0.25">
      <c r="A190" s="313">
        <v>5</v>
      </c>
      <c r="C190" s="313">
        <f t="shared" si="10"/>
        <v>59</v>
      </c>
      <c r="D190" s="313">
        <f t="shared" si="11"/>
        <v>45</v>
      </c>
      <c r="E190" s="313">
        <f t="shared" si="12"/>
        <v>14</v>
      </c>
      <c r="F190" s="313" t="str">
        <f t="shared" si="13"/>
        <v>pm</v>
      </c>
      <c r="G190" s="313" t="s">
        <v>215</v>
      </c>
      <c r="H190" s="313" t="s">
        <v>199</v>
      </c>
      <c r="I190" s="313" t="s">
        <v>367</v>
      </c>
      <c r="K190" s="314">
        <f t="shared" si="14"/>
        <v>1963.0509671228099</v>
      </c>
      <c r="M190" s="314">
        <v>1800</v>
      </c>
      <c r="O190" s="313">
        <v>1913.6326230156692</v>
      </c>
      <c r="R190" s="313" t="str">
        <f>IF(AND((J190="This"),(L190="Only")),VLOOKUP(G190,#REF!,7,FALSE),"")</f>
        <v/>
      </c>
      <c r="S190" s="313">
        <v>1925.0434236172341</v>
      </c>
      <c r="V190" s="313">
        <v>1963.0509671228099</v>
      </c>
    </row>
    <row r="191" spans="1:22" x14ac:dyDescent="0.25">
      <c r="A191" s="313">
        <v>2</v>
      </c>
      <c r="C191" s="313">
        <f t="shared" si="10"/>
        <v>60</v>
      </c>
      <c r="D191" s="313">
        <f t="shared" si="11"/>
        <v>45</v>
      </c>
      <c r="E191" s="313">
        <f t="shared" si="12"/>
        <v>14</v>
      </c>
      <c r="F191" s="313" t="str">
        <f t="shared" si="13"/>
        <v>pm</v>
      </c>
      <c r="G191" s="313" t="s">
        <v>795</v>
      </c>
      <c r="H191" s="313" t="s">
        <v>281</v>
      </c>
      <c r="I191" s="313" t="s">
        <v>796</v>
      </c>
      <c r="K191" s="314">
        <f t="shared" si="14"/>
        <v>1647.1294488255151</v>
      </c>
      <c r="M191" s="314">
        <v>1800</v>
      </c>
      <c r="R191" s="313" t="str">
        <f>IF(AND((J191="This"),(L191="Only")),VLOOKUP(G191,#REF!,7,FALSE),"")</f>
        <v/>
      </c>
      <c r="S191" s="313">
        <v>1687.89017886652</v>
      </c>
      <c r="T191" s="313">
        <v>1606.0897183893037</v>
      </c>
      <c r="V191" s="313">
        <v>1647.1294488255151</v>
      </c>
    </row>
    <row r="192" spans="1:22" x14ac:dyDescent="0.25">
      <c r="A192" s="313">
        <v>4</v>
      </c>
      <c r="C192" s="313">
        <f t="shared" si="10"/>
        <v>61</v>
      </c>
      <c r="D192" s="313">
        <f t="shared" si="11"/>
        <v>45</v>
      </c>
      <c r="E192" s="313">
        <f t="shared" si="12"/>
        <v>14</v>
      </c>
      <c r="F192" s="313" t="str">
        <f t="shared" si="13"/>
        <v>pm</v>
      </c>
      <c r="G192" s="313" t="s">
        <v>436</v>
      </c>
      <c r="H192" s="313" t="s">
        <v>198</v>
      </c>
      <c r="I192" s="313" t="s">
        <v>435</v>
      </c>
      <c r="K192" s="314">
        <f t="shared" si="14"/>
        <v>1681.5214943555018</v>
      </c>
      <c r="M192" s="314">
        <v>1800</v>
      </c>
      <c r="R192" s="313" t="str">
        <f>IF(AND((J192="This"),(L192="Only")),VLOOKUP(G192,#REF!,7,FALSE),"")</f>
        <v/>
      </c>
      <c r="S192" s="313">
        <v>1706.6302599197058</v>
      </c>
      <c r="T192" s="313">
        <v>1681.5214943555018</v>
      </c>
    </row>
    <row r="193" spans="1:22" x14ac:dyDescent="0.25">
      <c r="A193" s="313">
        <v>6</v>
      </c>
      <c r="C193" s="313">
        <f t="shared" si="10"/>
        <v>62</v>
      </c>
      <c r="D193" s="313">
        <f t="shared" si="11"/>
        <v>45</v>
      </c>
      <c r="E193" s="313">
        <f t="shared" si="12"/>
        <v>14</v>
      </c>
      <c r="F193" s="313" t="str">
        <f t="shared" si="13"/>
        <v>pm</v>
      </c>
      <c r="G193" s="313" t="s">
        <v>515</v>
      </c>
      <c r="H193" s="313" t="s">
        <v>216</v>
      </c>
      <c r="I193" s="313" t="s">
        <v>186</v>
      </c>
      <c r="K193" s="314">
        <f t="shared" si="14"/>
        <v>1838.133719846739</v>
      </c>
      <c r="M193" s="314">
        <v>1800</v>
      </c>
      <c r="O193" s="313">
        <v>1779.977065877883</v>
      </c>
      <c r="R193" s="313" t="str">
        <f>IF(AND((J193="This"),(L193="Only")),VLOOKUP(G193,#REF!,7,FALSE),"")</f>
        <v/>
      </c>
      <c r="S193" s="313">
        <v>1830.0095482937588</v>
      </c>
      <c r="T193" s="313">
        <v>1800.3848611781038</v>
      </c>
      <c r="V193" s="313">
        <v>1838.133719846739</v>
      </c>
    </row>
    <row r="194" spans="1:22" x14ac:dyDescent="0.25">
      <c r="A194" s="313">
        <v>2</v>
      </c>
      <c r="C194" s="313">
        <f t="shared" ref="C194:C257" si="15">IF(E194=E193,C193+1,1)</f>
        <v>63</v>
      </c>
      <c r="D194" s="313">
        <f t="shared" ref="D194:D257" si="16">IF(M194=M193,D193,C194)</f>
        <v>45</v>
      </c>
      <c r="E194" s="313">
        <f t="shared" ref="E194:E257" si="17">10+VALUE(RIGHT(LEFT(G194,3),1))</f>
        <v>14</v>
      </c>
      <c r="F194" s="313" t="str">
        <f t="shared" ref="F194:F257" si="18">RIGHT(G194,2) &amp; IF(A194&lt;2,"x","")</f>
        <v>cr</v>
      </c>
      <c r="G194" s="313" t="s">
        <v>797</v>
      </c>
      <c r="H194" s="313" t="s">
        <v>593</v>
      </c>
      <c r="I194" s="313" t="s">
        <v>798</v>
      </c>
      <c r="K194" s="314">
        <f t="shared" ref="K194:K257" si="19">LOOKUP(1E+100,M194:AC194)</f>
        <v>1932.2992373846746</v>
      </c>
      <c r="M194" s="314">
        <v>1800</v>
      </c>
      <c r="R194" s="313" t="str">
        <f>IF(AND((J194="This"),(L194="Only")),VLOOKUP(G194,#REF!,7,FALSE),"")</f>
        <v/>
      </c>
      <c r="T194" s="313">
        <v>1932.2992373846746</v>
      </c>
    </row>
    <row r="195" spans="1:22" x14ac:dyDescent="0.25">
      <c r="A195" s="313">
        <v>2</v>
      </c>
      <c r="C195" s="313">
        <f t="shared" si="15"/>
        <v>64</v>
      </c>
      <c r="D195" s="313">
        <f t="shared" si="16"/>
        <v>45</v>
      </c>
      <c r="E195" s="313">
        <f t="shared" si="17"/>
        <v>14</v>
      </c>
      <c r="F195" s="313" t="str">
        <f t="shared" si="18"/>
        <v>pm</v>
      </c>
      <c r="G195" s="313" t="s">
        <v>799</v>
      </c>
      <c r="H195" s="313" t="s">
        <v>559</v>
      </c>
      <c r="I195" s="313" t="s">
        <v>800</v>
      </c>
      <c r="K195" s="314">
        <f t="shared" si="19"/>
        <v>1900.734248323354</v>
      </c>
      <c r="M195" s="314">
        <v>1800</v>
      </c>
      <c r="R195" s="313" t="str">
        <f>IF(AND((J195="This"),(L195="Only")),VLOOKUP(G195,#REF!,7,FALSE),"")</f>
        <v/>
      </c>
      <c r="V195" s="313">
        <v>1900.734248323354</v>
      </c>
    </row>
    <row r="196" spans="1:22" x14ac:dyDescent="0.25">
      <c r="A196" s="313">
        <v>2</v>
      </c>
      <c r="C196" s="313">
        <f t="shared" si="15"/>
        <v>65</v>
      </c>
      <c r="D196" s="313">
        <f t="shared" si="16"/>
        <v>45</v>
      </c>
      <c r="E196" s="313">
        <f t="shared" si="17"/>
        <v>14</v>
      </c>
      <c r="F196" s="313" t="str">
        <f t="shared" si="18"/>
        <v>pm</v>
      </c>
      <c r="G196" s="313" t="s">
        <v>801</v>
      </c>
      <c r="H196" s="313" t="s">
        <v>559</v>
      </c>
      <c r="I196" s="313" t="s">
        <v>802</v>
      </c>
      <c r="K196" s="314">
        <f t="shared" si="19"/>
        <v>1814.5725518335212</v>
      </c>
      <c r="M196" s="314">
        <v>1800</v>
      </c>
      <c r="R196" s="313" t="str">
        <f>IF(AND((J196="This"),(L196="Only")),VLOOKUP(G196,#REF!,7,FALSE),"")</f>
        <v/>
      </c>
      <c r="V196" s="313">
        <v>1814.5725518335212</v>
      </c>
    </row>
    <row r="197" spans="1:22" x14ac:dyDescent="0.25">
      <c r="A197" s="313">
        <v>2</v>
      </c>
      <c r="C197" s="313">
        <f t="shared" si="15"/>
        <v>66</v>
      </c>
      <c r="D197" s="313">
        <f t="shared" si="16"/>
        <v>45</v>
      </c>
      <c r="E197" s="313">
        <f t="shared" si="17"/>
        <v>14</v>
      </c>
      <c r="F197" s="313" t="str">
        <f t="shared" si="18"/>
        <v>pm</v>
      </c>
      <c r="G197" s="313" t="s">
        <v>803</v>
      </c>
      <c r="H197" s="313" t="s">
        <v>559</v>
      </c>
      <c r="I197" s="313" t="s">
        <v>804</v>
      </c>
      <c r="K197" s="314">
        <f t="shared" si="19"/>
        <v>1700.2368709686421</v>
      </c>
      <c r="M197" s="314">
        <v>1800</v>
      </c>
      <c r="R197" s="313" t="str">
        <f>IF(AND((J197="This"),(L197="Only")),VLOOKUP(G197,#REF!,7,FALSE),"")</f>
        <v/>
      </c>
      <c r="V197" s="313">
        <v>1700.2368709686421</v>
      </c>
    </row>
    <row r="198" spans="1:22" x14ac:dyDescent="0.25">
      <c r="A198" s="313">
        <v>2</v>
      </c>
      <c r="C198" s="313">
        <f t="shared" si="15"/>
        <v>67</v>
      </c>
      <c r="D198" s="313">
        <f t="shared" si="16"/>
        <v>45</v>
      </c>
      <c r="E198" s="313">
        <f t="shared" si="17"/>
        <v>14</v>
      </c>
      <c r="F198" s="313" t="str">
        <f t="shared" si="18"/>
        <v>pm</v>
      </c>
      <c r="G198" s="313" t="s">
        <v>805</v>
      </c>
      <c r="H198" s="313" t="s">
        <v>559</v>
      </c>
      <c r="I198" s="313" t="s">
        <v>806</v>
      </c>
      <c r="K198" s="314">
        <f t="shared" si="19"/>
        <v>1800</v>
      </c>
      <c r="M198" s="314">
        <v>1800</v>
      </c>
      <c r="R198" s="313" t="str">
        <f>IF(AND((J198="This"),(L198="Only")),VLOOKUP(G198,#REF!,7,FALSE),"")</f>
        <v/>
      </c>
    </row>
    <row r="199" spans="1:22" x14ac:dyDescent="0.25">
      <c r="A199" s="313">
        <v>2</v>
      </c>
      <c r="C199" s="313">
        <f t="shared" si="15"/>
        <v>68</v>
      </c>
      <c r="D199" s="313">
        <f t="shared" si="16"/>
        <v>45</v>
      </c>
      <c r="E199" s="313">
        <f t="shared" si="17"/>
        <v>14</v>
      </c>
      <c r="F199" s="313" t="str">
        <f t="shared" si="18"/>
        <v>pm</v>
      </c>
      <c r="G199" s="313" t="s">
        <v>807</v>
      </c>
      <c r="H199" s="313" t="s">
        <v>559</v>
      </c>
      <c r="I199" s="313" t="s">
        <v>808</v>
      </c>
      <c r="K199" s="314">
        <f t="shared" si="19"/>
        <v>1694.6804953151775</v>
      </c>
      <c r="M199" s="314">
        <v>1800</v>
      </c>
      <c r="R199" s="313" t="str">
        <f>IF(AND((J199="This"),(L199="Only")),VLOOKUP(G199,#REF!,7,FALSE),"")</f>
        <v/>
      </c>
      <c r="V199" s="313">
        <v>1694.6804953151775</v>
      </c>
    </row>
    <row r="200" spans="1:22" x14ac:dyDescent="0.25">
      <c r="A200" s="313">
        <v>2</v>
      </c>
      <c r="C200" s="313">
        <f t="shared" si="15"/>
        <v>69</v>
      </c>
      <c r="D200" s="313">
        <f t="shared" si="16"/>
        <v>45</v>
      </c>
      <c r="E200" s="313">
        <f t="shared" si="17"/>
        <v>14</v>
      </c>
      <c r="F200" s="313" t="str">
        <f t="shared" si="18"/>
        <v>pm</v>
      </c>
      <c r="G200" s="313" t="s">
        <v>809</v>
      </c>
      <c r="H200" s="313" t="s">
        <v>559</v>
      </c>
      <c r="I200" s="313" t="s">
        <v>810</v>
      </c>
      <c r="K200" s="314">
        <f t="shared" si="19"/>
        <v>1734.7837101165069</v>
      </c>
      <c r="M200" s="314">
        <v>1800</v>
      </c>
      <c r="R200" s="313" t="str">
        <f>IF(AND((J200="This"),(L200="Only")),VLOOKUP(G200,#REF!,7,FALSE),"")</f>
        <v/>
      </c>
      <c r="V200" s="313">
        <v>1734.7837101165069</v>
      </c>
    </row>
    <row r="201" spans="1:22" x14ac:dyDescent="0.25">
      <c r="A201" s="313">
        <v>3</v>
      </c>
      <c r="C201" s="313">
        <f t="shared" si="15"/>
        <v>70</v>
      </c>
      <c r="D201" s="313">
        <f t="shared" si="16"/>
        <v>45</v>
      </c>
      <c r="E201" s="313">
        <f t="shared" si="17"/>
        <v>14</v>
      </c>
      <c r="F201" s="313" t="str">
        <f t="shared" si="18"/>
        <v>pm</v>
      </c>
      <c r="G201" s="313" t="s">
        <v>528</v>
      </c>
      <c r="H201" s="313" t="s">
        <v>526</v>
      </c>
      <c r="I201" s="313" t="s">
        <v>527</v>
      </c>
      <c r="K201" s="314">
        <f t="shared" si="19"/>
        <v>1625.5722405667989</v>
      </c>
      <c r="M201" s="314">
        <v>1800</v>
      </c>
      <c r="O201" s="313">
        <v>1756.3448786492454</v>
      </c>
      <c r="R201" s="313" t="str">
        <f>IF(AND((J201="This"),(L201="Only")),VLOOKUP(G201,#REF!,7,FALSE),"")</f>
        <v/>
      </c>
      <c r="T201" s="313">
        <v>1625.5722405667989</v>
      </c>
    </row>
    <row r="202" spans="1:22" x14ac:dyDescent="0.25">
      <c r="A202" s="313">
        <v>1</v>
      </c>
      <c r="C202" s="313">
        <f t="shared" si="15"/>
        <v>71</v>
      </c>
      <c r="D202" s="313">
        <f t="shared" si="16"/>
        <v>45</v>
      </c>
      <c r="E202" s="313">
        <f t="shared" si="17"/>
        <v>14</v>
      </c>
      <c r="F202" s="313" t="str">
        <f t="shared" si="18"/>
        <v>sox</v>
      </c>
      <c r="G202" s="313" t="s">
        <v>456</v>
      </c>
      <c r="H202" s="313" t="s">
        <v>222</v>
      </c>
      <c r="I202" s="313" t="s">
        <v>455</v>
      </c>
      <c r="K202" s="314">
        <f t="shared" si="19"/>
        <v>1800</v>
      </c>
      <c r="M202" s="314">
        <v>1800</v>
      </c>
      <c r="R202" s="313" t="str">
        <f>IF(AND((J202="This"),(L202="Only")),VLOOKUP(G202,#REF!,7,FALSE),"")</f>
        <v/>
      </c>
    </row>
    <row r="203" spans="1:22" x14ac:dyDescent="0.25">
      <c r="A203" s="313">
        <v>4</v>
      </c>
      <c r="C203" s="313">
        <f t="shared" si="15"/>
        <v>72</v>
      </c>
      <c r="D203" s="313">
        <f t="shared" si="16"/>
        <v>45</v>
      </c>
      <c r="E203" s="313">
        <f t="shared" si="17"/>
        <v>14</v>
      </c>
      <c r="F203" s="313" t="str">
        <f t="shared" si="18"/>
        <v>pm</v>
      </c>
      <c r="G203" s="313" t="s">
        <v>507</v>
      </c>
      <c r="H203" s="313" t="s">
        <v>505</v>
      </c>
      <c r="I203" s="313" t="s">
        <v>506</v>
      </c>
      <c r="K203" s="314">
        <f t="shared" si="19"/>
        <v>1741.3689204677482</v>
      </c>
      <c r="M203" s="314">
        <v>1800</v>
      </c>
      <c r="O203" s="313">
        <v>1783.7626751486391</v>
      </c>
      <c r="R203" s="313" t="str">
        <f>IF(AND((J203="This"),(L203="Only")),VLOOKUP(G203,#REF!,7,FALSE),"")</f>
        <v/>
      </c>
      <c r="T203" s="313">
        <v>1706.7949714909773</v>
      </c>
      <c r="V203" s="313">
        <v>1741.3689204677482</v>
      </c>
    </row>
    <row r="204" spans="1:22" x14ac:dyDescent="0.25">
      <c r="A204" s="313">
        <v>7</v>
      </c>
      <c r="C204" s="313">
        <f t="shared" si="15"/>
        <v>73</v>
      </c>
      <c r="D204" s="313">
        <f t="shared" si="16"/>
        <v>45</v>
      </c>
      <c r="E204" s="313">
        <f t="shared" si="17"/>
        <v>14</v>
      </c>
      <c r="F204" s="313" t="str">
        <f t="shared" si="18"/>
        <v>pm</v>
      </c>
      <c r="G204" s="313" t="s">
        <v>417</v>
      </c>
      <c r="H204" s="313" t="s">
        <v>211</v>
      </c>
      <c r="I204" s="313" t="s">
        <v>416</v>
      </c>
      <c r="K204" s="314">
        <f t="shared" si="19"/>
        <v>1716.1266950832369</v>
      </c>
      <c r="M204" s="314">
        <v>1800</v>
      </c>
      <c r="O204" s="313">
        <v>1721.8318533664537</v>
      </c>
      <c r="R204" s="313" t="str">
        <f>IF(AND((J204="This"),(L204="Only")),VLOOKUP(G204,#REF!,7,FALSE),"")</f>
        <v/>
      </c>
      <c r="S204" s="313">
        <v>1690.476591806912</v>
      </c>
      <c r="T204" s="313">
        <v>1697.8792064296672</v>
      </c>
      <c r="V204" s="313">
        <v>1716.1266950832369</v>
      </c>
    </row>
    <row r="205" spans="1:22" x14ac:dyDescent="0.25">
      <c r="A205" s="313">
        <v>5</v>
      </c>
      <c r="C205" s="313">
        <f t="shared" si="15"/>
        <v>74</v>
      </c>
      <c r="D205" s="313">
        <f t="shared" si="16"/>
        <v>45</v>
      </c>
      <c r="E205" s="313">
        <f t="shared" si="17"/>
        <v>14</v>
      </c>
      <c r="F205" s="313" t="str">
        <f t="shared" si="18"/>
        <v>pm</v>
      </c>
      <c r="G205" s="313" t="s">
        <v>312</v>
      </c>
      <c r="H205" s="313" t="s">
        <v>201</v>
      </c>
      <c r="I205" s="313" t="s">
        <v>184</v>
      </c>
      <c r="K205" s="314">
        <f t="shared" si="19"/>
        <v>1570.7017546104134</v>
      </c>
      <c r="M205" s="314">
        <v>1800</v>
      </c>
      <c r="R205" s="313" t="str">
        <f>IF(AND((J205="This"),(L205="Only")),VLOOKUP(G205,#REF!,7,FALSE),"")</f>
        <v/>
      </c>
      <c r="S205" s="313">
        <v>1704.9165570856503</v>
      </c>
      <c r="T205" s="313">
        <v>1651.4456963857826</v>
      </c>
      <c r="V205" s="313">
        <v>1570.7017546104134</v>
      </c>
    </row>
    <row r="206" spans="1:22" x14ac:dyDescent="0.25">
      <c r="A206" s="313">
        <v>5</v>
      </c>
      <c r="C206" s="313">
        <f t="shared" si="15"/>
        <v>75</v>
      </c>
      <c r="D206" s="313">
        <f t="shared" si="16"/>
        <v>45</v>
      </c>
      <c r="E206" s="313">
        <f t="shared" si="17"/>
        <v>14</v>
      </c>
      <c r="F206" s="313" t="str">
        <f t="shared" si="18"/>
        <v>pm</v>
      </c>
      <c r="G206" s="313" t="s">
        <v>257</v>
      </c>
      <c r="H206" s="313" t="s">
        <v>201</v>
      </c>
      <c r="I206" s="313" t="s">
        <v>313</v>
      </c>
      <c r="K206" s="314">
        <f t="shared" si="19"/>
        <v>1720.2289335203257</v>
      </c>
      <c r="M206" s="314">
        <v>1800</v>
      </c>
      <c r="R206" s="313" t="str">
        <f>IF(AND((J206="This"),(L206="Only")),VLOOKUP(G206,#REF!,7,FALSE),"")</f>
        <v/>
      </c>
      <c r="S206" s="313">
        <v>1728.9414825506315</v>
      </c>
      <c r="T206" s="313">
        <v>1684.852427864196</v>
      </c>
      <c r="V206" s="313">
        <v>1720.2289335203257</v>
      </c>
    </row>
    <row r="207" spans="1:22" x14ac:dyDescent="0.25">
      <c r="A207" s="313">
        <v>1</v>
      </c>
      <c r="C207" s="313">
        <f t="shared" si="15"/>
        <v>76</v>
      </c>
      <c r="D207" s="313">
        <f t="shared" si="16"/>
        <v>45</v>
      </c>
      <c r="E207" s="313">
        <f t="shared" si="17"/>
        <v>14</v>
      </c>
      <c r="F207" s="313" t="str">
        <f t="shared" si="18"/>
        <v>crx</v>
      </c>
      <c r="G207" s="313" t="s">
        <v>811</v>
      </c>
      <c r="H207" s="313" t="s">
        <v>812</v>
      </c>
      <c r="I207" s="313" t="s">
        <v>812</v>
      </c>
      <c r="K207" s="314">
        <f t="shared" si="19"/>
        <v>1945.8582482864797</v>
      </c>
      <c r="M207" s="314">
        <v>1800</v>
      </c>
      <c r="R207" s="313" t="str">
        <f>IF(AND((J207="This"),(L207="Only")),VLOOKUP(G207,#REF!,7,FALSE),"")</f>
        <v/>
      </c>
      <c r="T207" s="313">
        <v>1871.6837848905743</v>
      </c>
      <c r="V207" s="313">
        <v>1945.8582482864797</v>
      </c>
    </row>
    <row r="208" spans="1:22" x14ac:dyDescent="0.25">
      <c r="A208" s="313">
        <v>1</v>
      </c>
      <c r="C208" s="313">
        <f t="shared" si="15"/>
        <v>77</v>
      </c>
      <c r="D208" s="313">
        <f t="shared" si="16"/>
        <v>45</v>
      </c>
      <c r="E208" s="313">
        <f t="shared" si="17"/>
        <v>14</v>
      </c>
      <c r="F208" s="313" t="str">
        <f t="shared" si="18"/>
        <v>crx</v>
      </c>
      <c r="G208" s="313" t="s">
        <v>401</v>
      </c>
      <c r="H208" s="313" t="s">
        <v>402</v>
      </c>
      <c r="I208" s="313" t="s">
        <v>400</v>
      </c>
      <c r="K208" s="314">
        <f t="shared" si="19"/>
        <v>1800</v>
      </c>
      <c r="M208" s="314">
        <v>1800</v>
      </c>
      <c r="R208" s="313" t="str">
        <f>IF(AND((J208="This"),(L208="Only")),VLOOKUP(G208,#REF!,7,FALSE),"")</f>
        <v/>
      </c>
    </row>
    <row r="209" spans="1:23" x14ac:dyDescent="0.25">
      <c r="A209" s="313">
        <v>1</v>
      </c>
      <c r="C209" s="313">
        <f t="shared" si="15"/>
        <v>78</v>
      </c>
      <c r="D209" s="313">
        <f t="shared" si="16"/>
        <v>45</v>
      </c>
      <c r="E209" s="313">
        <f t="shared" si="17"/>
        <v>14</v>
      </c>
      <c r="F209" s="313" t="str">
        <f t="shared" si="18"/>
        <v>pmx</v>
      </c>
      <c r="G209" s="313" t="s">
        <v>465</v>
      </c>
      <c r="H209" s="313" t="s">
        <v>182</v>
      </c>
      <c r="I209" s="313" t="s">
        <v>464</v>
      </c>
      <c r="K209" s="314">
        <f t="shared" si="19"/>
        <v>1865.2574148016322</v>
      </c>
      <c r="M209" s="314">
        <v>1800</v>
      </c>
      <c r="R209" s="313" t="str">
        <f>IF(AND((J209="This"),(L209="Only")),VLOOKUP(G209,#REF!,7,FALSE),"")</f>
        <v/>
      </c>
      <c r="S209" s="313">
        <v>1865.2574148016322</v>
      </c>
    </row>
    <row r="210" spans="1:23" x14ac:dyDescent="0.25">
      <c r="A210" s="313">
        <v>5</v>
      </c>
      <c r="C210" s="313">
        <f t="shared" si="15"/>
        <v>79</v>
      </c>
      <c r="D210" s="313">
        <f t="shared" si="16"/>
        <v>45</v>
      </c>
      <c r="E210" s="313">
        <f t="shared" si="17"/>
        <v>14</v>
      </c>
      <c r="F210" s="313" t="str">
        <f t="shared" si="18"/>
        <v>pm</v>
      </c>
      <c r="G210" s="313" t="s">
        <v>383</v>
      </c>
      <c r="H210" s="313" t="s">
        <v>205</v>
      </c>
      <c r="I210" s="313" t="s">
        <v>382</v>
      </c>
      <c r="K210" s="314">
        <f t="shared" si="19"/>
        <v>1805.1071930791211</v>
      </c>
      <c r="M210" s="314">
        <v>1800</v>
      </c>
      <c r="R210" s="313" t="str">
        <f>IF(AND((J210="This"),(L210="Only")),VLOOKUP(G210,#REF!,7,FALSE),"")</f>
        <v/>
      </c>
      <c r="S210" s="313">
        <v>1816.3597723411556</v>
      </c>
      <c r="T210" s="313">
        <v>1799.9656310899888</v>
      </c>
      <c r="V210" s="313">
        <v>1805.1071930791211</v>
      </c>
    </row>
    <row r="211" spans="1:23" x14ac:dyDescent="0.25">
      <c r="A211" s="313">
        <v>1</v>
      </c>
      <c r="C211" s="313">
        <f t="shared" si="15"/>
        <v>80</v>
      </c>
      <c r="D211" s="313">
        <f t="shared" si="16"/>
        <v>45</v>
      </c>
      <c r="E211" s="313">
        <f t="shared" si="17"/>
        <v>14</v>
      </c>
      <c r="F211" s="313" t="str">
        <f t="shared" si="18"/>
        <v>sox</v>
      </c>
      <c r="G211" s="313" t="s">
        <v>323</v>
      </c>
      <c r="H211" s="313" t="s">
        <v>212</v>
      </c>
      <c r="I211" s="313" t="s">
        <v>437</v>
      </c>
      <c r="K211" s="314">
        <f t="shared" si="19"/>
        <v>1800</v>
      </c>
      <c r="M211" s="314">
        <v>1800</v>
      </c>
      <c r="R211" s="313" t="str">
        <f>IF(AND((J211="This"),(L211="Only")),VLOOKUP(G211,#REF!,7,FALSE),"")</f>
        <v/>
      </c>
    </row>
    <row r="212" spans="1:23" x14ac:dyDescent="0.25">
      <c r="A212" s="313">
        <v>1</v>
      </c>
      <c r="C212" s="313">
        <f t="shared" si="15"/>
        <v>81</v>
      </c>
      <c r="D212" s="313">
        <f t="shared" si="16"/>
        <v>45</v>
      </c>
      <c r="E212" s="313">
        <f t="shared" si="17"/>
        <v>14</v>
      </c>
      <c r="F212" s="313" t="str">
        <f t="shared" si="18"/>
        <v>sox</v>
      </c>
      <c r="G212" s="313" t="s">
        <v>439</v>
      </c>
      <c r="H212" s="313" t="s">
        <v>212</v>
      </c>
      <c r="I212" s="313" t="s">
        <v>438</v>
      </c>
      <c r="K212" s="314">
        <f t="shared" si="19"/>
        <v>1800</v>
      </c>
      <c r="M212" s="314">
        <v>1800</v>
      </c>
      <c r="R212" s="313" t="str">
        <f>IF(AND((J212="This"),(L212="Only")),VLOOKUP(G212,#REF!,7,FALSE),"")</f>
        <v/>
      </c>
    </row>
    <row r="213" spans="1:23" x14ac:dyDescent="0.25">
      <c r="A213" s="313">
        <v>4</v>
      </c>
      <c r="C213" s="313">
        <f t="shared" si="15"/>
        <v>82</v>
      </c>
      <c r="D213" s="313">
        <f t="shared" si="16"/>
        <v>45</v>
      </c>
      <c r="E213" s="313">
        <f t="shared" si="17"/>
        <v>14</v>
      </c>
      <c r="F213" s="313" t="str">
        <f t="shared" si="18"/>
        <v>pm</v>
      </c>
      <c r="G213" s="313" t="s">
        <v>498</v>
      </c>
      <c r="H213" s="313" t="s">
        <v>494</v>
      </c>
      <c r="I213" s="313" t="s">
        <v>497</v>
      </c>
      <c r="K213" s="314">
        <f t="shared" si="19"/>
        <v>1741.8911152621556</v>
      </c>
      <c r="M213" s="314">
        <v>1800</v>
      </c>
      <c r="R213" s="313" t="str">
        <f>IF(AND((J213="This"),(L213="Only")),VLOOKUP(G213,#REF!,7,FALSE),"")</f>
        <v/>
      </c>
      <c r="S213" s="313">
        <v>1810.7634942276854</v>
      </c>
      <c r="V213" s="313">
        <v>1741.8911152621556</v>
      </c>
    </row>
    <row r="214" spans="1:23" x14ac:dyDescent="0.25">
      <c r="A214" s="313">
        <v>2</v>
      </c>
      <c r="C214" s="313">
        <f t="shared" si="15"/>
        <v>1</v>
      </c>
      <c r="D214" s="313">
        <f t="shared" si="16"/>
        <v>1</v>
      </c>
      <c r="E214" s="313">
        <f t="shared" si="17"/>
        <v>15</v>
      </c>
      <c r="F214" s="313" t="str">
        <f t="shared" si="18"/>
        <v>pm</v>
      </c>
      <c r="G214" s="313" t="s">
        <v>813</v>
      </c>
      <c r="H214" s="313" t="s">
        <v>201</v>
      </c>
      <c r="I214" s="313" t="s">
        <v>814</v>
      </c>
      <c r="K214" s="314">
        <f t="shared" si="19"/>
        <v>2486.3121659690087</v>
      </c>
      <c r="M214" s="314">
        <v>2400</v>
      </c>
      <c r="R214" s="313" t="str">
        <f>IF(AND((J214="This"),(L214="Only")),VLOOKUP(G214,#REF!,7,FALSE),"")</f>
        <v/>
      </c>
      <c r="U214" s="313">
        <v>2493.626289433224</v>
      </c>
      <c r="W214" s="313">
        <v>2486.3121659690087</v>
      </c>
    </row>
    <row r="215" spans="1:23" x14ac:dyDescent="0.25">
      <c r="A215" s="313">
        <v>7</v>
      </c>
      <c r="C215" s="313">
        <f t="shared" si="15"/>
        <v>2</v>
      </c>
      <c r="D215" s="313">
        <f t="shared" si="16"/>
        <v>2</v>
      </c>
      <c r="E215" s="313">
        <f t="shared" si="17"/>
        <v>15</v>
      </c>
      <c r="F215" s="313" t="str">
        <f t="shared" si="18"/>
        <v>pm</v>
      </c>
      <c r="G215" s="313" t="s">
        <v>815</v>
      </c>
      <c r="H215" s="313" t="s">
        <v>697</v>
      </c>
      <c r="I215" s="313" t="s">
        <v>816</v>
      </c>
      <c r="K215" s="314">
        <f t="shared" si="19"/>
        <v>2043.4409293967788</v>
      </c>
      <c r="M215" s="314">
        <v>2428.5714285714284</v>
      </c>
      <c r="O215" s="313">
        <v>2268.7826308362091</v>
      </c>
      <c r="P215" s="313">
        <v>2236.1285794773908</v>
      </c>
      <c r="R215" s="313" t="str">
        <f>IF(AND((J215="This"),(L215="Only")),VLOOKUP(G215,#REF!,7,FALSE),"")</f>
        <v/>
      </c>
      <c r="S215" s="313">
        <v>2195.5636434586636</v>
      </c>
      <c r="U215" s="313">
        <v>2140.9672825573971</v>
      </c>
      <c r="V215" s="313">
        <v>2043.4409293967788</v>
      </c>
    </row>
    <row r="216" spans="1:23" x14ac:dyDescent="0.25">
      <c r="A216" s="313">
        <v>1</v>
      </c>
      <c r="C216" s="313">
        <f t="shared" si="15"/>
        <v>3</v>
      </c>
      <c r="D216" s="313">
        <f t="shared" si="16"/>
        <v>3</v>
      </c>
      <c r="E216" s="313">
        <f t="shared" si="17"/>
        <v>15</v>
      </c>
      <c r="F216" s="313" t="str">
        <f t="shared" si="18"/>
        <v>sox</v>
      </c>
      <c r="G216" s="313" t="s">
        <v>817</v>
      </c>
      <c r="H216" s="313" t="s">
        <v>575</v>
      </c>
      <c r="I216" s="313" t="s">
        <v>818</v>
      </c>
      <c r="K216" s="314">
        <f t="shared" si="19"/>
        <v>2282.1780115266283</v>
      </c>
      <c r="M216" s="314">
        <v>2400</v>
      </c>
      <c r="R216" s="313" t="str">
        <f>IF(AND((J216="This"),(L216="Only")),VLOOKUP(G216,#REF!,7,FALSE),"")</f>
        <v/>
      </c>
      <c r="U216" s="313">
        <v>2282.1780115266283</v>
      </c>
    </row>
    <row r="217" spans="1:23" x14ac:dyDescent="0.25">
      <c r="A217" s="313">
        <v>1</v>
      </c>
      <c r="C217" s="313">
        <f t="shared" si="15"/>
        <v>4</v>
      </c>
      <c r="D217" s="313">
        <f t="shared" si="16"/>
        <v>3</v>
      </c>
      <c r="E217" s="313">
        <f t="shared" si="17"/>
        <v>15</v>
      </c>
      <c r="F217" s="313" t="str">
        <f t="shared" si="18"/>
        <v>crx</v>
      </c>
      <c r="G217" s="313" t="s">
        <v>819</v>
      </c>
      <c r="H217" s="313" t="s">
        <v>209</v>
      </c>
      <c r="I217" s="313" t="s">
        <v>820</v>
      </c>
      <c r="K217" s="314">
        <f t="shared" si="19"/>
        <v>2400</v>
      </c>
      <c r="M217" s="314">
        <v>2400</v>
      </c>
      <c r="R217" s="313" t="str">
        <f>IF(AND((J217="This"),(L217="Only")),VLOOKUP(G217,#REF!,7,FALSE),"")</f>
        <v/>
      </c>
    </row>
    <row r="218" spans="1:23" x14ac:dyDescent="0.25">
      <c r="A218" s="313">
        <v>2</v>
      </c>
      <c r="C218" s="313">
        <f t="shared" si="15"/>
        <v>5</v>
      </c>
      <c r="D218" s="313">
        <f t="shared" si="16"/>
        <v>3</v>
      </c>
      <c r="E218" s="313">
        <f t="shared" si="17"/>
        <v>15</v>
      </c>
      <c r="F218" s="313" t="str">
        <f t="shared" si="18"/>
        <v>cr</v>
      </c>
      <c r="G218" s="313" t="s">
        <v>239</v>
      </c>
      <c r="H218" s="313" t="s">
        <v>209</v>
      </c>
      <c r="I218" s="313" t="s">
        <v>821</v>
      </c>
      <c r="K218" s="314">
        <f t="shared" si="19"/>
        <v>2400</v>
      </c>
      <c r="M218" s="314">
        <v>2400</v>
      </c>
      <c r="R218" s="313" t="str">
        <f>IF(AND((J218="This"),(L218="Only")),VLOOKUP(G218,#REF!,7,FALSE),"")</f>
        <v/>
      </c>
    </row>
    <row r="219" spans="1:23" x14ac:dyDescent="0.25">
      <c r="A219" s="313">
        <v>1</v>
      </c>
      <c r="C219" s="313">
        <f t="shared" si="15"/>
        <v>6</v>
      </c>
      <c r="D219" s="313">
        <f t="shared" si="16"/>
        <v>3</v>
      </c>
      <c r="E219" s="313">
        <f t="shared" si="17"/>
        <v>15</v>
      </c>
      <c r="F219" s="313" t="str">
        <f t="shared" si="18"/>
        <v>sox</v>
      </c>
      <c r="G219" s="313" t="s">
        <v>822</v>
      </c>
      <c r="H219" s="313" t="s">
        <v>823</v>
      </c>
      <c r="I219" s="313" t="s">
        <v>824</v>
      </c>
      <c r="K219" s="314">
        <f t="shared" si="19"/>
        <v>2400</v>
      </c>
      <c r="M219" s="314">
        <v>2400</v>
      </c>
      <c r="R219" s="313" t="str">
        <f>IF(AND((J219="This"),(L219="Only")),VLOOKUP(G219,#REF!,7,FALSE),"")</f>
        <v/>
      </c>
    </row>
    <row r="220" spans="1:23" x14ac:dyDescent="0.25">
      <c r="A220" s="313">
        <v>2</v>
      </c>
      <c r="C220" s="313">
        <f t="shared" si="15"/>
        <v>7</v>
      </c>
      <c r="D220" s="313">
        <f t="shared" si="16"/>
        <v>3</v>
      </c>
      <c r="E220" s="313">
        <f t="shared" si="17"/>
        <v>15</v>
      </c>
      <c r="F220" s="313" t="str">
        <f t="shared" si="18"/>
        <v>pm</v>
      </c>
      <c r="G220" s="313" t="s">
        <v>825</v>
      </c>
      <c r="H220" s="313" t="s">
        <v>213</v>
      </c>
      <c r="I220" s="313" t="s">
        <v>826</v>
      </c>
      <c r="K220" s="314">
        <f t="shared" si="19"/>
        <v>2492.2492453469672</v>
      </c>
      <c r="M220" s="314">
        <v>2400</v>
      </c>
      <c r="N220" s="313">
        <v>2492.2492453469672</v>
      </c>
      <c r="R220" s="313" t="str">
        <f>IF(AND((J220="This"),(L220="Only")),VLOOKUP(G220,#REF!,7,FALSE),"")</f>
        <v/>
      </c>
    </row>
    <row r="221" spans="1:23" x14ac:dyDescent="0.25">
      <c r="A221" s="313">
        <v>1</v>
      </c>
      <c r="C221" s="313">
        <f t="shared" si="15"/>
        <v>8</v>
      </c>
      <c r="D221" s="313">
        <f t="shared" si="16"/>
        <v>3</v>
      </c>
      <c r="E221" s="313">
        <f t="shared" si="17"/>
        <v>15</v>
      </c>
      <c r="F221" s="313" t="str">
        <f t="shared" si="18"/>
        <v>crx</v>
      </c>
      <c r="G221" s="313" t="s">
        <v>827</v>
      </c>
      <c r="H221" s="313" t="s">
        <v>828</v>
      </c>
      <c r="I221" s="313" t="s">
        <v>829</v>
      </c>
      <c r="K221" s="314">
        <f t="shared" si="19"/>
        <v>2553.7103374604826</v>
      </c>
      <c r="M221" s="314">
        <v>2400</v>
      </c>
      <c r="R221" s="313" t="str">
        <f>IF(AND((J221="This"),(L221="Only")),VLOOKUP(G221,#REF!,7,FALSE),"")</f>
        <v/>
      </c>
      <c r="U221" s="313">
        <v>2553.7103374604826</v>
      </c>
    </row>
    <row r="222" spans="1:23" x14ac:dyDescent="0.25">
      <c r="A222" s="313">
        <v>3</v>
      </c>
      <c r="C222" s="313">
        <f t="shared" si="15"/>
        <v>9</v>
      </c>
      <c r="D222" s="313">
        <f t="shared" si="16"/>
        <v>3</v>
      </c>
      <c r="E222" s="313">
        <f t="shared" si="17"/>
        <v>15</v>
      </c>
      <c r="F222" s="313" t="str">
        <f t="shared" si="18"/>
        <v>pm</v>
      </c>
      <c r="G222" s="313" t="s">
        <v>830</v>
      </c>
      <c r="H222" s="313" t="s">
        <v>207</v>
      </c>
      <c r="I222" s="313" t="s">
        <v>831</v>
      </c>
      <c r="K222" s="314">
        <f t="shared" si="19"/>
        <v>2502.5098735044567</v>
      </c>
      <c r="M222" s="314">
        <v>2400</v>
      </c>
      <c r="N222" s="313">
        <v>2499.7117552915306</v>
      </c>
      <c r="R222" s="313" t="str">
        <f>IF(AND((J222="This"),(L222="Only")),VLOOKUP(G222,#REF!,7,FALSE),"")</f>
        <v/>
      </c>
      <c r="U222" s="313">
        <v>2502.5098735044567</v>
      </c>
    </row>
    <row r="223" spans="1:23" x14ac:dyDescent="0.25">
      <c r="A223" s="313">
        <v>4</v>
      </c>
      <c r="C223" s="313">
        <f t="shared" si="15"/>
        <v>10</v>
      </c>
      <c r="D223" s="313">
        <f t="shared" si="16"/>
        <v>3</v>
      </c>
      <c r="E223" s="313">
        <f t="shared" si="17"/>
        <v>15</v>
      </c>
      <c r="F223" s="313" t="str">
        <f t="shared" si="18"/>
        <v>pm</v>
      </c>
      <c r="G223" s="313" t="s">
        <v>832</v>
      </c>
      <c r="H223" s="313" t="s">
        <v>207</v>
      </c>
      <c r="I223" s="313" t="s">
        <v>833</v>
      </c>
      <c r="K223" s="314">
        <f t="shared" si="19"/>
        <v>2527.2786745948765</v>
      </c>
      <c r="M223" s="314">
        <v>2400</v>
      </c>
      <c r="N223" s="313">
        <v>2470.5474448149635</v>
      </c>
      <c r="R223" s="313" t="str">
        <f>IF(AND((J223="This"),(L223="Only")),VLOOKUP(G223,#REF!,7,FALSE),"")</f>
        <v/>
      </c>
      <c r="U223" s="313">
        <v>2527.2786745948765</v>
      </c>
    </row>
    <row r="224" spans="1:23" x14ac:dyDescent="0.25">
      <c r="A224" s="313">
        <v>4</v>
      </c>
      <c r="C224" s="313">
        <f t="shared" si="15"/>
        <v>11</v>
      </c>
      <c r="D224" s="313">
        <f t="shared" si="16"/>
        <v>3</v>
      </c>
      <c r="E224" s="313">
        <f t="shared" si="17"/>
        <v>15</v>
      </c>
      <c r="F224" s="313" t="str">
        <f t="shared" si="18"/>
        <v>pm</v>
      </c>
      <c r="G224" s="313" t="s">
        <v>834</v>
      </c>
      <c r="H224" s="313" t="s">
        <v>207</v>
      </c>
      <c r="I224" s="313" t="s">
        <v>835</v>
      </c>
      <c r="K224" s="314">
        <f t="shared" si="19"/>
        <v>2375.6682246005921</v>
      </c>
      <c r="M224" s="314">
        <v>2400</v>
      </c>
      <c r="N224" s="313">
        <v>2369.6009381256022</v>
      </c>
      <c r="R224" s="313" t="str">
        <f>IF(AND((J224="This"),(L224="Only")),VLOOKUP(G224,#REF!,7,FALSE),"")</f>
        <v/>
      </c>
      <c r="U224" s="313">
        <v>2359.4300065726879</v>
      </c>
      <c r="W224" s="313">
        <v>2375.6682246005921</v>
      </c>
    </row>
    <row r="225" spans="1:23" x14ac:dyDescent="0.25">
      <c r="A225" s="313">
        <v>5</v>
      </c>
      <c r="C225" s="313">
        <f t="shared" si="15"/>
        <v>12</v>
      </c>
      <c r="D225" s="313">
        <f t="shared" si="16"/>
        <v>3</v>
      </c>
      <c r="E225" s="313">
        <f t="shared" si="17"/>
        <v>15</v>
      </c>
      <c r="F225" s="313" t="str">
        <f t="shared" si="18"/>
        <v>pm</v>
      </c>
      <c r="G225" s="313" t="s">
        <v>836</v>
      </c>
      <c r="H225" s="313" t="s">
        <v>286</v>
      </c>
      <c r="I225" s="313" t="s">
        <v>837</v>
      </c>
      <c r="K225" s="314">
        <f t="shared" si="19"/>
        <v>2354.5146283160193</v>
      </c>
      <c r="M225" s="314">
        <v>2400</v>
      </c>
      <c r="N225" s="313">
        <v>2394.4035633824892</v>
      </c>
      <c r="R225" s="313" t="str">
        <f>IF(AND((J225="This"),(L225="Only")),VLOOKUP(G225,#REF!,7,FALSE),"")</f>
        <v/>
      </c>
      <c r="S225" s="313">
        <v>2392.8165751582583</v>
      </c>
      <c r="U225" s="313">
        <v>2381.8006957841599</v>
      </c>
      <c r="W225" s="313">
        <v>2354.5146283160193</v>
      </c>
    </row>
    <row r="226" spans="1:23" x14ac:dyDescent="0.25">
      <c r="A226" s="313">
        <v>6</v>
      </c>
      <c r="C226" s="313">
        <f t="shared" si="15"/>
        <v>13</v>
      </c>
      <c r="D226" s="313">
        <f t="shared" si="16"/>
        <v>3</v>
      </c>
      <c r="E226" s="313">
        <f t="shared" si="17"/>
        <v>15</v>
      </c>
      <c r="F226" s="313" t="str">
        <f t="shared" si="18"/>
        <v>pm</v>
      </c>
      <c r="G226" s="313" t="s">
        <v>838</v>
      </c>
      <c r="H226" s="313" t="s">
        <v>204</v>
      </c>
      <c r="I226" s="313" t="s">
        <v>839</v>
      </c>
      <c r="K226" s="314">
        <f t="shared" si="19"/>
        <v>2450.4890891409045</v>
      </c>
      <c r="M226" s="314">
        <v>2400</v>
      </c>
      <c r="N226" s="313">
        <v>2461.9045489450959</v>
      </c>
      <c r="P226" s="313">
        <v>2478.9577728246177</v>
      </c>
      <c r="R226" s="313" t="str">
        <f>IF(AND((J226="This"),(L226="Only")),VLOOKUP(G226,#REF!,7,FALSE),"")</f>
        <v/>
      </c>
      <c r="S226" s="313">
        <v>2469.2170727327562</v>
      </c>
      <c r="U226" s="313">
        <v>2442.1065800796255</v>
      </c>
      <c r="W226" s="313">
        <v>2450.4890891409045</v>
      </c>
    </row>
    <row r="227" spans="1:23" x14ac:dyDescent="0.25">
      <c r="A227" s="313">
        <v>3</v>
      </c>
      <c r="C227" s="313">
        <f t="shared" si="15"/>
        <v>14</v>
      </c>
      <c r="D227" s="313">
        <f t="shared" si="16"/>
        <v>3</v>
      </c>
      <c r="E227" s="313">
        <f t="shared" si="17"/>
        <v>15</v>
      </c>
      <c r="F227" s="313" t="str">
        <f t="shared" si="18"/>
        <v>pm</v>
      </c>
      <c r="G227" s="313" t="s">
        <v>840</v>
      </c>
      <c r="H227" s="313" t="s">
        <v>473</v>
      </c>
      <c r="I227" s="313" t="s">
        <v>841</v>
      </c>
      <c r="K227" s="314">
        <f t="shared" si="19"/>
        <v>2382.5277444743001</v>
      </c>
      <c r="M227" s="314">
        <v>2400</v>
      </c>
      <c r="R227" s="313" t="str">
        <f>IF(AND((J227="This"),(L227="Only")),VLOOKUP(G227,#REF!,7,FALSE),"")</f>
        <v/>
      </c>
      <c r="S227" s="313">
        <v>2354.7201914323136</v>
      </c>
      <c r="U227" s="313">
        <v>2382.5277444743001</v>
      </c>
    </row>
    <row r="228" spans="1:23" x14ac:dyDescent="0.25">
      <c r="A228" s="313">
        <v>1</v>
      </c>
      <c r="C228" s="313">
        <f t="shared" si="15"/>
        <v>15</v>
      </c>
      <c r="D228" s="313">
        <f t="shared" si="16"/>
        <v>3</v>
      </c>
      <c r="E228" s="313">
        <f t="shared" si="17"/>
        <v>15</v>
      </c>
      <c r="F228" s="313" t="str">
        <f t="shared" si="18"/>
        <v>pmx</v>
      </c>
      <c r="G228" s="313" t="s">
        <v>842</v>
      </c>
      <c r="H228" s="313" t="s">
        <v>650</v>
      </c>
      <c r="I228" s="313" t="s">
        <v>843</v>
      </c>
      <c r="K228" s="314">
        <f t="shared" si="19"/>
        <v>2469.0795299678753</v>
      </c>
      <c r="M228" s="314">
        <v>2400</v>
      </c>
      <c r="R228" s="313" t="str">
        <f>IF(AND((J228="This"),(L228="Only")),VLOOKUP(G228,#REF!,7,FALSE),"")</f>
        <v/>
      </c>
      <c r="U228" s="313">
        <v>2469.0795299678753</v>
      </c>
    </row>
    <row r="229" spans="1:23" x14ac:dyDescent="0.25">
      <c r="A229" s="313">
        <v>1</v>
      </c>
      <c r="C229" s="313">
        <f t="shared" si="15"/>
        <v>16</v>
      </c>
      <c r="D229" s="313">
        <f t="shared" si="16"/>
        <v>3</v>
      </c>
      <c r="E229" s="313">
        <f t="shared" si="17"/>
        <v>15</v>
      </c>
      <c r="F229" s="313" t="str">
        <f t="shared" si="18"/>
        <v>pmx</v>
      </c>
      <c r="G229" s="313" t="s">
        <v>844</v>
      </c>
      <c r="H229" s="313" t="s">
        <v>650</v>
      </c>
      <c r="I229" s="313" t="s">
        <v>845</v>
      </c>
      <c r="K229" s="314">
        <f t="shared" si="19"/>
        <v>2406.1102551230915</v>
      </c>
      <c r="M229" s="314">
        <v>2400</v>
      </c>
      <c r="R229" s="313" t="str">
        <f>IF(AND((J229="This"),(L229="Only")),VLOOKUP(G229,#REF!,7,FALSE),"")</f>
        <v/>
      </c>
      <c r="U229" s="313">
        <v>2406.1102551230915</v>
      </c>
    </row>
    <row r="230" spans="1:23" x14ac:dyDescent="0.25">
      <c r="A230" s="313">
        <v>1</v>
      </c>
      <c r="C230" s="313">
        <f t="shared" si="15"/>
        <v>17</v>
      </c>
      <c r="D230" s="313">
        <f t="shared" si="16"/>
        <v>3</v>
      </c>
      <c r="E230" s="313">
        <f t="shared" si="17"/>
        <v>15</v>
      </c>
      <c r="F230" s="313" t="str">
        <f t="shared" si="18"/>
        <v>crx</v>
      </c>
      <c r="G230" s="313" t="s">
        <v>846</v>
      </c>
      <c r="H230" s="313" t="s">
        <v>283</v>
      </c>
      <c r="I230" s="313" t="s">
        <v>847</v>
      </c>
      <c r="K230" s="314">
        <f t="shared" si="19"/>
        <v>2400</v>
      </c>
      <c r="M230" s="314">
        <v>2400</v>
      </c>
      <c r="R230" s="313" t="str">
        <f>IF(AND((J230="This"),(L230="Only")),VLOOKUP(G230,#REF!,7,FALSE),"")</f>
        <v/>
      </c>
    </row>
    <row r="231" spans="1:23" x14ac:dyDescent="0.25">
      <c r="A231" s="313">
        <v>4</v>
      </c>
      <c r="C231" s="313">
        <f t="shared" si="15"/>
        <v>18</v>
      </c>
      <c r="D231" s="313">
        <f t="shared" si="16"/>
        <v>3</v>
      </c>
      <c r="E231" s="313">
        <f t="shared" si="17"/>
        <v>15</v>
      </c>
      <c r="F231" s="313" t="str">
        <f t="shared" si="18"/>
        <v>pm</v>
      </c>
      <c r="G231" s="313" t="s">
        <v>848</v>
      </c>
      <c r="H231" s="313" t="s">
        <v>340</v>
      </c>
      <c r="I231" s="313" t="s">
        <v>849</v>
      </c>
      <c r="K231" s="314">
        <f t="shared" si="19"/>
        <v>2250.9325524591632</v>
      </c>
      <c r="M231" s="314">
        <v>2400</v>
      </c>
      <c r="N231" s="313">
        <v>2325.0939181579406</v>
      </c>
      <c r="R231" s="313" t="str">
        <f>IF(AND((J231="This"),(L231="Only")),VLOOKUP(G231,#REF!,7,FALSE),"")</f>
        <v/>
      </c>
      <c r="U231" s="313">
        <v>2279.8314254027905</v>
      </c>
      <c r="W231" s="313">
        <v>2250.9325524591632</v>
      </c>
    </row>
    <row r="232" spans="1:23" x14ac:dyDescent="0.25">
      <c r="A232" s="313">
        <v>6</v>
      </c>
      <c r="C232" s="313">
        <f t="shared" si="15"/>
        <v>19</v>
      </c>
      <c r="D232" s="313">
        <f t="shared" si="16"/>
        <v>3</v>
      </c>
      <c r="E232" s="313">
        <f t="shared" si="17"/>
        <v>15</v>
      </c>
      <c r="F232" s="313" t="str">
        <f t="shared" si="18"/>
        <v>pm</v>
      </c>
      <c r="G232" s="313" t="s">
        <v>850</v>
      </c>
      <c r="H232" s="313" t="s">
        <v>411</v>
      </c>
      <c r="I232" s="313" t="s">
        <v>851</v>
      </c>
      <c r="K232" s="314">
        <f t="shared" si="19"/>
        <v>2257.6030539481549</v>
      </c>
      <c r="M232" s="314">
        <v>2400</v>
      </c>
      <c r="P232" s="313">
        <v>2340.2463122800505</v>
      </c>
      <c r="R232" s="313" t="str">
        <f>IF(AND((J232="This"),(L232="Only")),VLOOKUP(G232,#REF!,7,FALSE),"")</f>
        <v/>
      </c>
      <c r="S232" s="313">
        <v>2305.7293444688644</v>
      </c>
      <c r="U232" s="313">
        <v>2253.4757114355407</v>
      </c>
      <c r="W232" s="313">
        <v>2257.6030539481549</v>
      </c>
    </row>
    <row r="233" spans="1:23" x14ac:dyDescent="0.25">
      <c r="A233" s="313">
        <v>6</v>
      </c>
      <c r="C233" s="313">
        <f t="shared" si="15"/>
        <v>20</v>
      </c>
      <c r="D233" s="313">
        <f t="shared" si="16"/>
        <v>3</v>
      </c>
      <c r="E233" s="313">
        <f t="shared" si="17"/>
        <v>15</v>
      </c>
      <c r="F233" s="313" t="str">
        <f t="shared" si="18"/>
        <v>pm</v>
      </c>
      <c r="G233" s="313" t="s">
        <v>238</v>
      </c>
      <c r="H233" s="313" t="s">
        <v>216</v>
      </c>
      <c r="I233" s="313" t="s">
        <v>852</v>
      </c>
      <c r="K233" s="314">
        <f t="shared" si="19"/>
        <v>2548.4329966769378</v>
      </c>
      <c r="M233" s="314">
        <v>2400</v>
      </c>
      <c r="N233" s="313">
        <v>2344.1797285208422</v>
      </c>
      <c r="P233" s="313">
        <v>2457.0746858546781</v>
      </c>
      <c r="R233" s="313" t="str">
        <f>IF(AND((J233="This"),(L233="Only")),VLOOKUP(G233,#REF!,7,FALSE),"")</f>
        <v/>
      </c>
      <c r="S233" s="313">
        <v>2512.3609527359577</v>
      </c>
      <c r="U233" s="313">
        <v>2524.4972498882348</v>
      </c>
      <c r="W233" s="313">
        <v>2548.4329966769378</v>
      </c>
    </row>
    <row r="234" spans="1:23" x14ac:dyDescent="0.25">
      <c r="A234" s="313">
        <v>1</v>
      </c>
      <c r="C234" s="313">
        <f t="shared" si="15"/>
        <v>21</v>
      </c>
      <c r="D234" s="313">
        <f t="shared" si="16"/>
        <v>3</v>
      </c>
      <c r="E234" s="313">
        <f t="shared" si="17"/>
        <v>15</v>
      </c>
      <c r="F234" s="313" t="str">
        <f t="shared" si="18"/>
        <v>crx</v>
      </c>
      <c r="G234" s="313" t="s">
        <v>853</v>
      </c>
      <c r="H234" s="313" t="s">
        <v>854</v>
      </c>
      <c r="I234" s="313" t="s">
        <v>855</v>
      </c>
      <c r="K234" s="314">
        <f t="shared" si="19"/>
        <v>2428.7307347628353</v>
      </c>
      <c r="M234" s="314">
        <v>2400</v>
      </c>
      <c r="N234" s="313">
        <v>2428.7307347628353</v>
      </c>
      <c r="R234" s="313" t="str">
        <f>IF(AND((J234="This"),(L234="Only")),VLOOKUP(G234,#REF!,7,FALSE),"")</f>
        <v/>
      </c>
    </row>
    <row r="235" spans="1:23" x14ac:dyDescent="0.25">
      <c r="A235" s="313">
        <v>3</v>
      </c>
      <c r="C235" s="313">
        <f t="shared" si="15"/>
        <v>22</v>
      </c>
      <c r="D235" s="313">
        <f t="shared" si="16"/>
        <v>3</v>
      </c>
      <c r="E235" s="313">
        <f t="shared" si="17"/>
        <v>15</v>
      </c>
      <c r="F235" s="313" t="str">
        <f t="shared" si="18"/>
        <v>pm</v>
      </c>
      <c r="G235" s="313" t="s">
        <v>856</v>
      </c>
      <c r="H235" s="313" t="s">
        <v>282</v>
      </c>
      <c r="I235" s="313" t="s">
        <v>857</v>
      </c>
      <c r="K235" s="314">
        <f t="shared" si="19"/>
        <v>2541.0917656759971</v>
      </c>
      <c r="M235" s="314">
        <v>2400</v>
      </c>
      <c r="N235" s="313">
        <v>2470.4562959885634</v>
      </c>
      <c r="R235" s="313" t="str">
        <f>IF(AND((J235="This"),(L235="Only")),VLOOKUP(G235,#REF!,7,FALSE),"")</f>
        <v/>
      </c>
      <c r="U235" s="313">
        <v>2541.0917656759971</v>
      </c>
    </row>
    <row r="236" spans="1:23" x14ac:dyDescent="0.25">
      <c r="A236" s="313">
        <v>1</v>
      </c>
      <c r="C236" s="313">
        <f t="shared" si="15"/>
        <v>23</v>
      </c>
      <c r="D236" s="313">
        <f t="shared" si="16"/>
        <v>3</v>
      </c>
      <c r="E236" s="313">
        <f t="shared" si="17"/>
        <v>15</v>
      </c>
      <c r="F236" s="313" t="str">
        <f t="shared" si="18"/>
        <v>odx</v>
      </c>
      <c r="G236" s="313" t="s">
        <v>858</v>
      </c>
      <c r="H236" s="313" t="s">
        <v>859</v>
      </c>
      <c r="I236" s="313" t="s">
        <v>860</v>
      </c>
      <c r="K236" s="314">
        <f t="shared" si="19"/>
        <v>2461.2633560320755</v>
      </c>
      <c r="M236" s="314">
        <v>2400</v>
      </c>
      <c r="N236" s="313">
        <v>2461.2633560320755</v>
      </c>
      <c r="R236" s="313" t="str">
        <f>IF(AND((J236="This"),(L236="Only")),VLOOKUP(G236,#REF!,7,FALSE),"")</f>
        <v/>
      </c>
    </row>
    <row r="237" spans="1:23" x14ac:dyDescent="0.25">
      <c r="A237" s="313">
        <v>2</v>
      </c>
      <c r="C237" s="313">
        <f t="shared" si="15"/>
        <v>24</v>
      </c>
      <c r="D237" s="313">
        <f t="shared" si="16"/>
        <v>3</v>
      </c>
      <c r="E237" s="313">
        <f t="shared" si="17"/>
        <v>15</v>
      </c>
      <c r="F237" s="313" t="str">
        <f t="shared" si="18"/>
        <v>pm</v>
      </c>
      <c r="G237" s="313" t="s">
        <v>861</v>
      </c>
      <c r="H237" s="313" t="s">
        <v>559</v>
      </c>
      <c r="I237" s="313" t="s">
        <v>862</v>
      </c>
      <c r="K237" s="314">
        <f t="shared" si="19"/>
        <v>2514.1564186642386</v>
      </c>
      <c r="M237" s="314">
        <v>2400</v>
      </c>
      <c r="R237" s="313" t="str">
        <f>IF(AND((J237="This"),(L237="Only")),VLOOKUP(G237,#REF!,7,FALSE),"")</f>
        <v/>
      </c>
      <c r="S237" s="313">
        <v>2514.1564186642386</v>
      </c>
    </row>
    <row r="238" spans="1:23" x14ac:dyDescent="0.25">
      <c r="A238" s="313">
        <v>2</v>
      </c>
      <c r="C238" s="313">
        <f t="shared" si="15"/>
        <v>25</v>
      </c>
      <c r="D238" s="313">
        <f t="shared" si="16"/>
        <v>3</v>
      </c>
      <c r="E238" s="313">
        <f t="shared" si="17"/>
        <v>15</v>
      </c>
      <c r="F238" s="313" t="str">
        <f t="shared" si="18"/>
        <v>pm</v>
      </c>
      <c r="G238" s="313" t="s">
        <v>863</v>
      </c>
      <c r="H238" s="313" t="s">
        <v>559</v>
      </c>
      <c r="I238" s="313" t="s">
        <v>864</v>
      </c>
      <c r="K238" s="314">
        <f t="shared" si="19"/>
        <v>2414.849046848939</v>
      </c>
      <c r="M238" s="314">
        <v>2400</v>
      </c>
      <c r="R238" s="313" t="str">
        <f>IF(AND((J238="This"),(L238="Only")),VLOOKUP(G238,#REF!,7,FALSE),"")</f>
        <v/>
      </c>
      <c r="S238" s="313">
        <v>2414.849046848939</v>
      </c>
    </row>
    <row r="239" spans="1:23" x14ac:dyDescent="0.25">
      <c r="A239" s="313">
        <v>2</v>
      </c>
      <c r="C239" s="313">
        <f t="shared" si="15"/>
        <v>26</v>
      </c>
      <c r="D239" s="313">
        <f t="shared" si="16"/>
        <v>3</v>
      </c>
      <c r="E239" s="313">
        <f t="shared" si="17"/>
        <v>15</v>
      </c>
      <c r="F239" s="313" t="str">
        <f t="shared" si="18"/>
        <v>pm</v>
      </c>
      <c r="G239" s="313" t="s">
        <v>865</v>
      </c>
      <c r="H239" s="313" t="s">
        <v>559</v>
      </c>
      <c r="I239" s="313" t="s">
        <v>866</v>
      </c>
      <c r="K239" s="314">
        <f t="shared" si="19"/>
        <v>2480.088068538058</v>
      </c>
      <c r="M239" s="314">
        <v>2400</v>
      </c>
      <c r="R239" s="313" t="str">
        <f>IF(AND((J239="This"),(L239="Only")),VLOOKUP(G239,#REF!,7,FALSE),"")</f>
        <v/>
      </c>
      <c r="W239" s="313">
        <v>2480.088068538058</v>
      </c>
    </row>
    <row r="240" spans="1:23" x14ac:dyDescent="0.25">
      <c r="A240" s="313">
        <v>2</v>
      </c>
      <c r="C240" s="313">
        <f t="shared" si="15"/>
        <v>27</v>
      </c>
      <c r="D240" s="313">
        <f t="shared" si="16"/>
        <v>3</v>
      </c>
      <c r="E240" s="313">
        <f t="shared" si="17"/>
        <v>15</v>
      </c>
      <c r="F240" s="313" t="str">
        <f t="shared" si="18"/>
        <v>pm</v>
      </c>
      <c r="G240" s="313" t="s">
        <v>867</v>
      </c>
      <c r="H240" s="313" t="s">
        <v>559</v>
      </c>
      <c r="I240" s="313" t="s">
        <v>868</v>
      </c>
      <c r="K240" s="314">
        <f t="shared" si="19"/>
        <v>2458.095796529813</v>
      </c>
      <c r="M240" s="314">
        <v>2400</v>
      </c>
      <c r="R240" s="313" t="str">
        <f>IF(AND((J240="This"),(L240="Only")),VLOOKUP(G240,#REF!,7,FALSE),"")</f>
        <v/>
      </c>
      <c r="S240" s="313">
        <v>2458.095796529813</v>
      </c>
    </row>
    <row r="241" spans="1:23" x14ac:dyDescent="0.25">
      <c r="A241" s="313">
        <v>1</v>
      </c>
      <c r="C241" s="313">
        <f t="shared" si="15"/>
        <v>28</v>
      </c>
      <c r="D241" s="313">
        <f t="shared" si="16"/>
        <v>3</v>
      </c>
      <c r="E241" s="313">
        <f t="shared" si="17"/>
        <v>15</v>
      </c>
      <c r="F241" s="313" t="str">
        <f t="shared" si="18"/>
        <v>sox</v>
      </c>
      <c r="G241" s="313" t="s">
        <v>869</v>
      </c>
      <c r="H241" s="313" t="s">
        <v>285</v>
      </c>
      <c r="I241" s="313" t="s">
        <v>870</v>
      </c>
      <c r="K241" s="314">
        <f t="shared" si="19"/>
        <v>2458.2149339259508</v>
      </c>
      <c r="M241" s="314">
        <v>2400</v>
      </c>
      <c r="R241" s="313" t="str">
        <f>IF(AND((J241="This"),(L241="Only")),VLOOKUP(G241,#REF!,7,FALSE),"")</f>
        <v/>
      </c>
      <c r="U241" s="313">
        <v>2458.2149339259508</v>
      </c>
    </row>
    <row r="242" spans="1:23" x14ac:dyDescent="0.25">
      <c r="A242" s="313">
        <v>2</v>
      </c>
      <c r="C242" s="313">
        <f t="shared" si="15"/>
        <v>29</v>
      </c>
      <c r="D242" s="313">
        <f t="shared" si="16"/>
        <v>3</v>
      </c>
      <c r="E242" s="313">
        <f t="shared" si="17"/>
        <v>15</v>
      </c>
      <c r="F242" s="313" t="str">
        <f t="shared" si="18"/>
        <v>pm</v>
      </c>
      <c r="G242" s="313" t="s">
        <v>532</v>
      </c>
      <c r="H242" s="313" t="s">
        <v>510</v>
      </c>
      <c r="I242" s="313" t="s">
        <v>531</v>
      </c>
      <c r="K242" s="314">
        <f t="shared" si="19"/>
        <v>2418.9011539857738</v>
      </c>
      <c r="M242" s="314">
        <v>2400</v>
      </c>
      <c r="N242" s="313">
        <v>2412.4969665615304</v>
      </c>
      <c r="R242" s="313" t="str">
        <f>IF(AND((J242="This"),(L242="Only")),VLOOKUP(G242,#REF!,7,FALSE),"")</f>
        <v/>
      </c>
      <c r="U242" s="313">
        <v>2418.9011539857738</v>
      </c>
    </row>
    <row r="243" spans="1:23" x14ac:dyDescent="0.25">
      <c r="A243" s="313">
        <v>2</v>
      </c>
      <c r="C243" s="313">
        <f t="shared" si="15"/>
        <v>30</v>
      </c>
      <c r="D243" s="313">
        <f t="shared" si="16"/>
        <v>3</v>
      </c>
      <c r="E243" s="313">
        <f t="shared" si="17"/>
        <v>15</v>
      </c>
      <c r="F243" s="313" t="str">
        <f t="shared" si="18"/>
        <v>pm</v>
      </c>
      <c r="G243" s="313" t="s">
        <v>871</v>
      </c>
      <c r="H243" s="313" t="s">
        <v>510</v>
      </c>
      <c r="I243" s="313" t="s">
        <v>872</v>
      </c>
      <c r="K243" s="314">
        <f t="shared" si="19"/>
        <v>2453.9766858733506</v>
      </c>
      <c r="M243" s="314">
        <v>2400</v>
      </c>
      <c r="N243" s="313">
        <v>2461.8822259540248</v>
      </c>
      <c r="R243" s="313" t="str">
        <f>IF(AND((J243="This"),(L243="Only")),VLOOKUP(G243,#REF!,7,FALSE),"")</f>
        <v/>
      </c>
      <c r="U243" s="313">
        <v>2453.9766858733506</v>
      </c>
    </row>
    <row r="244" spans="1:23" x14ac:dyDescent="0.25">
      <c r="A244" s="313">
        <v>3</v>
      </c>
      <c r="C244" s="313">
        <f t="shared" si="15"/>
        <v>31</v>
      </c>
      <c r="D244" s="313">
        <f t="shared" si="16"/>
        <v>3</v>
      </c>
      <c r="E244" s="313">
        <f t="shared" si="17"/>
        <v>15</v>
      </c>
      <c r="F244" s="313" t="str">
        <f t="shared" si="18"/>
        <v>pm</v>
      </c>
      <c r="G244" s="313" t="s">
        <v>873</v>
      </c>
      <c r="H244" s="313" t="s">
        <v>505</v>
      </c>
      <c r="I244" s="313" t="s">
        <v>874</v>
      </c>
      <c r="K244" s="314">
        <f t="shared" si="19"/>
        <v>2467.9060079680885</v>
      </c>
      <c r="M244" s="314">
        <v>2400</v>
      </c>
      <c r="R244" s="313" t="str">
        <f>IF(AND((J244="This"),(L244="Only")),VLOOKUP(G244,#REF!,7,FALSE),"")</f>
        <v/>
      </c>
      <c r="S244" s="313">
        <v>2394.2141481145313</v>
      </c>
      <c r="W244" s="313">
        <v>2467.9060079680885</v>
      </c>
    </row>
    <row r="245" spans="1:23" x14ac:dyDescent="0.25">
      <c r="A245" s="313">
        <v>5</v>
      </c>
      <c r="C245" s="313">
        <f t="shared" si="15"/>
        <v>32</v>
      </c>
      <c r="D245" s="313">
        <f t="shared" si="16"/>
        <v>3</v>
      </c>
      <c r="E245" s="313">
        <f t="shared" si="17"/>
        <v>15</v>
      </c>
      <c r="F245" s="313" t="str">
        <f t="shared" si="18"/>
        <v>pm</v>
      </c>
      <c r="G245" s="313" t="s">
        <v>875</v>
      </c>
      <c r="H245" s="313" t="s">
        <v>211</v>
      </c>
      <c r="I245" s="313" t="s">
        <v>876</v>
      </c>
      <c r="K245" s="314">
        <f t="shared" si="19"/>
        <v>2264.2546620581129</v>
      </c>
      <c r="M245" s="314">
        <v>2400</v>
      </c>
      <c r="N245" s="313">
        <v>2341.1233483976916</v>
      </c>
      <c r="R245" s="313" t="str">
        <f>IF(AND((J245="This"),(L245="Only")),VLOOKUP(G245,#REF!,7,FALSE),"")</f>
        <v/>
      </c>
      <c r="U245" s="313">
        <v>2334.3319188437576</v>
      </c>
      <c r="W245" s="313">
        <v>2264.2546620581129</v>
      </c>
    </row>
    <row r="246" spans="1:23" x14ac:dyDescent="0.25">
      <c r="A246" s="313">
        <v>7</v>
      </c>
      <c r="C246" s="313">
        <f t="shared" si="15"/>
        <v>33</v>
      </c>
      <c r="D246" s="313">
        <f t="shared" si="16"/>
        <v>3</v>
      </c>
      <c r="E246" s="313">
        <f t="shared" si="17"/>
        <v>15</v>
      </c>
      <c r="F246" s="313" t="str">
        <f t="shared" si="18"/>
        <v>pm</v>
      </c>
      <c r="G246" s="313" t="s">
        <v>246</v>
      </c>
      <c r="H246" s="313" t="s">
        <v>211</v>
      </c>
      <c r="I246" s="313" t="s">
        <v>877</v>
      </c>
      <c r="K246" s="314">
        <f t="shared" si="19"/>
        <v>2226.1594037410746</v>
      </c>
      <c r="M246" s="314">
        <v>2400</v>
      </c>
      <c r="N246" s="313">
        <v>2326.8645461765414</v>
      </c>
      <c r="P246" s="313">
        <v>2292.9055328887944</v>
      </c>
      <c r="R246" s="313" t="str">
        <f>IF(AND((J246="This"),(L246="Only")),VLOOKUP(G246,#REF!,7,FALSE),"")</f>
        <v/>
      </c>
      <c r="S246" s="313">
        <v>2267.6844132740748</v>
      </c>
      <c r="U246" s="313">
        <v>2265.9230295280654</v>
      </c>
      <c r="W246" s="313">
        <v>2226.1594037410746</v>
      </c>
    </row>
    <row r="247" spans="1:23" x14ac:dyDescent="0.25">
      <c r="A247" s="313">
        <v>4</v>
      </c>
      <c r="C247" s="313">
        <f t="shared" si="15"/>
        <v>34</v>
      </c>
      <c r="D247" s="313">
        <f t="shared" si="16"/>
        <v>3</v>
      </c>
      <c r="E247" s="313">
        <f t="shared" si="17"/>
        <v>15</v>
      </c>
      <c r="F247" s="313" t="str">
        <f t="shared" si="18"/>
        <v>pm</v>
      </c>
      <c r="G247" s="313" t="s">
        <v>878</v>
      </c>
      <c r="H247" s="313" t="s">
        <v>201</v>
      </c>
      <c r="I247" s="313" t="s">
        <v>879</v>
      </c>
      <c r="K247" s="314">
        <f t="shared" si="19"/>
        <v>2450.8368742871326</v>
      </c>
      <c r="M247" s="314">
        <v>2400</v>
      </c>
      <c r="P247" s="313">
        <v>2461.3928319711385</v>
      </c>
      <c r="R247" s="313" t="str">
        <f>IF(AND((J247="This"),(L247="Only")),VLOOKUP(G247,#REF!,7,FALSE),"")</f>
        <v/>
      </c>
      <c r="U247" s="313">
        <v>2476.8536481597189</v>
      </c>
      <c r="W247" s="313">
        <v>2450.8368742871326</v>
      </c>
    </row>
    <row r="248" spans="1:23" x14ac:dyDescent="0.25">
      <c r="A248" s="313">
        <v>1</v>
      </c>
      <c r="C248" s="313">
        <f t="shared" si="15"/>
        <v>35</v>
      </c>
      <c r="D248" s="313">
        <f t="shared" si="16"/>
        <v>3</v>
      </c>
      <c r="E248" s="313">
        <f t="shared" si="17"/>
        <v>15</v>
      </c>
      <c r="F248" s="313" t="str">
        <f t="shared" si="18"/>
        <v>crx</v>
      </c>
      <c r="G248" s="313" t="s">
        <v>880</v>
      </c>
      <c r="H248" s="313" t="s">
        <v>881</v>
      </c>
      <c r="I248" s="313" t="s">
        <v>882</v>
      </c>
      <c r="K248" s="314">
        <f t="shared" si="19"/>
        <v>2333.9496057080305</v>
      </c>
      <c r="M248" s="314">
        <v>2400</v>
      </c>
      <c r="R248" s="313" t="str">
        <f>IF(AND((J248="This"),(L248="Only")),VLOOKUP(G248,#REF!,7,FALSE),"")</f>
        <v/>
      </c>
      <c r="U248" s="313">
        <v>2333.9496057080305</v>
      </c>
    </row>
    <row r="249" spans="1:23" x14ac:dyDescent="0.25">
      <c r="A249" s="313">
        <v>1</v>
      </c>
      <c r="C249" s="313">
        <f t="shared" si="15"/>
        <v>36</v>
      </c>
      <c r="D249" s="313">
        <f t="shared" si="16"/>
        <v>3</v>
      </c>
      <c r="E249" s="313">
        <f t="shared" si="17"/>
        <v>15</v>
      </c>
      <c r="F249" s="313" t="str">
        <f t="shared" si="18"/>
        <v>crx</v>
      </c>
      <c r="G249" s="313" t="s">
        <v>883</v>
      </c>
      <c r="H249" s="313" t="s">
        <v>881</v>
      </c>
      <c r="I249" s="313" t="s">
        <v>884</v>
      </c>
      <c r="K249" s="314">
        <f t="shared" si="19"/>
        <v>2288.0945712632765</v>
      </c>
      <c r="M249" s="314">
        <v>2400</v>
      </c>
      <c r="R249" s="313" t="str">
        <f>IF(AND((J249="This"),(L249="Only")),VLOOKUP(G249,#REF!,7,FALSE),"")</f>
        <v/>
      </c>
      <c r="U249" s="313">
        <v>2288.0945712632765</v>
      </c>
    </row>
    <row r="250" spans="1:23" x14ac:dyDescent="0.25">
      <c r="A250" s="313">
        <v>1</v>
      </c>
      <c r="C250" s="313">
        <f t="shared" si="15"/>
        <v>37</v>
      </c>
      <c r="D250" s="313">
        <f t="shared" si="16"/>
        <v>3</v>
      </c>
      <c r="E250" s="313">
        <f t="shared" si="17"/>
        <v>15</v>
      </c>
      <c r="F250" s="313" t="str">
        <f t="shared" si="18"/>
        <v>crx</v>
      </c>
      <c r="G250" s="313" t="s">
        <v>885</v>
      </c>
      <c r="H250" s="313" t="s">
        <v>670</v>
      </c>
      <c r="I250" s="313" t="s">
        <v>886</v>
      </c>
      <c r="K250" s="314">
        <f t="shared" si="19"/>
        <v>2326.9108028137098</v>
      </c>
      <c r="M250" s="314">
        <v>2400</v>
      </c>
      <c r="R250" s="313" t="str">
        <f>IF(AND((J250="This"),(L250="Only")),VLOOKUP(G250,#REF!,7,FALSE),"")</f>
        <v/>
      </c>
      <c r="U250" s="313">
        <v>2326.9108028137098</v>
      </c>
    </row>
    <row r="251" spans="1:23" x14ac:dyDescent="0.25">
      <c r="A251" s="313">
        <v>2</v>
      </c>
      <c r="C251" s="313">
        <f t="shared" si="15"/>
        <v>38</v>
      </c>
      <c r="D251" s="313">
        <f t="shared" si="16"/>
        <v>3</v>
      </c>
      <c r="E251" s="313">
        <f t="shared" si="17"/>
        <v>15</v>
      </c>
      <c r="F251" s="313" t="str">
        <f t="shared" si="18"/>
        <v>cr</v>
      </c>
      <c r="G251" s="313" t="s">
        <v>887</v>
      </c>
      <c r="H251" s="313" t="s">
        <v>342</v>
      </c>
      <c r="I251" s="313" t="s">
        <v>888</v>
      </c>
      <c r="K251" s="314">
        <f t="shared" si="19"/>
        <v>2413.6581331682801</v>
      </c>
      <c r="M251" s="314">
        <v>2400</v>
      </c>
      <c r="N251" s="313">
        <v>2413.6581331682801</v>
      </c>
      <c r="R251" s="313" t="str">
        <f>IF(AND((J251="This"),(L251="Only")),VLOOKUP(G251,#REF!,7,FALSE),"")</f>
        <v/>
      </c>
    </row>
    <row r="252" spans="1:23" x14ac:dyDescent="0.25">
      <c r="A252" s="313">
        <v>1</v>
      </c>
      <c r="C252" s="313">
        <f t="shared" si="15"/>
        <v>39</v>
      </c>
      <c r="D252" s="313">
        <f t="shared" si="16"/>
        <v>3</v>
      </c>
      <c r="E252" s="313">
        <f t="shared" si="17"/>
        <v>15</v>
      </c>
      <c r="F252" s="313" t="str">
        <f t="shared" si="18"/>
        <v>crx</v>
      </c>
      <c r="G252" s="313" t="s">
        <v>889</v>
      </c>
      <c r="H252" s="313" t="s">
        <v>284</v>
      </c>
      <c r="I252" s="313" t="s">
        <v>890</v>
      </c>
      <c r="K252" s="314">
        <f t="shared" si="19"/>
        <v>2400</v>
      </c>
      <c r="M252" s="314">
        <v>2400</v>
      </c>
      <c r="R252" s="313" t="str">
        <f>IF(AND((J252="This"),(L252="Only")),VLOOKUP(G252,#REF!,7,FALSE),"")</f>
        <v/>
      </c>
    </row>
    <row r="253" spans="1:23" x14ac:dyDescent="0.25">
      <c r="A253" s="313">
        <v>3</v>
      </c>
      <c r="C253" s="313">
        <f t="shared" si="15"/>
        <v>40</v>
      </c>
      <c r="D253" s="313">
        <f t="shared" si="16"/>
        <v>3</v>
      </c>
      <c r="E253" s="313">
        <f t="shared" si="17"/>
        <v>15</v>
      </c>
      <c r="F253" s="313" t="str">
        <f t="shared" si="18"/>
        <v>pm</v>
      </c>
      <c r="G253" s="313" t="s">
        <v>891</v>
      </c>
      <c r="H253" s="313" t="s">
        <v>240</v>
      </c>
      <c r="I253" s="313" t="s">
        <v>892</v>
      </c>
      <c r="K253" s="314">
        <f t="shared" si="19"/>
        <v>2468.389371241949</v>
      </c>
      <c r="M253" s="314">
        <v>2400</v>
      </c>
      <c r="N253" s="313">
        <v>2445.1848084913613</v>
      </c>
      <c r="O253" s="313">
        <v>2480.5194251854841</v>
      </c>
      <c r="R253" s="313" t="str">
        <f>IF(AND((J253="This"),(L253="Only")),VLOOKUP(G253,#REF!,7,FALSE),"")</f>
        <v/>
      </c>
      <c r="U253" s="313">
        <v>2468.389371241949</v>
      </c>
    </row>
    <row r="254" spans="1:23" x14ac:dyDescent="0.25">
      <c r="A254" s="313">
        <v>4</v>
      </c>
      <c r="C254" s="313">
        <f t="shared" si="15"/>
        <v>41</v>
      </c>
      <c r="D254" s="313">
        <f t="shared" si="16"/>
        <v>3</v>
      </c>
      <c r="E254" s="313">
        <f t="shared" si="17"/>
        <v>15</v>
      </c>
      <c r="F254" s="313" t="str">
        <f t="shared" si="18"/>
        <v>pm</v>
      </c>
      <c r="G254" s="313" t="s">
        <v>893</v>
      </c>
      <c r="H254" s="313" t="s">
        <v>240</v>
      </c>
      <c r="I254" s="313" t="s">
        <v>894</v>
      </c>
      <c r="K254" s="314">
        <f t="shared" si="19"/>
        <v>2207.770555540747</v>
      </c>
      <c r="M254" s="314">
        <v>2400</v>
      </c>
      <c r="N254" s="313">
        <v>2300.028797134582</v>
      </c>
      <c r="R254" s="313" t="str">
        <f>IF(AND((J254="This"),(L254="Only")),VLOOKUP(G254,#REF!,7,FALSE),"")</f>
        <v/>
      </c>
      <c r="S254" s="313">
        <v>2238.8392128568562</v>
      </c>
      <c r="U254" s="313">
        <v>2207.770555540747</v>
      </c>
    </row>
    <row r="255" spans="1:23" x14ac:dyDescent="0.25">
      <c r="A255" s="313">
        <v>1</v>
      </c>
      <c r="C255" s="313">
        <f t="shared" si="15"/>
        <v>42</v>
      </c>
      <c r="D255" s="313">
        <f t="shared" si="16"/>
        <v>3</v>
      </c>
      <c r="E255" s="313">
        <f t="shared" si="17"/>
        <v>15</v>
      </c>
      <c r="F255" s="313" t="str">
        <f t="shared" si="18"/>
        <v>pmx</v>
      </c>
      <c r="G255" s="313" t="s">
        <v>895</v>
      </c>
      <c r="H255" s="313" t="s">
        <v>570</v>
      </c>
      <c r="I255" s="313" t="s">
        <v>896</v>
      </c>
      <c r="K255" s="314">
        <f t="shared" si="19"/>
        <v>2400</v>
      </c>
      <c r="M255" s="314">
        <v>2400</v>
      </c>
      <c r="R255" s="313" t="str">
        <f>IF(AND((J255="This"),(L255="Only")),VLOOKUP(G255,#REF!,7,FALSE),"")</f>
        <v/>
      </c>
    </row>
    <row r="256" spans="1:23" x14ac:dyDescent="0.25">
      <c r="A256" s="313">
        <v>1</v>
      </c>
      <c r="C256" s="313">
        <f t="shared" si="15"/>
        <v>43</v>
      </c>
      <c r="D256" s="313">
        <f t="shared" si="16"/>
        <v>3</v>
      </c>
      <c r="E256" s="313">
        <f t="shared" si="17"/>
        <v>15</v>
      </c>
      <c r="F256" s="313" t="str">
        <f t="shared" si="18"/>
        <v>pmx</v>
      </c>
      <c r="G256" s="313" t="s">
        <v>897</v>
      </c>
      <c r="H256" s="313" t="s">
        <v>570</v>
      </c>
      <c r="I256" s="313" t="s">
        <v>898</v>
      </c>
      <c r="K256" s="314">
        <f t="shared" si="19"/>
        <v>2400</v>
      </c>
      <c r="M256" s="314">
        <v>2400</v>
      </c>
      <c r="R256" s="313" t="str">
        <f>IF(AND((J256="This"),(L256="Only")),VLOOKUP(G256,#REF!,7,FALSE),"")</f>
        <v/>
      </c>
    </row>
    <row r="257" spans="1:23" x14ac:dyDescent="0.25">
      <c r="A257" s="313">
        <v>3</v>
      </c>
      <c r="C257" s="313">
        <f t="shared" si="15"/>
        <v>44</v>
      </c>
      <c r="D257" s="313">
        <f t="shared" si="16"/>
        <v>3</v>
      </c>
      <c r="E257" s="313">
        <f t="shared" si="17"/>
        <v>15</v>
      </c>
      <c r="F257" s="313" t="str">
        <f t="shared" si="18"/>
        <v>pm</v>
      </c>
      <c r="G257" s="313" t="s">
        <v>899</v>
      </c>
      <c r="H257" s="313" t="s">
        <v>494</v>
      </c>
      <c r="I257" s="313" t="s">
        <v>900</v>
      </c>
      <c r="K257" s="314">
        <f t="shared" si="19"/>
        <v>2538.5012185809142</v>
      </c>
      <c r="M257" s="314">
        <v>2400</v>
      </c>
      <c r="P257" s="313">
        <v>2452.7285452877954</v>
      </c>
      <c r="R257" s="313" t="str">
        <f>IF(AND((J257="This"),(L257="Only")),VLOOKUP(G257,#REF!,7,FALSE),"")</f>
        <v/>
      </c>
      <c r="W257" s="313">
        <v>2538.5012185809142</v>
      </c>
    </row>
    <row r="258" spans="1:23" x14ac:dyDescent="0.25">
      <c r="A258" s="313">
        <v>6</v>
      </c>
      <c r="C258" s="313">
        <f t="shared" ref="C258:C321" si="20">IF(E258=E257,C257+1,1)</f>
        <v>45</v>
      </c>
      <c r="D258" s="313">
        <f t="shared" ref="D258:D321" si="21">IF(M258=M257,D257,C258)</f>
        <v>45</v>
      </c>
      <c r="E258" s="313">
        <f t="shared" ref="E258:E321" si="22">10+VALUE(RIGHT(LEFT(G258,3),1))</f>
        <v>15</v>
      </c>
      <c r="F258" s="313" t="str">
        <f t="shared" ref="F258:F321" si="23">RIGHT(G258,2) &amp; IF(A258&lt;2,"x","")</f>
        <v>pm</v>
      </c>
      <c r="G258" s="313" t="s">
        <v>901</v>
      </c>
      <c r="H258" s="313" t="s">
        <v>204</v>
      </c>
      <c r="I258" s="313" t="s">
        <v>902</v>
      </c>
      <c r="K258" s="314">
        <f t="shared" ref="K258:K321" si="24">LOOKUP(1E+100,M258:AC258)</f>
        <v>2084.9367855589994</v>
      </c>
      <c r="M258" s="314">
        <v>2333.3333333333335</v>
      </c>
      <c r="O258" s="313">
        <v>2181.068342313471</v>
      </c>
      <c r="P258" s="313">
        <v>2153.6879824326447</v>
      </c>
      <c r="R258" s="313" t="str">
        <f>IF(AND((J258="This"),(L258="Only")),VLOOKUP(G258,#REF!,7,FALSE),"")</f>
        <v/>
      </c>
      <c r="S258" s="313">
        <v>2100.6667024320777</v>
      </c>
      <c r="U258" s="313">
        <v>2102.2891877313273</v>
      </c>
      <c r="W258" s="313">
        <v>2084.9367855589994</v>
      </c>
    </row>
    <row r="259" spans="1:23" x14ac:dyDescent="0.25">
      <c r="A259" s="313">
        <v>4</v>
      </c>
      <c r="C259" s="313">
        <f t="shared" si="20"/>
        <v>46</v>
      </c>
      <c r="D259" s="313">
        <f t="shared" si="21"/>
        <v>46</v>
      </c>
      <c r="E259" s="313">
        <f t="shared" si="22"/>
        <v>15</v>
      </c>
      <c r="F259" s="313" t="str">
        <f t="shared" si="23"/>
        <v>pm</v>
      </c>
      <c r="G259" s="313" t="s">
        <v>903</v>
      </c>
      <c r="H259" s="313" t="s">
        <v>281</v>
      </c>
      <c r="I259" s="313" t="s">
        <v>904</v>
      </c>
      <c r="K259" s="314">
        <f t="shared" si="24"/>
        <v>2437.7295748950783</v>
      </c>
      <c r="M259" s="314">
        <v>2300</v>
      </c>
      <c r="R259" s="313" t="str">
        <f>IF(AND((J259="This"),(L259="Only")),VLOOKUP(G259,#REF!,7,FALSE),"")</f>
        <v/>
      </c>
      <c r="S259" s="313">
        <v>2376.6455222724007</v>
      </c>
      <c r="W259" s="313">
        <v>2437.7295748950783</v>
      </c>
    </row>
    <row r="260" spans="1:23" x14ac:dyDescent="0.25">
      <c r="A260" s="313">
        <v>4</v>
      </c>
      <c r="C260" s="313">
        <f t="shared" si="20"/>
        <v>47</v>
      </c>
      <c r="D260" s="313">
        <f t="shared" si="21"/>
        <v>46</v>
      </c>
      <c r="E260" s="313">
        <f t="shared" si="22"/>
        <v>15</v>
      </c>
      <c r="F260" s="313" t="str">
        <f t="shared" si="23"/>
        <v>pm</v>
      </c>
      <c r="G260" s="313" t="s">
        <v>905</v>
      </c>
      <c r="H260" s="313" t="s">
        <v>505</v>
      </c>
      <c r="I260" s="313" t="s">
        <v>906</v>
      </c>
      <c r="K260" s="314">
        <f t="shared" si="24"/>
        <v>2207.6571694003314</v>
      </c>
      <c r="M260" s="314">
        <v>2300</v>
      </c>
      <c r="O260" s="313">
        <v>2235.0356284950308</v>
      </c>
      <c r="P260" s="313">
        <v>2322.1303862295704</v>
      </c>
      <c r="R260" s="313" t="str">
        <f>IF(AND((J260="This"),(L260="Only")),VLOOKUP(G260,#REF!,7,FALSE),"")</f>
        <v/>
      </c>
      <c r="S260" s="313">
        <v>2268.3854422372378</v>
      </c>
      <c r="W260" s="313">
        <v>2207.6571694003314</v>
      </c>
    </row>
    <row r="261" spans="1:23" x14ac:dyDescent="0.25">
      <c r="A261" s="313">
        <v>5</v>
      </c>
      <c r="C261" s="313">
        <f t="shared" si="20"/>
        <v>48</v>
      </c>
      <c r="D261" s="313">
        <f t="shared" si="21"/>
        <v>48</v>
      </c>
      <c r="E261" s="313">
        <f t="shared" si="22"/>
        <v>15</v>
      </c>
      <c r="F261" s="313" t="str">
        <f t="shared" si="23"/>
        <v>pm</v>
      </c>
      <c r="G261" s="313" t="s">
        <v>325</v>
      </c>
      <c r="H261" s="313" t="s">
        <v>219</v>
      </c>
      <c r="I261" s="313" t="s">
        <v>324</v>
      </c>
      <c r="K261" s="314">
        <f t="shared" si="24"/>
        <v>2098.0659243278974</v>
      </c>
      <c r="M261" s="314">
        <v>2160</v>
      </c>
      <c r="O261" s="313">
        <v>2166.7401209474078</v>
      </c>
      <c r="R261" s="313" t="str">
        <f>IF(AND((J261="This"),(L261="Only")),VLOOKUP(G261,#REF!,7,FALSE),"")</f>
        <v/>
      </c>
      <c r="S261" s="313">
        <v>2137.7943142165154</v>
      </c>
      <c r="W261" s="313">
        <v>2098.0659243278974</v>
      </c>
    </row>
    <row r="262" spans="1:23" x14ac:dyDescent="0.25">
      <c r="A262" s="313">
        <v>6</v>
      </c>
      <c r="C262" s="313">
        <f t="shared" si="20"/>
        <v>49</v>
      </c>
      <c r="D262" s="313">
        <f t="shared" si="21"/>
        <v>49</v>
      </c>
      <c r="E262" s="313">
        <f t="shared" si="22"/>
        <v>15</v>
      </c>
      <c r="F262" s="313" t="str">
        <f t="shared" si="23"/>
        <v>pm</v>
      </c>
      <c r="G262" s="313" t="s">
        <v>907</v>
      </c>
      <c r="H262" s="313" t="s">
        <v>230</v>
      </c>
      <c r="I262" s="313" t="s">
        <v>908</v>
      </c>
      <c r="K262" s="314">
        <f t="shared" si="24"/>
        <v>2261.5141533158635</v>
      </c>
      <c r="M262" s="314">
        <v>2066.6666666666665</v>
      </c>
      <c r="O262" s="313">
        <v>2144.1217834697964</v>
      </c>
      <c r="R262" s="313" t="str">
        <f>IF(AND((J262="This"),(L262="Only")),VLOOKUP(G262,#REF!,7,FALSE),"")</f>
        <v/>
      </c>
      <c r="T262" s="313">
        <v>2212.9846052971011</v>
      </c>
      <c r="V262" s="313">
        <v>2261.5141533158635</v>
      </c>
    </row>
    <row r="263" spans="1:23" x14ac:dyDescent="0.25">
      <c r="A263" s="313">
        <v>3</v>
      </c>
      <c r="C263" s="313">
        <f t="shared" si="20"/>
        <v>50</v>
      </c>
      <c r="D263" s="313">
        <f t="shared" si="21"/>
        <v>49</v>
      </c>
      <c r="E263" s="313">
        <f t="shared" si="22"/>
        <v>15</v>
      </c>
      <c r="F263" s="313" t="str">
        <f t="shared" si="23"/>
        <v>so</v>
      </c>
      <c r="G263" s="313" t="s">
        <v>909</v>
      </c>
      <c r="H263" s="313" t="s">
        <v>910</v>
      </c>
      <c r="I263" s="313" t="s">
        <v>911</v>
      </c>
      <c r="K263" s="314">
        <f t="shared" si="24"/>
        <v>2058.9575360453096</v>
      </c>
      <c r="M263" s="314">
        <v>2066.6666666666665</v>
      </c>
      <c r="R263" s="313" t="str">
        <f>IF(AND((J263="This"),(L263="Only")),VLOOKUP(G263,#REF!,7,FALSE),"")</f>
        <v/>
      </c>
      <c r="T263" s="313">
        <v>2068.7013691027805</v>
      </c>
      <c r="V263" s="313">
        <v>2058.9575360453096</v>
      </c>
    </row>
    <row r="264" spans="1:23" x14ac:dyDescent="0.25">
      <c r="A264" s="313">
        <v>5</v>
      </c>
      <c r="C264" s="313">
        <f t="shared" si="20"/>
        <v>51</v>
      </c>
      <c r="D264" s="313">
        <f t="shared" si="21"/>
        <v>51</v>
      </c>
      <c r="E264" s="313">
        <f t="shared" si="22"/>
        <v>15</v>
      </c>
      <c r="F264" s="313" t="str">
        <f t="shared" si="23"/>
        <v>pm</v>
      </c>
      <c r="G264" s="313" t="s">
        <v>443</v>
      </c>
      <c r="H264" s="313" t="s">
        <v>444</v>
      </c>
      <c r="I264" s="313" t="s">
        <v>442</v>
      </c>
      <c r="K264" s="314">
        <f t="shared" si="24"/>
        <v>1934.5993580275974</v>
      </c>
      <c r="M264" s="314">
        <v>2000</v>
      </c>
      <c r="O264" s="313">
        <v>1945.5835796928918</v>
      </c>
      <c r="R264" s="313" t="str">
        <f>IF(AND((J264="This"),(L264="Only")),VLOOKUP(G264,#REF!,7,FALSE),"")</f>
        <v/>
      </c>
      <c r="S264" s="313">
        <v>1904.1046446104472</v>
      </c>
      <c r="T264" s="313">
        <v>1881.9594079860281</v>
      </c>
      <c r="V264" s="313">
        <v>1934.5993580275974</v>
      </c>
    </row>
    <row r="265" spans="1:23" x14ac:dyDescent="0.25">
      <c r="A265" s="313">
        <v>1</v>
      </c>
      <c r="C265" s="313">
        <f t="shared" si="20"/>
        <v>52</v>
      </c>
      <c r="D265" s="313">
        <f t="shared" si="21"/>
        <v>51</v>
      </c>
      <c r="E265" s="313">
        <f t="shared" si="22"/>
        <v>15</v>
      </c>
      <c r="F265" s="313" t="str">
        <f t="shared" si="23"/>
        <v>crx</v>
      </c>
      <c r="G265" s="313" t="s">
        <v>912</v>
      </c>
      <c r="H265" s="313" t="s">
        <v>913</v>
      </c>
      <c r="I265" s="313" t="s">
        <v>914</v>
      </c>
      <c r="K265" s="314">
        <f t="shared" si="24"/>
        <v>2067.7629540639618</v>
      </c>
      <c r="M265" s="314">
        <v>2000</v>
      </c>
      <c r="O265" s="313">
        <v>2067.7629540639618</v>
      </c>
      <c r="R265" s="313" t="str">
        <f>IF(AND((J265="This"),(L265="Only")),VLOOKUP(G265,#REF!,7,FALSE),"")</f>
        <v/>
      </c>
    </row>
    <row r="266" spans="1:23" x14ac:dyDescent="0.25">
      <c r="A266" s="313">
        <v>3</v>
      </c>
      <c r="C266" s="313">
        <f t="shared" si="20"/>
        <v>53</v>
      </c>
      <c r="D266" s="313">
        <f t="shared" si="21"/>
        <v>51</v>
      </c>
      <c r="E266" s="313">
        <f t="shared" si="22"/>
        <v>15</v>
      </c>
      <c r="F266" s="313" t="str">
        <f t="shared" si="23"/>
        <v>pm</v>
      </c>
      <c r="G266" s="1032" t="s">
        <v>915</v>
      </c>
      <c r="H266" s="313" t="s">
        <v>916</v>
      </c>
      <c r="I266" s="313" t="s">
        <v>917</v>
      </c>
      <c r="K266" s="314">
        <f t="shared" si="24"/>
        <v>2151.1670311235207</v>
      </c>
      <c r="M266" s="314">
        <v>2000</v>
      </c>
      <c r="R266" s="313" t="str">
        <f>IF(AND((J266="This"),(L266="Only")),VLOOKUP(G266,#REF!,7,FALSE),"")</f>
        <v/>
      </c>
      <c r="S266" s="313">
        <v>2125.6672368874802</v>
      </c>
      <c r="V266" s="313">
        <v>2151.1670311235207</v>
      </c>
    </row>
    <row r="267" spans="1:23" x14ac:dyDescent="0.25">
      <c r="A267" s="313">
        <v>2</v>
      </c>
      <c r="C267" s="313">
        <f t="shared" si="20"/>
        <v>54</v>
      </c>
      <c r="D267" s="313">
        <f t="shared" si="21"/>
        <v>51</v>
      </c>
      <c r="E267" s="313">
        <f t="shared" si="22"/>
        <v>15</v>
      </c>
      <c r="F267" s="313" t="str">
        <f t="shared" si="23"/>
        <v>cr</v>
      </c>
      <c r="G267" s="313" t="s">
        <v>461</v>
      </c>
      <c r="H267" s="313" t="s">
        <v>209</v>
      </c>
      <c r="I267" s="313" t="s">
        <v>460</v>
      </c>
      <c r="K267" s="314">
        <f t="shared" si="24"/>
        <v>2000</v>
      </c>
      <c r="M267" s="314">
        <v>2000</v>
      </c>
      <c r="R267" s="313" t="str">
        <f>IF(AND((J267="This"),(L267="Only")),VLOOKUP(G267,#REF!,7,FALSE),"")</f>
        <v/>
      </c>
    </row>
    <row r="268" spans="1:23" x14ac:dyDescent="0.25">
      <c r="A268" s="313">
        <v>1</v>
      </c>
      <c r="C268" s="313">
        <f t="shared" si="20"/>
        <v>55</v>
      </c>
      <c r="D268" s="313">
        <f t="shared" si="21"/>
        <v>51</v>
      </c>
      <c r="E268" s="313">
        <f t="shared" si="22"/>
        <v>15</v>
      </c>
      <c r="F268" s="313" t="str">
        <f t="shared" si="23"/>
        <v>pmx</v>
      </c>
      <c r="G268" s="313" t="s">
        <v>918</v>
      </c>
      <c r="H268" s="313" t="s">
        <v>578</v>
      </c>
      <c r="I268" s="313" t="s">
        <v>919</v>
      </c>
      <c r="K268" s="314">
        <f t="shared" si="24"/>
        <v>1956.945013216829</v>
      </c>
      <c r="M268" s="314">
        <v>2000</v>
      </c>
      <c r="O268" s="313">
        <v>1956.945013216829</v>
      </c>
      <c r="R268" s="313" t="str">
        <f>IF(AND((J268="This"),(L268="Only")),VLOOKUP(G268,#REF!,7,FALSE),"")</f>
        <v/>
      </c>
    </row>
    <row r="269" spans="1:23" x14ac:dyDescent="0.25">
      <c r="A269" s="313">
        <v>2</v>
      </c>
      <c r="C269" s="313">
        <f t="shared" si="20"/>
        <v>56</v>
      </c>
      <c r="D269" s="313">
        <f t="shared" si="21"/>
        <v>51</v>
      </c>
      <c r="E269" s="313">
        <f t="shared" si="22"/>
        <v>15</v>
      </c>
      <c r="F269" s="313" t="str">
        <f t="shared" si="23"/>
        <v>pm</v>
      </c>
      <c r="G269" s="313" t="s">
        <v>920</v>
      </c>
      <c r="H269" s="313" t="s">
        <v>213</v>
      </c>
      <c r="I269" s="313" t="s">
        <v>921</v>
      </c>
      <c r="K269" s="314">
        <f t="shared" si="24"/>
        <v>2016.1001377438922</v>
      </c>
      <c r="M269" s="314">
        <v>2000</v>
      </c>
      <c r="O269" s="313">
        <v>2026.0099610120353</v>
      </c>
      <c r="R269" s="313" t="str">
        <f>IF(AND((J269="This"),(L269="Only")),VLOOKUP(G269,#REF!,7,FALSE),"")</f>
        <v/>
      </c>
      <c r="V269" s="313">
        <v>2016.1001377438922</v>
      </c>
    </row>
    <row r="270" spans="1:23" x14ac:dyDescent="0.25">
      <c r="A270" s="313">
        <v>1</v>
      </c>
      <c r="C270" s="313">
        <f t="shared" si="20"/>
        <v>57</v>
      </c>
      <c r="D270" s="313">
        <f t="shared" si="21"/>
        <v>51</v>
      </c>
      <c r="E270" s="313">
        <f t="shared" si="22"/>
        <v>15</v>
      </c>
      <c r="F270" s="313" t="str">
        <f t="shared" si="23"/>
        <v>crx</v>
      </c>
      <c r="G270" s="313" t="s">
        <v>922</v>
      </c>
      <c r="H270" s="313" t="s">
        <v>643</v>
      </c>
      <c r="I270" s="313" t="s">
        <v>923</v>
      </c>
      <c r="K270" s="314">
        <f t="shared" si="24"/>
        <v>2186.2537904112141</v>
      </c>
      <c r="M270" s="314">
        <v>2000</v>
      </c>
      <c r="O270" s="313">
        <v>2186.2537904112141</v>
      </c>
      <c r="R270" s="313" t="str">
        <f>IF(AND((J270="This"),(L270="Only")),VLOOKUP(G270,#REF!,7,FALSE),"")</f>
        <v/>
      </c>
    </row>
    <row r="271" spans="1:23" x14ac:dyDescent="0.25">
      <c r="A271" s="313">
        <v>3</v>
      </c>
      <c r="C271" s="313">
        <f t="shared" si="20"/>
        <v>58</v>
      </c>
      <c r="D271" s="313">
        <f t="shared" si="21"/>
        <v>51</v>
      </c>
      <c r="E271" s="313">
        <f t="shared" si="22"/>
        <v>15</v>
      </c>
      <c r="F271" s="313" t="str">
        <f t="shared" si="23"/>
        <v>pm</v>
      </c>
      <c r="G271" s="313" t="s">
        <v>252</v>
      </c>
      <c r="H271" s="313" t="s">
        <v>207</v>
      </c>
      <c r="I271" s="313" t="s">
        <v>194</v>
      </c>
      <c r="K271" s="314">
        <f t="shared" si="24"/>
        <v>1946.6508848780252</v>
      </c>
      <c r="M271" s="314">
        <v>2000</v>
      </c>
      <c r="O271" s="313">
        <v>1946.6508848780252</v>
      </c>
      <c r="R271" s="313" t="str">
        <f>IF(AND((J271="This"),(L271="Only")),VLOOKUP(G271,#REF!,7,FALSE),"")</f>
        <v/>
      </c>
    </row>
    <row r="272" spans="1:23" x14ac:dyDescent="0.25">
      <c r="A272" s="313">
        <v>6</v>
      </c>
      <c r="C272" s="313">
        <f t="shared" si="20"/>
        <v>59</v>
      </c>
      <c r="D272" s="313">
        <f t="shared" si="21"/>
        <v>51</v>
      </c>
      <c r="E272" s="313">
        <f t="shared" si="22"/>
        <v>15</v>
      </c>
      <c r="F272" s="313" t="str">
        <f t="shared" si="23"/>
        <v>pm</v>
      </c>
      <c r="G272" s="313" t="s">
        <v>244</v>
      </c>
      <c r="H272" s="313" t="s">
        <v>204</v>
      </c>
      <c r="I272" s="313" t="s">
        <v>192</v>
      </c>
      <c r="K272" s="314">
        <f t="shared" si="24"/>
        <v>1769.7324273066286</v>
      </c>
      <c r="M272" s="314">
        <v>2000</v>
      </c>
      <c r="O272" s="313">
        <v>1899.8845696374212</v>
      </c>
      <c r="R272" s="313" t="str">
        <f>IF(AND((J272="This"),(L272="Only")),VLOOKUP(G272,#REF!,7,FALSE),"")</f>
        <v/>
      </c>
      <c r="S272" s="313">
        <v>1879.5086780308623</v>
      </c>
      <c r="T272" s="313">
        <v>1815.1405956068922</v>
      </c>
      <c r="V272" s="313">
        <v>1769.7324273066286</v>
      </c>
    </row>
    <row r="273" spans="1:22" x14ac:dyDescent="0.25">
      <c r="A273" s="313">
        <v>5</v>
      </c>
      <c r="C273" s="313">
        <f t="shared" si="20"/>
        <v>60</v>
      </c>
      <c r="D273" s="313">
        <f t="shared" si="21"/>
        <v>51</v>
      </c>
      <c r="E273" s="313">
        <f t="shared" si="22"/>
        <v>15</v>
      </c>
      <c r="F273" s="313" t="str">
        <f t="shared" si="23"/>
        <v>pm</v>
      </c>
      <c r="G273" s="313" t="s">
        <v>326</v>
      </c>
      <c r="H273" s="313" t="s">
        <v>199</v>
      </c>
      <c r="I273" s="313" t="s">
        <v>368</v>
      </c>
      <c r="K273" s="314">
        <f t="shared" si="24"/>
        <v>2037.3311358334597</v>
      </c>
      <c r="M273" s="314">
        <v>2000</v>
      </c>
      <c r="O273" s="313">
        <v>2082.3894703533642</v>
      </c>
      <c r="R273" s="313" t="str">
        <f>IF(AND((J273="This"),(L273="Only")),VLOOKUP(G273,#REF!,7,FALSE),"")</f>
        <v/>
      </c>
      <c r="S273" s="313">
        <v>1985.4963518902775</v>
      </c>
      <c r="V273" s="313">
        <v>2037.3311358334597</v>
      </c>
    </row>
    <row r="274" spans="1:22" x14ac:dyDescent="0.25">
      <c r="A274" s="313">
        <v>2</v>
      </c>
      <c r="C274" s="313">
        <f t="shared" si="20"/>
        <v>61</v>
      </c>
      <c r="D274" s="313">
        <f t="shared" si="21"/>
        <v>51</v>
      </c>
      <c r="E274" s="313">
        <f t="shared" si="22"/>
        <v>15</v>
      </c>
      <c r="F274" s="313" t="str">
        <f t="shared" si="23"/>
        <v>pm</v>
      </c>
      <c r="G274" s="313" t="s">
        <v>924</v>
      </c>
      <c r="H274" s="313" t="s">
        <v>281</v>
      </c>
      <c r="I274" s="313" t="s">
        <v>925</v>
      </c>
      <c r="K274" s="314">
        <f t="shared" si="24"/>
        <v>2009.442133194488</v>
      </c>
      <c r="M274" s="314">
        <v>2000</v>
      </c>
      <c r="R274" s="313" t="str">
        <f>IF(AND((J274="This"),(L274="Only")),VLOOKUP(G274,#REF!,7,FALSE),"")</f>
        <v/>
      </c>
      <c r="S274" s="313">
        <v>2019.4002681448881</v>
      </c>
      <c r="T274" s="313">
        <v>1937.3837972359004</v>
      </c>
      <c r="V274" s="313">
        <v>2009.442133194488</v>
      </c>
    </row>
    <row r="275" spans="1:22" x14ac:dyDescent="0.25">
      <c r="A275" s="313">
        <v>4</v>
      </c>
      <c r="C275" s="313">
        <f t="shared" si="20"/>
        <v>62</v>
      </c>
      <c r="D275" s="313">
        <f t="shared" si="21"/>
        <v>51</v>
      </c>
      <c r="E275" s="313">
        <f t="shared" si="22"/>
        <v>15</v>
      </c>
      <c r="F275" s="313" t="str">
        <f t="shared" si="23"/>
        <v>pm</v>
      </c>
      <c r="G275" s="313" t="s">
        <v>406</v>
      </c>
      <c r="H275" s="313" t="s">
        <v>198</v>
      </c>
      <c r="I275" s="313" t="s">
        <v>405</v>
      </c>
      <c r="K275" s="314">
        <f t="shared" si="24"/>
        <v>1968.6719369166094</v>
      </c>
      <c r="M275" s="314">
        <v>2000</v>
      </c>
      <c r="R275" s="313" t="str">
        <f>IF(AND((J275="This"),(L275="Only")),VLOOKUP(G275,#REF!,7,FALSE),"")</f>
        <v/>
      </c>
      <c r="T275" s="313">
        <v>1962.7309363652487</v>
      </c>
      <c r="V275" s="313">
        <v>1968.6719369166094</v>
      </c>
    </row>
    <row r="276" spans="1:22" x14ac:dyDescent="0.25">
      <c r="A276" s="313">
        <v>5</v>
      </c>
      <c r="C276" s="313">
        <f t="shared" si="20"/>
        <v>63</v>
      </c>
      <c r="D276" s="313">
        <f t="shared" si="21"/>
        <v>51</v>
      </c>
      <c r="E276" s="313">
        <f t="shared" si="22"/>
        <v>15</v>
      </c>
      <c r="F276" s="313" t="str">
        <f t="shared" si="23"/>
        <v>pm</v>
      </c>
      <c r="G276" s="313" t="s">
        <v>424</v>
      </c>
      <c r="H276" s="313" t="s">
        <v>235</v>
      </c>
      <c r="I276" s="313" t="s">
        <v>423</v>
      </c>
      <c r="K276" s="314">
        <f t="shared" si="24"/>
        <v>1882.3588043028437</v>
      </c>
      <c r="M276" s="314">
        <v>2000</v>
      </c>
      <c r="R276" s="313" t="str">
        <f>IF(AND((J276="This"),(L276="Only")),VLOOKUP(G276,#REF!,7,FALSE),"")</f>
        <v/>
      </c>
      <c r="S276" s="313">
        <v>1951.6936515310344</v>
      </c>
      <c r="T276" s="313">
        <v>1967.5899225540977</v>
      </c>
      <c r="V276" s="313">
        <v>1882.3588043028437</v>
      </c>
    </row>
    <row r="277" spans="1:22" x14ac:dyDescent="0.25">
      <c r="A277" s="313">
        <v>5</v>
      </c>
      <c r="C277" s="313">
        <f t="shared" si="20"/>
        <v>64</v>
      </c>
      <c r="D277" s="313">
        <f t="shared" si="21"/>
        <v>51</v>
      </c>
      <c r="E277" s="313">
        <f t="shared" si="22"/>
        <v>15</v>
      </c>
      <c r="F277" s="313" t="str">
        <f t="shared" si="23"/>
        <v>pm</v>
      </c>
      <c r="G277" s="313" t="s">
        <v>926</v>
      </c>
      <c r="H277" s="313" t="s">
        <v>235</v>
      </c>
      <c r="I277" s="313" t="s">
        <v>927</v>
      </c>
      <c r="K277" s="314">
        <f t="shared" si="24"/>
        <v>2000</v>
      </c>
      <c r="M277" s="314">
        <v>2000</v>
      </c>
      <c r="R277" s="313" t="str">
        <f>IF(AND((J277="This"),(L277="Only")),VLOOKUP(G277,#REF!,7,FALSE),"")</f>
        <v/>
      </c>
    </row>
    <row r="278" spans="1:22" x14ac:dyDescent="0.25">
      <c r="A278" s="313">
        <v>6</v>
      </c>
      <c r="C278" s="313">
        <f t="shared" si="20"/>
        <v>65</v>
      </c>
      <c r="D278" s="313">
        <f t="shared" si="21"/>
        <v>51</v>
      </c>
      <c r="E278" s="313">
        <f t="shared" si="22"/>
        <v>15</v>
      </c>
      <c r="F278" s="313" t="str">
        <f t="shared" si="23"/>
        <v>pm</v>
      </c>
      <c r="G278" s="313" t="s">
        <v>516</v>
      </c>
      <c r="H278" s="313" t="s">
        <v>216</v>
      </c>
      <c r="I278" s="313" t="s">
        <v>193</v>
      </c>
      <c r="K278" s="314">
        <f t="shared" si="24"/>
        <v>2075.6557959024376</v>
      </c>
      <c r="M278" s="314">
        <v>2000</v>
      </c>
      <c r="O278" s="313">
        <v>2021.5539015085499</v>
      </c>
      <c r="R278" s="313" t="str">
        <f>IF(AND((J278="This"),(L278="Only")),VLOOKUP(G278,#REF!,7,FALSE),"")</f>
        <v/>
      </c>
      <c r="S278" s="313">
        <v>2077.8601411897835</v>
      </c>
      <c r="T278" s="313">
        <v>2066.7296561866906</v>
      </c>
      <c r="V278" s="313">
        <v>2075.6557959024376</v>
      </c>
    </row>
    <row r="279" spans="1:22" x14ac:dyDescent="0.25">
      <c r="A279" s="313">
        <v>2</v>
      </c>
      <c r="C279" s="313">
        <f t="shared" si="20"/>
        <v>66</v>
      </c>
      <c r="D279" s="313">
        <f t="shared" si="21"/>
        <v>51</v>
      </c>
      <c r="E279" s="313">
        <f t="shared" si="22"/>
        <v>15</v>
      </c>
      <c r="F279" s="313" t="str">
        <f t="shared" si="23"/>
        <v>cr</v>
      </c>
      <c r="G279" s="313" t="s">
        <v>928</v>
      </c>
      <c r="H279" s="313" t="s">
        <v>593</v>
      </c>
      <c r="I279" s="313" t="s">
        <v>929</v>
      </c>
      <c r="K279" s="314">
        <f t="shared" si="24"/>
        <v>2092.5746381180716</v>
      </c>
      <c r="M279" s="314">
        <v>2000</v>
      </c>
      <c r="R279" s="313" t="str">
        <f>IF(AND((J279="This"),(L279="Only")),VLOOKUP(G279,#REF!,7,FALSE),"")</f>
        <v/>
      </c>
      <c r="T279" s="313">
        <v>2092.5746381180716</v>
      </c>
    </row>
    <row r="280" spans="1:22" x14ac:dyDescent="0.25">
      <c r="A280" s="313">
        <v>2</v>
      </c>
      <c r="C280" s="313">
        <f t="shared" si="20"/>
        <v>67</v>
      </c>
      <c r="D280" s="313">
        <f t="shared" si="21"/>
        <v>51</v>
      </c>
      <c r="E280" s="313">
        <f t="shared" si="22"/>
        <v>15</v>
      </c>
      <c r="F280" s="313" t="str">
        <f t="shared" si="23"/>
        <v>pm</v>
      </c>
      <c r="G280" s="313" t="s">
        <v>930</v>
      </c>
      <c r="H280" s="313" t="s">
        <v>559</v>
      </c>
      <c r="I280" s="313" t="s">
        <v>931</v>
      </c>
      <c r="K280" s="314">
        <f t="shared" si="24"/>
        <v>2045.640941405906</v>
      </c>
      <c r="M280" s="314">
        <v>2000</v>
      </c>
      <c r="R280" s="313" t="str">
        <f>IF(AND((J280="This"),(L280="Only")),VLOOKUP(G280,#REF!,7,FALSE),"")</f>
        <v/>
      </c>
      <c r="V280" s="313">
        <v>2045.640941405906</v>
      </c>
    </row>
    <row r="281" spans="1:22" x14ac:dyDescent="0.25">
      <c r="A281" s="313">
        <v>1</v>
      </c>
      <c r="C281" s="313">
        <f t="shared" si="20"/>
        <v>68</v>
      </c>
      <c r="D281" s="313">
        <f t="shared" si="21"/>
        <v>51</v>
      </c>
      <c r="E281" s="313">
        <f t="shared" si="22"/>
        <v>15</v>
      </c>
      <c r="F281" s="313" t="str">
        <f t="shared" si="23"/>
        <v>pmx</v>
      </c>
      <c r="G281" s="313" t="s">
        <v>932</v>
      </c>
      <c r="H281" s="313" t="s">
        <v>559</v>
      </c>
      <c r="I281" s="313" t="s">
        <v>933</v>
      </c>
      <c r="K281" s="314">
        <f t="shared" si="24"/>
        <v>2000</v>
      </c>
      <c r="M281" s="314">
        <v>2000</v>
      </c>
      <c r="R281" s="313" t="str">
        <f>IF(AND((J281="This"),(L281="Only")),VLOOKUP(G281,#REF!,7,FALSE),"")</f>
        <v/>
      </c>
    </row>
    <row r="282" spans="1:22" x14ac:dyDescent="0.25">
      <c r="A282" s="313">
        <v>5</v>
      </c>
      <c r="C282" s="313">
        <f t="shared" si="20"/>
        <v>69</v>
      </c>
      <c r="D282" s="313">
        <f t="shared" si="21"/>
        <v>51</v>
      </c>
      <c r="E282" s="313">
        <f t="shared" si="22"/>
        <v>15</v>
      </c>
      <c r="F282" s="313" t="str">
        <f t="shared" si="23"/>
        <v>pm</v>
      </c>
      <c r="G282" s="313" t="s">
        <v>200</v>
      </c>
      <c r="H282" s="313" t="s">
        <v>201</v>
      </c>
      <c r="I282" s="313" t="s">
        <v>191</v>
      </c>
      <c r="K282" s="314">
        <f t="shared" si="24"/>
        <v>1954.3026425151425</v>
      </c>
      <c r="M282" s="314">
        <v>2000</v>
      </c>
      <c r="R282" s="313" t="str">
        <f>IF(AND((J282="This"),(L282="Only")),VLOOKUP(G282,#REF!,7,FALSE),"")</f>
        <v/>
      </c>
      <c r="S282" s="313">
        <v>2021.1114002752317</v>
      </c>
      <c r="T282" s="313">
        <v>2058.6723054658987</v>
      </c>
      <c r="V282" s="313">
        <v>1954.3026425151425</v>
      </c>
    </row>
    <row r="283" spans="1:22" x14ac:dyDescent="0.25">
      <c r="A283" s="313">
        <v>1</v>
      </c>
      <c r="C283" s="313">
        <f t="shared" si="20"/>
        <v>70</v>
      </c>
      <c r="D283" s="313">
        <f t="shared" si="21"/>
        <v>51</v>
      </c>
      <c r="E283" s="313">
        <f t="shared" si="22"/>
        <v>15</v>
      </c>
      <c r="F283" s="313" t="str">
        <f t="shared" si="23"/>
        <v>sox</v>
      </c>
      <c r="G283" s="313" t="s">
        <v>372</v>
      </c>
      <c r="H283" s="313" t="s">
        <v>212</v>
      </c>
      <c r="I283" s="313" t="s">
        <v>371</v>
      </c>
      <c r="K283" s="314">
        <f t="shared" si="24"/>
        <v>2000</v>
      </c>
      <c r="M283" s="314">
        <v>2000</v>
      </c>
      <c r="R283" s="313" t="str">
        <f>IF(AND((J283="This"),(L283="Only")),VLOOKUP(G283,#REF!,7,FALSE),"")</f>
        <v/>
      </c>
    </row>
    <row r="284" spans="1:22" x14ac:dyDescent="0.25">
      <c r="A284" s="313">
        <v>1</v>
      </c>
      <c r="C284" s="313">
        <f t="shared" si="20"/>
        <v>1</v>
      </c>
      <c r="D284" s="313">
        <f t="shared" si="21"/>
        <v>1</v>
      </c>
      <c r="E284" s="313">
        <f t="shared" si="22"/>
        <v>16</v>
      </c>
      <c r="F284" s="313" t="str">
        <f t="shared" si="23"/>
        <v>sox</v>
      </c>
      <c r="G284" s="313" t="s">
        <v>934</v>
      </c>
      <c r="H284" s="313" t="s">
        <v>575</v>
      </c>
      <c r="I284" s="313" t="s">
        <v>935</v>
      </c>
      <c r="K284" s="314">
        <f t="shared" si="24"/>
        <v>2504.0110612829112</v>
      </c>
      <c r="M284" s="314">
        <v>2600</v>
      </c>
      <c r="R284" s="313" t="str">
        <f>IF(AND((J284="This"),(L284="Only")),VLOOKUP(G284,#REF!,7,FALSE),"")</f>
        <v/>
      </c>
      <c r="U284" s="313">
        <v>2504.0110612829112</v>
      </c>
    </row>
    <row r="285" spans="1:22" x14ac:dyDescent="0.25">
      <c r="A285" s="313">
        <v>1</v>
      </c>
      <c r="C285" s="313">
        <f t="shared" si="20"/>
        <v>2</v>
      </c>
      <c r="D285" s="313">
        <f t="shared" si="21"/>
        <v>1</v>
      </c>
      <c r="E285" s="313">
        <f t="shared" si="22"/>
        <v>16</v>
      </c>
      <c r="F285" s="313" t="str">
        <f t="shared" si="23"/>
        <v>crx</v>
      </c>
      <c r="G285" s="313" t="s">
        <v>327</v>
      </c>
      <c r="H285" s="313" t="s">
        <v>209</v>
      </c>
      <c r="I285" s="313" t="s">
        <v>936</v>
      </c>
      <c r="K285" s="314">
        <f t="shared" si="24"/>
        <v>2600</v>
      </c>
      <c r="M285" s="314">
        <v>2600</v>
      </c>
      <c r="R285" s="313" t="str">
        <f>IF(AND((J285="This"),(L285="Only")),VLOOKUP(G285,#REF!,7,FALSE),"")</f>
        <v/>
      </c>
    </row>
    <row r="286" spans="1:22" x14ac:dyDescent="0.25">
      <c r="A286" s="313">
        <v>1</v>
      </c>
      <c r="C286" s="313">
        <f t="shared" si="20"/>
        <v>3</v>
      </c>
      <c r="D286" s="313">
        <f t="shared" si="21"/>
        <v>1</v>
      </c>
      <c r="E286" s="313">
        <f t="shared" si="22"/>
        <v>16</v>
      </c>
      <c r="F286" s="313" t="str">
        <f t="shared" si="23"/>
        <v>crx</v>
      </c>
      <c r="G286" s="313" t="s">
        <v>227</v>
      </c>
      <c r="H286" s="313" t="s">
        <v>209</v>
      </c>
      <c r="I286" s="313" t="s">
        <v>937</v>
      </c>
      <c r="K286" s="314">
        <f t="shared" si="24"/>
        <v>2600</v>
      </c>
      <c r="M286" s="314">
        <v>2600</v>
      </c>
      <c r="R286" s="313" t="str">
        <f>IF(AND((J286="This"),(L286="Only")),VLOOKUP(G286,#REF!,7,FALSE),"")</f>
        <v/>
      </c>
    </row>
    <row r="287" spans="1:22" x14ac:dyDescent="0.25">
      <c r="A287" s="313">
        <v>2</v>
      </c>
      <c r="C287" s="313">
        <f t="shared" si="20"/>
        <v>4</v>
      </c>
      <c r="D287" s="313">
        <f t="shared" si="21"/>
        <v>1</v>
      </c>
      <c r="E287" s="313">
        <f t="shared" si="22"/>
        <v>16</v>
      </c>
      <c r="F287" s="313" t="str">
        <f t="shared" si="23"/>
        <v>pm</v>
      </c>
      <c r="G287" s="313" t="s">
        <v>938</v>
      </c>
      <c r="H287" s="313" t="s">
        <v>213</v>
      </c>
      <c r="I287" s="313" t="s">
        <v>939</v>
      </c>
      <c r="K287" s="314">
        <f t="shared" si="24"/>
        <v>2733.3498205891706</v>
      </c>
      <c r="M287" s="314">
        <v>2600</v>
      </c>
      <c r="N287" s="313">
        <v>2733.3498205891706</v>
      </c>
      <c r="R287" s="313" t="str">
        <f>IF(AND((J287="This"),(L287="Only")),VLOOKUP(G287,#REF!,7,FALSE),"")</f>
        <v/>
      </c>
    </row>
    <row r="288" spans="1:22" x14ac:dyDescent="0.25">
      <c r="A288" s="313">
        <v>1</v>
      </c>
      <c r="C288" s="313">
        <f t="shared" si="20"/>
        <v>5</v>
      </c>
      <c r="D288" s="313">
        <f t="shared" si="21"/>
        <v>1</v>
      </c>
      <c r="E288" s="313">
        <f t="shared" si="22"/>
        <v>16</v>
      </c>
      <c r="F288" s="313" t="str">
        <f t="shared" si="23"/>
        <v>crx</v>
      </c>
      <c r="G288" s="313" t="s">
        <v>940</v>
      </c>
      <c r="H288" s="313" t="s">
        <v>828</v>
      </c>
      <c r="I288" s="313" t="s">
        <v>941</v>
      </c>
      <c r="K288" s="314">
        <f t="shared" si="24"/>
        <v>2632.2998562242606</v>
      </c>
      <c r="M288" s="314">
        <v>2600</v>
      </c>
      <c r="R288" s="313" t="str">
        <f>IF(AND((J288="This"),(L288="Only")),VLOOKUP(G288,#REF!,7,FALSE),"")</f>
        <v/>
      </c>
      <c r="U288" s="313">
        <v>2632.2998562242606</v>
      </c>
    </row>
    <row r="289" spans="1:23" x14ac:dyDescent="0.25">
      <c r="A289" s="313">
        <v>4</v>
      </c>
      <c r="C289" s="313">
        <f t="shared" si="20"/>
        <v>6</v>
      </c>
      <c r="D289" s="313">
        <f t="shared" si="21"/>
        <v>1</v>
      </c>
      <c r="E289" s="313">
        <f t="shared" si="22"/>
        <v>16</v>
      </c>
      <c r="F289" s="313" t="str">
        <f t="shared" si="23"/>
        <v>pm</v>
      </c>
      <c r="G289" s="313" t="s">
        <v>942</v>
      </c>
      <c r="H289" s="313" t="s">
        <v>207</v>
      </c>
      <c r="I289" s="313" t="s">
        <v>943</v>
      </c>
      <c r="K289" s="314">
        <f t="shared" si="24"/>
        <v>2471.7631622918839</v>
      </c>
      <c r="M289" s="314">
        <v>2600</v>
      </c>
      <c r="N289" s="313">
        <v>2526.5055164901037</v>
      </c>
      <c r="R289" s="313" t="str">
        <f>IF(AND((J289="This"),(L289="Only")),VLOOKUP(G289,#REF!,7,FALSE),"")</f>
        <v/>
      </c>
      <c r="U289" s="313">
        <v>2486.488090625131</v>
      </c>
      <c r="W289" s="313">
        <v>2471.7631622918839</v>
      </c>
    </row>
    <row r="290" spans="1:23" x14ac:dyDescent="0.25">
      <c r="A290" s="313">
        <v>4</v>
      </c>
      <c r="C290" s="313">
        <f t="shared" si="20"/>
        <v>7</v>
      </c>
      <c r="D290" s="313">
        <f t="shared" si="21"/>
        <v>1</v>
      </c>
      <c r="E290" s="313">
        <f t="shared" si="22"/>
        <v>16</v>
      </c>
      <c r="F290" s="313" t="str">
        <f t="shared" si="23"/>
        <v>pm</v>
      </c>
      <c r="G290" s="313" t="s">
        <v>944</v>
      </c>
      <c r="H290" s="313" t="s">
        <v>286</v>
      </c>
      <c r="I290" s="313" t="s">
        <v>945</v>
      </c>
      <c r="K290" s="314">
        <f t="shared" si="24"/>
        <v>2583.8657437465972</v>
      </c>
      <c r="M290" s="314">
        <v>2600</v>
      </c>
      <c r="N290" s="313">
        <v>2579.117618958388</v>
      </c>
      <c r="R290" s="313" t="str">
        <f>IF(AND((J290="This"),(L290="Only")),VLOOKUP(G290,#REF!,7,FALSE),"")</f>
        <v/>
      </c>
      <c r="U290" s="313">
        <v>2535.9077333062396</v>
      </c>
      <c r="W290" s="313">
        <v>2583.8657437465972</v>
      </c>
    </row>
    <row r="291" spans="1:23" x14ac:dyDescent="0.25">
      <c r="A291" s="313">
        <v>6</v>
      </c>
      <c r="C291" s="313">
        <f t="shared" si="20"/>
        <v>8</v>
      </c>
      <c r="D291" s="313">
        <f t="shared" si="21"/>
        <v>1</v>
      </c>
      <c r="E291" s="313">
        <f t="shared" si="22"/>
        <v>16</v>
      </c>
      <c r="F291" s="313" t="str">
        <f t="shared" si="23"/>
        <v>pm</v>
      </c>
      <c r="G291" s="313" t="s">
        <v>946</v>
      </c>
      <c r="H291" s="313" t="s">
        <v>204</v>
      </c>
      <c r="I291" s="313" t="s">
        <v>947</v>
      </c>
      <c r="K291" s="314">
        <f t="shared" si="24"/>
        <v>2635.4074828200592</v>
      </c>
      <c r="M291" s="314">
        <v>2600</v>
      </c>
      <c r="N291" s="313">
        <v>2557.2067071974066</v>
      </c>
      <c r="P291" s="313">
        <v>2579.1687371210223</v>
      </c>
      <c r="R291" s="313" t="str">
        <f>IF(AND((J291="This"),(L291="Only")),VLOOKUP(G291,#REF!,7,FALSE),"")</f>
        <v/>
      </c>
      <c r="S291" s="313">
        <v>2569.3380197886345</v>
      </c>
      <c r="U291" s="313">
        <v>2565.5592008458225</v>
      </c>
      <c r="W291" s="313">
        <v>2635.4074828200592</v>
      </c>
    </row>
    <row r="292" spans="1:23" x14ac:dyDescent="0.25">
      <c r="A292" s="313">
        <v>4</v>
      </c>
      <c r="C292" s="313">
        <f t="shared" si="20"/>
        <v>9</v>
      </c>
      <c r="D292" s="313">
        <f t="shared" si="21"/>
        <v>1</v>
      </c>
      <c r="E292" s="313">
        <f t="shared" si="22"/>
        <v>16</v>
      </c>
      <c r="F292" s="313" t="str">
        <f t="shared" si="23"/>
        <v>pm</v>
      </c>
      <c r="G292" s="313" t="s">
        <v>948</v>
      </c>
      <c r="H292" s="313" t="s">
        <v>393</v>
      </c>
      <c r="I292" s="313" t="s">
        <v>949</v>
      </c>
      <c r="K292" s="314">
        <f t="shared" si="24"/>
        <v>2525.0778087923932</v>
      </c>
      <c r="M292" s="314">
        <v>2600</v>
      </c>
      <c r="N292" s="313">
        <v>2541.6561802258602</v>
      </c>
      <c r="R292" s="313" t="str">
        <f>IF(AND((J292="This"),(L292="Only")),VLOOKUP(G292,#REF!,7,FALSE),"")</f>
        <v/>
      </c>
      <c r="S292" s="313">
        <v>2507.3814986686125</v>
      </c>
      <c r="U292" s="313">
        <v>2525.0778087923932</v>
      </c>
    </row>
    <row r="293" spans="1:23" x14ac:dyDescent="0.25">
      <c r="A293" s="313">
        <v>2</v>
      </c>
      <c r="C293" s="313">
        <f t="shared" si="20"/>
        <v>10</v>
      </c>
      <c r="D293" s="313">
        <f t="shared" si="21"/>
        <v>1</v>
      </c>
      <c r="E293" s="313">
        <f t="shared" si="22"/>
        <v>16</v>
      </c>
      <c r="F293" s="313" t="str">
        <f t="shared" si="23"/>
        <v>pm</v>
      </c>
      <c r="G293" s="313" t="s">
        <v>950</v>
      </c>
      <c r="H293" s="313" t="s">
        <v>473</v>
      </c>
      <c r="I293" s="313" t="s">
        <v>951</v>
      </c>
      <c r="K293" s="314">
        <f t="shared" si="24"/>
        <v>2547.1639555804077</v>
      </c>
      <c r="M293" s="314">
        <v>2600</v>
      </c>
      <c r="N293" s="313">
        <v>2547.1639555804077</v>
      </c>
      <c r="R293" s="313" t="str">
        <f>IF(AND((J293="This"),(L293="Only")),VLOOKUP(G293,#REF!,7,FALSE),"")</f>
        <v/>
      </c>
    </row>
    <row r="294" spans="1:23" x14ac:dyDescent="0.25">
      <c r="A294" s="313">
        <v>1</v>
      </c>
      <c r="C294" s="313">
        <f t="shared" si="20"/>
        <v>11</v>
      </c>
      <c r="D294" s="313">
        <f t="shared" si="21"/>
        <v>1</v>
      </c>
      <c r="E294" s="313">
        <f t="shared" si="22"/>
        <v>16</v>
      </c>
      <c r="F294" s="313" t="str">
        <f t="shared" si="23"/>
        <v>pmx</v>
      </c>
      <c r="G294" s="313" t="s">
        <v>952</v>
      </c>
      <c r="H294" s="313" t="s">
        <v>650</v>
      </c>
      <c r="I294" s="313" t="s">
        <v>953</v>
      </c>
      <c r="K294" s="314">
        <f t="shared" si="24"/>
        <v>2717.5008086986541</v>
      </c>
      <c r="M294" s="314">
        <v>2600</v>
      </c>
      <c r="R294" s="313" t="str">
        <f>IF(AND((J294="This"),(L294="Only")),VLOOKUP(G294,#REF!,7,FALSE),"")</f>
        <v/>
      </c>
      <c r="U294" s="313">
        <v>2717.5008086986541</v>
      </c>
    </row>
    <row r="295" spans="1:23" x14ac:dyDescent="0.25">
      <c r="A295" s="313">
        <v>1</v>
      </c>
      <c r="C295" s="313">
        <f t="shared" si="20"/>
        <v>12</v>
      </c>
      <c r="D295" s="313">
        <f t="shared" si="21"/>
        <v>1</v>
      </c>
      <c r="E295" s="313">
        <f t="shared" si="22"/>
        <v>16</v>
      </c>
      <c r="F295" s="313" t="str">
        <f t="shared" si="23"/>
        <v>pmx</v>
      </c>
      <c r="G295" s="313" t="s">
        <v>954</v>
      </c>
      <c r="H295" s="313" t="s">
        <v>650</v>
      </c>
      <c r="I295" s="313" t="s">
        <v>955</v>
      </c>
      <c r="K295" s="314">
        <f t="shared" si="24"/>
        <v>2566.401891014063</v>
      </c>
      <c r="M295" s="314">
        <v>2600</v>
      </c>
      <c r="R295" s="313" t="str">
        <f>IF(AND((J295="This"),(L295="Only")),VLOOKUP(G295,#REF!,7,FALSE),"")</f>
        <v/>
      </c>
      <c r="U295" s="313">
        <v>2566.401891014063</v>
      </c>
    </row>
    <row r="296" spans="1:23" x14ac:dyDescent="0.25">
      <c r="A296" s="313">
        <v>4</v>
      </c>
      <c r="C296" s="313">
        <f t="shared" si="20"/>
        <v>13</v>
      </c>
      <c r="D296" s="313">
        <f t="shared" si="21"/>
        <v>1</v>
      </c>
      <c r="E296" s="313">
        <f t="shared" si="22"/>
        <v>16</v>
      </c>
      <c r="F296" s="313" t="str">
        <f t="shared" si="23"/>
        <v>pm</v>
      </c>
      <c r="G296" s="313" t="s">
        <v>956</v>
      </c>
      <c r="H296" s="313" t="s">
        <v>340</v>
      </c>
      <c r="I296" s="313" t="s">
        <v>957</v>
      </c>
      <c r="K296" s="314">
        <f t="shared" si="24"/>
        <v>2741.3310165652988</v>
      </c>
      <c r="M296" s="314">
        <v>2600</v>
      </c>
      <c r="N296" s="313">
        <v>2611.2686468297929</v>
      </c>
      <c r="R296" s="313" t="str">
        <f>IF(AND((J296="This"),(L296="Only")),VLOOKUP(G296,#REF!,7,FALSE),"")</f>
        <v/>
      </c>
      <c r="U296" s="313">
        <v>2660.4071416594661</v>
      </c>
      <c r="W296" s="313">
        <v>2741.3310165652988</v>
      </c>
    </row>
    <row r="297" spans="1:23" x14ac:dyDescent="0.25">
      <c r="A297" s="313">
        <v>1</v>
      </c>
      <c r="C297" s="313">
        <f t="shared" si="20"/>
        <v>14</v>
      </c>
      <c r="D297" s="313">
        <f t="shared" si="21"/>
        <v>1</v>
      </c>
      <c r="E297" s="313">
        <f t="shared" si="22"/>
        <v>16</v>
      </c>
      <c r="F297" s="313" t="str">
        <f t="shared" si="23"/>
        <v>pmx</v>
      </c>
      <c r="G297" s="313" t="s">
        <v>958</v>
      </c>
      <c r="H297" s="313" t="s">
        <v>411</v>
      </c>
      <c r="I297" s="313" t="s">
        <v>959</v>
      </c>
      <c r="K297" s="314">
        <f t="shared" si="24"/>
        <v>2600</v>
      </c>
      <c r="M297" s="314">
        <v>2600</v>
      </c>
      <c r="R297" s="313" t="str">
        <f>IF(AND((J297="This"),(L297="Only")),VLOOKUP(G297,#REF!,7,FALSE),"")</f>
        <v/>
      </c>
    </row>
    <row r="298" spans="1:23" x14ac:dyDescent="0.25">
      <c r="A298" s="313">
        <v>1</v>
      </c>
      <c r="C298" s="313">
        <f t="shared" si="20"/>
        <v>15</v>
      </c>
      <c r="D298" s="313">
        <f t="shared" si="21"/>
        <v>1</v>
      </c>
      <c r="E298" s="313">
        <f t="shared" si="22"/>
        <v>16</v>
      </c>
      <c r="F298" s="313" t="str">
        <f t="shared" si="23"/>
        <v>pmx</v>
      </c>
      <c r="G298" s="313" t="s">
        <v>960</v>
      </c>
      <c r="H298" s="313" t="s">
        <v>216</v>
      </c>
      <c r="I298" s="313" t="s">
        <v>961</v>
      </c>
      <c r="K298" s="314">
        <f t="shared" si="24"/>
        <v>2600</v>
      </c>
      <c r="M298" s="314">
        <v>2600</v>
      </c>
      <c r="R298" s="313" t="str">
        <f>IF(AND((J298="This"),(L298="Only")),VLOOKUP(G298,#REF!,7,FALSE),"")</f>
        <v/>
      </c>
    </row>
    <row r="299" spans="1:23" x14ac:dyDescent="0.25">
      <c r="A299" s="313">
        <v>2</v>
      </c>
      <c r="C299" s="313">
        <f t="shared" si="20"/>
        <v>16</v>
      </c>
      <c r="D299" s="313">
        <f t="shared" si="21"/>
        <v>1</v>
      </c>
      <c r="E299" s="313">
        <f t="shared" si="22"/>
        <v>16</v>
      </c>
      <c r="F299" s="313" t="str">
        <f t="shared" si="23"/>
        <v>pm</v>
      </c>
      <c r="G299" s="313" t="s">
        <v>962</v>
      </c>
      <c r="H299" s="313" t="s">
        <v>559</v>
      </c>
      <c r="I299" s="313" t="s">
        <v>963</v>
      </c>
      <c r="K299" s="314">
        <f t="shared" si="24"/>
        <v>2685.0676164369856</v>
      </c>
      <c r="M299" s="314">
        <v>2600</v>
      </c>
      <c r="R299" s="313" t="str">
        <f>IF(AND((J299="This"),(L299="Only")),VLOOKUP(G299,#REF!,7,FALSE),"")</f>
        <v/>
      </c>
      <c r="S299" s="313">
        <v>2685.0676164369856</v>
      </c>
    </row>
    <row r="300" spans="1:23" x14ac:dyDescent="0.25">
      <c r="A300" s="313">
        <v>2</v>
      </c>
      <c r="C300" s="313">
        <f t="shared" si="20"/>
        <v>17</v>
      </c>
      <c r="D300" s="313">
        <f t="shared" si="21"/>
        <v>1</v>
      </c>
      <c r="E300" s="313">
        <f t="shared" si="22"/>
        <v>16</v>
      </c>
      <c r="F300" s="313" t="str">
        <f t="shared" si="23"/>
        <v>pm</v>
      </c>
      <c r="G300" s="313" t="s">
        <v>964</v>
      </c>
      <c r="H300" s="313" t="s">
        <v>559</v>
      </c>
      <c r="I300" s="313" t="s">
        <v>965</v>
      </c>
      <c r="K300" s="314">
        <f t="shared" si="24"/>
        <v>2627.4206739162182</v>
      </c>
      <c r="M300" s="314">
        <v>2600</v>
      </c>
      <c r="R300" s="313" t="str">
        <f>IF(AND((J300="This"),(L300="Only")),VLOOKUP(G300,#REF!,7,FALSE),"")</f>
        <v/>
      </c>
      <c r="S300" s="313">
        <v>2627.4206739162182</v>
      </c>
    </row>
    <row r="301" spans="1:23" x14ac:dyDescent="0.25">
      <c r="A301" s="313">
        <v>2</v>
      </c>
      <c r="C301" s="313">
        <f t="shared" si="20"/>
        <v>18</v>
      </c>
      <c r="D301" s="313">
        <f t="shared" si="21"/>
        <v>1</v>
      </c>
      <c r="E301" s="313">
        <f t="shared" si="22"/>
        <v>16</v>
      </c>
      <c r="F301" s="313" t="str">
        <f t="shared" si="23"/>
        <v>pm</v>
      </c>
      <c r="G301" s="313" t="s">
        <v>966</v>
      </c>
      <c r="H301" s="313" t="s">
        <v>559</v>
      </c>
      <c r="I301" s="313" t="s">
        <v>967</v>
      </c>
      <c r="K301" s="314">
        <f t="shared" si="24"/>
        <v>2600</v>
      </c>
      <c r="M301" s="314">
        <v>2600</v>
      </c>
      <c r="R301" s="313" t="str">
        <f>IF(AND((J301="This"),(L301="Only")),VLOOKUP(G301,#REF!,7,FALSE),"")</f>
        <v/>
      </c>
    </row>
    <row r="302" spans="1:23" x14ac:dyDescent="0.25">
      <c r="A302" s="313">
        <v>1</v>
      </c>
      <c r="C302" s="313">
        <f t="shared" si="20"/>
        <v>19</v>
      </c>
      <c r="D302" s="313">
        <f t="shared" si="21"/>
        <v>1</v>
      </c>
      <c r="E302" s="313">
        <f t="shared" si="22"/>
        <v>16</v>
      </c>
      <c r="F302" s="313" t="str">
        <f t="shared" si="23"/>
        <v>sox</v>
      </c>
      <c r="G302" s="313" t="s">
        <v>968</v>
      </c>
      <c r="H302" s="313" t="s">
        <v>285</v>
      </c>
      <c r="I302" s="313" t="s">
        <v>969</v>
      </c>
      <c r="K302" s="314">
        <f t="shared" si="24"/>
        <v>2603.1194892032831</v>
      </c>
      <c r="M302" s="314">
        <v>2600</v>
      </c>
      <c r="R302" s="313" t="str">
        <f>IF(AND((J302="This"),(L302="Only")),VLOOKUP(G302,#REF!,7,FALSE),"")</f>
        <v/>
      </c>
      <c r="U302" s="313">
        <v>2603.1194892032831</v>
      </c>
    </row>
    <row r="303" spans="1:23" x14ac:dyDescent="0.25">
      <c r="A303" s="313">
        <v>2</v>
      </c>
      <c r="C303" s="313">
        <f t="shared" si="20"/>
        <v>20</v>
      </c>
      <c r="D303" s="313">
        <f t="shared" si="21"/>
        <v>1</v>
      </c>
      <c r="E303" s="313">
        <f t="shared" si="22"/>
        <v>16</v>
      </c>
      <c r="F303" s="313" t="str">
        <f t="shared" si="23"/>
        <v>pm</v>
      </c>
      <c r="G303" s="313" t="s">
        <v>970</v>
      </c>
      <c r="H303" s="313" t="s">
        <v>510</v>
      </c>
      <c r="I303" s="313" t="s">
        <v>971</v>
      </c>
      <c r="K303" s="314">
        <f t="shared" si="24"/>
        <v>2715.2091329888212</v>
      </c>
      <c r="M303" s="314">
        <v>2600</v>
      </c>
      <c r="N303" s="313">
        <v>2693.2412396436735</v>
      </c>
      <c r="R303" s="313" t="str">
        <f>IF(AND((J303="This"),(L303="Only")),VLOOKUP(G303,#REF!,7,FALSE),"")</f>
        <v/>
      </c>
      <c r="U303" s="313">
        <v>2715.2091329888212</v>
      </c>
    </row>
    <row r="304" spans="1:23" x14ac:dyDescent="0.25">
      <c r="A304" s="313">
        <v>2</v>
      </c>
      <c r="C304" s="313">
        <f t="shared" si="20"/>
        <v>21</v>
      </c>
      <c r="D304" s="313">
        <f t="shared" si="21"/>
        <v>1</v>
      </c>
      <c r="E304" s="313">
        <f t="shared" si="22"/>
        <v>16</v>
      </c>
      <c r="F304" s="313" t="str">
        <f t="shared" si="23"/>
        <v>pm</v>
      </c>
      <c r="G304" s="313" t="s">
        <v>972</v>
      </c>
      <c r="H304" s="313" t="s">
        <v>201</v>
      </c>
      <c r="I304" s="313" t="s">
        <v>973</v>
      </c>
      <c r="K304" s="314">
        <f t="shared" si="24"/>
        <v>2659.338415507671</v>
      </c>
      <c r="M304" s="314">
        <v>2600</v>
      </c>
      <c r="R304" s="313" t="str">
        <f>IF(AND((J304="This"),(L304="Only")),VLOOKUP(G304,#REF!,7,FALSE),"")</f>
        <v/>
      </c>
      <c r="U304" s="313">
        <v>2652.1918561210637</v>
      </c>
      <c r="W304" s="313">
        <v>2659.338415507671</v>
      </c>
    </row>
    <row r="305" spans="1:23" x14ac:dyDescent="0.25">
      <c r="A305" s="313">
        <v>4</v>
      </c>
      <c r="C305" s="313">
        <f t="shared" si="20"/>
        <v>22</v>
      </c>
      <c r="D305" s="313">
        <f t="shared" si="21"/>
        <v>1</v>
      </c>
      <c r="E305" s="313">
        <f t="shared" si="22"/>
        <v>16</v>
      </c>
      <c r="F305" s="313" t="str">
        <f t="shared" si="23"/>
        <v>pm</v>
      </c>
      <c r="G305" s="313" t="s">
        <v>974</v>
      </c>
      <c r="H305" s="313" t="s">
        <v>201</v>
      </c>
      <c r="I305" s="313" t="s">
        <v>975</v>
      </c>
      <c r="K305" s="314">
        <f t="shared" si="24"/>
        <v>2510.5849564303303</v>
      </c>
      <c r="M305" s="314">
        <v>2600</v>
      </c>
      <c r="P305" s="313">
        <v>2584.0507775096944</v>
      </c>
      <c r="R305" s="313" t="str">
        <f>IF(AND((J305="This"),(L305="Only")),VLOOKUP(G305,#REF!,7,FALSE),"")</f>
        <v/>
      </c>
      <c r="U305" s="313">
        <v>2570.7662317811009</v>
      </c>
      <c r="W305" s="313">
        <v>2510.5849564303303</v>
      </c>
    </row>
    <row r="306" spans="1:23" x14ac:dyDescent="0.25">
      <c r="A306" s="313">
        <v>1</v>
      </c>
      <c r="C306" s="313">
        <f t="shared" si="20"/>
        <v>23</v>
      </c>
      <c r="D306" s="313">
        <f t="shared" si="21"/>
        <v>1</v>
      </c>
      <c r="E306" s="313">
        <f t="shared" si="22"/>
        <v>16</v>
      </c>
      <c r="F306" s="313" t="str">
        <f t="shared" si="23"/>
        <v>crx</v>
      </c>
      <c r="G306" s="313" t="s">
        <v>976</v>
      </c>
      <c r="H306" s="313" t="s">
        <v>670</v>
      </c>
      <c r="I306" s="313" t="s">
        <v>977</v>
      </c>
      <c r="K306" s="314">
        <f t="shared" si="24"/>
        <v>2562.0457631733834</v>
      </c>
      <c r="M306" s="314">
        <v>2600</v>
      </c>
      <c r="R306" s="313" t="str">
        <f>IF(AND((J306="This"),(L306="Only")),VLOOKUP(G306,#REF!,7,FALSE),"")</f>
        <v/>
      </c>
      <c r="U306" s="313">
        <v>2562.0457631733834</v>
      </c>
    </row>
    <row r="307" spans="1:23" x14ac:dyDescent="0.25">
      <c r="A307" s="313">
        <v>2</v>
      </c>
      <c r="C307" s="313">
        <f t="shared" si="20"/>
        <v>24</v>
      </c>
      <c r="D307" s="313">
        <f t="shared" si="21"/>
        <v>1</v>
      </c>
      <c r="E307" s="313">
        <f t="shared" si="22"/>
        <v>16</v>
      </c>
      <c r="F307" s="313" t="str">
        <f t="shared" si="23"/>
        <v>pm</v>
      </c>
      <c r="G307" s="313" t="s">
        <v>978</v>
      </c>
      <c r="H307" s="313" t="s">
        <v>182</v>
      </c>
      <c r="I307" s="313" t="s">
        <v>979</v>
      </c>
      <c r="K307" s="314">
        <f t="shared" si="24"/>
        <v>2489.5912453307851</v>
      </c>
      <c r="M307" s="314">
        <v>2600</v>
      </c>
      <c r="R307" s="313" t="str">
        <f>IF(AND((J307="This"),(L307="Only")),VLOOKUP(G307,#REF!,7,FALSE),"")</f>
        <v/>
      </c>
      <c r="W307" s="313">
        <v>2489.5912453307851</v>
      </c>
    </row>
    <row r="308" spans="1:23" x14ac:dyDescent="0.25">
      <c r="A308" s="313">
        <v>1</v>
      </c>
      <c r="C308" s="313">
        <f t="shared" si="20"/>
        <v>25</v>
      </c>
      <c r="D308" s="313">
        <f t="shared" si="21"/>
        <v>1</v>
      </c>
      <c r="E308" s="313">
        <f t="shared" si="22"/>
        <v>16</v>
      </c>
      <c r="F308" s="313" t="str">
        <f t="shared" si="23"/>
        <v>crx</v>
      </c>
      <c r="G308" s="313" t="s">
        <v>980</v>
      </c>
      <c r="H308" s="313" t="s">
        <v>981</v>
      </c>
      <c r="I308" s="313" t="s">
        <v>982</v>
      </c>
      <c r="K308" s="314">
        <f t="shared" si="24"/>
        <v>2667.5713055232259</v>
      </c>
      <c r="M308" s="314">
        <v>2600</v>
      </c>
      <c r="R308" s="313" t="str">
        <f>IF(AND((J308="This"),(L308="Only")),VLOOKUP(G308,#REF!,7,FALSE),"")</f>
        <v/>
      </c>
      <c r="U308" s="313">
        <v>2667.5713055232259</v>
      </c>
    </row>
    <row r="309" spans="1:23" x14ac:dyDescent="0.25">
      <c r="A309" s="313">
        <v>2</v>
      </c>
      <c r="C309" s="313">
        <f t="shared" si="20"/>
        <v>26</v>
      </c>
      <c r="D309" s="313">
        <f t="shared" si="21"/>
        <v>1</v>
      </c>
      <c r="E309" s="313">
        <f t="shared" si="22"/>
        <v>16</v>
      </c>
      <c r="F309" s="313" t="str">
        <f t="shared" si="23"/>
        <v>cr</v>
      </c>
      <c r="G309" s="313" t="s">
        <v>983</v>
      </c>
      <c r="H309" s="313" t="s">
        <v>342</v>
      </c>
      <c r="I309" s="313" t="s">
        <v>984</v>
      </c>
      <c r="K309" s="314">
        <f t="shared" si="24"/>
        <v>2619.6780129509293</v>
      </c>
      <c r="M309" s="314">
        <v>2600</v>
      </c>
      <c r="N309" s="313">
        <v>2619.6780129509293</v>
      </c>
      <c r="R309" s="313" t="str">
        <f>IF(AND((J309="This"),(L309="Only")),VLOOKUP(G309,#REF!,7,FALSE),"")</f>
        <v/>
      </c>
    </row>
    <row r="310" spans="1:23" x14ac:dyDescent="0.25">
      <c r="A310" s="313">
        <v>1</v>
      </c>
      <c r="C310" s="313">
        <f t="shared" si="20"/>
        <v>27</v>
      </c>
      <c r="D310" s="313">
        <f t="shared" si="21"/>
        <v>1</v>
      </c>
      <c r="E310" s="313">
        <f t="shared" si="22"/>
        <v>16</v>
      </c>
      <c r="F310" s="313" t="str">
        <f t="shared" si="23"/>
        <v>sox</v>
      </c>
      <c r="G310" s="313" t="s">
        <v>332</v>
      </c>
      <c r="H310" s="313" t="s">
        <v>212</v>
      </c>
      <c r="I310" s="313" t="s">
        <v>985</v>
      </c>
      <c r="K310" s="314">
        <f t="shared" si="24"/>
        <v>2600</v>
      </c>
      <c r="M310" s="314">
        <v>2600</v>
      </c>
      <c r="R310" s="313" t="str">
        <f>IF(AND((J310="This"),(L310="Only")),VLOOKUP(G310,#REF!,7,FALSE),"")</f>
        <v/>
      </c>
    </row>
    <row r="311" spans="1:23" x14ac:dyDescent="0.25">
      <c r="A311" s="313">
        <v>3</v>
      </c>
      <c r="C311" s="313">
        <f t="shared" si="20"/>
        <v>28</v>
      </c>
      <c r="D311" s="313">
        <f t="shared" si="21"/>
        <v>1</v>
      </c>
      <c r="E311" s="313">
        <f t="shared" si="22"/>
        <v>16</v>
      </c>
      <c r="F311" s="313" t="str">
        <f t="shared" si="23"/>
        <v>pm</v>
      </c>
      <c r="G311" s="313" t="s">
        <v>986</v>
      </c>
      <c r="H311" s="313" t="s">
        <v>240</v>
      </c>
      <c r="I311" s="313" t="s">
        <v>987</v>
      </c>
      <c r="K311" s="314">
        <f t="shared" si="24"/>
        <v>2724.8437248403648</v>
      </c>
      <c r="M311" s="314">
        <v>2600</v>
      </c>
      <c r="N311" s="313">
        <v>2622.9233566152002</v>
      </c>
      <c r="O311" s="313">
        <v>2722.5538572122728</v>
      </c>
      <c r="R311" s="313" t="str">
        <f>IF(AND((J311="This"),(L311="Only")),VLOOKUP(G311,#REF!,7,FALSE),"")</f>
        <v/>
      </c>
      <c r="U311" s="313">
        <v>2724.8437248403648</v>
      </c>
    </row>
    <row r="312" spans="1:23" x14ac:dyDescent="0.25">
      <c r="A312" s="313">
        <v>4</v>
      </c>
      <c r="C312" s="313">
        <f t="shared" si="20"/>
        <v>29</v>
      </c>
      <c r="D312" s="313">
        <f t="shared" si="21"/>
        <v>1</v>
      </c>
      <c r="E312" s="313">
        <f t="shared" si="22"/>
        <v>16</v>
      </c>
      <c r="F312" s="313" t="str">
        <f t="shared" si="23"/>
        <v>pm</v>
      </c>
      <c r="G312" s="313" t="s">
        <v>988</v>
      </c>
      <c r="H312" s="313" t="s">
        <v>240</v>
      </c>
      <c r="I312" s="313" t="s">
        <v>989</v>
      </c>
      <c r="K312" s="314">
        <f t="shared" si="24"/>
        <v>2391.9418446324321</v>
      </c>
      <c r="M312" s="314">
        <v>2600</v>
      </c>
      <c r="N312" s="313">
        <v>2519.373311515817</v>
      </c>
      <c r="R312" s="313" t="str">
        <f>IF(AND((J312="This"),(L312="Only")),VLOOKUP(G312,#REF!,7,FALSE),"")</f>
        <v/>
      </c>
      <c r="S312" s="313">
        <v>2440.4365770006116</v>
      </c>
      <c r="U312" s="313">
        <v>2391.9418446324321</v>
      </c>
    </row>
    <row r="313" spans="1:23" x14ac:dyDescent="0.25">
      <c r="A313" s="313">
        <v>1</v>
      </c>
      <c r="C313" s="313">
        <f t="shared" si="20"/>
        <v>30</v>
      </c>
      <c r="D313" s="313">
        <f t="shared" si="21"/>
        <v>1</v>
      </c>
      <c r="E313" s="313">
        <f t="shared" si="22"/>
        <v>16</v>
      </c>
      <c r="F313" s="313" t="str">
        <f t="shared" si="23"/>
        <v>pmx</v>
      </c>
      <c r="G313" s="313" t="s">
        <v>990</v>
      </c>
      <c r="H313" s="313" t="s">
        <v>570</v>
      </c>
      <c r="I313" s="313" t="s">
        <v>991</v>
      </c>
      <c r="K313" s="314">
        <f t="shared" si="24"/>
        <v>2600</v>
      </c>
      <c r="M313" s="314">
        <v>2600</v>
      </c>
      <c r="R313" s="313" t="str">
        <f>IF(AND((J313="This"),(L313="Only")),VLOOKUP(G313,#REF!,7,FALSE),"")</f>
        <v/>
      </c>
    </row>
    <row r="314" spans="1:23" x14ac:dyDescent="0.25">
      <c r="A314" s="313">
        <v>1</v>
      </c>
      <c r="C314" s="313">
        <f t="shared" si="20"/>
        <v>31</v>
      </c>
      <c r="D314" s="313">
        <f t="shared" si="21"/>
        <v>1</v>
      </c>
      <c r="E314" s="313">
        <f t="shared" si="22"/>
        <v>16</v>
      </c>
      <c r="F314" s="313" t="str">
        <f t="shared" si="23"/>
        <v>pmx</v>
      </c>
      <c r="G314" s="313" t="s">
        <v>992</v>
      </c>
      <c r="H314" s="313" t="s">
        <v>570</v>
      </c>
      <c r="I314" s="313" t="s">
        <v>993</v>
      </c>
      <c r="K314" s="314">
        <f t="shared" si="24"/>
        <v>2600</v>
      </c>
      <c r="M314" s="314">
        <v>2600</v>
      </c>
      <c r="R314" s="313" t="str">
        <f>IF(AND((J314="This"),(L314="Only")),VLOOKUP(G314,#REF!,7,FALSE),"")</f>
        <v/>
      </c>
    </row>
    <row r="315" spans="1:23" x14ac:dyDescent="0.25">
      <c r="A315" s="313">
        <v>1</v>
      </c>
      <c r="C315" s="313">
        <f t="shared" si="20"/>
        <v>32</v>
      </c>
      <c r="D315" s="313">
        <f t="shared" si="21"/>
        <v>1</v>
      </c>
      <c r="E315" s="313">
        <f t="shared" si="22"/>
        <v>16</v>
      </c>
      <c r="F315" s="313" t="str">
        <f t="shared" si="23"/>
        <v>pmx</v>
      </c>
      <c r="G315" s="313" t="s">
        <v>994</v>
      </c>
      <c r="H315" s="313" t="s">
        <v>570</v>
      </c>
      <c r="I315" s="313" t="s">
        <v>995</v>
      </c>
      <c r="K315" s="314">
        <f t="shared" si="24"/>
        <v>2600</v>
      </c>
      <c r="M315" s="314">
        <v>2600</v>
      </c>
      <c r="R315" s="313" t="str">
        <f>IF(AND((J315="This"),(L315="Only")),VLOOKUP(G315,#REF!,7,FALSE),"")</f>
        <v/>
      </c>
    </row>
    <row r="316" spans="1:23" x14ac:dyDescent="0.25">
      <c r="A316" s="313">
        <v>3</v>
      </c>
      <c r="C316" s="313">
        <f t="shared" si="20"/>
        <v>33</v>
      </c>
      <c r="D316" s="313">
        <f t="shared" si="21"/>
        <v>1</v>
      </c>
      <c r="E316" s="313">
        <f t="shared" si="22"/>
        <v>16</v>
      </c>
      <c r="F316" s="313" t="str">
        <f t="shared" si="23"/>
        <v>pm</v>
      </c>
      <c r="G316" s="313" t="s">
        <v>996</v>
      </c>
      <c r="H316" s="313" t="s">
        <v>494</v>
      </c>
      <c r="I316" s="313" t="s">
        <v>997</v>
      </c>
      <c r="K316" s="314">
        <f t="shared" si="24"/>
        <v>2600.8428892750512</v>
      </c>
      <c r="M316" s="314">
        <v>2600</v>
      </c>
      <c r="P316" s="313">
        <v>2522.8051516700616</v>
      </c>
      <c r="R316" s="313" t="str">
        <f>IF(AND((J316="This"),(L316="Only")),VLOOKUP(G316,#REF!,7,FALSE),"")</f>
        <v/>
      </c>
      <c r="W316" s="313">
        <v>2600.8428892750512</v>
      </c>
    </row>
    <row r="317" spans="1:23" x14ac:dyDescent="0.25">
      <c r="A317" s="313">
        <v>7</v>
      </c>
      <c r="C317" s="313">
        <f t="shared" si="20"/>
        <v>34</v>
      </c>
      <c r="D317" s="313">
        <f t="shared" si="21"/>
        <v>34</v>
      </c>
      <c r="E317" s="313">
        <f t="shared" si="22"/>
        <v>16</v>
      </c>
      <c r="F317" s="313" t="str">
        <f t="shared" si="23"/>
        <v>pm</v>
      </c>
      <c r="G317" s="313" t="s">
        <v>998</v>
      </c>
      <c r="H317" s="313" t="s">
        <v>697</v>
      </c>
      <c r="I317" s="313" t="s">
        <v>999</v>
      </c>
      <c r="K317" s="314">
        <f t="shared" si="24"/>
        <v>2378.1574226998227</v>
      </c>
      <c r="M317" s="314">
        <v>2571.4285714285716</v>
      </c>
      <c r="N317" s="313">
        <v>2493.8050892225788</v>
      </c>
      <c r="P317" s="313">
        <v>2448.3002595797084</v>
      </c>
      <c r="R317" s="313" t="str">
        <f>IF(AND((J317="This"),(L317="Only")),VLOOKUP(G317,#REF!,7,FALSE),"")</f>
        <v/>
      </c>
      <c r="S317" s="313">
        <v>2384.9147310838553</v>
      </c>
      <c r="U317" s="313">
        <v>2373.9518684217605</v>
      </c>
      <c r="W317" s="313">
        <v>2378.1574226998227</v>
      </c>
    </row>
    <row r="318" spans="1:23" x14ac:dyDescent="0.25">
      <c r="A318" s="313">
        <v>6</v>
      </c>
      <c r="C318" s="313">
        <f t="shared" si="20"/>
        <v>35</v>
      </c>
      <c r="D318" s="313">
        <f t="shared" si="21"/>
        <v>35</v>
      </c>
      <c r="E318" s="313">
        <f t="shared" si="22"/>
        <v>16</v>
      </c>
      <c r="F318" s="313" t="str">
        <f t="shared" si="23"/>
        <v>pm</v>
      </c>
      <c r="G318" s="313" t="s">
        <v>535</v>
      </c>
      <c r="H318" s="313" t="s">
        <v>204</v>
      </c>
      <c r="I318" s="313" t="s">
        <v>534</v>
      </c>
      <c r="K318" s="314">
        <f t="shared" si="24"/>
        <v>2278.9436446962341</v>
      </c>
      <c r="M318" s="314">
        <v>2533.3333333333335</v>
      </c>
      <c r="O318" s="313">
        <v>2410.6103701813759</v>
      </c>
      <c r="P318" s="313">
        <v>2349.8800367613849</v>
      </c>
      <c r="R318" s="313" t="str">
        <f>IF(AND((J318="This"),(L318="Only")),VLOOKUP(G318,#REF!,7,FALSE),"")</f>
        <v/>
      </c>
      <c r="S318" s="313">
        <v>2315.1460222697501</v>
      </c>
      <c r="U318" s="313">
        <v>2308.3203044824509</v>
      </c>
      <c r="V318" s="313">
        <v>2284.2292031823108</v>
      </c>
      <c r="W318" s="313">
        <v>2278.9436446962341</v>
      </c>
    </row>
    <row r="319" spans="1:23" x14ac:dyDescent="0.25">
      <c r="A319" s="313">
        <v>4</v>
      </c>
      <c r="C319" s="313">
        <f t="shared" si="20"/>
        <v>36</v>
      </c>
      <c r="D319" s="313">
        <f t="shared" si="21"/>
        <v>36</v>
      </c>
      <c r="E319" s="313">
        <f t="shared" si="22"/>
        <v>16</v>
      </c>
      <c r="F319" s="313" t="str">
        <f t="shared" si="23"/>
        <v>pm</v>
      </c>
      <c r="G319" s="313" t="s">
        <v>1000</v>
      </c>
      <c r="H319" s="313" t="s">
        <v>235</v>
      </c>
      <c r="I319" s="313" t="s">
        <v>1001</v>
      </c>
      <c r="K319" s="314">
        <f t="shared" si="24"/>
        <v>2353.5467439155041</v>
      </c>
      <c r="M319" s="314">
        <v>2500</v>
      </c>
      <c r="O319" s="313">
        <v>2435.8191331501785</v>
      </c>
      <c r="R319" s="313" t="str">
        <f>IF(AND((J319="This"),(L319="Only")),VLOOKUP(G319,#REF!,7,FALSE),"")</f>
        <v/>
      </c>
      <c r="S319" s="313">
        <v>2375.2466911492552</v>
      </c>
      <c r="U319" s="313">
        <v>2355.6429300299578</v>
      </c>
      <c r="V319" s="313">
        <v>2353.5467439155041</v>
      </c>
    </row>
    <row r="320" spans="1:23" x14ac:dyDescent="0.25">
      <c r="A320" s="313">
        <v>3</v>
      </c>
      <c r="C320" s="313">
        <f t="shared" si="20"/>
        <v>37</v>
      </c>
      <c r="D320" s="313">
        <f t="shared" si="21"/>
        <v>37</v>
      </c>
      <c r="E320" s="313">
        <f t="shared" si="22"/>
        <v>16</v>
      </c>
      <c r="F320" s="313" t="str">
        <f t="shared" si="23"/>
        <v>pm</v>
      </c>
      <c r="G320" s="313" t="s">
        <v>1002</v>
      </c>
      <c r="H320" s="313" t="s">
        <v>505</v>
      </c>
      <c r="I320" s="313" t="s">
        <v>1003</v>
      </c>
      <c r="K320" s="314">
        <f t="shared" si="24"/>
        <v>2561.7466774171721</v>
      </c>
      <c r="M320" s="314">
        <v>2466.6666666666665</v>
      </c>
      <c r="O320" s="313">
        <v>2434.9110744308509</v>
      </c>
      <c r="R320" s="313" t="str">
        <f>IF(AND((J320="This"),(L320="Only")),VLOOKUP(G320,#REF!,7,FALSE),"")</f>
        <v/>
      </c>
      <c r="S320" s="313">
        <v>2508.4044143259307</v>
      </c>
      <c r="W320" s="313">
        <v>2561.7466774171721</v>
      </c>
    </row>
    <row r="321" spans="1:23" x14ac:dyDescent="0.25">
      <c r="A321" s="313">
        <v>5</v>
      </c>
      <c r="C321" s="313">
        <f t="shared" si="20"/>
        <v>38</v>
      </c>
      <c r="D321" s="313">
        <f t="shared" si="21"/>
        <v>38</v>
      </c>
      <c r="E321" s="313">
        <f t="shared" si="22"/>
        <v>16</v>
      </c>
      <c r="F321" s="313" t="str">
        <f t="shared" si="23"/>
        <v>pm</v>
      </c>
      <c r="G321" s="313" t="s">
        <v>1004</v>
      </c>
      <c r="H321" s="313" t="s">
        <v>219</v>
      </c>
      <c r="I321" s="313" t="s">
        <v>1005</v>
      </c>
      <c r="K321" s="314">
        <f t="shared" si="24"/>
        <v>2576.5480409302609</v>
      </c>
      <c r="M321" s="314">
        <v>2360</v>
      </c>
      <c r="O321" s="313">
        <v>2441.456768791053</v>
      </c>
      <c r="R321" s="313" t="str">
        <f>IF(AND((J321="This"),(L321="Only")),VLOOKUP(G321,#REF!,7,FALSE),"")</f>
        <v/>
      </c>
      <c r="S321" s="313">
        <v>2517.2017509538255</v>
      </c>
      <c r="W321" s="313">
        <v>2576.5480409302609</v>
      </c>
    </row>
    <row r="322" spans="1:23" x14ac:dyDescent="0.25">
      <c r="A322" s="313">
        <v>5</v>
      </c>
      <c r="C322" s="313">
        <f t="shared" ref="C322:C385" si="25">IF(E322=E321,C321+1,1)</f>
        <v>39</v>
      </c>
      <c r="D322" s="313">
        <f t="shared" ref="D322:D385" si="26">IF(M322=M321,D321,C322)</f>
        <v>39</v>
      </c>
      <c r="E322" s="313">
        <f t="shared" ref="E322:E385" si="27">10+VALUE(RIGHT(LEFT(G322,3),1))</f>
        <v>16</v>
      </c>
      <c r="F322" s="313" t="str">
        <f t="shared" ref="F322:F385" si="28">RIGHT(G322,2) &amp; IF(A322&lt;2,"x","")</f>
        <v>pm</v>
      </c>
      <c r="G322" s="313" t="s">
        <v>1006</v>
      </c>
      <c r="H322" s="313" t="s">
        <v>288</v>
      </c>
      <c r="I322" s="313" t="s">
        <v>1007</v>
      </c>
      <c r="K322" s="314">
        <f t="shared" ref="K322:K385" si="29">LOOKUP(1E+100,M322:AC322)</f>
        <v>2278.1955182796933</v>
      </c>
      <c r="M322" s="314">
        <v>2200</v>
      </c>
      <c r="O322" s="313">
        <v>2205.5690555416468</v>
      </c>
      <c r="P322" s="313">
        <v>2197.157441880373</v>
      </c>
      <c r="R322" s="313" t="str">
        <f>IF(AND((J322="This"),(L322="Only")),VLOOKUP(G322,#REF!,7,FALSE),"")</f>
        <v/>
      </c>
      <c r="S322" s="313">
        <v>2197.2479555669461</v>
      </c>
      <c r="T322" s="313">
        <v>2276.1308192442684</v>
      </c>
      <c r="V322" s="313">
        <v>2278.1955182796933</v>
      </c>
    </row>
    <row r="323" spans="1:23" x14ac:dyDescent="0.25">
      <c r="A323" s="313">
        <v>5</v>
      </c>
      <c r="C323" s="313">
        <f t="shared" si="25"/>
        <v>40</v>
      </c>
      <c r="D323" s="313">
        <f t="shared" si="26"/>
        <v>39</v>
      </c>
      <c r="E323" s="313">
        <f t="shared" si="27"/>
        <v>16</v>
      </c>
      <c r="F323" s="313" t="str">
        <f t="shared" si="28"/>
        <v>pm</v>
      </c>
      <c r="G323" s="313" t="s">
        <v>1008</v>
      </c>
      <c r="H323" s="313" t="s">
        <v>230</v>
      </c>
      <c r="I323" s="313" t="s">
        <v>1009</v>
      </c>
      <c r="K323" s="314">
        <f t="shared" si="29"/>
        <v>2266.7639928315944</v>
      </c>
      <c r="M323" s="314">
        <v>2200</v>
      </c>
      <c r="O323" s="313">
        <v>2247.1528827365905</v>
      </c>
      <c r="R323" s="313" t="str">
        <f>IF(AND((J323="This"),(L323="Only")),VLOOKUP(G323,#REF!,7,FALSE),"")</f>
        <v/>
      </c>
      <c r="S323" s="313">
        <v>2248.5740109483663</v>
      </c>
      <c r="T323" s="313">
        <v>2239.1016155301213</v>
      </c>
      <c r="V323" s="313">
        <v>2266.7639928315944</v>
      </c>
    </row>
    <row r="324" spans="1:23" x14ac:dyDescent="0.25">
      <c r="A324" s="313">
        <v>1</v>
      </c>
      <c r="C324" s="313">
        <f t="shared" si="25"/>
        <v>41</v>
      </c>
      <c r="D324" s="313">
        <f t="shared" si="26"/>
        <v>39</v>
      </c>
      <c r="E324" s="313">
        <f t="shared" si="27"/>
        <v>16</v>
      </c>
      <c r="F324" s="313" t="str">
        <f t="shared" si="28"/>
        <v>pmx</v>
      </c>
      <c r="G324" s="313" t="s">
        <v>1010</v>
      </c>
      <c r="H324" s="313" t="s">
        <v>578</v>
      </c>
      <c r="I324" s="313" t="s">
        <v>1011</v>
      </c>
      <c r="K324" s="314">
        <f t="shared" si="29"/>
        <v>2313.1203040298365</v>
      </c>
      <c r="M324" s="314">
        <v>2200</v>
      </c>
      <c r="O324" s="313">
        <v>2313.1203040298365</v>
      </c>
      <c r="R324" s="313" t="str">
        <f>IF(AND((J324="This"),(L324="Only")),VLOOKUP(G324,#REF!,7,FALSE),"")</f>
        <v/>
      </c>
    </row>
    <row r="325" spans="1:23" x14ac:dyDescent="0.25">
      <c r="A325" s="313">
        <v>6</v>
      </c>
      <c r="C325" s="313">
        <f t="shared" si="25"/>
        <v>42</v>
      </c>
      <c r="D325" s="313">
        <f t="shared" si="26"/>
        <v>39</v>
      </c>
      <c r="E325" s="313">
        <f t="shared" si="27"/>
        <v>16</v>
      </c>
      <c r="F325" s="313" t="str">
        <f t="shared" si="28"/>
        <v>pm</v>
      </c>
      <c r="G325" s="313" t="s">
        <v>231</v>
      </c>
      <c r="H325" s="313" t="s">
        <v>204</v>
      </c>
      <c r="I325" s="313" t="s">
        <v>196</v>
      </c>
      <c r="K325" s="314">
        <f t="shared" si="29"/>
        <v>2162.1770239839025</v>
      </c>
      <c r="M325" s="314">
        <v>2200</v>
      </c>
      <c r="O325" s="313">
        <v>2147.6804939990402</v>
      </c>
      <c r="R325" s="313" t="str">
        <f>IF(AND((J325="This"),(L325="Only")),VLOOKUP(G325,#REF!,7,FALSE),"")</f>
        <v/>
      </c>
      <c r="S325" s="313">
        <v>2152.6230640752033</v>
      </c>
      <c r="T325" s="313">
        <v>2122.4112829190817</v>
      </c>
      <c r="V325" s="313">
        <v>2167.0306689877511</v>
      </c>
      <c r="W325" s="313">
        <v>2162.1770239839025</v>
      </c>
    </row>
    <row r="326" spans="1:23" x14ac:dyDescent="0.25">
      <c r="A326" s="313">
        <v>1</v>
      </c>
      <c r="C326" s="313">
        <f t="shared" si="25"/>
        <v>43</v>
      </c>
      <c r="D326" s="313">
        <f t="shared" si="26"/>
        <v>39</v>
      </c>
      <c r="E326" s="313">
        <f t="shared" si="27"/>
        <v>16</v>
      </c>
      <c r="F326" s="313" t="str">
        <f t="shared" si="28"/>
        <v>sox</v>
      </c>
      <c r="G326" s="313" t="s">
        <v>331</v>
      </c>
      <c r="H326" s="313" t="s">
        <v>229</v>
      </c>
      <c r="I326" s="313" t="s">
        <v>449</v>
      </c>
      <c r="K326" s="314">
        <f t="shared" si="29"/>
        <v>2200</v>
      </c>
      <c r="M326" s="314">
        <v>2200</v>
      </c>
      <c r="R326" s="313" t="str">
        <f>IF(AND((J326="This"),(L326="Only")),VLOOKUP(G326,#REF!,7,FALSE),"")</f>
        <v/>
      </c>
    </row>
    <row r="327" spans="1:23" x14ac:dyDescent="0.25">
      <c r="A327" s="313">
        <v>1</v>
      </c>
      <c r="C327" s="313">
        <f t="shared" si="25"/>
        <v>44</v>
      </c>
      <c r="D327" s="313">
        <f t="shared" si="26"/>
        <v>39</v>
      </c>
      <c r="E327" s="313">
        <f t="shared" si="27"/>
        <v>16</v>
      </c>
      <c r="F327" s="313" t="str">
        <f t="shared" si="28"/>
        <v>sox</v>
      </c>
      <c r="G327" s="313" t="s">
        <v>345</v>
      </c>
      <c r="H327" s="313" t="s">
        <v>229</v>
      </c>
      <c r="I327" s="313" t="s">
        <v>450</v>
      </c>
      <c r="K327" s="314">
        <f t="shared" si="29"/>
        <v>2200</v>
      </c>
      <c r="M327" s="314">
        <v>2200</v>
      </c>
      <c r="R327" s="313" t="str">
        <f>IF(AND((J327="This"),(L327="Only")),VLOOKUP(G327,#REF!,7,FALSE),"")</f>
        <v/>
      </c>
    </row>
    <row r="328" spans="1:23" x14ac:dyDescent="0.25">
      <c r="A328" s="313">
        <v>2</v>
      </c>
      <c r="C328" s="313">
        <f t="shared" si="25"/>
        <v>45</v>
      </c>
      <c r="D328" s="313">
        <f t="shared" si="26"/>
        <v>39</v>
      </c>
      <c r="E328" s="313">
        <f t="shared" si="27"/>
        <v>16</v>
      </c>
      <c r="F328" s="313" t="str">
        <f t="shared" si="28"/>
        <v>cr</v>
      </c>
      <c r="G328" s="313" t="s">
        <v>1012</v>
      </c>
      <c r="H328" s="313" t="s">
        <v>593</v>
      </c>
      <c r="I328" s="313" t="s">
        <v>1013</v>
      </c>
      <c r="K328" s="314">
        <f t="shared" si="29"/>
        <v>2241.532594208044</v>
      </c>
      <c r="M328" s="314">
        <v>2200</v>
      </c>
      <c r="R328" s="313" t="str">
        <f>IF(AND((J328="This"),(L328="Only")),VLOOKUP(G328,#REF!,7,FALSE),"")</f>
        <v/>
      </c>
      <c r="T328" s="313">
        <v>2241.532594208044</v>
      </c>
    </row>
    <row r="329" spans="1:23" x14ac:dyDescent="0.25">
      <c r="A329" s="313">
        <v>2</v>
      </c>
      <c r="C329" s="313">
        <f t="shared" si="25"/>
        <v>46</v>
      </c>
      <c r="D329" s="313">
        <f t="shared" si="26"/>
        <v>39</v>
      </c>
      <c r="E329" s="313">
        <f t="shared" si="27"/>
        <v>16</v>
      </c>
      <c r="F329" s="313" t="str">
        <f t="shared" si="28"/>
        <v>cr</v>
      </c>
      <c r="G329" s="313" t="s">
        <v>1014</v>
      </c>
      <c r="H329" s="313" t="s">
        <v>593</v>
      </c>
      <c r="I329" s="313" t="s">
        <v>1015</v>
      </c>
      <c r="K329" s="314">
        <f t="shared" si="29"/>
        <v>2164.167983712247</v>
      </c>
      <c r="M329" s="314">
        <v>2200</v>
      </c>
      <c r="R329" s="313" t="str">
        <f>IF(AND((J329="This"),(L329="Only")),VLOOKUP(G329,#REF!,7,FALSE),"")</f>
        <v/>
      </c>
      <c r="T329" s="313">
        <v>2164.167983712247</v>
      </c>
    </row>
    <row r="330" spans="1:23" x14ac:dyDescent="0.25">
      <c r="A330" s="313">
        <v>1</v>
      </c>
      <c r="C330" s="313">
        <f t="shared" si="25"/>
        <v>47</v>
      </c>
      <c r="D330" s="313">
        <f t="shared" si="26"/>
        <v>39</v>
      </c>
      <c r="E330" s="313">
        <f t="shared" si="27"/>
        <v>16</v>
      </c>
      <c r="F330" s="313" t="str">
        <f t="shared" si="28"/>
        <v>crx</v>
      </c>
      <c r="G330" s="313" t="s">
        <v>1016</v>
      </c>
      <c r="H330" s="313" t="s">
        <v>346</v>
      </c>
      <c r="I330" s="313" t="s">
        <v>347</v>
      </c>
      <c r="K330" s="314">
        <f t="shared" si="29"/>
        <v>2269.0539542014076</v>
      </c>
      <c r="M330" s="314">
        <v>2200</v>
      </c>
      <c r="O330" s="313">
        <v>2269.0539542014076</v>
      </c>
      <c r="R330" s="313" t="str">
        <f>IF(AND((J330="This"),(L330="Only")),VLOOKUP(G330,#REF!,7,FALSE),"")</f>
        <v/>
      </c>
    </row>
    <row r="331" spans="1:23" x14ac:dyDescent="0.25">
      <c r="A331" s="313">
        <v>1</v>
      </c>
      <c r="C331" s="313">
        <f t="shared" si="25"/>
        <v>48</v>
      </c>
      <c r="D331" s="313">
        <f t="shared" si="26"/>
        <v>39</v>
      </c>
      <c r="E331" s="313">
        <f t="shared" si="27"/>
        <v>16</v>
      </c>
      <c r="F331" s="313" t="str">
        <f t="shared" si="28"/>
        <v>sox</v>
      </c>
      <c r="G331" s="313" t="s">
        <v>458</v>
      </c>
      <c r="H331" s="313" t="s">
        <v>222</v>
      </c>
      <c r="I331" s="313" t="s">
        <v>457</v>
      </c>
      <c r="K331" s="314">
        <f t="shared" si="29"/>
        <v>2200</v>
      </c>
      <c r="M331" s="314">
        <v>2200</v>
      </c>
      <c r="R331" s="313" t="str">
        <f>IF(AND((J331="This"),(L331="Only")),VLOOKUP(G331,#REF!,7,FALSE),"")</f>
        <v/>
      </c>
    </row>
    <row r="332" spans="1:23" x14ac:dyDescent="0.25">
      <c r="A332" s="313">
        <v>1</v>
      </c>
      <c r="C332" s="313">
        <f t="shared" si="25"/>
        <v>49</v>
      </c>
      <c r="D332" s="313">
        <f t="shared" si="26"/>
        <v>39</v>
      </c>
      <c r="E332" s="313">
        <f t="shared" si="27"/>
        <v>16</v>
      </c>
      <c r="F332" s="313" t="str">
        <f t="shared" si="28"/>
        <v>crx</v>
      </c>
      <c r="G332" s="313" t="s">
        <v>1017</v>
      </c>
      <c r="H332" s="313" t="s">
        <v>470</v>
      </c>
      <c r="I332" s="313" t="s">
        <v>1018</v>
      </c>
      <c r="K332" s="314">
        <f t="shared" si="29"/>
        <v>2250.2338938234179</v>
      </c>
      <c r="M332" s="314">
        <v>2200</v>
      </c>
      <c r="O332" s="313">
        <v>2250.2338938234179</v>
      </c>
      <c r="R332" s="313" t="str">
        <f>IF(AND((J332="This"),(L332="Only")),VLOOKUP(G332,#REF!,7,FALSE),"")</f>
        <v/>
      </c>
    </row>
    <row r="333" spans="1:23" x14ac:dyDescent="0.25">
      <c r="A333" s="313">
        <v>5</v>
      </c>
      <c r="C333" s="313">
        <f t="shared" si="25"/>
        <v>50</v>
      </c>
      <c r="D333" s="313">
        <f t="shared" si="26"/>
        <v>39</v>
      </c>
      <c r="E333" s="313">
        <f t="shared" si="27"/>
        <v>16</v>
      </c>
      <c r="F333" s="313" t="str">
        <f t="shared" si="28"/>
        <v>pm</v>
      </c>
      <c r="G333" s="313" t="s">
        <v>242</v>
      </c>
      <c r="H333" s="313" t="s">
        <v>201</v>
      </c>
      <c r="I333" s="313" t="s">
        <v>195</v>
      </c>
      <c r="K333" s="314">
        <f t="shared" si="29"/>
        <v>2218.4199647772912</v>
      </c>
      <c r="M333" s="314">
        <v>2200</v>
      </c>
      <c r="R333" s="313" t="str">
        <f>IF(AND((J333="This"),(L333="Only")),VLOOKUP(G333,#REF!,7,FALSE),"")</f>
        <v/>
      </c>
      <c r="T333" s="313">
        <v>2222.3068225794136</v>
      </c>
      <c r="V333" s="313">
        <v>2218.4199647772912</v>
      </c>
    </row>
    <row r="334" spans="1:23" x14ac:dyDescent="0.25">
      <c r="A334" s="313">
        <v>5</v>
      </c>
      <c r="C334" s="313">
        <f t="shared" si="25"/>
        <v>51</v>
      </c>
      <c r="D334" s="313">
        <f t="shared" si="26"/>
        <v>39</v>
      </c>
      <c r="E334" s="313">
        <f t="shared" si="27"/>
        <v>16</v>
      </c>
      <c r="F334" s="313" t="str">
        <f t="shared" si="28"/>
        <v>pm</v>
      </c>
      <c r="G334" s="313" t="s">
        <v>202</v>
      </c>
      <c r="H334" s="313" t="s">
        <v>201</v>
      </c>
      <c r="I334" s="313" t="s">
        <v>328</v>
      </c>
      <c r="K334" s="314">
        <f t="shared" si="29"/>
        <v>2099.9123103292327</v>
      </c>
      <c r="M334" s="314">
        <v>2200</v>
      </c>
      <c r="R334" s="313" t="str">
        <f>IF(AND((J334="This"),(L334="Only")),VLOOKUP(G334,#REF!,7,FALSE),"")</f>
        <v/>
      </c>
      <c r="S334" s="313">
        <v>2137.2978832051181</v>
      </c>
      <c r="T334" s="313">
        <v>2138.5872760572856</v>
      </c>
      <c r="V334" s="313">
        <v>2099.9123103292327</v>
      </c>
    </row>
    <row r="335" spans="1:23" x14ac:dyDescent="0.25">
      <c r="A335" s="313">
        <v>3</v>
      </c>
      <c r="C335" s="313">
        <f t="shared" si="25"/>
        <v>52</v>
      </c>
      <c r="D335" s="313">
        <f t="shared" si="26"/>
        <v>39</v>
      </c>
      <c r="E335" s="313">
        <f t="shared" si="27"/>
        <v>16</v>
      </c>
      <c r="F335" s="313" t="str">
        <f t="shared" si="28"/>
        <v>pm</v>
      </c>
      <c r="G335" s="313" t="s">
        <v>330</v>
      </c>
      <c r="H335" s="313" t="s">
        <v>287</v>
      </c>
      <c r="I335" s="313" t="s">
        <v>329</v>
      </c>
      <c r="K335" s="314">
        <f t="shared" si="29"/>
        <v>2160.7120222216377</v>
      </c>
      <c r="M335" s="314">
        <v>2200</v>
      </c>
      <c r="R335" s="313" t="str">
        <f>IF(AND((J335="This"),(L335="Only")),VLOOKUP(G335,#REF!,7,FALSE),"")</f>
        <v/>
      </c>
      <c r="S335" s="313">
        <v>2160.7120222216377</v>
      </c>
    </row>
    <row r="336" spans="1:23" x14ac:dyDescent="0.25">
      <c r="A336" s="313">
        <v>1</v>
      </c>
      <c r="C336" s="313">
        <f t="shared" si="25"/>
        <v>53</v>
      </c>
      <c r="D336" s="313">
        <f t="shared" si="26"/>
        <v>39</v>
      </c>
      <c r="E336" s="313">
        <f t="shared" si="27"/>
        <v>16</v>
      </c>
      <c r="F336" s="313" t="str">
        <f t="shared" si="28"/>
        <v>crx</v>
      </c>
      <c r="G336" s="313" t="s">
        <v>1019</v>
      </c>
      <c r="H336" s="313" t="s">
        <v>1020</v>
      </c>
      <c r="I336" s="313" t="s">
        <v>1021</v>
      </c>
      <c r="K336" s="314">
        <f t="shared" si="29"/>
        <v>2200</v>
      </c>
      <c r="M336" s="314">
        <v>2200</v>
      </c>
      <c r="R336" s="313" t="str">
        <f>IF(AND((J336="This"),(L336="Only")),VLOOKUP(G336,#REF!,7,FALSE),"")</f>
        <v/>
      </c>
    </row>
    <row r="337" spans="1:23" x14ac:dyDescent="0.25">
      <c r="A337" s="313">
        <v>5</v>
      </c>
      <c r="C337" s="313">
        <f t="shared" si="25"/>
        <v>54</v>
      </c>
      <c r="D337" s="313">
        <f t="shared" si="26"/>
        <v>39</v>
      </c>
      <c r="E337" s="313">
        <f t="shared" si="27"/>
        <v>16</v>
      </c>
      <c r="F337" s="313" t="str">
        <f t="shared" si="28"/>
        <v>pm</v>
      </c>
      <c r="G337" s="313" t="s">
        <v>228</v>
      </c>
      <c r="H337" s="313" t="s">
        <v>205</v>
      </c>
      <c r="I337" s="313" t="s">
        <v>384</v>
      </c>
      <c r="K337" s="314">
        <f t="shared" si="29"/>
        <v>2402.3375292126752</v>
      </c>
      <c r="M337" s="314">
        <v>2200</v>
      </c>
      <c r="R337" s="313" t="str">
        <f>IF(AND((J337="This"),(L337="Only")),VLOOKUP(G337,#REF!,7,FALSE),"")</f>
        <v/>
      </c>
      <c r="S337" s="313">
        <v>2312.7657415470694</v>
      </c>
      <c r="T337" s="313">
        <v>2310.9610496243463</v>
      </c>
      <c r="V337" s="313">
        <v>2402.3375292126752</v>
      </c>
    </row>
    <row r="338" spans="1:23" x14ac:dyDescent="0.25">
      <c r="A338" s="313">
        <v>5</v>
      </c>
      <c r="C338" s="313">
        <f t="shared" si="25"/>
        <v>55</v>
      </c>
      <c r="D338" s="313">
        <f t="shared" si="26"/>
        <v>39</v>
      </c>
      <c r="E338" s="313">
        <f t="shared" si="27"/>
        <v>16</v>
      </c>
      <c r="F338" s="313" t="str">
        <f t="shared" si="28"/>
        <v>pm</v>
      </c>
      <c r="G338" s="313" t="s">
        <v>386</v>
      </c>
      <c r="H338" s="313" t="s">
        <v>205</v>
      </c>
      <c r="I338" s="313" t="s">
        <v>385</v>
      </c>
      <c r="K338" s="314">
        <f t="shared" si="29"/>
        <v>2106.3788912330715</v>
      </c>
      <c r="M338" s="314">
        <v>2200</v>
      </c>
      <c r="R338" s="313" t="str">
        <f>IF(AND((J338="This"),(L338="Only")),VLOOKUP(G338,#REF!,7,FALSE),"")</f>
        <v/>
      </c>
      <c r="S338" s="313">
        <v>2179.626578556059</v>
      </c>
      <c r="T338" s="313">
        <v>2098.9025643154096</v>
      </c>
      <c r="V338" s="313">
        <v>2106.3788912330715</v>
      </c>
    </row>
    <row r="339" spans="1:23" x14ac:dyDescent="0.25">
      <c r="A339" s="313">
        <v>1</v>
      </c>
      <c r="C339" s="313">
        <f t="shared" si="25"/>
        <v>56</v>
      </c>
      <c r="D339" s="313">
        <f t="shared" si="26"/>
        <v>39</v>
      </c>
      <c r="E339" s="313">
        <f t="shared" si="27"/>
        <v>16</v>
      </c>
      <c r="F339" s="313" t="str">
        <f t="shared" si="28"/>
        <v>sox</v>
      </c>
      <c r="G339" s="313" t="s">
        <v>1022</v>
      </c>
      <c r="H339" s="313" t="s">
        <v>212</v>
      </c>
      <c r="I339" s="313" t="s">
        <v>1023</v>
      </c>
      <c r="K339" s="314">
        <f t="shared" si="29"/>
        <v>2289.6533608633817</v>
      </c>
      <c r="M339" s="314">
        <v>2200</v>
      </c>
      <c r="R339" s="313" t="str">
        <f>IF(AND((J339="This"),(L339="Only")),VLOOKUP(G339,#REF!,7,FALSE),"")</f>
        <v/>
      </c>
      <c r="T339" s="313">
        <v>2289.6533608633817</v>
      </c>
    </row>
    <row r="340" spans="1:23" x14ac:dyDescent="0.25">
      <c r="A340" s="313">
        <v>1</v>
      </c>
      <c r="C340" s="313">
        <f t="shared" si="25"/>
        <v>57</v>
      </c>
      <c r="D340" s="313">
        <f t="shared" si="26"/>
        <v>39</v>
      </c>
      <c r="E340" s="313">
        <f t="shared" si="27"/>
        <v>16</v>
      </c>
      <c r="F340" s="313" t="str">
        <f t="shared" si="28"/>
        <v>sox</v>
      </c>
      <c r="G340" s="313" t="s">
        <v>1024</v>
      </c>
      <c r="H340" s="313" t="s">
        <v>212</v>
      </c>
      <c r="I340" s="313" t="s">
        <v>1025</v>
      </c>
      <c r="K340" s="314">
        <f t="shared" si="29"/>
        <v>2244.8703924043102</v>
      </c>
      <c r="M340" s="314">
        <v>2200</v>
      </c>
      <c r="R340" s="313" t="str">
        <f>IF(AND((J340="This"),(L340="Only")),VLOOKUP(G340,#REF!,7,FALSE),"")</f>
        <v/>
      </c>
      <c r="T340" s="313">
        <v>2244.8703924043102</v>
      </c>
    </row>
    <row r="341" spans="1:23" x14ac:dyDescent="0.25">
      <c r="A341" s="313">
        <v>1</v>
      </c>
      <c r="C341" s="313">
        <f t="shared" si="25"/>
        <v>58</v>
      </c>
      <c r="D341" s="313">
        <f t="shared" si="26"/>
        <v>39</v>
      </c>
      <c r="E341" s="313">
        <f t="shared" si="27"/>
        <v>16</v>
      </c>
      <c r="F341" s="313" t="str">
        <f t="shared" si="28"/>
        <v>sox</v>
      </c>
      <c r="G341" s="313" t="s">
        <v>441</v>
      </c>
      <c r="H341" s="313" t="s">
        <v>212</v>
      </c>
      <c r="I341" s="313" t="s">
        <v>440</v>
      </c>
      <c r="K341" s="314">
        <f t="shared" si="29"/>
        <v>2200</v>
      </c>
      <c r="M341" s="314">
        <v>2200</v>
      </c>
      <c r="R341" s="313" t="str">
        <f>IF(AND((J341="This"),(L341="Only")),VLOOKUP(G341,#REF!,7,FALSE),"")</f>
        <v/>
      </c>
    </row>
    <row r="342" spans="1:23" x14ac:dyDescent="0.25">
      <c r="A342" s="313">
        <v>4</v>
      </c>
      <c r="C342" s="313">
        <f t="shared" si="25"/>
        <v>59</v>
      </c>
      <c r="D342" s="313">
        <f t="shared" si="26"/>
        <v>39</v>
      </c>
      <c r="E342" s="313">
        <f t="shared" si="27"/>
        <v>16</v>
      </c>
      <c r="F342" s="313" t="str">
        <f t="shared" si="28"/>
        <v>pm</v>
      </c>
      <c r="G342" s="313" t="s">
        <v>500</v>
      </c>
      <c r="H342" s="313" t="s">
        <v>494</v>
      </c>
      <c r="I342" s="313" t="s">
        <v>499</v>
      </c>
      <c r="K342" s="314">
        <f t="shared" si="29"/>
        <v>2139.4047424288392</v>
      </c>
      <c r="M342" s="314">
        <v>2200</v>
      </c>
      <c r="R342" s="313" t="str">
        <f>IF(AND((J342="This"),(L342="Only")),VLOOKUP(G342,#REF!,7,FALSE),"")</f>
        <v/>
      </c>
      <c r="S342" s="313">
        <v>2148.4247333494636</v>
      </c>
      <c r="V342" s="313">
        <v>2139.4047424288392</v>
      </c>
    </row>
    <row r="343" spans="1:23" x14ac:dyDescent="0.25">
      <c r="A343" s="313">
        <v>1</v>
      </c>
      <c r="C343" s="313">
        <f t="shared" si="25"/>
        <v>1</v>
      </c>
      <c r="D343" s="313">
        <f t="shared" si="26"/>
        <v>1</v>
      </c>
      <c r="E343" s="313">
        <f t="shared" si="27"/>
        <v>17</v>
      </c>
      <c r="F343" s="313" t="str">
        <f t="shared" si="28"/>
        <v>crx</v>
      </c>
      <c r="G343" s="313" t="s">
        <v>1026</v>
      </c>
      <c r="H343" s="313" t="s">
        <v>1027</v>
      </c>
      <c r="I343" s="313" t="s">
        <v>1028</v>
      </c>
      <c r="K343" s="314">
        <f t="shared" si="29"/>
        <v>2698.2829531711172</v>
      </c>
      <c r="M343" s="314">
        <v>2800</v>
      </c>
      <c r="R343" s="313" t="str">
        <f>IF(AND((J343="This"),(L343="Only")),VLOOKUP(G343,#REF!,7,FALSE),"")</f>
        <v/>
      </c>
      <c r="U343" s="313">
        <v>2698.2829531711172</v>
      </c>
    </row>
    <row r="344" spans="1:23" x14ac:dyDescent="0.25">
      <c r="A344" s="313">
        <v>2</v>
      </c>
      <c r="C344" s="313">
        <f t="shared" si="25"/>
        <v>2</v>
      </c>
      <c r="D344" s="313">
        <f t="shared" si="26"/>
        <v>1</v>
      </c>
      <c r="E344" s="313">
        <f t="shared" si="27"/>
        <v>17</v>
      </c>
      <c r="F344" s="313" t="str">
        <f t="shared" si="28"/>
        <v>cr</v>
      </c>
      <c r="G344" s="313" t="s">
        <v>1029</v>
      </c>
      <c r="H344" s="313" t="s">
        <v>209</v>
      </c>
      <c r="I344" s="313" t="s">
        <v>1030</v>
      </c>
      <c r="K344" s="314">
        <f t="shared" si="29"/>
        <v>2758.8844484783435</v>
      </c>
      <c r="M344" s="314">
        <v>2800</v>
      </c>
      <c r="P344" s="313">
        <v>2758.8844484783435</v>
      </c>
      <c r="R344" s="313" t="str">
        <f>IF(AND((J344="This"),(L344="Only")),VLOOKUP(G344,#REF!,7,FALSE),"")</f>
        <v/>
      </c>
    </row>
    <row r="345" spans="1:23" x14ac:dyDescent="0.25">
      <c r="A345" s="313">
        <v>1</v>
      </c>
      <c r="C345" s="313">
        <f t="shared" si="25"/>
        <v>3</v>
      </c>
      <c r="D345" s="313">
        <f t="shared" si="26"/>
        <v>1</v>
      </c>
      <c r="E345" s="313">
        <f t="shared" si="27"/>
        <v>17</v>
      </c>
      <c r="F345" s="313" t="str">
        <f t="shared" si="28"/>
        <v>crx</v>
      </c>
      <c r="G345" s="313" t="s">
        <v>1031</v>
      </c>
      <c r="H345" s="313" t="s">
        <v>1032</v>
      </c>
      <c r="I345" s="313" t="s">
        <v>1033</v>
      </c>
      <c r="K345" s="314">
        <f t="shared" si="29"/>
        <v>2750.4570583228733</v>
      </c>
      <c r="M345" s="314">
        <v>2800</v>
      </c>
      <c r="N345" s="313">
        <v>2750.4570583228733</v>
      </c>
      <c r="R345" s="313" t="str">
        <f>IF(AND((J345="This"),(L345="Only")),VLOOKUP(G345,#REF!,7,FALSE),"")</f>
        <v/>
      </c>
    </row>
    <row r="346" spans="1:23" x14ac:dyDescent="0.25">
      <c r="A346" s="313">
        <v>1</v>
      </c>
      <c r="C346" s="313">
        <f t="shared" si="25"/>
        <v>4</v>
      </c>
      <c r="D346" s="313">
        <f t="shared" si="26"/>
        <v>1</v>
      </c>
      <c r="E346" s="313">
        <f t="shared" si="27"/>
        <v>17</v>
      </c>
      <c r="F346" s="313" t="str">
        <f t="shared" si="28"/>
        <v>crx</v>
      </c>
      <c r="G346" s="313" t="s">
        <v>1034</v>
      </c>
      <c r="H346" s="313" t="s">
        <v>828</v>
      </c>
      <c r="I346" s="313" t="s">
        <v>1035</v>
      </c>
      <c r="K346" s="314">
        <f t="shared" si="29"/>
        <v>2908.7460051891831</v>
      </c>
      <c r="M346" s="314">
        <v>2800</v>
      </c>
      <c r="R346" s="313" t="str">
        <f>IF(AND((J346="This"),(L346="Only")),VLOOKUP(G346,#REF!,7,FALSE),"")</f>
        <v/>
      </c>
      <c r="U346" s="313">
        <v>2908.7460051891831</v>
      </c>
    </row>
    <row r="347" spans="1:23" x14ac:dyDescent="0.25">
      <c r="A347" s="313">
        <v>1</v>
      </c>
      <c r="C347" s="313">
        <f t="shared" si="25"/>
        <v>5</v>
      </c>
      <c r="D347" s="313">
        <f t="shared" si="26"/>
        <v>1</v>
      </c>
      <c r="E347" s="313">
        <f t="shared" si="27"/>
        <v>17</v>
      </c>
      <c r="F347" s="313" t="str">
        <f t="shared" si="28"/>
        <v>crx</v>
      </c>
      <c r="G347" s="313" t="s">
        <v>1036</v>
      </c>
      <c r="H347" s="313" t="s">
        <v>1037</v>
      </c>
      <c r="I347" s="313" t="s">
        <v>1038</v>
      </c>
      <c r="K347" s="314">
        <f t="shared" si="29"/>
        <v>2729.1332215711891</v>
      </c>
      <c r="M347" s="314">
        <v>2800</v>
      </c>
      <c r="R347" s="313" t="str">
        <f>IF(AND((J347="This"),(L347="Only")),VLOOKUP(G347,#REF!,7,FALSE),"")</f>
        <v/>
      </c>
      <c r="S347" s="313">
        <v>2729.1332215711891</v>
      </c>
    </row>
    <row r="348" spans="1:23" x14ac:dyDescent="0.25">
      <c r="A348" s="313">
        <v>4</v>
      </c>
      <c r="C348" s="313">
        <f t="shared" si="25"/>
        <v>6</v>
      </c>
      <c r="D348" s="313">
        <f t="shared" si="26"/>
        <v>1</v>
      </c>
      <c r="E348" s="313">
        <f t="shared" si="27"/>
        <v>17</v>
      </c>
      <c r="F348" s="313" t="str">
        <f t="shared" si="28"/>
        <v>pm</v>
      </c>
      <c r="G348" s="313" t="s">
        <v>1039</v>
      </c>
      <c r="H348" s="313" t="s">
        <v>207</v>
      </c>
      <c r="I348" s="313" t="s">
        <v>1040</v>
      </c>
      <c r="K348" s="314">
        <f t="shared" si="29"/>
        <v>2783.5541479237368</v>
      </c>
      <c r="M348" s="314">
        <v>2800</v>
      </c>
      <c r="N348" s="313">
        <v>2833.6024184475791</v>
      </c>
      <c r="R348" s="313" t="str">
        <f>IF(AND((J348="This"),(L348="Only")),VLOOKUP(G348,#REF!,7,FALSE),"")</f>
        <v/>
      </c>
      <c r="U348" s="313">
        <v>2842.9172020109409</v>
      </c>
      <c r="W348" s="313">
        <v>2783.5541479237368</v>
      </c>
    </row>
    <row r="349" spans="1:23" x14ac:dyDescent="0.25">
      <c r="A349" s="313">
        <v>4</v>
      </c>
      <c r="C349" s="313">
        <f t="shared" si="25"/>
        <v>7</v>
      </c>
      <c r="D349" s="313">
        <f t="shared" si="26"/>
        <v>1</v>
      </c>
      <c r="E349" s="313">
        <f t="shared" si="27"/>
        <v>17</v>
      </c>
      <c r="F349" s="313" t="str">
        <f t="shared" si="28"/>
        <v>pm</v>
      </c>
      <c r="G349" s="313" t="s">
        <v>1041</v>
      </c>
      <c r="H349" s="313" t="s">
        <v>207</v>
      </c>
      <c r="I349" s="313" t="s">
        <v>1042</v>
      </c>
      <c r="K349" s="314">
        <f t="shared" si="29"/>
        <v>2816.5378582032677</v>
      </c>
      <c r="M349" s="314">
        <v>2800</v>
      </c>
      <c r="N349" s="313">
        <v>2871.6284059333157</v>
      </c>
      <c r="R349" s="313" t="str">
        <f>IF(AND((J349="This"),(L349="Only")),VLOOKUP(G349,#REF!,7,FALSE),"")</f>
        <v/>
      </c>
      <c r="U349" s="313">
        <v>2869.0678291595218</v>
      </c>
      <c r="W349" s="313">
        <v>2816.5378582032677</v>
      </c>
    </row>
    <row r="350" spans="1:23" x14ac:dyDescent="0.25">
      <c r="A350" s="313">
        <v>1</v>
      </c>
      <c r="C350" s="313">
        <f t="shared" si="25"/>
        <v>8</v>
      </c>
      <c r="D350" s="313">
        <f t="shared" si="26"/>
        <v>1</v>
      </c>
      <c r="E350" s="313">
        <f t="shared" si="27"/>
        <v>17</v>
      </c>
      <c r="F350" s="313" t="str">
        <f t="shared" si="28"/>
        <v>crx</v>
      </c>
      <c r="G350" s="313" t="s">
        <v>1043</v>
      </c>
      <c r="H350" s="313" t="s">
        <v>1044</v>
      </c>
      <c r="I350" s="313" t="s">
        <v>1045</v>
      </c>
      <c r="K350" s="314">
        <f t="shared" si="29"/>
        <v>2719.3450087203364</v>
      </c>
      <c r="M350" s="314">
        <v>2800</v>
      </c>
      <c r="R350" s="313" t="str">
        <f>IF(AND((J350="This"),(L350="Only")),VLOOKUP(G350,#REF!,7,FALSE),"")</f>
        <v/>
      </c>
      <c r="U350" s="313">
        <v>2719.3450087203364</v>
      </c>
    </row>
    <row r="351" spans="1:23" x14ac:dyDescent="0.25">
      <c r="A351" s="313">
        <v>1</v>
      </c>
      <c r="C351" s="313">
        <f t="shared" si="25"/>
        <v>9</v>
      </c>
      <c r="D351" s="313">
        <f t="shared" si="26"/>
        <v>1</v>
      </c>
      <c r="E351" s="313">
        <f t="shared" si="27"/>
        <v>17</v>
      </c>
      <c r="F351" s="313" t="str">
        <f t="shared" si="28"/>
        <v>pmx</v>
      </c>
      <c r="G351" s="313" t="s">
        <v>1046</v>
      </c>
      <c r="H351" s="313" t="s">
        <v>650</v>
      </c>
      <c r="I351" s="313" t="s">
        <v>1047</v>
      </c>
      <c r="K351" s="314">
        <f t="shared" si="29"/>
        <v>2855.3863886111262</v>
      </c>
      <c r="M351" s="314">
        <v>2800</v>
      </c>
      <c r="R351" s="313" t="str">
        <f>IF(AND((J351="This"),(L351="Only")),VLOOKUP(G351,#REF!,7,FALSE),"")</f>
        <v/>
      </c>
      <c r="U351" s="313">
        <v>2855.3863886111262</v>
      </c>
    </row>
    <row r="352" spans="1:23" x14ac:dyDescent="0.25">
      <c r="A352" s="313">
        <v>4</v>
      </c>
      <c r="C352" s="313">
        <f t="shared" si="25"/>
        <v>10</v>
      </c>
      <c r="D352" s="313">
        <f t="shared" si="26"/>
        <v>1</v>
      </c>
      <c r="E352" s="313">
        <f t="shared" si="27"/>
        <v>17</v>
      </c>
      <c r="F352" s="313" t="str">
        <f t="shared" si="28"/>
        <v>pm</v>
      </c>
      <c r="G352" s="313" t="s">
        <v>1048</v>
      </c>
      <c r="H352" s="313" t="s">
        <v>340</v>
      </c>
      <c r="I352" s="313" t="s">
        <v>1049</v>
      </c>
      <c r="K352" s="314">
        <f t="shared" si="29"/>
        <v>2644.4503319334203</v>
      </c>
      <c r="M352" s="314">
        <v>2800</v>
      </c>
      <c r="N352" s="313">
        <v>2752.6182883776373</v>
      </c>
      <c r="R352" s="313" t="str">
        <f>IF(AND((J352="This"),(L352="Only")),VLOOKUP(G352,#REF!,7,FALSE),"")</f>
        <v/>
      </c>
      <c r="U352" s="313">
        <v>2683.7023578396006</v>
      </c>
      <c r="W352" s="313">
        <v>2644.4503319334203</v>
      </c>
    </row>
    <row r="353" spans="1:23" x14ac:dyDescent="0.25">
      <c r="A353" s="313">
        <v>5</v>
      </c>
      <c r="C353" s="313">
        <f t="shared" si="25"/>
        <v>11</v>
      </c>
      <c r="D353" s="313">
        <f t="shared" si="26"/>
        <v>1</v>
      </c>
      <c r="E353" s="313">
        <f t="shared" si="27"/>
        <v>17</v>
      </c>
      <c r="F353" s="313" t="str">
        <f t="shared" si="28"/>
        <v>pm</v>
      </c>
      <c r="G353" s="313" t="s">
        <v>1050</v>
      </c>
      <c r="H353" s="313" t="s">
        <v>1051</v>
      </c>
      <c r="I353" s="313" t="s">
        <v>1052</v>
      </c>
      <c r="K353" s="314">
        <f t="shared" si="29"/>
        <v>2905.4623849496193</v>
      </c>
      <c r="M353" s="314">
        <v>2800</v>
      </c>
      <c r="P353" s="313">
        <v>2898.4548657689761</v>
      </c>
      <c r="R353" s="313" t="str">
        <f>IF(AND((J353="This"),(L353="Only")),VLOOKUP(G353,#REF!,7,FALSE),"")</f>
        <v/>
      </c>
      <c r="S353" s="313">
        <v>2936.9880533615292</v>
      </c>
      <c r="U353" s="313">
        <v>2905.4623849496193</v>
      </c>
    </row>
    <row r="354" spans="1:23" x14ac:dyDescent="0.25">
      <c r="A354" s="313">
        <v>4</v>
      </c>
      <c r="C354" s="313">
        <f t="shared" si="25"/>
        <v>12</v>
      </c>
      <c r="D354" s="313">
        <f t="shared" si="26"/>
        <v>1</v>
      </c>
      <c r="E354" s="313">
        <f t="shared" si="27"/>
        <v>17</v>
      </c>
      <c r="F354" s="313" t="str">
        <f t="shared" si="28"/>
        <v>pm</v>
      </c>
      <c r="G354" s="313" t="s">
        <v>1053</v>
      </c>
      <c r="H354" s="313" t="s">
        <v>198</v>
      </c>
      <c r="I354" s="313" t="s">
        <v>1054</v>
      </c>
      <c r="K354" s="314">
        <f t="shared" si="29"/>
        <v>2898.4661809305749</v>
      </c>
      <c r="M354" s="314">
        <v>2800</v>
      </c>
      <c r="P354" s="313">
        <v>2840.4219447808714</v>
      </c>
      <c r="R354" s="313" t="str">
        <f>IF(AND((J354="This"),(L354="Only")),VLOOKUP(G354,#REF!,7,FALSE),"")</f>
        <v/>
      </c>
      <c r="S354" s="313">
        <v>2907.017912342078</v>
      </c>
      <c r="U354" s="313">
        <v>2898.4661809305749</v>
      </c>
    </row>
    <row r="355" spans="1:23" x14ac:dyDescent="0.25">
      <c r="A355" s="313">
        <v>6</v>
      </c>
      <c r="C355" s="313">
        <f t="shared" si="25"/>
        <v>13</v>
      </c>
      <c r="D355" s="313">
        <f t="shared" si="26"/>
        <v>1</v>
      </c>
      <c r="E355" s="313">
        <f t="shared" si="27"/>
        <v>17</v>
      </c>
      <c r="F355" s="313" t="str">
        <f t="shared" si="28"/>
        <v>pm</v>
      </c>
      <c r="G355" s="313" t="s">
        <v>1055</v>
      </c>
      <c r="H355" s="313" t="s">
        <v>216</v>
      </c>
      <c r="I355" s="313" t="s">
        <v>1056</v>
      </c>
      <c r="K355" s="314">
        <f t="shared" si="29"/>
        <v>2529.7913484695341</v>
      </c>
      <c r="M355" s="314">
        <v>2800</v>
      </c>
      <c r="N355" s="313">
        <v>2726.4435267606004</v>
      </c>
      <c r="P355" s="313">
        <v>2667.1192641229122</v>
      </c>
      <c r="R355" s="313" t="str">
        <f>IF(AND((J355="This"),(L355="Only")),VLOOKUP(G355,#REF!,7,FALSE),"")</f>
        <v/>
      </c>
      <c r="S355" s="313">
        <v>2635.254000507688</v>
      </c>
      <c r="U355" s="313">
        <v>2571.5237468395812</v>
      </c>
      <c r="W355" s="313">
        <v>2529.7913484695341</v>
      </c>
    </row>
    <row r="356" spans="1:23" x14ac:dyDescent="0.25">
      <c r="A356" s="313">
        <v>1</v>
      </c>
      <c r="C356" s="313">
        <f t="shared" si="25"/>
        <v>14</v>
      </c>
      <c r="D356" s="313">
        <f t="shared" si="26"/>
        <v>1</v>
      </c>
      <c r="E356" s="313">
        <f t="shared" si="27"/>
        <v>17</v>
      </c>
      <c r="F356" s="313" t="str">
        <f t="shared" si="28"/>
        <v>crx</v>
      </c>
      <c r="G356" s="313" t="s">
        <v>1057</v>
      </c>
      <c r="H356" s="313" t="s">
        <v>854</v>
      </c>
      <c r="I356" s="313" t="s">
        <v>1058</v>
      </c>
      <c r="K356" s="314">
        <f t="shared" si="29"/>
        <v>2812.0624491162876</v>
      </c>
      <c r="M356" s="314">
        <v>2800</v>
      </c>
      <c r="N356" s="313">
        <v>2812.0624491162876</v>
      </c>
      <c r="R356" s="313" t="str">
        <f>IF(AND((J356="This"),(L356="Only")),VLOOKUP(G356,#REF!,7,FALSE),"")</f>
        <v/>
      </c>
    </row>
    <row r="357" spans="1:23" x14ac:dyDescent="0.25">
      <c r="A357" s="313">
        <v>3</v>
      </c>
      <c r="C357" s="313">
        <f t="shared" si="25"/>
        <v>15</v>
      </c>
      <c r="D357" s="313">
        <f t="shared" si="26"/>
        <v>1</v>
      </c>
      <c r="E357" s="313">
        <f t="shared" si="27"/>
        <v>17</v>
      </c>
      <c r="F357" s="313" t="str">
        <f t="shared" si="28"/>
        <v>pm</v>
      </c>
      <c r="G357" s="313" t="s">
        <v>1059</v>
      </c>
      <c r="H357" s="313" t="s">
        <v>282</v>
      </c>
      <c r="I357" s="313" t="s">
        <v>1060</v>
      </c>
      <c r="K357" s="314">
        <f t="shared" si="29"/>
        <v>2867.0704945911393</v>
      </c>
      <c r="M357" s="314">
        <v>2800</v>
      </c>
      <c r="N357" s="313">
        <v>2874.5669843189626</v>
      </c>
      <c r="R357" s="313" t="str">
        <f>IF(AND((J357="This"),(L357="Only")),VLOOKUP(G357,#REF!,7,FALSE),"")</f>
        <v/>
      </c>
      <c r="U357" s="313">
        <v>2867.0704945911393</v>
      </c>
    </row>
    <row r="358" spans="1:23" x14ac:dyDescent="0.25">
      <c r="A358" s="313">
        <v>2</v>
      </c>
      <c r="C358" s="313">
        <f t="shared" si="25"/>
        <v>16</v>
      </c>
      <c r="D358" s="313">
        <f t="shared" si="26"/>
        <v>1</v>
      </c>
      <c r="E358" s="313">
        <f t="shared" si="27"/>
        <v>17</v>
      </c>
      <c r="F358" s="313" t="str">
        <f t="shared" si="28"/>
        <v>pm</v>
      </c>
      <c r="G358" s="313" t="s">
        <v>1061</v>
      </c>
      <c r="H358" s="313" t="s">
        <v>559</v>
      </c>
      <c r="I358" s="313" t="s">
        <v>1062</v>
      </c>
      <c r="K358" s="314">
        <f t="shared" si="29"/>
        <v>2901.4124452884193</v>
      </c>
      <c r="M358" s="314">
        <v>2800</v>
      </c>
      <c r="R358" s="313" t="str">
        <f>IF(AND((J358="This"),(L358="Only")),VLOOKUP(G358,#REF!,7,FALSE),"")</f>
        <v/>
      </c>
      <c r="S358" s="313">
        <v>2901.4124452884193</v>
      </c>
    </row>
    <row r="359" spans="1:23" x14ac:dyDescent="0.25">
      <c r="A359" s="313">
        <v>2</v>
      </c>
      <c r="C359" s="313">
        <f t="shared" si="25"/>
        <v>17</v>
      </c>
      <c r="D359" s="313">
        <f t="shared" si="26"/>
        <v>1</v>
      </c>
      <c r="E359" s="313">
        <f t="shared" si="27"/>
        <v>17</v>
      </c>
      <c r="F359" s="313" t="str">
        <f t="shared" si="28"/>
        <v>pm</v>
      </c>
      <c r="G359" s="313" t="s">
        <v>1063</v>
      </c>
      <c r="H359" s="313" t="s">
        <v>559</v>
      </c>
      <c r="I359" s="313" t="s">
        <v>1064</v>
      </c>
      <c r="K359" s="314">
        <f t="shared" si="29"/>
        <v>2764.8764653951607</v>
      </c>
      <c r="M359" s="314">
        <v>2800</v>
      </c>
      <c r="R359" s="313" t="str">
        <f>IF(AND((J359="This"),(L359="Only")),VLOOKUP(G359,#REF!,7,FALSE),"")</f>
        <v/>
      </c>
      <c r="S359" s="313">
        <v>2764.8764653951607</v>
      </c>
    </row>
    <row r="360" spans="1:23" x14ac:dyDescent="0.25">
      <c r="A360" s="313">
        <v>1</v>
      </c>
      <c r="C360" s="313">
        <f t="shared" si="25"/>
        <v>18</v>
      </c>
      <c r="D360" s="313">
        <f t="shared" si="26"/>
        <v>1</v>
      </c>
      <c r="E360" s="313">
        <f t="shared" si="27"/>
        <v>17</v>
      </c>
      <c r="F360" s="313" t="str">
        <f t="shared" si="28"/>
        <v>sox</v>
      </c>
      <c r="G360" s="313" t="s">
        <v>1065</v>
      </c>
      <c r="H360" s="313" t="s">
        <v>285</v>
      </c>
      <c r="I360" s="313" t="s">
        <v>1066</v>
      </c>
      <c r="K360" s="314">
        <f t="shared" si="29"/>
        <v>2811.6944287257743</v>
      </c>
      <c r="M360" s="314">
        <v>2800</v>
      </c>
      <c r="R360" s="313" t="str">
        <f>IF(AND((J360="This"),(L360="Only")),VLOOKUP(G360,#REF!,7,FALSE),"")</f>
        <v/>
      </c>
      <c r="U360" s="313">
        <v>2811.6944287257743</v>
      </c>
    </row>
    <row r="361" spans="1:23" x14ac:dyDescent="0.25">
      <c r="A361" s="313">
        <v>3</v>
      </c>
      <c r="C361" s="313">
        <f t="shared" si="25"/>
        <v>19</v>
      </c>
      <c r="D361" s="313">
        <f t="shared" si="26"/>
        <v>1</v>
      </c>
      <c r="E361" s="313">
        <f t="shared" si="27"/>
        <v>17</v>
      </c>
      <c r="F361" s="313" t="str">
        <f t="shared" si="28"/>
        <v>pm</v>
      </c>
      <c r="G361" s="313" t="s">
        <v>1067</v>
      </c>
      <c r="H361" s="313" t="s">
        <v>254</v>
      </c>
      <c r="I361" s="313" t="s">
        <v>1068</v>
      </c>
      <c r="K361" s="314">
        <f t="shared" si="29"/>
        <v>2797.8823937745101</v>
      </c>
      <c r="M361" s="314">
        <v>2800</v>
      </c>
      <c r="N361" s="313">
        <v>2797.8823937745101</v>
      </c>
      <c r="R361" s="313" t="str">
        <f>IF(AND((J361="This"),(L361="Only")),VLOOKUP(G361,#REF!,7,FALSE),"")</f>
        <v/>
      </c>
    </row>
    <row r="362" spans="1:23" x14ac:dyDescent="0.25">
      <c r="A362" s="313">
        <v>1</v>
      </c>
      <c r="C362" s="313">
        <f t="shared" si="25"/>
        <v>20</v>
      </c>
      <c r="D362" s="313">
        <f t="shared" si="26"/>
        <v>1</v>
      </c>
      <c r="E362" s="313">
        <f t="shared" si="27"/>
        <v>17</v>
      </c>
      <c r="F362" s="313" t="str">
        <f t="shared" si="28"/>
        <v>odx</v>
      </c>
      <c r="G362" s="313" t="s">
        <v>1069</v>
      </c>
      <c r="H362" s="313" t="s">
        <v>756</v>
      </c>
      <c r="I362" s="313" t="s">
        <v>1070</v>
      </c>
      <c r="K362" s="314">
        <f t="shared" si="29"/>
        <v>2761.3037377004575</v>
      </c>
      <c r="M362" s="314">
        <v>2800</v>
      </c>
      <c r="R362" s="313" t="str">
        <f>IF(AND((J362="This"),(L362="Only")),VLOOKUP(G362,#REF!,7,FALSE),"")</f>
        <v/>
      </c>
      <c r="U362" s="313">
        <v>2761.3037377004575</v>
      </c>
    </row>
    <row r="363" spans="1:23" x14ac:dyDescent="0.25">
      <c r="A363" s="313">
        <v>3</v>
      </c>
      <c r="C363" s="313">
        <f t="shared" si="25"/>
        <v>21</v>
      </c>
      <c r="D363" s="313">
        <f t="shared" si="26"/>
        <v>1</v>
      </c>
      <c r="E363" s="313">
        <f t="shared" si="27"/>
        <v>17</v>
      </c>
      <c r="F363" s="313" t="str">
        <f t="shared" si="28"/>
        <v>pm</v>
      </c>
      <c r="G363" s="313" t="s">
        <v>1071</v>
      </c>
      <c r="H363" s="313" t="s">
        <v>510</v>
      </c>
      <c r="I363" s="313" t="s">
        <v>1072</v>
      </c>
      <c r="K363" s="314">
        <f t="shared" si="29"/>
        <v>2801.5686837922772</v>
      </c>
      <c r="M363" s="314">
        <v>2800</v>
      </c>
      <c r="N363" s="313">
        <v>2817.626099057934</v>
      </c>
      <c r="P363" s="313">
        <v>2800.0897910250219</v>
      </c>
      <c r="R363" s="313" t="str">
        <f>IF(AND((J363="This"),(L363="Only")),VLOOKUP(G363,#REF!,7,FALSE),"")</f>
        <v/>
      </c>
      <c r="U363" s="313">
        <v>2801.5686837922772</v>
      </c>
    </row>
    <row r="364" spans="1:23" x14ac:dyDescent="0.25">
      <c r="A364" s="313">
        <v>5</v>
      </c>
      <c r="C364" s="313">
        <f t="shared" si="25"/>
        <v>22</v>
      </c>
      <c r="D364" s="313">
        <f t="shared" si="26"/>
        <v>1</v>
      </c>
      <c r="E364" s="313">
        <f t="shared" si="27"/>
        <v>17</v>
      </c>
      <c r="F364" s="313" t="str">
        <f t="shared" si="28"/>
        <v>pm</v>
      </c>
      <c r="G364" s="313" t="s">
        <v>336</v>
      </c>
      <c r="H364" s="313" t="s">
        <v>211</v>
      </c>
      <c r="I364" s="313" t="s">
        <v>1073</v>
      </c>
      <c r="K364" s="314">
        <f t="shared" si="29"/>
        <v>2685.7664812997232</v>
      </c>
      <c r="M364" s="314">
        <v>2800</v>
      </c>
      <c r="N364" s="313">
        <v>2765.4519842745844</v>
      </c>
      <c r="P364" s="313">
        <v>2747.2792108998428</v>
      </c>
      <c r="R364" s="313" t="str">
        <f>IF(AND((J364="This"),(L364="Only")),VLOOKUP(G364,#REF!,7,FALSE),"")</f>
        <v/>
      </c>
      <c r="U364" s="313">
        <v>2715.1945084168383</v>
      </c>
      <c r="W364" s="313">
        <v>2685.7664812997232</v>
      </c>
    </row>
    <row r="365" spans="1:23" x14ac:dyDescent="0.25">
      <c r="A365" s="313">
        <v>6</v>
      </c>
      <c r="C365" s="313">
        <f t="shared" si="25"/>
        <v>23</v>
      </c>
      <c r="D365" s="313">
        <f t="shared" si="26"/>
        <v>1</v>
      </c>
      <c r="E365" s="313">
        <f t="shared" si="27"/>
        <v>17</v>
      </c>
      <c r="F365" s="313" t="str">
        <f t="shared" si="28"/>
        <v>pm</v>
      </c>
      <c r="G365" s="313" t="s">
        <v>1074</v>
      </c>
      <c r="H365" s="313" t="s">
        <v>211</v>
      </c>
      <c r="I365" s="313" t="s">
        <v>1075</v>
      </c>
      <c r="K365" s="314">
        <f t="shared" si="29"/>
        <v>2403.2374854041041</v>
      </c>
      <c r="M365" s="314">
        <v>2800</v>
      </c>
      <c r="N365" s="313">
        <v>2671.4711193477101</v>
      </c>
      <c r="P365" s="313">
        <v>2618.8887478463598</v>
      </c>
      <c r="R365" s="313" t="str">
        <f>IF(AND((J365="This"),(L365="Only")),VLOOKUP(G365,#REF!,7,FALSE),"")</f>
        <v/>
      </c>
      <c r="U365" s="313">
        <v>2508.6951160240778</v>
      </c>
      <c r="W365" s="313">
        <v>2403.2374854041041</v>
      </c>
    </row>
    <row r="366" spans="1:23" x14ac:dyDescent="0.25">
      <c r="A366" s="313">
        <v>2</v>
      </c>
      <c r="C366" s="313">
        <f t="shared" si="25"/>
        <v>24</v>
      </c>
      <c r="D366" s="313">
        <f t="shared" si="26"/>
        <v>1</v>
      </c>
      <c r="E366" s="313">
        <f t="shared" si="27"/>
        <v>17</v>
      </c>
      <c r="F366" s="313" t="str">
        <f t="shared" si="28"/>
        <v>pm</v>
      </c>
      <c r="G366" s="313" t="s">
        <v>1076</v>
      </c>
      <c r="H366" s="313" t="s">
        <v>240</v>
      </c>
      <c r="I366" s="313" t="s">
        <v>1077</v>
      </c>
      <c r="K366" s="314">
        <f t="shared" si="29"/>
        <v>2934.3283800734494</v>
      </c>
      <c r="M366" s="314">
        <v>2800</v>
      </c>
      <c r="N366" s="313">
        <v>2922.5577973738191</v>
      </c>
      <c r="R366" s="313" t="str">
        <f>IF(AND((J366="This"),(L366="Only")),VLOOKUP(G366,#REF!,7,FALSE),"")</f>
        <v/>
      </c>
      <c r="U366" s="313">
        <v>2934.3283800734494</v>
      </c>
    </row>
    <row r="367" spans="1:23" x14ac:dyDescent="0.25">
      <c r="A367" s="313">
        <v>1</v>
      </c>
      <c r="C367" s="313">
        <f t="shared" si="25"/>
        <v>25</v>
      </c>
      <c r="D367" s="313">
        <f t="shared" si="26"/>
        <v>1</v>
      </c>
      <c r="E367" s="313">
        <f t="shared" si="27"/>
        <v>17</v>
      </c>
      <c r="F367" s="313" t="str">
        <f t="shared" si="28"/>
        <v>pmx</v>
      </c>
      <c r="G367" s="313" t="s">
        <v>1078</v>
      </c>
      <c r="H367" s="313" t="s">
        <v>570</v>
      </c>
      <c r="I367" s="313" t="s">
        <v>1079</v>
      </c>
      <c r="K367" s="314">
        <f t="shared" si="29"/>
        <v>2800</v>
      </c>
      <c r="M367" s="314">
        <v>2800</v>
      </c>
      <c r="R367" s="313" t="str">
        <f>IF(AND((J367="This"),(L367="Only")),VLOOKUP(G367,#REF!,7,FALSE),"")</f>
        <v/>
      </c>
    </row>
    <row r="368" spans="1:23" x14ac:dyDescent="0.25">
      <c r="A368" s="313">
        <v>4</v>
      </c>
      <c r="C368" s="313">
        <f t="shared" si="25"/>
        <v>26</v>
      </c>
      <c r="D368" s="313">
        <f t="shared" si="26"/>
        <v>26</v>
      </c>
      <c r="E368" s="313">
        <f t="shared" si="27"/>
        <v>17</v>
      </c>
      <c r="F368" s="313" t="str">
        <f t="shared" si="28"/>
        <v>pm</v>
      </c>
      <c r="G368" s="313" t="s">
        <v>1080</v>
      </c>
      <c r="H368" s="313" t="s">
        <v>281</v>
      </c>
      <c r="I368" s="313" t="s">
        <v>1081</v>
      </c>
      <c r="K368" s="314">
        <f t="shared" si="29"/>
        <v>2806.0043200734549</v>
      </c>
      <c r="M368" s="314">
        <v>2750</v>
      </c>
      <c r="R368" s="313" t="str">
        <f>IF(AND((J368="This"),(L368="Only")),VLOOKUP(G368,#REF!,7,FALSE),"")</f>
        <v/>
      </c>
      <c r="S368" s="313">
        <v>2737.0667429308878</v>
      </c>
      <c r="W368" s="313">
        <v>2806.0043200734549</v>
      </c>
    </row>
    <row r="369" spans="1:23" x14ac:dyDescent="0.25">
      <c r="A369" s="313">
        <v>3</v>
      </c>
      <c r="C369" s="313">
        <f t="shared" si="25"/>
        <v>27</v>
      </c>
      <c r="D369" s="313">
        <f t="shared" si="26"/>
        <v>27</v>
      </c>
      <c r="E369" s="313">
        <f t="shared" si="27"/>
        <v>17</v>
      </c>
      <c r="F369" s="313" t="str">
        <f t="shared" si="28"/>
        <v>pm</v>
      </c>
      <c r="G369" s="313" t="s">
        <v>1082</v>
      </c>
      <c r="H369" s="313" t="s">
        <v>201</v>
      </c>
      <c r="I369" s="313" t="s">
        <v>1083</v>
      </c>
      <c r="K369" s="314">
        <f t="shared" si="29"/>
        <v>2901.4817872939348</v>
      </c>
      <c r="M369" s="314">
        <v>2800</v>
      </c>
      <c r="R369" s="313" t="str">
        <f>IF(AND((J369="This"),(L369="Only")),VLOOKUP(G369,#REF!,7,FALSE),"")</f>
        <v/>
      </c>
      <c r="U369" s="313">
        <v>2877.9167206621883</v>
      </c>
      <c r="W369" s="313">
        <v>2901.4817872939348</v>
      </c>
    </row>
    <row r="370" spans="1:23" x14ac:dyDescent="0.25">
      <c r="A370" s="313">
        <v>6</v>
      </c>
      <c r="C370" s="313">
        <f t="shared" si="25"/>
        <v>28</v>
      </c>
      <c r="D370" s="313">
        <f t="shared" si="26"/>
        <v>28</v>
      </c>
      <c r="E370" s="313">
        <f t="shared" si="27"/>
        <v>17</v>
      </c>
      <c r="F370" s="313" t="str">
        <f t="shared" si="28"/>
        <v>pm</v>
      </c>
      <c r="G370" s="313" t="s">
        <v>1084</v>
      </c>
      <c r="H370" s="313" t="s">
        <v>697</v>
      </c>
      <c r="I370" s="313" t="s">
        <v>1085</v>
      </c>
      <c r="K370" s="314">
        <f t="shared" si="29"/>
        <v>2461.1682047986947</v>
      </c>
      <c r="M370" s="314">
        <v>2600</v>
      </c>
      <c r="O370" s="313">
        <v>2533.6041340909615</v>
      </c>
      <c r="R370" s="313" t="str">
        <f>IF(AND((J370="This"),(L370="Only")),VLOOKUP(G370,#REF!,7,FALSE),"")</f>
        <v/>
      </c>
      <c r="S370" s="313">
        <v>2561.5348410704928</v>
      </c>
      <c r="U370" s="313">
        <v>2503.2179928017745</v>
      </c>
      <c r="V370" s="313">
        <v>2461.1682047986947</v>
      </c>
    </row>
    <row r="371" spans="1:23" x14ac:dyDescent="0.25">
      <c r="A371" s="313">
        <v>6</v>
      </c>
      <c r="C371" s="313">
        <f t="shared" si="25"/>
        <v>29</v>
      </c>
      <c r="D371" s="313">
        <f t="shared" si="26"/>
        <v>28</v>
      </c>
      <c r="E371" s="313">
        <f t="shared" si="27"/>
        <v>17</v>
      </c>
      <c r="F371" s="313" t="str">
        <f t="shared" si="28"/>
        <v>pm</v>
      </c>
      <c r="G371" s="313" t="s">
        <v>395</v>
      </c>
      <c r="H371" s="313" t="s">
        <v>204</v>
      </c>
      <c r="I371" s="313" t="s">
        <v>394</v>
      </c>
      <c r="K371" s="314">
        <f t="shared" si="29"/>
        <v>2452.0796475240045</v>
      </c>
      <c r="M371" s="314">
        <v>2600</v>
      </c>
      <c r="O371" s="313">
        <v>2571.5996209638265</v>
      </c>
      <c r="P371" s="313">
        <v>2520.9451500265227</v>
      </c>
      <c r="R371" s="313" t="str">
        <f>IF(AND((J371="This"),(L371="Only")),VLOOKUP(G371,#REF!,7,FALSE),"")</f>
        <v/>
      </c>
      <c r="T371" s="313">
        <v>2402.5111436308193</v>
      </c>
      <c r="U371" s="313">
        <v>2452.0796475240045</v>
      </c>
    </row>
    <row r="372" spans="1:23" x14ac:dyDescent="0.25">
      <c r="A372" s="313">
        <v>3</v>
      </c>
      <c r="C372" s="313">
        <f t="shared" si="25"/>
        <v>30</v>
      </c>
      <c r="D372" s="313">
        <f t="shared" si="26"/>
        <v>28</v>
      </c>
      <c r="E372" s="313">
        <f t="shared" si="27"/>
        <v>17</v>
      </c>
      <c r="F372" s="313" t="str">
        <f t="shared" si="28"/>
        <v>pm</v>
      </c>
      <c r="G372" s="313" t="s">
        <v>1086</v>
      </c>
      <c r="H372" s="313" t="s">
        <v>1087</v>
      </c>
      <c r="I372" s="313" t="s">
        <v>1088</v>
      </c>
      <c r="K372" s="314">
        <f t="shared" si="29"/>
        <v>2582.5446895021764</v>
      </c>
      <c r="M372" s="314">
        <v>2600</v>
      </c>
      <c r="O372" s="313">
        <v>2588.7054530220494</v>
      </c>
      <c r="R372" s="313" t="str">
        <f>IF(AND((J372="This"),(L372="Only")),VLOOKUP(G372,#REF!,7,FALSE),"")</f>
        <v/>
      </c>
      <c r="W372" s="313">
        <v>2582.5446895021764</v>
      </c>
    </row>
    <row r="373" spans="1:23" x14ac:dyDescent="0.25">
      <c r="A373" s="313">
        <v>4</v>
      </c>
      <c r="C373" s="313">
        <f t="shared" si="25"/>
        <v>31</v>
      </c>
      <c r="D373" s="313">
        <f t="shared" si="26"/>
        <v>28</v>
      </c>
      <c r="E373" s="313">
        <f t="shared" si="27"/>
        <v>17</v>
      </c>
      <c r="F373" s="313" t="str">
        <f t="shared" si="28"/>
        <v>pm</v>
      </c>
      <c r="G373" s="313" t="s">
        <v>1089</v>
      </c>
      <c r="H373" s="313" t="s">
        <v>281</v>
      </c>
      <c r="I373" s="313" t="s">
        <v>1090</v>
      </c>
      <c r="K373" s="314">
        <f t="shared" si="29"/>
        <v>2525.4338041158107</v>
      </c>
      <c r="M373" s="314">
        <v>2600</v>
      </c>
      <c r="R373" s="313" t="str">
        <f>IF(AND((J373="This"),(L373="Only")),VLOOKUP(G373,#REF!,7,FALSE),"")</f>
        <v/>
      </c>
      <c r="S373" s="313">
        <v>2562.1409322019244</v>
      </c>
      <c r="W373" s="313">
        <v>2525.4338041158107</v>
      </c>
    </row>
    <row r="374" spans="1:23" x14ac:dyDescent="0.25">
      <c r="A374" s="313">
        <v>4</v>
      </c>
      <c r="C374" s="313">
        <f t="shared" si="25"/>
        <v>32</v>
      </c>
      <c r="D374" s="313">
        <f t="shared" si="26"/>
        <v>28</v>
      </c>
      <c r="E374" s="313">
        <f t="shared" si="27"/>
        <v>17</v>
      </c>
      <c r="F374" s="313" t="str">
        <f t="shared" si="28"/>
        <v>pm</v>
      </c>
      <c r="G374" s="313" t="s">
        <v>1091</v>
      </c>
      <c r="H374" s="313" t="s">
        <v>700</v>
      </c>
      <c r="I374" s="313" t="s">
        <v>1092</v>
      </c>
      <c r="K374" s="314">
        <f t="shared" si="29"/>
        <v>2729.9711784317674</v>
      </c>
      <c r="M374" s="314">
        <v>2600</v>
      </c>
      <c r="P374" s="313">
        <v>2708.9205411170788</v>
      </c>
      <c r="R374" s="313" t="str">
        <f>IF(AND((J374="This"),(L374="Only")),VLOOKUP(G374,#REF!,7,FALSE),"")</f>
        <v/>
      </c>
      <c r="S374" s="313">
        <v>2695.9097757652876</v>
      </c>
      <c r="T374" s="313">
        <v>2695.8819375084886</v>
      </c>
      <c r="V374" s="313">
        <v>2729.9711784317674</v>
      </c>
    </row>
    <row r="375" spans="1:23" x14ac:dyDescent="0.25">
      <c r="A375" s="313">
        <v>2</v>
      </c>
      <c r="C375" s="313">
        <f t="shared" si="25"/>
        <v>33</v>
      </c>
      <c r="D375" s="313">
        <f t="shared" si="26"/>
        <v>28</v>
      </c>
      <c r="E375" s="313">
        <f t="shared" si="27"/>
        <v>17</v>
      </c>
      <c r="F375" s="313" t="str">
        <f t="shared" si="28"/>
        <v>so</v>
      </c>
      <c r="G375" s="313" t="s">
        <v>225</v>
      </c>
      <c r="H375" s="313" t="s">
        <v>212</v>
      </c>
      <c r="I375" s="313" t="s">
        <v>365</v>
      </c>
      <c r="K375" s="314">
        <f t="shared" si="29"/>
        <v>2668.5988047345622</v>
      </c>
      <c r="M375" s="314">
        <v>2600</v>
      </c>
      <c r="R375" s="313" t="str">
        <f>IF(AND((J375="This"),(L375="Only")),VLOOKUP(G375,#REF!,7,FALSE),"")</f>
        <v/>
      </c>
      <c r="S375" s="313">
        <v>2668.5988047345622</v>
      </c>
    </row>
    <row r="376" spans="1:23" x14ac:dyDescent="0.25">
      <c r="A376" s="313">
        <v>3</v>
      </c>
      <c r="C376" s="313">
        <f t="shared" si="25"/>
        <v>34</v>
      </c>
      <c r="D376" s="313">
        <f t="shared" si="26"/>
        <v>34</v>
      </c>
      <c r="E376" s="313">
        <f t="shared" si="27"/>
        <v>17</v>
      </c>
      <c r="F376" s="313" t="str">
        <f t="shared" si="28"/>
        <v>pm</v>
      </c>
      <c r="G376" s="313" t="s">
        <v>1093</v>
      </c>
      <c r="H376" s="313" t="s">
        <v>287</v>
      </c>
      <c r="I376" s="313" t="s">
        <v>1094</v>
      </c>
      <c r="K376" s="314">
        <f t="shared" si="29"/>
        <v>2448.5829328502982</v>
      </c>
      <c r="M376" s="314">
        <v>2533.3333333333335</v>
      </c>
      <c r="R376" s="313" t="str">
        <f>IF(AND((J376="This"),(L376="Only")),VLOOKUP(G376,#REF!,7,FALSE),"")</f>
        <v/>
      </c>
      <c r="T376" s="313">
        <v>2448.5829328502982</v>
      </c>
    </row>
    <row r="377" spans="1:23" x14ac:dyDescent="0.25">
      <c r="A377" s="313">
        <v>4</v>
      </c>
      <c r="C377" s="313">
        <f t="shared" si="25"/>
        <v>35</v>
      </c>
      <c r="D377" s="313">
        <f t="shared" si="26"/>
        <v>35</v>
      </c>
      <c r="E377" s="313">
        <f t="shared" si="27"/>
        <v>17</v>
      </c>
      <c r="F377" s="313" t="str">
        <f t="shared" si="28"/>
        <v>pm</v>
      </c>
      <c r="G377" s="313" t="s">
        <v>1095</v>
      </c>
      <c r="H377" s="313" t="s">
        <v>526</v>
      </c>
      <c r="I377" s="313" t="s">
        <v>1096</v>
      </c>
      <c r="K377" s="314">
        <f t="shared" si="29"/>
        <v>2294.9565143634281</v>
      </c>
      <c r="M377" s="314">
        <v>2500</v>
      </c>
      <c r="O377" s="313">
        <v>2418.1090459560842</v>
      </c>
      <c r="R377" s="313" t="str">
        <f>IF(AND((J377="This"),(L377="Only")),VLOOKUP(G377,#REF!,7,FALSE),"")</f>
        <v/>
      </c>
      <c r="T377" s="313">
        <v>2297.6185183969365</v>
      </c>
      <c r="U377" s="313">
        <v>2294.9565143634281</v>
      </c>
    </row>
    <row r="378" spans="1:23" x14ac:dyDescent="0.25">
      <c r="A378" s="313">
        <v>5</v>
      </c>
      <c r="C378" s="313">
        <f t="shared" si="25"/>
        <v>36</v>
      </c>
      <c r="D378" s="313">
        <f t="shared" si="26"/>
        <v>36</v>
      </c>
      <c r="E378" s="313">
        <f t="shared" si="27"/>
        <v>17</v>
      </c>
      <c r="F378" s="313" t="str">
        <f t="shared" si="28"/>
        <v>pm</v>
      </c>
      <c r="G378" s="313" t="s">
        <v>370</v>
      </c>
      <c r="H378" s="313" t="s">
        <v>199</v>
      </c>
      <c r="I378" s="313" t="s">
        <v>369</v>
      </c>
      <c r="K378" s="314">
        <f t="shared" si="29"/>
        <v>2470.5768512788477</v>
      </c>
      <c r="M378" s="314">
        <v>2440</v>
      </c>
      <c r="O378" s="313">
        <v>2486.7710445931716</v>
      </c>
      <c r="R378" s="313" t="str">
        <f>IF(AND((J378="This"),(L378="Only")),VLOOKUP(G378,#REF!,7,FALSE),"")</f>
        <v/>
      </c>
      <c r="S378" s="313">
        <v>2462.5038673672475</v>
      </c>
      <c r="V378" s="313">
        <v>2470.5768512788477</v>
      </c>
    </row>
    <row r="379" spans="1:23" x14ac:dyDescent="0.25">
      <c r="A379" s="313">
        <v>5</v>
      </c>
      <c r="C379" s="313">
        <f t="shared" si="25"/>
        <v>37</v>
      </c>
      <c r="D379" s="313">
        <f t="shared" si="26"/>
        <v>37</v>
      </c>
      <c r="E379" s="313">
        <f t="shared" si="27"/>
        <v>17</v>
      </c>
      <c r="F379" s="313" t="str">
        <f t="shared" si="28"/>
        <v>pm</v>
      </c>
      <c r="G379" s="313" t="s">
        <v>446</v>
      </c>
      <c r="H379" s="313" t="s">
        <v>444</v>
      </c>
      <c r="I379" s="313" t="s">
        <v>445</v>
      </c>
      <c r="K379" s="314">
        <f t="shared" si="29"/>
        <v>2490.7546597563824</v>
      </c>
      <c r="M379" s="314">
        <v>2400</v>
      </c>
      <c r="O379" s="313">
        <v>2391.3097924964568</v>
      </c>
      <c r="R379" s="313" t="str">
        <f>IF(AND((J379="This"),(L379="Only")),VLOOKUP(G379,#REF!,7,FALSE),"")</f>
        <v/>
      </c>
      <c r="S379" s="313">
        <v>2478.0997606551555</v>
      </c>
      <c r="T379" s="313">
        <v>2562.1064003900715</v>
      </c>
      <c r="V379" s="313">
        <v>2490.7546597563824</v>
      </c>
    </row>
    <row r="380" spans="1:23" x14ac:dyDescent="0.25">
      <c r="A380" s="313">
        <v>1</v>
      </c>
      <c r="C380" s="313">
        <f t="shared" si="25"/>
        <v>38</v>
      </c>
      <c r="D380" s="313">
        <f t="shared" si="26"/>
        <v>37</v>
      </c>
      <c r="E380" s="313">
        <f t="shared" si="27"/>
        <v>17</v>
      </c>
      <c r="F380" s="313" t="str">
        <f t="shared" si="28"/>
        <v>crx</v>
      </c>
      <c r="G380" s="313" t="s">
        <v>463</v>
      </c>
      <c r="H380" s="313" t="s">
        <v>209</v>
      </c>
      <c r="I380" s="313" t="s">
        <v>462</v>
      </c>
      <c r="K380" s="314">
        <f t="shared" si="29"/>
        <v>2400</v>
      </c>
      <c r="M380" s="314">
        <v>2400</v>
      </c>
      <c r="R380" s="313" t="str">
        <f>IF(AND((J380="This"),(L380="Only")),VLOOKUP(G380,#REF!,7,FALSE),"")</f>
        <v/>
      </c>
    </row>
    <row r="381" spans="1:23" x14ac:dyDescent="0.25">
      <c r="A381" s="313">
        <v>4</v>
      </c>
      <c r="C381" s="313">
        <f t="shared" si="25"/>
        <v>39</v>
      </c>
      <c r="D381" s="313">
        <f t="shared" si="26"/>
        <v>37</v>
      </c>
      <c r="E381" s="313">
        <f t="shared" si="27"/>
        <v>17</v>
      </c>
      <c r="F381" s="313" t="str">
        <f t="shared" si="28"/>
        <v>pm</v>
      </c>
      <c r="G381" s="313" t="s">
        <v>408</v>
      </c>
      <c r="H381" s="313" t="s">
        <v>198</v>
      </c>
      <c r="I381" s="313" t="s">
        <v>407</v>
      </c>
      <c r="K381" s="314">
        <f t="shared" si="29"/>
        <v>2431.5669234490088</v>
      </c>
      <c r="M381" s="314">
        <v>2400</v>
      </c>
      <c r="R381" s="313" t="str">
        <f>IF(AND((J381="This"),(L381="Only")),VLOOKUP(G381,#REF!,7,FALSE),"")</f>
        <v/>
      </c>
      <c r="S381" s="313">
        <v>2469.0671056915025</v>
      </c>
      <c r="T381" s="313">
        <v>2431.5669234490088</v>
      </c>
    </row>
    <row r="382" spans="1:23" x14ac:dyDescent="0.25">
      <c r="A382" s="313">
        <v>1</v>
      </c>
      <c r="C382" s="313">
        <f t="shared" si="25"/>
        <v>40</v>
      </c>
      <c r="D382" s="313">
        <f t="shared" si="26"/>
        <v>37</v>
      </c>
      <c r="E382" s="313">
        <f t="shared" si="27"/>
        <v>17</v>
      </c>
      <c r="F382" s="313" t="str">
        <f t="shared" si="28"/>
        <v>sox</v>
      </c>
      <c r="G382" s="313" t="s">
        <v>337</v>
      </c>
      <c r="H382" s="313" t="s">
        <v>229</v>
      </c>
      <c r="I382" s="313" t="s">
        <v>451</v>
      </c>
      <c r="K382" s="314">
        <f t="shared" si="29"/>
        <v>2400</v>
      </c>
      <c r="M382" s="314">
        <v>2400</v>
      </c>
      <c r="R382" s="313" t="str">
        <f>IF(AND((J382="This"),(L382="Only")),VLOOKUP(G382,#REF!,7,FALSE),"")</f>
        <v/>
      </c>
    </row>
    <row r="383" spans="1:23" x14ac:dyDescent="0.25">
      <c r="A383" s="313">
        <v>2</v>
      </c>
      <c r="C383" s="313">
        <f t="shared" si="25"/>
        <v>41</v>
      </c>
      <c r="D383" s="313">
        <f t="shared" si="26"/>
        <v>37</v>
      </c>
      <c r="E383" s="313">
        <f t="shared" si="27"/>
        <v>17</v>
      </c>
      <c r="F383" s="313" t="str">
        <f t="shared" si="28"/>
        <v>pm</v>
      </c>
      <c r="G383" s="313" t="s">
        <v>1097</v>
      </c>
      <c r="H383" s="313" t="s">
        <v>559</v>
      </c>
      <c r="I383" s="313" t="s">
        <v>1098</v>
      </c>
      <c r="K383" s="314">
        <f t="shared" si="29"/>
        <v>2357.6436227783074</v>
      </c>
      <c r="M383" s="314">
        <v>2400</v>
      </c>
      <c r="R383" s="313" t="str">
        <f>IF(AND((J383="This"),(L383="Only")),VLOOKUP(G383,#REF!,7,FALSE),"")</f>
        <v/>
      </c>
      <c r="V383" s="313">
        <v>2357.6436227783074</v>
      </c>
    </row>
    <row r="384" spans="1:23" x14ac:dyDescent="0.25">
      <c r="A384" s="313">
        <v>1</v>
      </c>
      <c r="C384" s="313">
        <f t="shared" si="25"/>
        <v>42</v>
      </c>
      <c r="D384" s="313">
        <f t="shared" si="26"/>
        <v>37</v>
      </c>
      <c r="E384" s="313">
        <f t="shared" si="27"/>
        <v>17</v>
      </c>
      <c r="F384" s="313" t="str">
        <f t="shared" si="28"/>
        <v>pmx</v>
      </c>
      <c r="G384" s="313" t="s">
        <v>1099</v>
      </c>
      <c r="H384" s="313" t="s">
        <v>559</v>
      </c>
      <c r="I384" s="313" t="s">
        <v>1100</v>
      </c>
      <c r="K384" s="314">
        <f t="shared" si="29"/>
        <v>2408.4097346410776</v>
      </c>
      <c r="M384" s="314">
        <v>2400</v>
      </c>
      <c r="R384" s="313" t="str">
        <f>IF(AND((J384="This"),(L384="Only")),VLOOKUP(G384,#REF!,7,FALSE),"")</f>
        <v/>
      </c>
      <c r="V384" s="313">
        <v>2408.4097346410776</v>
      </c>
    </row>
    <row r="385" spans="1:23" x14ac:dyDescent="0.25">
      <c r="A385" s="313">
        <v>1</v>
      </c>
      <c r="C385" s="313">
        <f t="shared" si="25"/>
        <v>43</v>
      </c>
      <c r="D385" s="313">
        <f t="shared" si="26"/>
        <v>37</v>
      </c>
      <c r="E385" s="313">
        <f t="shared" si="27"/>
        <v>17</v>
      </c>
      <c r="F385" s="313" t="str">
        <f t="shared" si="28"/>
        <v>sox</v>
      </c>
      <c r="G385" s="313" t="s">
        <v>256</v>
      </c>
      <c r="H385" s="313" t="s">
        <v>222</v>
      </c>
      <c r="I385" s="313" t="s">
        <v>459</v>
      </c>
      <c r="K385" s="314">
        <f t="shared" si="29"/>
        <v>2400</v>
      </c>
      <c r="M385" s="314">
        <v>2400</v>
      </c>
      <c r="R385" s="313" t="str">
        <f>IF(AND((J385="This"),(L385="Only")),VLOOKUP(G385,#REF!,7,FALSE),"")</f>
        <v/>
      </c>
    </row>
    <row r="386" spans="1:23" x14ac:dyDescent="0.25">
      <c r="A386" s="313">
        <v>4</v>
      </c>
      <c r="C386" s="313">
        <f t="shared" ref="C386:C427" si="30">IF(E386=E385,C385+1,1)</f>
        <v>44</v>
      </c>
      <c r="D386" s="313">
        <f t="shared" ref="D386:D427" si="31">IF(M386=M385,D385,C386)</f>
        <v>37</v>
      </c>
      <c r="E386" s="313">
        <f t="shared" ref="E386:E427" si="32">10+VALUE(RIGHT(LEFT(G386,3),1))</f>
        <v>17</v>
      </c>
      <c r="F386" s="313" t="str">
        <f t="shared" ref="F386:F427" si="33">RIGHT(G386,2) &amp; IF(A386&lt;2,"x","")</f>
        <v>pm</v>
      </c>
      <c r="G386" s="313" t="s">
        <v>335</v>
      </c>
      <c r="H386" s="313" t="s">
        <v>201</v>
      </c>
      <c r="I386" s="313" t="s">
        <v>467</v>
      </c>
      <c r="K386" s="314">
        <f t="shared" ref="K386:K427" si="34">LOOKUP(1E+100,M386:AC386)</f>
        <v>2329.7910227662092</v>
      </c>
      <c r="M386" s="314">
        <v>2400</v>
      </c>
      <c r="R386" s="313" t="str">
        <f>IF(AND((J386="This"),(L386="Only")),VLOOKUP(G386,#REF!,7,FALSE),"")</f>
        <v/>
      </c>
      <c r="S386" s="313">
        <v>2343.6691822827524</v>
      </c>
      <c r="T386" s="313">
        <v>2355.4932684736682</v>
      </c>
      <c r="V386" s="313">
        <v>2329.7910227662092</v>
      </c>
    </row>
    <row r="387" spans="1:23" x14ac:dyDescent="0.25">
      <c r="A387" s="313">
        <v>1</v>
      </c>
      <c r="C387" s="313">
        <f t="shared" si="30"/>
        <v>45</v>
      </c>
      <c r="D387" s="313">
        <f t="shared" si="31"/>
        <v>37</v>
      </c>
      <c r="E387" s="313">
        <f t="shared" si="32"/>
        <v>17</v>
      </c>
      <c r="F387" s="313" t="str">
        <f t="shared" si="33"/>
        <v>crx</v>
      </c>
      <c r="G387" s="313" t="s">
        <v>404</v>
      </c>
      <c r="H387" s="313" t="s">
        <v>402</v>
      </c>
      <c r="I387" s="313" t="s">
        <v>403</v>
      </c>
      <c r="K387" s="314">
        <f t="shared" si="34"/>
        <v>2400</v>
      </c>
      <c r="M387" s="314">
        <v>2400</v>
      </c>
      <c r="R387" s="313" t="str">
        <f>IF(AND((J387="This"),(L387="Only")),VLOOKUP(G387,#REF!,7,FALSE),"")</f>
        <v/>
      </c>
    </row>
    <row r="388" spans="1:23" x14ac:dyDescent="0.25">
      <c r="A388" s="313">
        <v>5</v>
      </c>
      <c r="C388" s="313">
        <f t="shared" si="30"/>
        <v>46</v>
      </c>
      <c r="D388" s="313">
        <f t="shared" si="31"/>
        <v>37</v>
      </c>
      <c r="E388" s="313">
        <f t="shared" si="32"/>
        <v>17</v>
      </c>
      <c r="F388" s="313" t="str">
        <f t="shared" si="33"/>
        <v>pm</v>
      </c>
      <c r="G388" s="313" t="s">
        <v>247</v>
      </c>
      <c r="H388" s="313" t="s">
        <v>205</v>
      </c>
      <c r="I388" s="313" t="s">
        <v>387</v>
      </c>
      <c r="K388" s="314">
        <f t="shared" si="34"/>
        <v>2405.2146345930723</v>
      </c>
      <c r="M388" s="314">
        <v>2400</v>
      </c>
      <c r="R388" s="313" t="str">
        <f>IF(AND((J388="This"),(L388="Only")),VLOOKUP(G388,#REF!,7,FALSE),"")</f>
        <v/>
      </c>
      <c r="S388" s="313">
        <v>2385.4093469267709</v>
      </c>
      <c r="T388" s="313">
        <v>2357.2024717461968</v>
      </c>
      <c r="V388" s="313">
        <v>2405.2146345930723</v>
      </c>
    </row>
    <row r="389" spans="1:23" x14ac:dyDescent="0.25">
      <c r="A389" s="313">
        <v>4</v>
      </c>
      <c r="C389" s="313">
        <f t="shared" si="30"/>
        <v>47</v>
      </c>
      <c r="D389" s="313">
        <f t="shared" si="31"/>
        <v>37</v>
      </c>
      <c r="E389" s="313">
        <f t="shared" si="32"/>
        <v>17</v>
      </c>
      <c r="F389" s="313" t="str">
        <f t="shared" si="33"/>
        <v>pm</v>
      </c>
      <c r="G389" s="313" t="s">
        <v>334</v>
      </c>
      <c r="H389" s="313" t="s">
        <v>237</v>
      </c>
      <c r="I389" s="313" t="s">
        <v>333</v>
      </c>
      <c r="K389" s="314">
        <f t="shared" si="34"/>
        <v>2456.2391071311727</v>
      </c>
      <c r="M389" s="314">
        <v>2400</v>
      </c>
      <c r="R389" s="313" t="str">
        <f>IF(AND((J389="This"),(L389="Only")),VLOOKUP(G389,#REF!,7,FALSE),"")</f>
        <v/>
      </c>
      <c r="T389" s="313">
        <v>2456.2391071311727</v>
      </c>
    </row>
    <row r="390" spans="1:23" x14ac:dyDescent="0.25">
      <c r="A390" s="313">
        <v>4</v>
      </c>
      <c r="C390" s="313">
        <f t="shared" si="30"/>
        <v>48</v>
      </c>
      <c r="D390" s="313">
        <f t="shared" si="31"/>
        <v>37</v>
      </c>
      <c r="E390" s="313">
        <f t="shared" si="32"/>
        <v>17</v>
      </c>
      <c r="F390" s="313" t="str">
        <f t="shared" si="33"/>
        <v>pm</v>
      </c>
      <c r="G390" s="313" t="s">
        <v>502</v>
      </c>
      <c r="H390" s="313" t="s">
        <v>494</v>
      </c>
      <c r="I390" s="313" t="s">
        <v>501</v>
      </c>
      <c r="K390" s="314">
        <f t="shared" si="34"/>
        <v>2486.9719356907308</v>
      </c>
      <c r="M390" s="314">
        <v>2400</v>
      </c>
      <c r="R390" s="313" t="str">
        <f>IF(AND((J390="This"),(L390="Only")),VLOOKUP(G390,#REF!,7,FALSE),"")</f>
        <v/>
      </c>
      <c r="S390" s="313">
        <v>2418.2277960489441</v>
      </c>
      <c r="V390" s="313">
        <v>2486.9719356907308</v>
      </c>
    </row>
    <row r="391" spans="1:23" x14ac:dyDescent="0.25">
      <c r="A391" s="313">
        <v>3</v>
      </c>
      <c r="C391" s="313">
        <f t="shared" si="30"/>
        <v>49</v>
      </c>
      <c r="D391" s="313">
        <f t="shared" si="31"/>
        <v>37</v>
      </c>
      <c r="E391" s="313">
        <f t="shared" si="32"/>
        <v>17</v>
      </c>
      <c r="F391" s="313" t="str">
        <f t="shared" si="33"/>
        <v>so</v>
      </c>
      <c r="G391" s="313" t="s">
        <v>1101</v>
      </c>
      <c r="H391" s="313" t="s">
        <v>910</v>
      </c>
      <c r="I391" s="313" t="s">
        <v>1102</v>
      </c>
      <c r="K391" s="314">
        <f t="shared" si="34"/>
        <v>2534.2184179573715</v>
      </c>
      <c r="M391" s="314">
        <v>2400</v>
      </c>
      <c r="R391" s="313" t="str">
        <f>IF(AND((J391="This"),(L391="Only")),VLOOKUP(G391,#REF!,7,FALSE),"")</f>
        <v/>
      </c>
      <c r="T391" s="313">
        <v>2483.9011013183376</v>
      </c>
      <c r="V391" s="313">
        <v>2534.2184179573715</v>
      </c>
    </row>
    <row r="392" spans="1:23" x14ac:dyDescent="0.25">
      <c r="A392" s="313">
        <v>1</v>
      </c>
      <c r="C392" s="313">
        <f t="shared" si="30"/>
        <v>1</v>
      </c>
      <c r="D392" s="313">
        <f t="shared" si="31"/>
        <v>1</v>
      </c>
      <c r="E392" s="313">
        <f t="shared" si="32"/>
        <v>18</v>
      </c>
      <c r="F392" s="313" t="str">
        <f t="shared" si="33"/>
        <v>sox</v>
      </c>
      <c r="G392" s="313" t="s">
        <v>1103</v>
      </c>
      <c r="H392" s="313" t="s">
        <v>575</v>
      </c>
      <c r="I392" s="313" t="s">
        <v>1104</v>
      </c>
      <c r="K392" s="314">
        <f t="shared" si="34"/>
        <v>2978.3004702389408</v>
      </c>
      <c r="M392" s="314">
        <v>3000</v>
      </c>
      <c r="R392" s="313" t="str">
        <f>IF(AND((J392="This"),(L392="Only")),VLOOKUP(G392,#REF!,7,FALSE),"")</f>
        <v/>
      </c>
      <c r="U392" s="313">
        <v>2978.3004702389408</v>
      </c>
    </row>
    <row r="393" spans="1:23" x14ac:dyDescent="0.25">
      <c r="A393" s="313">
        <v>1</v>
      </c>
      <c r="C393" s="313">
        <f t="shared" si="30"/>
        <v>2</v>
      </c>
      <c r="D393" s="313">
        <f t="shared" si="31"/>
        <v>1</v>
      </c>
      <c r="E393" s="313">
        <f t="shared" si="32"/>
        <v>18</v>
      </c>
      <c r="F393" s="313" t="str">
        <f t="shared" si="33"/>
        <v>sox</v>
      </c>
      <c r="G393" s="313" t="s">
        <v>1105</v>
      </c>
      <c r="H393" s="313" t="s">
        <v>575</v>
      </c>
      <c r="I393" s="313" t="s">
        <v>1106</v>
      </c>
      <c r="K393" s="314">
        <f t="shared" si="34"/>
        <v>2897.9846514222299</v>
      </c>
      <c r="M393" s="314">
        <v>3000</v>
      </c>
      <c r="R393" s="313" t="str">
        <f>IF(AND((J393="This"),(L393="Only")),VLOOKUP(G393,#REF!,7,FALSE),"")</f>
        <v/>
      </c>
      <c r="U393" s="313">
        <v>2897.9846514222299</v>
      </c>
    </row>
    <row r="394" spans="1:23" x14ac:dyDescent="0.25">
      <c r="A394" s="313">
        <v>3</v>
      </c>
      <c r="C394" s="313">
        <f t="shared" si="30"/>
        <v>3</v>
      </c>
      <c r="D394" s="313">
        <f t="shared" si="31"/>
        <v>1</v>
      </c>
      <c r="E394" s="313">
        <f t="shared" si="32"/>
        <v>18</v>
      </c>
      <c r="F394" s="313" t="str">
        <f t="shared" si="33"/>
        <v>pm</v>
      </c>
      <c r="G394" s="313" t="s">
        <v>1107</v>
      </c>
      <c r="H394" s="313" t="s">
        <v>213</v>
      </c>
      <c r="I394" s="313" t="s">
        <v>1108</v>
      </c>
      <c r="K394" s="314">
        <f t="shared" si="34"/>
        <v>2924.5527645061525</v>
      </c>
      <c r="M394" s="314">
        <v>3000</v>
      </c>
      <c r="N394" s="313">
        <v>2913.866898564183</v>
      </c>
      <c r="R394" s="313" t="str">
        <f>IF(AND((J394="This"),(L394="Only")),VLOOKUP(G394,#REF!,7,FALSE),"")</f>
        <v/>
      </c>
      <c r="W394" s="313">
        <v>2924.5527645061525</v>
      </c>
    </row>
    <row r="395" spans="1:23" x14ac:dyDescent="0.25">
      <c r="A395" s="313">
        <v>1</v>
      </c>
      <c r="C395" s="313">
        <f t="shared" si="30"/>
        <v>4</v>
      </c>
      <c r="D395" s="313">
        <f t="shared" si="31"/>
        <v>1</v>
      </c>
      <c r="E395" s="313">
        <f t="shared" si="32"/>
        <v>18</v>
      </c>
      <c r="F395" s="313" t="str">
        <f t="shared" si="33"/>
        <v>crx</v>
      </c>
      <c r="G395" s="313" t="s">
        <v>1109</v>
      </c>
      <c r="H395" s="313" t="s">
        <v>1037</v>
      </c>
      <c r="I395" s="313" t="s">
        <v>1110</v>
      </c>
      <c r="K395" s="314">
        <f t="shared" si="34"/>
        <v>2998.007856763068</v>
      </c>
      <c r="M395" s="314">
        <v>3000</v>
      </c>
      <c r="R395" s="313" t="str">
        <f>IF(AND((J395="This"),(L395="Only")),VLOOKUP(G395,#REF!,7,FALSE),"")</f>
        <v/>
      </c>
      <c r="S395" s="313">
        <v>2998.007856763068</v>
      </c>
    </row>
    <row r="396" spans="1:23" x14ac:dyDescent="0.25">
      <c r="A396" s="313">
        <v>3</v>
      </c>
      <c r="C396" s="313">
        <f t="shared" si="30"/>
        <v>5</v>
      </c>
      <c r="D396" s="313">
        <f t="shared" si="31"/>
        <v>1</v>
      </c>
      <c r="E396" s="313">
        <f t="shared" si="32"/>
        <v>18</v>
      </c>
      <c r="F396" s="313" t="str">
        <f t="shared" si="33"/>
        <v>pm</v>
      </c>
      <c r="G396" s="313" t="s">
        <v>1111</v>
      </c>
      <c r="H396" s="313" t="s">
        <v>207</v>
      </c>
      <c r="I396" s="313" t="s">
        <v>1112</v>
      </c>
      <c r="K396" s="314">
        <f t="shared" si="34"/>
        <v>3067.1173150491368</v>
      </c>
      <c r="M396" s="314">
        <v>3000</v>
      </c>
      <c r="N396" s="313">
        <v>3042.4287957562287</v>
      </c>
      <c r="R396" s="313" t="str">
        <f>IF(AND((J396="This"),(L396="Only")),VLOOKUP(G396,#REF!,7,FALSE),"")</f>
        <v/>
      </c>
      <c r="U396" s="313">
        <v>3102.9189764040821</v>
      </c>
      <c r="W396" s="313">
        <v>3067.1173150491368</v>
      </c>
    </row>
    <row r="397" spans="1:23" x14ac:dyDescent="0.25">
      <c r="A397" s="313">
        <v>2</v>
      </c>
      <c r="C397" s="313">
        <f t="shared" si="30"/>
        <v>6</v>
      </c>
      <c r="D397" s="313">
        <f t="shared" si="31"/>
        <v>1</v>
      </c>
      <c r="E397" s="313">
        <f t="shared" si="32"/>
        <v>18</v>
      </c>
      <c r="F397" s="313" t="str">
        <f t="shared" si="33"/>
        <v>pm</v>
      </c>
      <c r="G397" s="313" t="s">
        <v>1113</v>
      </c>
      <c r="H397" s="313" t="s">
        <v>393</v>
      </c>
      <c r="I397" s="313" t="s">
        <v>1114</v>
      </c>
      <c r="K397" s="314">
        <f t="shared" si="34"/>
        <v>3013.3111133784737</v>
      </c>
      <c r="M397" s="314">
        <v>3000</v>
      </c>
      <c r="N397" s="313">
        <v>3013.3111133784737</v>
      </c>
      <c r="R397" s="313" t="str">
        <f>IF(AND((J397="This"),(L397="Only")),VLOOKUP(G397,#REF!,7,FALSE),"")</f>
        <v/>
      </c>
    </row>
    <row r="398" spans="1:23" x14ac:dyDescent="0.25">
      <c r="A398" s="313">
        <v>1</v>
      </c>
      <c r="C398" s="313">
        <f t="shared" si="30"/>
        <v>7</v>
      </c>
      <c r="D398" s="313">
        <f t="shared" si="31"/>
        <v>1</v>
      </c>
      <c r="E398" s="313">
        <f t="shared" si="32"/>
        <v>18</v>
      </c>
      <c r="F398" s="313" t="str">
        <f t="shared" si="33"/>
        <v>sox</v>
      </c>
      <c r="G398" s="313" t="s">
        <v>1115</v>
      </c>
      <c r="H398" s="313" t="s">
        <v>295</v>
      </c>
      <c r="I398" s="313" t="s">
        <v>1116</v>
      </c>
      <c r="K398" s="314">
        <f t="shared" si="34"/>
        <v>3000</v>
      </c>
      <c r="M398" s="314">
        <v>3000</v>
      </c>
      <c r="R398" s="313" t="str">
        <f>IF(AND((J398="This"),(L398="Only")),VLOOKUP(G398,#REF!,7,FALSE),"")</f>
        <v/>
      </c>
    </row>
    <row r="399" spans="1:23" x14ac:dyDescent="0.25">
      <c r="A399" s="313">
        <v>1</v>
      </c>
      <c r="C399" s="313">
        <f t="shared" si="30"/>
        <v>8</v>
      </c>
      <c r="D399" s="313">
        <f t="shared" si="31"/>
        <v>1</v>
      </c>
      <c r="E399" s="313">
        <f t="shared" si="32"/>
        <v>18</v>
      </c>
      <c r="F399" s="313" t="str">
        <f t="shared" si="33"/>
        <v>pmx</v>
      </c>
      <c r="G399" s="313" t="s">
        <v>1117</v>
      </c>
      <c r="H399" s="313" t="s">
        <v>650</v>
      </c>
      <c r="I399" s="313" t="s">
        <v>1118</v>
      </c>
      <c r="K399" s="314">
        <f t="shared" si="34"/>
        <v>3035.9476832433411</v>
      </c>
      <c r="M399" s="314">
        <v>3000</v>
      </c>
      <c r="R399" s="313" t="str">
        <f>IF(AND((J399="This"),(L399="Only")),VLOOKUP(G399,#REF!,7,FALSE),"")</f>
        <v/>
      </c>
      <c r="U399" s="313">
        <v>3035.9476832433411</v>
      </c>
    </row>
    <row r="400" spans="1:23" x14ac:dyDescent="0.25">
      <c r="A400" s="313">
        <v>4</v>
      </c>
      <c r="C400" s="313">
        <f t="shared" si="30"/>
        <v>9</v>
      </c>
      <c r="D400" s="313">
        <f t="shared" si="31"/>
        <v>1</v>
      </c>
      <c r="E400" s="313">
        <f t="shared" si="32"/>
        <v>18</v>
      </c>
      <c r="F400" s="313" t="str">
        <f t="shared" si="33"/>
        <v>pm</v>
      </c>
      <c r="G400" s="313" t="s">
        <v>339</v>
      </c>
      <c r="H400" s="313" t="s">
        <v>340</v>
      </c>
      <c r="I400" s="313" t="s">
        <v>338</v>
      </c>
      <c r="K400" s="314">
        <f t="shared" si="34"/>
        <v>2987.6119148963471</v>
      </c>
      <c r="M400" s="314">
        <v>3000</v>
      </c>
      <c r="N400" s="313">
        <v>2980.2992862947854</v>
      </c>
      <c r="R400" s="313" t="str">
        <f>IF(AND((J400="This"),(L400="Only")),VLOOKUP(G400,#REF!,7,FALSE),"")</f>
        <v/>
      </c>
      <c r="U400" s="313">
        <v>3026.1359908797672</v>
      </c>
      <c r="W400" s="313">
        <v>2987.6119148963471</v>
      </c>
    </row>
    <row r="401" spans="1:23" x14ac:dyDescent="0.25">
      <c r="A401" s="313">
        <v>6</v>
      </c>
      <c r="C401" s="313">
        <f t="shared" si="30"/>
        <v>10</v>
      </c>
      <c r="D401" s="313">
        <f t="shared" si="31"/>
        <v>1</v>
      </c>
      <c r="E401" s="313">
        <f t="shared" si="32"/>
        <v>18</v>
      </c>
      <c r="F401" s="313" t="str">
        <f t="shared" si="33"/>
        <v>pm</v>
      </c>
      <c r="G401" s="313" t="s">
        <v>1119</v>
      </c>
      <c r="H401" s="313" t="s">
        <v>411</v>
      </c>
      <c r="I401" s="313" t="s">
        <v>1120</v>
      </c>
      <c r="K401" s="314">
        <f t="shared" si="34"/>
        <v>2826.5429016799544</v>
      </c>
      <c r="M401" s="314">
        <v>3000</v>
      </c>
      <c r="P401" s="313">
        <v>3018.0395256703673</v>
      </c>
      <c r="R401" s="313" t="str">
        <f>IF(AND((J401="This"),(L401="Only")),VLOOKUP(G401,#REF!,7,FALSE),"")</f>
        <v/>
      </c>
      <c r="S401" s="313">
        <v>2936.7667185645291</v>
      </c>
      <c r="U401" s="313">
        <v>2875.3494936020707</v>
      </c>
      <c r="W401" s="313">
        <v>2826.5429016799544</v>
      </c>
    </row>
    <row r="402" spans="1:23" x14ac:dyDescent="0.25">
      <c r="A402" s="313">
        <v>6</v>
      </c>
      <c r="C402" s="313">
        <f t="shared" si="30"/>
        <v>11</v>
      </c>
      <c r="D402" s="313">
        <f t="shared" si="31"/>
        <v>1</v>
      </c>
      <c r="E402" s="313">
        <f t="shared" si="32"/>
        <v>18</v>
      </c>
      <c r="F402" s="313" t="str">
        <f t="shared" si="33"/>
        <v>pm</v>
      </c>
      <c r="G402" s="313" t="s">
        <v>1121</v>
      </c>
      <c r="H402" s="313" t="s">
        <v>216</v>
      </c>
      <c r="I402" s="313" t="s">
        <v>1122</v>
      </c>
      <c r="K402" s="314">
        <f t="shared" si="34"/>
        <v>3018.9530721179772</v>
      </c>
      <c r="M402" s="314">
        <v>3000</v>
      </c>
      <c r="N402" s="313">
        <v>2917.3787570454606</v>
      </c>
      <c r="P402" s="313">
        <v>2966.1072131875057</v>
      </c>
      <c r="R402" s="313" t="str">
        <f>IF(AND((J402="This"),(L402="Only")),VLOOKUP(G402,#REF!,7,FALSE),"")</f>
        <v/>
      </c>
      <c r="S402" s="313">
        <v>2924.8856891760802</v>
      </c>
      <c r="U402" s="313">
        <v>2929.4323751758852</v>
      </c>
      <c r="W402" s="313">
        <v>3018.9530721179772</v>
      </c>
    </row>
    <row r="403" spans="1:23" x14ac:dyDescent="0.25">
      <c r="A403" s="313">
        <v>1</v>
      </c>
      <c r="C403" s="313">
        <f t="shared" si="30"/>
        <v>12</v>
      </c>
      <c r="D403" s="313">
        <f t="shared" si="31"/>
        <v>1</v>
      </c>
      <c r="E403" s="313">
        <f t="shared" si="32"/>
        <v>18</v>
      </c>
      <c r="F403" s="313" t="str">
        <f t="shared" si="33"/>
        <v>odx</v>
      </c>
      <c r="G403" s="313" t="s">
        <v>1123</v>
      </c>
      <c r="H403" s="313" t="s">
        <v>859</v>
      </c>
      <c r="I403" s="313" t="s">
        <v>860</v>
      </c>
      <c r="K403" s="314">
        <f t="shared" si="34"/>
        <v>3096.2801230484952</v>
      </c>
      <c r="M403" s="314">
        <v>3000</v>
      </c>
      <c r="N403" s="313">
        <v>3096.2801230484952</v>
      </c>
      <c r="R403" s="313" t="str">
        <f>IF(AND((J403="This"),(L403="Only")),VLOOKUP(G403,#REF!,7,FALSE),"")</f>
        <v/>
      </c>
    </row>
    <row r="404" spans="1:23" x14ac:dyDescent="0.25">
      <c r="A404" s="313">
        <v>2</v>
      </c>
      <c r="C404" s="313">
        <f t="shared" si="30"/>
        <v>13</v>
      </c>
      <c r="D404" s="313">
        <f t="shared" si="31"/>
        <v>1</v>
      </c>
      <c r="E404" s="313">
        <f t="shared" si="32"/>
        <v>18</v>
      </c>
      <c r="F404" s="313" t="str">
        <f t="shared" si="33"/>
        <v>pm</v>
      </c>
      <c r="G404" s="313" t="s">
        <v>1124</v>
      </c>
      <c r="H404" s="313" t="s">
        <v>559</v>
      </c>
      <c r="I404" s="313" t="s">
        <v>1125</v>
      </c>
      <c r="K404" s="314">
        <f t="shared" si="34"/>
        <v>3106.1013274780757</v>
      </c>
      <c r="M404" s="314">
        <v>3000</v>
      </c>
      <c r="R404" s="313" t="str">
        <f>IF(AND((J404="This"),(L404="Only")),VLOOKUP(G404,#REF!,7,FALSE),"")</f>
        <v/>
      </c>
      <c r="S404" s="313">
        <v>3106.1013274780757</v>
      </c>
    </row>
    <row r="405" spans="1:23" x14ac:dyDescent="0.25">
      <c r="A405" s="313">
        <v>2</v>
      </c>
      <c r="C405" s="313">
        <f t="shared" si="30"/>
        <v>14</v>
      </c>
      <c r="D405" s="313">
        <f t="shared" si="31"/>
        <v>1</v>
      </c>
      <c r="E405" s="313">
        <f t="shared" si="32"/>
        <v>18</v>
      </c>
      <c r="F405" s="313" t="str">
        <f t="shared" si="33"/>
        <v>pm</v>
      </c>
      <c r="G405" s="313" t="s">
        <v>1126</v>
      </c>
      <c r="H405" s="313" t="s">
        <v>559</v>
      </c>
      <c r="I405" s="313" t="s">
        <v>1127</v>
      </c>
      <c r="K405" s="314">
        <f t="shared" si="34"/>
        <v>2950.854734176065</v>
      </c>
      <c r="M405" s="314">
        <v>3000</v>
      </c>
      <c r="R405" s="313" t="str">
        <f>IF(AND((J405="This"),(L405="Only")),VLOOKUP(G405,#REF!,7,FALSE),"")</f>
        <v/>
      </c>
      <c r="W405" s="313">
        <v>2950.854734176065</v>
      </c>
    </row>
    <row r="406" spans="1:23" x14ac:dyDescent="0.25">
      <c r="A406" s="313">
        <v>1</v>
      </c>
      <c r="C406" s="313">
        <f t="shared" si="30"/>
        <v>15</v>
      </c>
      <c r="D406" s="313">
        <f t="shared" si="31"/>
        <v>1</v>
      </c>
      <c r="E406" s="313">
        <f t="shared" si="32"/>
        <v>18</v>
      </c>
      <c r="F406" s="313" t="str">
        <f t="shared" si="33"/>
        <v>sox</v>
      </c>
      <c r="G406" s="313" t="s">
        <v>1128</v>
      </c>
      <c r="H406" s="313" t="s">
        <v>285</v>
      </c>
      <c r="I406" s="313" t="s">
        <v>1129</v>
      </c>
      <c r="K406" s="314">
        <f t="shared" si="34"/>
        <v>2888.086160745449</v>
      </c>
      <c r="M406" s="314">
        <v>3000</v>
      </c>
      <c r="R406" s="313" t="str">
        <f>IF(AND((J406="This"),(L406="Only")),VLOOKUP(G406,#REF!,7,FALSE),"")</f>
        <v/>
      </c>
      <c r="U406" s="313">
        <v>2888.086160745449</v>
      </c>
    </row>
    <row r="407" spans="1:23" x14ac:dyDescent="0.25">
      <c r="A407" s="313">
        <v>1</v>
      </c>
      <c r="C407" s="313">
        <f t="shared" si="30"/>
        <v>16</v>
      </c>
      <c r="D407" s="313">
        <f t="shared" si="31"/>
        <v>1</v>
      </c>
      <c r="E407" s="313">
        <f t="shared" si="32"/>
        <v>18</v>
      </c>
      <c r="F407" s="313" t="str">
        <f t="shared" si="33"/>
        <v>odx</v>
      </c>
      <c r="G407" s="313" t="s">
        <v>1130</v>
      </c>
      <c r="H407" s="313" t="s">
        <v>756</v>
      </c>
      <c r="I407" s="313" t="s">
        <v>1131</v>
      </c>
      <c r="K407" s="314">
        <f t="shared" si="34"/>
        <v>3000</v>
      </c>
      <c r="M407" s="314">
        <v>3000</v>
      </c>
      <c r="R407" s="313" t="str">
        <f>IF(AND((J407="This"),(L407="Only")),VLOOKUP(G407,#REF!,7,FALSE),"")</f>
        <v/>
      </c>
    </row>
    <row r="408" spans="1:23" x14ac:dyDescent="0.25">
      <c r="A408" s="313">
        <v>1</v>
      </c>
      <c r="C408" s="313">
        <f t="shared" si="30"/>
        <v>17</v>
      </c>
      <c r="D408" s="313">
        <f t="shared" si="31"/>
        <v>1</v>
      </c>
      <c r="E408" s="313">
        <f t="shared" si="32"/>
        <v>18</v>
      </c>
      <c r="F408" s="313" t="str">
        <f t="shared" si="33"/>
        <v>sox</v>
      </c>
      <c r="G408" s="313" t="s">
        <v>1132</v>
      </c>
      <c r="H408" s="313" t="s">
        <v>1133</v>
      </c>
      <c r="I408" s="313" t="s">
        <v>1134</v>
      </c>
      <c r="K408" s="314">
        <f t="shared" si="34"/>
        <v>3111.1252320123399</v>
      </c>
      <c r="M408" s="314">
        <v>3000</v>
      </c>
      <c r="R408" s="313" t="str">
        <f>IF(AND((J408="This"),(L408="Only")),VLOOKUP(G408,#REF!,7,FALSE),"")</f>
        <v/>
      </c>
      <c r="U408" s="313">
        <v>3111.1252320123399</v>
      </c>
    </row>
    <row r="409" spans="1:23" x14ac:dyDescent="0.25">
      <c r="A409" s="313">
        <v>2</v>
      </c>
      <c r="C409" s="313">
        <f t="shared" si="30"/>
        <v>18</v>
      </c>
      <c r="D409" s="313">
        <f t="shared" si="31"/>
        <v>1</v>
      </c>
      <c r="E409" s="313">
        <f t="shared" si="32"/>
        <v>18</v>
      </c>
      <c r="F409" s="313" t="str">
        <f t="shared" si="33"/>
        <v>pm</v>
      </c>
      <c r="G409" s="313" t="s">
        <v>1135</v>
      </c>
      <c r="H409" s="313" t="s">
        <v>201</v>
      </c>
      <c r="I409" s="313" t="s">
        <v>1136</v>
      </c>
      <c r="K409" s="314">
        <f t="shared" si="34"/>
        <v>3108.3510027587017</v>
      </c>
      <c r="M409" s="314">
        <v>3000</v>
      </c>
      <c r="R409" s="313" t="str">
        <f>IF(AND((J409="This"),(L409="Only")),VLOOKUP(G409,#REF!,7,FALSE),"")</f>
        <v/>
      </c>
      <c r="U409" s="313">
        <v>3033.6021688753772</v>
      </c>
      <c r="W409" s="313">
        <v>3108.3510027587017</v>
      </c>
    </row>
    <row r="410" spans="1:23" x14ac:dyDescent="0.25">
      <c r="A410" s="313">
        <v>1</v>
      </c>
      <c r="C410" s="313">
        <f t="shared" si="30"/>
        <v>19</v>
      </c>
      <c r="D410" s="313">
        <f t="shared" si="31"/>
        <v>1</v>
      </c>
      <c r="E410" s="313">
        <f t="shared" si="32"/>
        <v>18</v>
      </c>
      <c r="F410" s="313" t="str">
        <f t="shared" si="33"/>
        <v>crx</v>
      </c>
      <c r="G410" s="313" t="s">
        <v>1137</v>
      </c>
      <c r="H410" s="313" t="s">
        <v>881</v>
      </c>
      <c r="I410" s="313" t="s">
        <v>1138</v>
      </c>
      <c r="K410" s="314">
        <f t="shared" si="34"/>
        <v>2979.4736760168794</v>
      </c>
      <c r="M410" s="314">
        <v>3000</v>
      </c>
      <c r="R410" s="313" t="str">
        <f>IF(AND((J410="This"),(L410="Only")),VLOOKUP(G410,#REF!,7,FALSE),"")</f>
        <v/>
      </c>
      <c r="U410" s="313">
        <v>2979.4736760168794</v>
      </c>
    </row>
    <row r="411" spans="1:23" x14ac:dyDescent="0.25">
      <c r="A411" s="313">
        <v>1</v>
      </c>
      <c r="C411" s="313">
        <f t="shared" si="30"/>
        <v>20</v>
      </c>
      <c r="D411" s="313">
        <f t="shared" si="31"/>
        <v>1</v>
      </c>
      <c r="E411" s="313">
        <f t="shared" si="32"/>
        <v>18</v>
      </c>
      <c r="F411" s="313" t="str">
        <f t="shared" si="33"/>
        <v>crx</v>
      </c>
      <c r="G411" s="313" t="s">
        <v>1139</v>
      </c>
      <c r="H411" s="313" t="s">
        <v>881</v>
      </c>
      <c r="I411" s="313" t="s">
        <v>1140</v>
      </c>
      <c r="K411" s="314">
        <f t="shared" si="34"/>
        <v>2880.8602942634225</v>
      </c>
      <c r="M411" s="314">
        <v>3000</v>
      </c>
      <c r="R411" s="313" t="str">
        <f>IF(AND((J411="This"),(L411="Only")),VLOOKUP(G411,#REF!,7,FALSE),"")</f>
        <v/>
      </c>
      <c r="U411" s="313">
        <v>2880.8602942634225</v>
      </c>
    </row>
    <row r="412" spans="1:23" x14ac:dyDescent="0.25">
      <c r="A412" s="313">
        <v>1</v>
      </c>
      <c r="C412" s="313">
        <f t="shared" si="30"/>
        <v>21</v>
      </c>
      <c r="D412" s="313">
        <f t="shared" si="31"/>
        <v>1</v>
      </c>
      <c r="E412" s="313">
        <f t="shared" si="32"/>
        <v>18</v>
      </c>
      <c r="F412" s="313" t="str">
        <f t="shared" si="33"/>
        <v>crx</v>
      </c>
      <c r="G412" s="313" t="s">
        <v>341</v>
      </c>
      <c r="H412" s="313" t="s">
        <v>342</v>
      </c>
      <c r="I412" s="313" t="s">
        <v>1141</v>
      </c>
      <c r="K412" s="314">
        <f t="shared" si="34"/>
        <v>2937.5737782198325</v>
      </c>
      <c r="M412" s="314">
        <v>3000</v>
      </c>
      <c r="N412" s="313">
        <v>2937.5737782198325</v>
      </c>
      <c r="R412" s="313" t="str">
        <f>IF(AND((J412="This"),(L412="Only")),VLOOKUP(G412,#REF!,7,FALSE),"")</f>
        <v/>
      </c>
    </row>
    <row r="413" spans="1:23" x14ac:dyDescent="0.25">
      <c r="A413" s="313">
        <v>5</v>
      </c>
      <c r="C413" s="313">
        <f t="shared" si="30"/>
        <v>22</v>
      </c>
      <c r="D413" s="313">
        <f t="shared" si="31"/>
        <v>1</v>
      </c>
      <c r="E413" s="313">
        <f t="shared" si="32"/>
        <v>18</v>
      </c>
      <c r="F413" s="313" t="str">
        <f t="shared" si="33"/>
        <v>pm</v>
      </c>
      <c r="G413" s="313" t="s">
        <v>1142</v>
      </c>
      <c r="H413" s="313" t="s">
        <v>240</v>
      </c>
      <c r="I413" s="313" t="s">
        <v>1143</v>
      </c>
      <c r="K413" s="314">
        <f t="shared" si="34"/>
        <v>3097.2487743814136</v>
      </c>
      <c r="M413" s="314">
        <v>3000</v>
      </c>
      <c r="N413" s="313">
        <v>3009.2514829430538</v>
      </c>
      <c r="R413" s="313" t="str">
        <f>IF(AND((J413="This"),(L413="Only")),VLOOKUP(G413,#REF!,7,FALSE),"")</f>
        <v/>
      </c>
      <c r="S413" s="313">
        <v>2963.2964479003485</v>
      </c>
      <c r="U413" s="313">
        <v>3029.7830029113002</v>
      </c>
      <c r="W413" s="313">
        <v>3097.2487743814136</v>
      </c>
    </row>
    <row r="414" spans="1:23" x14ac:dyDescent="0.25">
      <c r="A414" s="313">
        <v>1</v>
      </c>
      <c r="C414" s="313">
        <f t="shared" si="30"/>
        <v>23</v>
      </c>
      <c r="D414" s="313">
        <f t="shared" si="31"/>
        <v>1</v>
      </c>
      <c r="E414" s="313">
        <f t="shared" si="32"/>
        <v>18</v>
      </c>
      <c r="F414" s="313" t="str">
        <f t="shared" si="33"/>
        <v>pmx</v>
      </c>
      <c r="G414" s="313" t="s">
        <v>1144</v>
      </c>
      <c r="H414" s="313" t="s">
        <v>570</v>
      </c>
      <c r="I414" s="313" t="s">
        <v>1145</v>
      </c>
      <c r="K414" s="314">
        <f t="shared" si="34"/>
        <v>3000</v>
      </c>
      <c r="M414" s="314">
        <v>3000</v>
      </c>
      <c r="R414" s="313" t="str">
        <f>IF(AND((J414="This"),(L414="Only")),VLOOKUP(G414,#REF!,7,FALSE),"")</f>
        <v/>
      </c>
    </row>
    <row r="415" spans="1:23" x14ac:dyDescent="0.25">
      <c r="A415" s="313">
        <v>1</v>
      </c>
      <c r="C415" s="313">
        <f t="shared" si="30"/>
        <v>24</v>
      </c>
      <c r="D415" s="313">
        <f t="shared" si="31"/>
        <v>1</v>
      </c>
      <c r="E415" s="313">
        <f t="shared" si="32"/>
        <v>18</v>
      </c>
      <c r="F415" s="313" t="str">
        <f t="shared" si="33"/>
        <v>pmx</v>
      </c>
      <c r="G415" s="313" t="s">
        <v>1146</v>
      </c>
      <c r="H415" s="313" t="s">
        <v>570</v>
      </c>
      <c r="I415" s="313" t="s">
        <v>1147</v>
      </c>
      <c r="K415" s="314">
        <f t="shared" si="34"/>
        <v>3000</v>
      </c>
      <c r="M415" s="314">
        <v>3000</v>
      </c>
      <c r="R415" s="313" t="str">
        <f>IF(AND((J415="This"),(L415="Only")),VLOOKUP(G415,#REF!,7,FALSE),"")</f>
        <v/>
      </c>
    </row>
    <row r="416" spans="1:23" x14ac:dyDescent="0.25">
      <c r="A416" s="313">
        <v>1</v>
      </c>
      <c r="C416" s="313">
        <f t="shared" si="30"/>
        <v>25</v>
      </c>
      <c r="D416" s="313">
        <f t="shared" si="31"/>
        <v>1</v>
      </c>
      <c r="E416" s="313">
        <f t="shared" si="32"/>
        <v>18</v>
      </c>
      <c r="F416" s="313" t="str">
        <f t="shared" si="33"/>
        <v>pmx</v>
      </c>
      <c r="G416" s="313" t="s">
        <v>1148</v>
      </c>
      <c r="H416" s="313" t="s">
        <v>570</v>
      </c>
      <c r="I416" s="313" t="s">
        <v>1149</v>
      </c>
      <c r="K416" s="314">
        <f t="shared" si="34"/>
        <v>3000</v>
      </c>
      <c r="M416" s="314">
        <v>3000</v>
      </c>
      <c r="R416" s="313" t="str">
        <f>IF(AND((J416="This"),(L416="Only")),VLOOKUP(G416,#REF!,7,FALSE),"")</f>
        <v/>
      </c>
    </row>
    <row r="417" spans="1:23" x14ac:dyDescent="0.25">
      <c r="A417" s="313">
        <v>4</v>
      </c>
      <c r="C417" s="313">
        <f t="shared" si="30"/>
        <v>26</v>
      </c>
      <c r="D417" s="313">
        <f t="shared" si="31"/>
        <v>26</v>
      </c>
      <c r="E417" s="313">
        <f t="shared" si="32"/>
        <v>18</v>
      </c>
      <c r="F417" s="313" t="str">
        <f t="shared" si="33"/>
        <v>pm</v>
      </c>
      <c r="G417" s="313" t="s">
        <v>1150</v>
      </c>
      <c r="H417" s="313" t="s">
        <v>1151</v>
      </c>
      <c r="I417" s="313" t="s">
        <v>1152</v>
      </c>
      <c r="K417" s="314">
        <f t="shared" si="34"/>
        <v>2738.8655374245086</v>
      </c>
      <c r="M417" s="314">
        <v>2900</v>
      </c>
      <c r="P417" s="313">
        <v>2825.7321255667107</v>
      </c>
      <c r="R417" s="313" t="str">
        <f>IF(AND((J417="This"),(L417="Only")),VLOOKUP(G417,#REF!,7,FALSE),"")</f>
        <v/>
      </c>
      <c r="S417" s="313">
        <v>2756.6598634333782</v>
      </c>
      <c r="U417" s="313">
        <v>2778.8957456721564</v>
      </c>
      <c r="W417" s="313">
        <v>2738.8655374245086</v>
      </c>
    </row>
    <row r="418" spans="1:23" x14ac:dyDescent="0.25">
      <c r="A418" s="313">
        <v>4</v>
      </c>
      <c r="C418" s="313">
        <f t="shared" si="30"/>
        <v>27</v>
      </c>
      <c r="D418" s="313">
        <f t="shared" si="31"/>
        <v>26</v>
      </c>
      <c r="E418" s="313">
        <f t="shared" si="32"/>
        <v>18</v>
      </c>
      <c r="F418" s="313" t="str">
        <f t="shared" si="33"/>
        <v>pm</v>
      </c>
      <c r="G418" s="313" t="s">
        <v>1153</v>
      </c>
      <c r="H418" s="313" t="s">
        <v>199</v>
      </c>
      <c r="I418" s="313" t="s">
        <v>1154</v>
      </c>
      <c r="K418" s="314">
        <f t="shared" si="34"/>
        <v>2863.8315277287957</v>
      </c>
      <c r="M418" s="314">
        <v>2900</v>
      </c>
      <c r="O418" s="313">
        <v>2844.5131492724072</v>
      </c>
      <c r="P418" s="313">
        <v>2852.013041893284</v>
      </c>
      <c r="R418" s="313" t="str">
        <f>IF(AND((J418="This"),(L418="Only")),VLOOKUP(G418,#REF!,7,FALSE),"")</f>
        <v/>
      </c>
      <c r="U418" s="313">
        <v>2863.8315277287957</v>
      </c>
    </row>
    <row r="419" spans="1:23" x14ac:dyDescent="0.25">
      <c r="A419" s="313">
        <v>4</v>
      </c>
      <c r="C419" s="313">
        <f t="shared" si="30"/>
        <v>28</v>
      </c>
      <c r="D419" s="313">
        <f t="shared" si="31"/>
        <v>28</v>
      </c>
      <c r="E419" s="313">
        <f t="shared" si="32"/>
        <v>18</v>
      </c>
      <c r="F419" s="313" t="str">
        <f t="shared" si="33"/>
        <v>pm</v>
      </c>
      <c r="G419" s="313" t="s">
        <v>1155</v>
      </c>
      <c r="H419" s="313" t="s">
        <v>235</v>
      </c>
      <c r="I419" s="313" t="s">
        <v>1156</v>
      </c>
      <c r="K419" s="314">
        <f t="shared" si="34"/>
        <v>2890.9544526692098</v>
      </c>
      <c r="M419" s="314">
        <v>2700</v>
      </c>
      <c r="O419" s="313">
        <v>2776.0452308811364</v>
      </c>
      <c r="R419" s="313" t="str">
        <f>IF(AND((J419="This"),(L419="Only")),VLOOKUP(G419,#REF!,7,FALSE),"")</f>
        <v/>
      </c>
      <c r="S419" s="313">
        <v>2783.0988267322386</v>
      </c>
      <c r="U419" s="313">
        <v>2827.7212205588357</v>
      </c>
      <c r="W419" s="313">
        <v>2890.9544526692098</v>
      </c>
    </row>
    <row r="420" spans="1:23" x14ac:dyDescent="0.25">
      <c r="A420" s="313">
        <v>6</v>
      </c>
      <c r="C420" s="313">
        <f t="shared" si="30"/>
        <v>29</v>
      </c>
      <c r="D420" s="313">
        <f t="shared" si="31"/>
        <v>29</v>
      </c>
      <c r="E420" s="313">
        <f t="shared" si="32"/>
        <v>18</v>
      </c>
      <c r="F420" s="313" t="str">
        <f t="shared" si="33"/>
        <v>pm</v>
      </c>
      <c r="G420" s="313" t="s">
        <v>1157</v>
      </c>
      <c r="H420" s="313" t="s">
        <v>230</v>
      </c>
      <c r="I420" s="313" t="s">
        <v>1158</v>
      </c>
      <c r="K420" s="314">
        <f t="shared" si="34"/>
        <v>2478.8272462330083</v>
      </c>
      <c r="M420" s="314">
        <v>2666.6666666666665</v>
      </c>
      <c r="O420" s="313">
        <v>2606.2172201158401</v>
      </c>
      <c r="R420" s="313" t="str">
        <f>IF(AND((J420="This"),(L420="Only")),VLOOKUP(G420,#REF!,7,FALSE),"")</f>
        <v/>
      </c>
      <c r="S420" s="313">
        <v>2533.5380243836562</v>
      </c>
      <c r="V420" s="313">
        <v>2478.8272462330083</v>
      </c>
    </row>
    <row r="421" spans="1:23" x14ac:dyDescent="0.25">
      <c r="A421" s="313">
        <v>6</v>
      </c>
      <c r="C421" s="313">
        <f t="shared" si="30"/>
        <v>30</v>
      </c>
      <c r="D421" s="313">
        <f t="shared" si="31"/>
        <v>30</v>
      </c>
      <c r="E421" s="313">
        <f t="shared" si="32"/>
        <v>18</v>
      </c>
      <c r="F421" s="313" t="str">
        <f t="shared" si="33"/>
        <v>pm</v>
      </c>
      <c r="G421" s="313" t="s">
        <v>447</v>
      </c>
      <c r="H421" s="313" t="s">
        <v>217</v>
      </c>
      <c r="I421" s="313" t="s">
        <v>197</v>
      </c>
      <c r="K421" s="314">
        <f t="shared" si="34"/>
        <v>2574.5716672740141</v>
      </c>
      <c r="M421" s="314">
        <v>2600</v>
      </c>
      <c r="O421" s="313">
        <v>2566.197479933051</v>
      </c>
      <c r="R421" s="313" t="str">
        <f>IF(AND((J421="This"),(L421="Only")),VLOOKUP(G421,#REF!,7,FALSE),"")</f>
        <v/>
      </c>
      <c r="S421" s="313">
        <v>2571.5829841924087</v>
      </c>
      <c r="T421" s="313">
        <v>2604.5313523756722</v>
      </c>
      <c r="V421" s="313">
        <v>2574.5716672740141</v>
      </c>
    </row>
    <row r="422" spans="1:23" x14ac:dyDescent="0.25">
      <c r="A422" s="313">
        <v>2</v>
      </c>
      <c r="C422" s="313">
        <f t="shared" si="30"/>
        <v>31</v>
      </c>
      <c r="D422" s="313">
        <f t="shared" si="31"/>
        <v>30</v>
      </c>
      <c r="E422" s="313">
        <f t="shared" si="32"/>
        <v>18</v>
      </c>
      <c r="F422" s="313" t="str">
        <f t="shared" si="33"/>
        <v>cr</v>
      </c>
      <c r="G422" s="313" t="s">
        <v>1159</v>
      </c>
      <c r="H422" s="313" t="s">
        <v>593</v>
      </c>
      <c r="I422" s="313" t="s">
        <v>1160</v>
      </c>
      <c r="K422" s="314">
        <f t="shared" si="34"/>
        <v>2632.6008182864525</v>
      </c>
      <c r="M422" s="314">
        <v>2600</v>
      </c>
      <c r="R422" s="313" t="str">
        <f>IF(AND((J422="This"),(L422="Only")),VLOOKUP(G422,#REF!,7,FALSE),"")</f>
        <v/>
      </c>
      <c r="T422" s="313">
        <v>2632.6008182864525</v>
      </c>
    </row>
    <row r="423" spans="1:23" x14ac:dyDescent="0.25">
      <c r="A423" s="313">
        <v>1</v>
      </c>
      <c r="C423" s="313">
        <f t="shared" si="30"/>
        <v>32</v>
      </c>
      <c r="D423" s="313">
        <f t="shared" si="31"/>
        <v>30</v>
      </c>
      <c r="E423" s="313">
        <f t="shared" si="32"/>
        <v>18</v>
      </c>
      <c r="F423" s="313" t="str">
        <f t="shared" si="33"/>
        <v>sox</v>
      </c>
      <c r="G423" s="313" t="s">
        <v>344</v>
      </c>
      <c r="H423" s="313" t="s">
        <v>222</v>
      </c>
      <c r="I423" s="313" t="s">
        <v>343</v>
      </c>
      <c r="K423" s="314">
        <f t="shared" si="34"/>
        <v>2584.553110549688</v>
      </c>
      <c r="M423" s="314">
        <v>2600</v>
      </c>
      <c r="R423" s="313" t="str">
        <f>IF(AND((J423="This"),(L423="Only")),VLOOKUP(G423,#REF!,7,FALSE),"")</f>
        <v/>
      </c>
      <c r="T423" s="313">
        <v>2584.553110549688</v>
      </c>
    </row>
    <row r="424" spans="1:23" x14ac:dyDescent="0.25">
      <c r="A424" s="313">
        <v>1</v>
      </c>
      <c r="C424" s="313">
        <f t="shared" si="30"/>
        <v>33</v>
      </c>
      <c r="D424" s="313">
        <f t="shared" si="31"/>
        <v>30</v>
      </c>
      <c r="E424" s="313">
        <f t="shared" si="32"/>
        <v>18</v>
      </c>
      <c r="F424" s="313" t="str">
        <f t="shared" si="33"/>
        <v>crx</v>
      </c>
      <c r="G424" s="313" t="s">
        <v>1161</v>
      </c>
      <c r="H424" s="313" t="s">
        <v>470</v>
      </c>
      <c r="I424" s="313" t="s">
        <v>1162</v>
      </c>
      <c r="K424" s="314">
        <f t="shared" si="34"/>
        <v>2637.1727206454916</v>
      </c>
      <c r="M424" s="314">
        <v>2600</v>
      </c>
      <c r="O424" s="313">
        <v>2637.1727206454916</v>
      </c>
      <c r="R424" s="313" t="str">
        <f>IF(AND((J424="This"),(L424="Only")),VLOOKUP(G424,#REF!,7,FALSE),"")</f>
        <v/>
      </c>
    </row>
    <row r="425" spans="1:23" x14ac:dyDescent="0.25">
      <c r="A425" s="313">
        <v>7</v>
      </c>
      <c r="C425" s="313">
        <f t="shared" si="30"/>
        <v>34</v>
      </c>
      <c r="D425" s="313">
        <f t="shared" si="31"/>
        <v>30</v>
      </c>
      <c r="E425" s="313">
        <f t="shared" si="32"/>
        <v>18</v>
      </c>
      <c r="F425" s="313" t="str">
        <f t="shared" si="33"/>
        <v>pm</v>
      </c>
      <c r="G425" s="313" t="s">
        <v>469</v>
      </c>
      <c r="H425" s="313" t="s">
        <v>470</v>
      </c>
      <c r="I425" s="313" t="s">
        <v>468</v>
      </c>
      <c r="K425" s="314">
        <f t="shared" si="34"/>
        <v>2679.7684181029094</v>
      </c>
      <c r="M425" s="314">
        <v>2600</v>
      </c>
      <c r="O425" s="313">
        <v>2635.3110386339977</v>
      </c>
      <c r="R425" s="313" t="str">
        <f>IF(AND((J425="This"),(L425="Only")),VLOOKUP(G425,#REF!,7,FALSE),"")</f>
        <v/>
      </c>
      <c r="S425" s="313">
        <v>2679.1300397754653</v>
      </c>
      <c r="T425" s="313">
        <v>2607.9641530366357</v>
      </c>
      <c r="V425" s="313">
        <v>2679.7684181029094</v>
      </c>
    </row>
    <row r="426" spans="1:23" x14ac:dyDescent="0.25">
      <c r="A426" s="313">
        <v>5</v>
      </c>
      <c r="C426" s="313">
        <f t="shared" si="30"/>
        <v>35</v>
      </c>
      <c r="D426" s="313">
        <f t="shared" si="31"/>
        <v>30</v>
      </c>
      <c r="E426" s="313">
        <f t="shared" si="32"/>
        <v>18</v>
      </c>
      <c r="F426" s="313" t="str">
        <f t="shared" si="33"/>
        <v>pm</v>
      </c>
      <c r="G426" s="313" t="s">
        <v>223</v>
      </c>
      <c r="H426" s="313" t="s">
        <v>205</v>
      </c>
      <c r="I426" s="313" t="s">
        <v>388</v>
      </c>
      <c r="K426" s="314">
        <f t="shared" si="34"/>
        <v>2580.5462836263409</v>
      </c>
      <c r="M426" s="314">
        <v>2600</v>
      </c>
      <c r="R426" s="313" t="str">
        <f>IF(AND((J426="This"),(L426="Only")),VLOOKUP(G426,#REF!,7,FALSE),"")</f>
        <v/>
      </c>
      <c r="S426" s="313">
        <v>2637.3852923767972</v>
      </c>
      <c r="T426" s="313">
        <v>2601.7693263635874</v>
      </c>
      <c r="V426" s="313">
        <v>2580.5462836263409</v>
      </c>
    </row>
    <row r="427" spans="1:23" x14ac:dyDescent="0.25">
      <c r="A427" s="313">
        <v>4</v>
      </c>
      <c r="C427" s="313">
        <f t="shared" si="30"/>
        <v>36</v>
      </c>
      <c r="D427" s="313">
        <f t="shared" si="31"/>
        <v>30</v>
      </c>
      <c r="E427" s="313">
        <f t="shared" si="32"/>
        <v>18</v>
      </c>
      <c r="F427" s="313" t="str">
        <f t="shared" si="33"/>
        <v>pm</v>
      </c>
      <c r="G427" s="313" t="s">
        <v>1163</v>
      </c>
      <c r="H427" s="313" t="s">
        <v>1164</v>
      </c>
      <c r="I427" s="313" t="s">
        <v>1165</v>
      </c>
      <c r="K427" s="314">
        <f t="shared" si="34"/>
        <v>2769.9544095367178</v>
      </c>
      <c r="M427" s="314">
        <v>2600</v>
      </c>
      <c r="O427" s="313">
        <v>2680.3264856208189</v>
      </c>
      <c r="R427" s="313" t="str">
        <f>IF(AND((J427="This"),(L427="Only")),VLOOKUP(G427,#REF!,7,FALSE),"")</f>
        <v/>
      </c>
      <c r="T427" s="313">
        <v>2769.9544095367178</v>
      </c>
    </row>
    <row r="428" spans="1:23" x14ac:dyDescent="0.25">
      <c r="R428" s="313" t="str">
        <f>IF(AND((J428="This"),(L428="Only")),VLOOKUP(G428,#REF!,7,FALSE),"")</f>
        <v/>
      </c>
    </row>
    <row r="429" spans="1:23" x14ac:dyDescent="0.25">
      <c r="A429" s="313">
        <v>1</v>
      </c>
      <c r="C429" s="313">
        <f t="shared" ref="C429:C433" si="35">IF(E429=E428,C428+1,1)</f>
        <v>1</v>
      </c>
      <c r="D429" s="313">
        <f t="shared" ref="D429:D433" si="36">IF(M429=M428,D428,C429)</f>
        <v>1</v>
      </c>
      <c r="E429" s="313">
        <f t="shared" ref="E429:E433" si="37">10+VALUE(RIGHT(LEFT(G429,3),1))</f>
        <v>16</v>
      </c>
      <c r="F429" s="313" t="str">
        <f t="shared" ref="F429:F433" si="38">RIGHT(G429,2) &amp; IF(A429&lt;2,"x","")</f>
        <v>crx</v>
      </c>
      <c r="G429" s="1034" t="s">
        <v>1191</v>
      </c>
      <c r="H429" s="1032" t="s">
        <v>1192</v>
      </c>
      <c r="I429" s="313" t="s">
        <v>1192</v>
      </c>
      <c r="K429" s="314">
        <f t="shared" ref="K429:K433" si="39">LOOKUP(1E+100,M429:AC429)</f>
        <v>2224.9357527398279</v>
      </c>
      <c r="M429" s="314">
        <v>2200</v>
      </c>
      <c r="R429" s="313" t="str">
        <f>IF(AND((J429="This"),(L429="Only")),VLOOKUP(G429,#REF!,7,FALSE),"")</f>
        <v/>
      </c>
      <c r="U429" s="313">
        <v>2224.9357527398279</v>
      </c>
    </row>
    <row r="430" spans="1:23" x14ac:dyDescent="0.25">
      <c r="A430" s="313">
        <v>1</v>
      </c>
      <c r="C430" s="313">
        <f t="shared" si="35"/>
        <v>2</v>
      </c>
      <c r="D430" s="313">
        <f t="shared" si="36"/>
        <v>1</v>
      </c>
      <c r="E430" s="313">
        <f t="shared" si="37"/>
        <v>16</v>
      </c>
      <c r="F430" s="313" t="str">
        <f t="shared" si="38"/>
        <v>crx</v>
      </c>
      <c r="G430" s="1034" t="s">
        <v>1193</v>
      </c>
      <c r="H430" s="1032" t="s">
        <v>1194</v>
      </c>
      <c r="I430" s="1032" t="s">
        <v>1195</v>
      </c>
      <c r="K430" s="314">
        <f t="shared" si="39"/>
        <v>2312.3805436980424</v>
      </c>
      <c r="M430" s="314">
        <v>2200</v>
      </c>
      <c r="R430" s="313" t="str">
        <f>IF(AND((J430="This"),(L430="Only")),VLOOKUP(G430,#REF!,7,FALSE),"")</f>
        <v/>
      </c>
      <c r="U430" s="313">
        <v>2312.3805436980424</v>
      </c>
    </row>
    <row r="431" spans="1:23" x14ac:dyDescent="0.25">
      <c r="A431" s="313">
        <v>1</v>
      </c>
      <c r="C431" s="313">
        <f t="shared" si="35"/>
        <v>1</v>
      </c>
      <c r="D431" s="313">
        <f t="shared" si="36"/>
        <v>1</v>
      </c>
      <c r="E431" s="313">
        <f t="shared" si="37"/>
        <v>17</v>
      </c>
      <c r="F431" s="313" t="str">
        <f t="shared" si="38"/>
        <v>crx</v>
      </c>
      <c r="G431" s="1034" t="s">
        <v>1196</v>
      </c>
      <c r="H431" s="1032" t="s">
        <v>1197</v>
      </c>
      <c r="I431" s="1032" t="s">
        <v>1198</v>
      </c>
      <c r="K431" s="314">
        <f t="shared" si="39"/>
        <v>2588.4530488563269</v>
      </c>
      <c r="M431" s="314">
        <v>2400</v>
      </c>
      <c r="R431" s="313" t="str">
        <f>IF(AND((J431="This"),(L431="Only")),VLOOKUP(G431,#REF!,7,FALSE),"")</f>
        <v/>
      </c>
      <c r="U431" s="313">
        <v>2588.4530488563269</v>
      </c>
    </row>
    <row r="432" spans="1:23" x14ac:dyDescent="0.25">
      <c r="A432" s="313">
        <v>1</v>
      </c>
      <c r="C432" s="313">
        <f t="shared" si="35"/>
        <v>1</v>
      </c>
      <c r="D432" s="313">
        <f t="shared" si="36"/>
        <v>1</v>
      </c>
      <c r="E432" s="313">
        <f t="shared" si="37"/>
        <v>14</v>
      </c>
      <c r="F432" s="313" t="str">
        <f t="shared" si="38"/>
        <v>crx</v>
      </c>
      <c r="G432" s="313" t="s">
        <v>1199</v>
      </c>
      <c r="H432" s="313" t="s">
        <v>1200</v>
      </c>
      <c r="I432" s="313" t="s">
        <v>1201</v>
      </c>
      <c r="K432" s="314">
        <f t="shared" si="39"/>
        <v>1879.1516419632358</v>
      </c>
      <c r="M432" s="314">
        <v>1800</v>
      </c>
      <c r="V432" s="313">
        <v>1879.1516419632358</v>
      </c>
    </row>
    <row r="433" spans="1:22" x14ac:dyDescent="0.25">
      <c r="A433" s="313">
        <v>1</v>
      </c>
      <c r="C433" s="313">
        <f t="shared" si="35"/>
        <v>1</v>
      </c>
      <c r="D433" s="313">
        <f t="shared" si="36"/>
        <v>1</v>
      </c>
      <c r="E433" s="313">
        <f t="shared" si="37"/>
        <v>15</v>
      </c>
      <c r="F433" s="313" t="str">
        <f t="shared" si="38"/>
        <v>sox</v>
      </c>
      <c r="G433" s="313" t="s">
        <v>1202</v>
      </c>
      <c r="H433" s="313" t="s">
        <v>1203</v>
      </c>
      <c r="I433" s="313" t="s">
        <v>1204</v>
      </c>
      <c r="K433" s="314">
        <f t="shared" si="39"/>
        <v>1914.6799595739319</v>
      </c>
      <c r="M433" s="314">
        <v>2000</v>
      </c>
      <c r="V433" s="313">
        <v>1914.6799595739319</v>
      </c>
    </row>
    <row r="436" spans="1:22" x14ac:dyDescent="0.25">
      <c r="A436" s="313">
        <v>1</v>
      </c>
      <c r="C436" s="313">
        <f t="shared" ref="C436:C437" si="40">IF(E436=E435,C435+1,1)</f>
        <v>1</v>
      </c>
      <c r="D436" s="313">
        <f t="shared" ref="D436:D437" si="41">IF(M436=M435,D435,C436)</f>
        <v>1</v>
      </c>
      <c r="E436" s="313">
        <f t="shared" ref="E436:E437" si="42">10+VALUE(RIGHT(LEFT(G436,3),1))</f>
        <v>12</v>
      </c>
      <c r="F436" s="313" t="str">
        <f t="shared" ref="F436:F437" si="43">RIGHT(G436,2) &amp; IF(A436&lt;2,"x","")</f>
        <v>sox</v>
      </c>
      <c r="G436" s="313" t="s">
        <v>419</v>
      </c>
      <c r="H436" s="313" t="s">
        <v>420</v>
      </c>
      <c r="I436" s="313" t="s">
        <v>418</v>
      </c>
      <c r="K436" s="314">
        <f t="shared" ref="K436:K437" si="44">LOOKUP(1E+100,M436:AC436)</f>
        <v>1400</v>
      </c>
      <c r="M436" s="314">
        <v>1400</v>
      </c>
    </row>
    <row r="437" spans="1:22" x14ac:dyDescent="0.25">
      <c r="A437" s="313">
        <v>1</v>
      </c>
      <c r="C437" s="313">
        <f t="shared" si="40"/>
        <v>1</v>
      </c>
      <c r="D437" s="313">
        <f t="shared" si="41"/>
        <v>1</v>
      </c>
      <c r="E437" s="313">
        <f t="shared" si="42"/>
        <v>13</v>
      </c>
      <c r="F437" s="313" t="str">
        <f t="shared" si="43"/>
        <v>pmx</v>
      </c>
      <c r="G437" s="313" t="s">
        <v>525</v>
      </c>
      <c r="H437" s="313" t="s">
        <v>526</v>
      </c>
      <c r="I437" s="313" t="s">
        <v>524</v>
      </c>
      <c r="K437" s="314">
        <f t="shared" si="44"/>
        <v>1600</v>
      </c>
      <c r="M437" s="314">
        <v>1600</v>
      </c>
    </row>
    <row r="440" spans="1:22" x14ac:dyDescent="0.25">
      <c r="A440" s="313">
        <v>1</v>
      </c>
      <c r="C440" s="313">
        <f t="shared" ref="C440:C441" si="45">IF(E440=E439,C439+1,1)</f>
        <v>1</v>
      </c>
      <c r="D440" s="313">
        <f t="shared" ref="D440:D441" si="46">IF(M440=M439,D439,C440)</f>
        <v>1</v>
      </c>
      <c r="E440" s="313">
        <f t="shared" ref="E440:E441" si="47">10+VALUE(RIGHT(LEFT(G440,3),1))</f>
        <v>14</v>
      </c>
      <c r="F440" s="313" t="str">
        <f t="shared" ref="F440:F441" si="48">RIGHT(G440,2) &amp; IF(A440&lt;2,"x","")</f>
        <v>sox</v>
      </c>
      <c r="G440" s="313" t="s">
        <v>322</v>
      </c>
      <c r="H440" s="313" t="s">
        <v>1218</v>
      </c>
      <c r="I440" s="313" t="s">
        <v>452</v>
      </c>
      <c r="K440" s="314">
        <f t="shared" ref="K440:K441" si="49">LOOKUP(1E+100,M440:AC440)</f>
        <v>1800</v>
      </c>
      <c r="M440" s="314">
        <v>1800</v>
      </c>
    </row>
    <row r="441" spans="1:22" x14ac:dyDescent="0.25">
      <c r="A441" s="313">
        <v>1</v>
      </c>
      <c r="C441" s="313">
        <f t="shared" si="45"/>
        <v>1</v>
      </c>
      <c r="D441" s="313">
        <f t="shared" si="46"/>
        <v>1</v>
      </c>
      <c r="E441" s="313">
        <f t="shared" si="47"/>
        <v>16</v>
      </c>
      <c r="F441" s="313" t="str">
        <f t="shared" si="48"/>
        <v>pmx</v>
      </c>
      <c r="G441" s="313" t="s">
        <v>533</v>
      </c>
      <c r="H441" s="313" t="s">
        <v>526</v>
      </c>
      <c r="I441" s="313" t="s">
        <v>1176</v>
      </c>
      <c r="K441" s="314">
        <f t="shared" si="49"/>
        <v>2200</v>
      </c>
      <c r="M441" s="314">
        <v>2200</v>
      </c>
    </row>
    <row r="443" spans="1:22" x14ac:dyDescent="0.25">
      <c r="A443" s="313">
        <v>2</v>
      </c>
      <c r="C443" s="313">
        <f t="shared" ref="C443:C445" si="50">IF(E443=E442,C442+1,1)</f>
        <v>1</v>
      </c>
      <c r="D443" s="313">
        <f t="shared" ref="D443:D445" si="51">IF(M443=M442,D442,C443)</f>
        <v>1</v>
      </c>
      <c r="E443" s="313">
        <f t="shared" ref="E443:E445" si="52">10+VALUE(RIGHT(LEFT(G443,3),1))</f>
        <v>15</v>
      </c>
      <c r="F443" s="313" t="str">
        <f t="shared" ref="F443:F445" si="53">RIGHT(G443,2) &amp; IF(A443&lt;2,"x","")</f>
        <v>pm</v>
      </c>
      <c r="G443" s="313" t="s">
        <v>1232</v>
      </c>
      <c r="H443" s="313" t="s">
        <v>1234</v>
      </c>
      <c r="I443" s="313" t="s">
        <v>1185</v>
      </c>
      <c r="K443" s="314">
        <f t="shared" ref="K443:K445" si="54">LOOKUP(1E+100,M443:AC443)</f>
        <v>2000</v>
      </c>
      <c r="M443" s="314">
        <v>2000</v>
      </c>
    </row>
    <row r="444" spans="1:22" x14ac:dyDescent="0.25">
      <c r="A444" s="313">
        <v>2</v>
      </c>
      <c r="C444" s="313">
        <f t="shared" si="50"/>
        <v>2</v>
      </c>
      <c r="D444" s="313">
        <f t="shared" si="51"/>
        <v>1</v>
      </c>
      <c r="E444" s="313">
        <f t="shared" si="52"/>
        <v>15</v>
      </c>
      <c r="F444" s="313" t="str">
        <f t="shared" si="53"/>
        <v>pm</v>
      </c>
      <c r="G444" s="313" t="s">
        <v>1233</v>
      </c>
      <c r="H444" s="313" t="s">
        <v>1234</v>
      </c>
      <c r="I444" s="313" t="s">
        <v>1186</v>
      </c>
      <c r="K444" s="314">
        <f t="shared" si="54"/>
        <v>2000</v>
      </c>
      <c r="M444" s="314">
        <v>2000</v>
      </c>
    </row>
    <row r="445" spans="1:22" x14ac:dyDescent="0.25">
      <c r="A445" s="313">
        <v>1</v>
      </c>
      <c r="C445" s="313">
        <f t="shared" si="50"/>
        <v>3</v>
      </c>
      <c r="D445" s="313">
        <f t="shared" si="51"/>
        <v>1</v>
      </c>
      <c r="E445" s="313">
        <f t="shared" si="52"/>
        <v>15</v>
      </c>
      <c r="F445" s="313" t="str">
        <f t="shared" si="53"/>
        <v>sox</v>
      </c>
      <c r="G445" s="313" t="s">
        <v>530</v>
      </c>
      <c r="H445" s="313" t="s">
        <v>1235</v>
      </c>
      <c r="I445" s="313" t="s">
        <v>529</v>
      </c>
      <c r="K445" s="314">
        <f t="shared" si="54"/>
        <v>2000</v>
      </c>
      <c r="M445" s="314">
        <v>2000</v>
      </c>
    </row>
  </sheetData>
  <conditionalFormatting sqref="C264:F264 AJ428:XFD431 A428:AG431 A434:AG435 AJ434:XFD435 A442:AG442 AJ442:XFD442 IW436:XFD441 A446:AG1048576 AJ446:XFD1048576 IW443:XFD445">
    <cfRule type="expression" dxfId="878" priority="436">
      <formula>$E264=10</formula>
    </cfRule>
    <cfRule type="expression" dxfId="877" priority="437">
      <formula>$E264=11</formula>
    </cfRule>
    <cfRule type="expression" dxfId="876" priority="438">
      <formula>$E264=18</formula>
    </cfRule>
    <cfRule type="expression" dxfId="875" priority="439">
      <formula>$E264=17</formula>
    </cfRule>
    <cfRule type="expression" dxfId="874" priority="440">
      <formula>$E264=16</formula>
    </cfRule>
    <cfRule type="expression" dxfId="873" priority="441">
      <formula>$E264=15</formula>
    </cfRule>
    <cfRule type="expression" dxfId="872" priority="442">
      <formula>$E264=14</formula>
    </cfRule>
    <cfRule type="expression" dxfId="871" priority="443">
      <formula>$E264=13</formula>
    </cfRule>
    <cfRule type="expression" dxfId="870" priority="444">
      <formula>$E264=12</formula>
    </cfRule>
  </conditionalFormatting>
  <conditionalFormatting sqref="K2:K427">
    <cfRule type="expression" dxfId="869" priority="427">
      <formula>$E2=10</formula>
    </cfRule>
    <cfRule type="expression" dxfId="868" priority="428">
      <formula>$E2=11</formula>
    </cfRule>
    <cfRule type="expression" dxfId="867" priority="429">
      <formula>$E2=18</formula>
    </cfRule>
    <cfRule type="expression" dxfId="866" priority="430">
      <formula>$E2=17</formula>
    </cfRule>
    <cfRule type="expression" dxfId="865" priority="431">
      <formula>$E2=16</formula>
    </cfRule>
    <cfRule type="expression" dxfId="864" priority="432">
      <formula>$E2=15</formula>
    </cfRule>
    <cfRule type="expression" dxfId="863" priority="433">
      <formula>$E2=14</formula>
    </cfRule>
    <cfRule type="expression" dxfId="862" priority="434">
      <formula>$E2=13</formula>
    </cfRule>
    <cfRule type="expression" dxfId="861" priority="435">
      <formula>$E2=12</formula>
    </cfRule>
  </conditionalFormatting>
  <conditionalFormatting sqref="G1:I1">
    <cfRule type="containsText" dxfId="860" priority="543" operator="containsText" text="CSRA">
      <formula>NOT(ISERROR(SEARCH("CSRA",G1)))</formula>
    </cfRule>
  </conditionalFormatting>
  <conditionalFormatting sqref="AJ1:XFD431 A1:AG431 A434:AG435 AJ434:XFD435 A442:AG442 AJ442:XFD442 IW436:XFD441 A446:AG1048576 AJ446:XFD1048576 IW443:XFD445">
    <cfRule type="expression" dxfId="859" priority="535">
      <formula>$E1&lt;12</formula>
    </cfRule>
    <cfRule type="expression" dxfId="858" priority="536">
      <formula>$E1=18</formula>
    </cfRule>
    <cfRule type="expression" dxfId="857" priority="537">
      <formula>$E1=17</formula>
    </cfRule>
    <cfRule type="expression" dxfId="856" priority="538">
      <formula>$E1=16</formula>
    </cfRule>
    <cfRule type="expression" dxfId="855" priority="539">
      <formula>$E1=15</formula>
    </cfRule>
    <cfRule type="expression" dxfId="854" priority="540">
      <formula>$E1=14</formula>
    </cfRule>
    <cfRule type="expression" dxfId="853" priority="541">
      <formula>$E1=13</formula>
    </cfRule>
    <cfRule type="expression" dxfId="852" priority="542">
      <formula>$E1=12</formula>
    </cfRule>
  </conditionalFormatting>
  <conditionalFormatting sqref="AJ1:XFD427 A1:AG427 R428:R431">
    <cfRule type="expression" dxfId="851" priority="526">
      <formula>$E1=10</formula>
    </cfRule>
    <cfRule type="expression" dxfId="850" priority="527">
      <formula>$E1=11</formula>
    </cfRule>
    <cfRule type="expression" dxfId="849" priority="528">
      <formula>$E1=18</formula>
    </cfRule>
    <cfRule type="expression" dxfId="848" priority="529">
      <formula>$E1=17</formula>
    </cfRule>
    <cfRule type="expression" dxfId="847" priority="530">
      <formula>$E1=16</formula>
    </cfRule>
    <cfRule type="expression" dxfId="846" priority="531">
      <formula>$E1=15</formula>
    </cfRule>
    <cfRule type="expression" dxfId="845" priority="532">
      <formula>$E1=14</formula>
    </cfRule>
    <cfRule type="expression" dxfId="844" priority="533">
      <formula>$E1=13</formula>
    </cfRule>
    <cfRule type="expression" dxfId="843" priority="534">
      <formula>$E1=12</formula>
    </cfRule>
  </conditionalFormatting>
  <conditionalFormatting sqref="A255:AG255 AK255:XFD255">
    <cfRule type="expression" dxfId="842" priority="517">
      <formula>$E255=10</formula>
    </cfRule>
    <cfRule type="expression" dxfId="841" priority="518">
      <formula>$E255=11</formula>
    </cfRule>
    <cfRule type="expression" dxfId="840" priority="519">
      <formula>$E255=18</formula>
    </cfRule>
    <cfRule type="expression" dxfId="839" priority="520">
      <formula>$E255=17</formula>
    </cfRule>
    <cfRule type="expression" dxfId="838" priority="521">
      <formula>$E255=16</formula>
    </cfRule>
    <cfRule type="expression" dxfId="837" priority="522">
      <formula>$E255=15</formula>
    </cfRule>
    <cfRule type="expression" dxfId="836" priority="523">
      <formula>$E255=14</formula>
    </cfRule>
    <cfRule type="expression" dxfId="835" priority="524">
      <formula>$E255=13</formula>
    </cfRule>
    <cfRule type="expression" dxfId="834" priority="525">
      <formula>$E255=12</formula>
    </cfRule>
  </conditionalFormatting>
  <conditionalFormatting sqref="AK265:XFD268 IX258:XFD263 A265:AG268">
    <cfRule type="expression" dxfId="833" priority="508">
      <formula>$E258=10</formula>
    </cfRule>
    <cfRule type="expression" dxfId="832" priority="509">
      <formula>$E258=11</formula>
    </cfRule>
    <cfRule type="expression" dxfId="831" priority="510">
      <formula>$E258=18</formula>
    </cfRule>
    <cfRule type="expression" dxfId="830" priority="511">
      <formula>$E258=17</formula>
    </cfRule>
    <cfRule type="expression" dxfId="829" priority="512">
      <formula>$E258=16</formula>
    </cfRule>
    <cfRule type="expression" dxfId="828" priority="513">
      <formula>$E258=15</formula>
    </cfRule>
    <cfRule type="expression" dxfId="827" priority="514">
      <formula>$E258=14</formula>
    </cfRule>
    <cfRule type="expression" dxfId="826" priority="515">
      <formula>$E258=13</formula>
    </cfRule>
    <cfRule type="expression" dxfId="825" priority="516">
      <formula>$E258=12</formula>
    </cfRule>
  </conditionalFormatting>
  <conditionalFormatting sqref="A262:AG262 A261:F261 J261:AG261 H263 K263:AG263 A263:F263 AJ261:IW263">
    <cfRule type="expression" dxfId="824" priority="499">
      <formula>$E261=10</formula>
    </cfRule>
    <cfRule type="expression" dxfId="823" priority="500">
      <formula>$E261=11</formula>
    </cfRule>
    <cfRule type="expression" dxfId="822" priority="501">
      <formula>$E261=18</formula>
    </cfRule>
    <cfRule type="expression" dxfId="821" priority="502">
      <formula>$E261=17</formula>
    </cfRule>
    <cfRule type="expression" dxfId="820" priority="503">
      <formula>$E261=16</formula>
    </cfRule>
    <cfRule type="expression" dxfId="819" priority="504">
      <formula>$E261=15</formula>
    </cfRule>
    <cfRule type="expression" dxfId="818" priority="505">
      <formula>$E261=14</formula>
    </cfRule>
    <cfRule type="expression" dxfId="817" priority="506">
      <formula>$E261=13</formula>
    </cfRule>
    <cfRule type="expression" dxfId="816" priority="507">
      <formula>$E261=12</formula>
    </cfRule>
  </conditionalFormatting>
  <conditionalFormatting sqref="H261">
    <cfRule type="expression" dxfId="815" priority="490">
      <formula>$E261=10</formula>
    </cfRule>
    <cfRule type="expression" dxfId="814" priority="491">
      <formula>$E261=11</formula>
    </cfRule>
    <cfRule type="expression" dxfId="813" priority="492">
      <formula>$E261=18</formula>
    </cfRule>
    <cfRule type="expression" dxfId="812" priority="493">
      <formula>$E261=17</formula>
    </cfRule>
    <cfRule type="expression" dxfId="811" priority="494">
      <formula>$E261=16</formula>
    </cfRule>
    <cfRule type="expression" dxfId="810" priority="495">
      <formula>$E261=15</formula>
    </cfRule>
    <cfRule type="expression" dxfId="809" priority="496">
      <formula>$E261=14</formula>
    </cfRule>
    <cfRule type="expression" dxfId="808" priority="497">
      <formula>$E261=13</formula>
    </cfRule>
    <cfRule type="expression" dxfId="807" priority="498">
      <formula>$E261=12</formula>
    </cfRule>
  </conditionalFormatting>
  <conditionalFormatting sqref="A258:AG260 C261:F427 AJ258:IW260">
    <cfRule type="expression" dxfId="806" priority="481">
      <formula>$E258=10</formula>
    </cfRule>
    <cfRule type="expression" dxfId="805" priority="482">
      <formula>$E258=11</formula>
    </cfRule>
    <cfRule type="expression" dxfId="804" priority="483">
      <formula>$E258=18</formula>
    </cfRule>
    <cfRule type="expression" dxfId="803" priority="484">
      <formula>$E258=17</formula>
    </cfRule>
    <cfRule type="expression" dxfId="802" priority="485">
      <formula>$E258=16</formula>
    </cfRule>
    <cfRule type="expression" dxfId="801" priority="486">
      <formula>$E258=15</formula>
    </cfRule>
    <cfRule type="expression" dxfId="800" priority="487">
      <formula>$E258=14</formula>
    </cfRule>
    <cfRule type="expression" dxfId="799" priority="488">
      <formula>$E258=13</formula>
    </cfRule>
    <cfRule type="expression" dxfId="798" priority="489">
      <formula>$E258=12</formula>
    </cfRule>
  </conditionalFormatting>
  <conditionalFormatting sqref="A264:B264 J264 N264:AG264 L264 H264 AJ264:XFD264">
    <cfRule type="expression" dxfId="797" priority="472">
      <formula>$E264=10</formula>
    </cfRule>
    <cfRule type="expression" dxfId="796" priority="473">
      <formula>$E264=11</formula>
    </cfRule>
    <cfRule type="expression" dxfId="795" priority="474">
      <formula>$E264=18</formula>
    </cfRule>
    <cfRule type="expression" dxfId="794" priority="475">
      <formula>$E264=17</formula>
    </cfRule>
    <cfRule type="expression" dxfId="793" priority="476">
      <formula>$E264=16</formula>
    </cfRule>
    <cfRule type="expression" dxfId="792" priority="477">
      <formula>$E264=15</formula>
    </cfRule>
    <cfRule type="expression" dxfId="791" priority="478">
      <formula>$E264=14</formula>
    </cfRule>
    <cfRule type="expression" dxfId="790" priority="479">
      <formula>$E264=13</formula>
    </cfRule>
    <cfRule type="expression" dxfId="789" priority="480">
      <formula>$E264=12</formula>
    </cfRule>
  </conditionalFormatting>
  <conditionalFormatting sqref="M264">
    <cfRule type="expression" dxfId="788" priority="463">
      <formula>$E264=10</formula>
    </cfRule>
    <cfRule type="expression" dxfId="787" priority="464">
      <formula>$E264=11</formula>
    </cfRule>
    <cfRule type="expression" dxfId="786" priority="465">
      <formula>$E264=18</formula>
    </cfRule>
    <cfRule type="expression" dxfId="785" priority="466">
      <formula>$E264=17</formula>
    </cfRule>
    <cfRule type="expression" dxfId="784" priority="467">
      <formula>$E264=16</formula>
    </cfRule>
    <cfRule type="expression" dxfId="783" priority="468">
      <formula>$E264=15</formula>
    </cfRule>
    <cfRule type="expression" dxfId="782" priority="469">
      <formula>$E264=14</formula>
    </cfRule>
    <cfRule type="expression" dxfId="781" priority="470">
      <formula>$E264=13</formula>
    </cfRule>
    <cfRule type="expression" dxfId="780" priority="471">
      <formula>$E264=12</formula>
    </cfRule>
  </conditionalFormatting>
  <conditionalFormatting sqref="K264">
    <cfRule type="expression" dxfId="779" priority="454">
      <formula>$E264=10</formula>
    </cfRule>
    <cfRule type="expression" dxfId="778" priority="455">
      <formula>$E264=11</formula>
    </cfRule>
    <cfRule type="expression" dxfId="777" priority="456">
      <formula>$E264=18</formula>
    </cfRule>
    <cfRule type="expression" dxfId="776" priority="457">
      <formula>$E264=17</formula>
    </cfRule>
    <cfRule type="expression" dxfId="775" priority="458">
      <formula>$E264=16</formula>
    </cfRule>
    <cfRule type="expression" dxfId="774" priority="459">
      <formula>$E264=15</formula>
    </cfRule>
    <cfRule type="expression" dxfId="773" priority="460">
      <formula>$E264=14</formula>
    </cfRule>
    <cfRule type="expression" dxfId="772" priority="461">
      <formula>$E264=13</formula>
    </cfRule>
    <cfRule type="expression" dxfId="771" priority="462">
      <formula>$E264=12</formula>
    </cfRule>
  </conditionalFormatting>
  <conditionalFormatting sqref="G264">
    <cfRule type="expression" dxfId="770" priority="445">
      <formula>$E264=10</formula>
    </cfRule>
    <cfRule type="expression" dxfId="769" priority="446">
      <formula>$E264=11</formula>
    </cfRule>
    <cfRule type="expression" dxfId="768" priority="447">
      <formula>$E264=18</formula>
    </cfRule>
    <cfRule type="expression" dxfId="767" priority="448">
      <formula>$E264=17</formula>
    </cfRule>
    <cfRule type="expression" dxfId="766" priority="449">
      <formula>$E264=16</formula>
    </cfRule>
    <cfRule type="expression" dxfId="765" priority="450">
      <formula>$E264=15</formula>
    </cfRule>
    <cfRule type="expression" dxfId="764" priority="451">
      <formula>$E264=14</formula>
    </cfRule>
    <cfRule type="expression" dxfId="763" priority="452">
      <formula>$E264=13</formula>
    </cfRule>
    <cfRule type="expression" dxfId="762" priority="453">
      <formula>$E264=12</formula>
    </cfRule>
  </conditionalFormatting>
  <conditionalFormatting sqref="C429:F431">
    <cfRule type="expression" dxfId="761" priority="418">
      <formula>$E429=10</formula>
    </cfRule>
    <cfRule type="expression" dxfId="760" priority="419">
      <formula>$E429=11</formula>
    </cfRule>
    <cfRule type="expression" dxfId="759" priority="420">
      <formula>$E429=18</formula>
    </cfRule>
    <cfRule type="expression" dxfId="758" priority="421">
      <formula>$E429=17</formula>
    </cfRule>
    <cfRule type="expression" dxfId="757" priority="422">
      <formula>$E429=16</formula>
    </cfRule>
    <cfRule type="expression" dxfId="756" priority="423">
      <formula>$E429=15</formula>
    </cfRule>
    <cfRule type="expression" dxfId="755" priority="424">
      <formula>$E429=14</formula>
    </cfRule>
    <cfRule type="expression" dxfId="754" priority="425">
      <formula>$E429=13</formula>
    </cfRule>
    <cfRule type="expression" dxfId="753" priority="426">
      <formula>$E429=12</formula>
    </cfRule>
  </conditionalFormatting>
  <conditionalFormatting sqref="C429:F431">
    <cfRule type="expression" dxfId="752" priority="409">
      <formula>$E429=10</formula>
    </cfRule>
    <cfRule type="expression" dxfId="751" priority="410">
      <formula>$E429=11</formula>
    </cfRule>
    <cfRule type="expression" dxfId="750" priority="411">
      <formula>$E429=18</formula>
    </cfRule>
    <cfRule type="expression" dxfId="749" priority="412">
      <formula>$E429=17</formula>
    </cfRule>
    <cfRule type="expression" dxfId="748" priority="413">
      <formula>$E429=16</formula>
    </cfRule>
    <cfRule type="expression" dxfId="747" priority="414">
      <formula>$E429=15</formula>
    </cfRule>
    <cfRule type="expression" dxfId="746" priority="415">
      <formula>$E429=14</formula>
    </cfRule>
    <cfRule type="expression" dxfId="745" priority="416">
      <formula>$E429=13</formula>
    </cfRule>
    <cfRule type="expression" dxfId="744" priority="417">
      <formula>$E429=12</formula>
    </cfRule>
  </conditionalFormatting>
  <conditionalFormatting sqref="K429:K431">
    <cfRule type="expression" dxfId="743" priority="391">
      <formula>$E429=10</formula>
    </cfRule>
    <cfRule type="expression" dxfId="742" priority="392">
      <formula>$E429=11</formula>
    </cfRule>
    <cfRule type="expression" dxfId="741" priority="393">
      <formula>$E429=18</formula>
    </cfRule>
    <cfRule type="expression" dxfId="740" priority="394">
      <formula>$E429=17</formula>
    </cfRule>
    <cfRule type="expression" dxfId="739" priority="395">
      <formula>$E429=16</formula>
    </cfRule>
    <cfRule type="expression" dxfId="738" priority="396">
      <formula>$E429=15</formula>
    </cfRule>
    <cfRule type="expression" dxfId="737" priority="397">
      <formula>$E429=14</formula>
    </cfRule>
    <cfRule type="expression" dxfId="736" priority="398">
      <formula>$E429=13</formula>
    </cfRule>
    <cfRule type="expression" dxfId="735" priority="399">
      <formula>$E429=12</formula>
    </cfRule>
  </conditionalFormatting>
  <conditionalFormatting sqref="H429:M431">
    <cfRule type="expression" dxfId="734" priority="400">
      <formula>$E429=10</formula>
    </cfRule>
    <cfRule type="expression" dxfId="733" priority="401">
      <formula>$E429=11</formula>
    </cfRule>
    <cfRule type="expression" dxfId="732" priority="402">
      <formula>$E429=18</formula>
    </cfRule>
    <cfRule type="expression" dxfId="731" priority="403">
      <formula>$E429=17</formula>
    </cfRule>
    <cfRule type="expression" dxfId="730" priority="404">
      <formula>$E429=16</formula>
    </cfRule>
    <cfRule type="expression" dxfId="729" priority="405">
      <formula>$E429=15</formula>
    </cfRule>
    <cfRule type="expression" dxfId="728" priority="406">
      <formula>$E429=14</formula>
    </cfRule>
    <cfRule type="expression" dxfId="727" priority="407">
      <formula>$E429=13</formula>
    </cfRule>
    <cfRule type="expression" dxfId="726" priority="408">
      <formula>$E429=12</formula>
    </cfRule>
  </conditionalFormatting>
  <conditionalFormatting sqref="AJ432:XFD432 A432:AG432">
    <cfRule type="expression" dxfId="725" priority="374">
      <formula>$E432=10</formula>
    </cfRule>
    <cfRule type="expression" dxfId="724" priority="375">
      <formula>$E432=11</formula>
    </cfRule>
    <cfRule type="expression" dxfId="723" priority="376">
      <formula>$E432=18</formula>
    </cfRule>
    <cfRule type="expression" dxfId="722" priority="377">
      <formula>$E432=17</formula>
    </cfRule>
    <cfRule type="expression" dxfId="721" priority="378">
      <formula>$E432=16</formula>
    </cfRule>
    <cfRule type="expression" dxfId="720" priority="379">
      <formula>$E432=15</formula>
    </cfRule>
    <cfRule type="expression" dxfId="719" priority="380">
      <formula>$E432=14</formula>
    </cfRule>
    <cfRule type="expression" dxfId="718" priority="381">
      <formula>$E432=13</formula>
    </cfRule>
    <cfRule type="expression" dxfId="717" priority="382">
      <formula>$E432=12</formula>
    </cfRule>
  </conditionalFormatting>
  <conditionalFormatting sqref="K432">
    <cfRule type="expression" dxfId="716" priority="356">
      <formula>$E432=10</formula>
    </cfRule>
    <cfRule type="expression" dxfId="715" priority="357">
      <formula>$E432=11</formula>
    </cfRule>
    <cfRule type="expression" dxfId="714" priority="358">
      <formula>$E432=18</formula>
    </cfRule>
    <cfRule type="expression" dxfId="713" priority="359">
      <formula>$E432=17</formula>
    </cfRule>
    <cfRule type="expression" dxfId="712" priority="360">
      <formula>$E432=16</formula>
    </cfRule>
    <cfRule type="expression" dxfId="711" priority="361">
      <formula>$E432=15</formula>
    </cfRule>
    <cfRule type="expression" dxfId="710" priority="362">
      <formula>$E432=14</formula>
    </cfRule>
    <cfRule type="expression" dxfId="709" priority="363">
      <formula>$E432=13</formula>
    </cfRule>
    <cfRule type="expression" dxfId="708" priority="364">
      <formula>$E432=12</formula>
    </cfRule>
  </conditionalFormatting>
  <conditionalFormatting sqref="C432:F432">
    <cfRule type="expression" dxfId="707" priority="365">
      <formula>$E432=10</formula>
    </cfRule>
    <cfRule type="expression" dxfId="706" priority="366">
      <formula>$E432=11</formula>
    </cfRule>
    <cfRule type="expression" dxfId="705" priority="367">
      <formula>$E432=18</formula>
    </cfRule>
    <cfRule type="expression" dxfId="704" priority="368">
      <formula>$E432=17</formula>
    </cfRule>
    <cfRule type="expression" dxfId="703" priority="369">
      <formula>$E432=16</formula>
    </cfRule>
    <cfRule type="expression" dxfId="702" priority="370">
      <formula>$E432=15</formula>
    </cfRule>
    <cfRule type="expression" dxfId="701" priority="371">
      <formula>$E432=14</formula>
    </cfRule>
    <cfRule type="expression" dxfId="700" priority="372">
      <formula>$E432=13</formula>
    </cfRule>
    <cfRule type="expression" dxfId="699" priority="373">
      <formula>$E432=12</formula>
    </cfRule>
  </conditionalFormatting>
  <conditionalFormatting sqref="AJ432:XFD432 A432:AG432">
    <cfRule type="expression" dxfId="698" priority="383">
      <formula>$E432&lt;12</formula>
    </cfRule>
    <cfRule type="expression" dxfId="697" priority="384">
      <formula>$E432=18</formula>
    </cfRule>
    <cfRule type="expression" dxfId="696" priority="385">
      <formula>$E432=17</formula>
    </cfRule>
    <cfRule type="expression" dxfId="695" priority="386">
      <formula>$E432=16</formula>
    </cfRule>
    <cfRule type="expression" dxfId="694" priority="387">
      <formula>$E432=15</formula>
    </cfRule>
    <cfRule type="expression" dxfId="693" priority="388">
      <formula>$E432=14</formula>
    </cfRule>
    <cfRule type="expression" dxfId="692" priority="389">
      <formula>$E432=13</formula>
    </cfRule>
    <cfRule type="expression" dxfId="691" priority="390">
      <formula>$E432=12</formula>
    </cfRule>
  </conditionalFormatting>
  <conditionalFormatting sqref="C433:F433">
    <cfRule type="expression" dxfId="690" priority="330">
      <formula>$E433=10</formula>
    </cfRule>
    <cfRule type="expression" dxfId="689" priority="331">
      <formula>$E433=11</formula>
    </cfRule>
    <cfRule type="expression" dxfId="688" priority="332">
      <formula>$E433=18</formula>
    </cfRule>
    <cfRule type="expression" dxfId="687" priority="333">
      <formula>$E433=17</formula>
    </cfRule>
    <cfRule type="expression" dxfId="686" priority="334">
      <formula>$E433=16</formula>
    </cfRule>
    <cfRule type="expression" dxfId="685" priority="335">
      <formula>$E433=15</formula>
    </cfRule>
    <cfRule type="expression" dxfId="684" priority="336">
      <formula>$E433=14</formula>
    </cfRule>
    <cfRule type="expression" dxfId="683" priority="337">
      <formula>$E433=13</formula>
    </cfRule>
    <cfRule type="expression" dxfId="682" priority="338">
      <formula>$E433=12</formula>
    </cfRule>
  </conditionalFormatting>
  <conditionalFormatting sqref="K433">
    <cfRule type="expression" dxfId="681" priority="321">
      <formula>$E433=10</formula>
    </cfRule>
    <cfRule type="expression" dxfId="680" priority="322">
      <formula>$E433=11</formula>
    </cfRule>
    <cfRule type="expression" dxfId="679" priority="323">
      <formula>$E433=18</formula>
    </cfRule>
    <cfRule type="expression" dxfId="678" priority="324">
      <formula>$E433=17</formula>
    </cfRule>
    <cfRule type="expression" dxfId="677" priority="325">
      <formula>$E433=16</formula>
    </cfRule>
    <cfRule type="expression" dxfId="676" priority="326">
      <formula>$E433=15</formula>
    </cfRule>
    <cfRule type="expression" dxfId="675" priority="327">
      <formula>$E433=14</formula>
    </cfRule>
    <cfRule type="expression" dxfId="674" priority="328">
      <formula>$E433=13</formula>
    </cfRule>
    <cfRule type="expression" dxfId="673" priority="329">
      <formula>$E433=12</formula>
    </cfRule>
  </conditionalFormatting>
  <conditionalFormatting sqref="AJ433:XFD433 A433:AG433">
    <cfRule type="expression" dxfId="672" priority="348">
      <formula>$E433&lt;12</formula>
    </cfRule>
    <cfRule type="expression" dxfId="671" priority="349">
      <formula>$E433=18</formula>
    </cfRule>
    <cfRule type="expression" dxfId="670" priority="350">
      <formula>$E433=17</formula>
    </cfRule>
    <cfRule type="expression" dxfId="669" priority="351">
      <formula>$E433=16</formula>
    </cfRule>
    <cfRule type="expression" dxfId="668" priority="352">
      <formula>$E433=15</formula>
    </cfRule>
    <cfRule type="expression" dxfId="667" priority="353">
      <formula>$E433=14</formula>
    </cfRule>
    <cfRule type="expression" dxfId="666" priority="354">
      <formula>$E433=13</formula>
    </cfRule>
    <cfRule type="expression" dxfId="665" priority="355">
      <formula>$E433=12</formula>
    </cfRule>
  </conditionalFormatting>
  <conditionalFormatting sqref="AJ433:XFD433 A433:AG433">
    <cfRule type="expression" dxfId="664" priority="339">
      <formula>$E433=10</formula>
    </cfRule>
    <cfRule type="expression" dxfId="663" priority="340">
      <formula>$E433=11</formula>
    </cfRule>
    <cfRule type="expression" dxfId="662" priority="341">
      <formula>$E433=18</formula>
    </cfRule>
    <cfRule type="expression" dxfId="661" priority="342">
      <formula>$E433=17</formula>
    </cfRule>
    <cfRule type="expression" dxfId="660" priority="343">
      <formula>$E433=16</formula>
    </cfRule>
    <cfRule type="expression" dxfId="659" priority="344">
      <formula>$E433=15</formula>
    </cfRule>
    <cfRule type="expression" dxfId="658" priority="345">
      <formula>$E433=14</formula>
    </cfRule>
    <cfRule type="expression" dxfId="657" priority="346">
      <formula>$E433=13</formula>
    </cfRule>
    <cfRule type="expression" dxfId="656" priority="347">
      <formula>$E433=12</formula>
    </cfRule>
  </conditionalFormatting>
  <conditionalFormatting sqref="K436:K441">
    <cfRule type="expression" dxfId="655" priority="122">
      <formula>$E436=10</formula>
    </cfRule>
    <cfRule type="expression" dxfId="654" priority="123">
      <formula>$E436=11</formula>
    </cfRule>
    <cfRule type="expression" dxfId="653" priority="124">
      <formula>$E436=18</formula>
    </cfRule>
    <cfRule type="expression" dxfId="652" priority="125">
      <formula>$E436=17</formula>
    </cfRule>
    <cfRule type="expression" dxfId="651" priority="126">
      <formula>$E436=16</formula>
    </cfRule>
    <cfRule type="expression" dxfId="650" priority="127">
      <formula>$E436=15</formula>
    </cfRule>
    <cfRule type="expression" dxfId="649" priority="128">
      <formula>$E436=14</formula>
    </cfRule>
    <cfRule type="expression" dxfId="648" priority="129">
      <formula>$E436=13</formula>
    </cfRule>
    <cfRule type="expression" dxfId="647" priority="130">
      <formula>$E436=12</formula>
    </cfRule>
  </conditionalFormatting>
  <conditionalFormatting sqref="C436:F441">
    <cfRule type="expression" dxfId="646" priority="131">
      <formula>$E436=10</formula>
    </cfRule>
    <cfRule type="expression" dxfId="645" priority="132">
      <formula>$E436=11</formula>
    </cfRule>
    <cfRule type="expression" dxfId="644" priority="133">
      <formula>$E436=18</formula>
    </cfRule>
    <cfRule type="expression" dxfId="643" priority="134">
      <formula>$E436=17</formula>
    </cfRule>
    <cfRule type="expression" dxfId="642" priority="135">
      <formula>$E436=16</formula>
    </cfRule>
    <cfRule type="expression" dxfId="641" priority="136">
      <formula>$E436=15</formula>
    </cfRule>
    <cfRule type="expression" dxfId="640" priority="137">
      <formula>$E436=14</formula>
    </cfRule>
    <cfRule type="expression" dxfId="639" priority="138">
      <formula>$E436=13</formula>
    </cfRule>
    <cfRule type="expression" dxfId="638" priority="139">
      <formula>$E436=12</formula>
    </cfRule>
  </conditionalFormatting>
  <conditionalFormatting sqref="AJ436:IV441 A436:AG441">
    <cfRule type="expression" dxfId="637" priority="149">
      <formula>$E436&lt;12</formula>
    </cfRule>
    <cfRule type="expression" dxfId="636" priority="150">
      <formula>$E436=18</formula>
    </cfRule>
    <cfRule type="expression" dxfId="635" priority="151">
      <formula>$E436=17</formula>
    </cfRule>
    <cfRule type="expression" dxfId="634" priority="152">
      <formula>$E436=16</formula>
    </cfRule>
    <cfRule type="expression" dxfId="633" priority="153">
      <formula>$E436=15</formula>
    </cfRule>
    <cfRule type="expression" dxfId="632" priority="154">
      <formula>$E436=14</formula>
    </cfRule>
    <cfRule type="expression" dxfId="631" priority="155">
      <formula>$E436=13</formula>
    </cfRule>
    <cfRule type="expression" dxfId="630" priority="156">
      <formula>$E436=12</formula>
    </cfRule>
  </conditionalFormatting>
  <conditionalFormatting sqref="AJ436:IV441 A436:AG441">
    <cfRule type="expression" dxfId="629" priority="140">
      <formula>$E436=10</formula>
    </cfRule>
    <cfRule type="expression" dxfId="628" priority="141">
      <formula>$E436=11</formula>
    </cfRule>
    <cfRule type="expression" dxfId="627" priority="142">
      <formula>$E436=18</formula>
    </cfRule>
    <cfRule type="expression" dxfId="626" priority="143">
      <formula>$E436=17</formula>
    </cfRule>
    <cfRule type="expression" dxfId="625" priority="144">
      <formula>$E436=16</formula>
    </cfRule>
    <cfRule type="expression" dxfId="624" priority="145">
      <formula>$E436=15</formula>
    </cfRule>
    <cfRule type="expression" dxfId="623" priority="146">
      <formula>$E436=14</formula>
    </cfRule>
    <cfRule type="expression" dxfId="622" priority="147">
      <formula>$E436=13</formula>
    </cfRule>
    <cfRule type="expression" dxfId="621" priority="148">
      <formula>$E436=12</formula>
    </cfRule>
  </conditionalFormatting>
  <conditionalFormatting sqref="K443:K445">
    <cfRule type="expression" dxfId="620" priority="1">
      <formula>$E443=10</formula>
    </cfRule>
    <cfRule type="expression" dxfId="619" priority="2">
      <formula>$E443=11</formula>
    </cfRule>
    <cfRule type="expression" dxfId="618" priority="3">
      <formula>$E443=18</formula>
    </cfRule>
    <cfRule type="expression" dxfId="617" priority="4">
      <formula>$E443=17</formula>
    </cfRule>
    <cfRule type="expression" dxfId="616" priority="5">
      <formula>$E443=16</formula>
    </cfRule>
    <cfRule type="expression" dxfId="615" priority="6">
      <formula>$E443=15</formula>
    </cfRule>
    <cfRule type="expression" dxfId="614" priority="7">
      <formula>$E443=14</formula>
    </cfRule>
    <cfRule type="expression" dxfId="613" priority="8">
      <formula>$E443=13</formula>
    </cfRule>
    <cfRule type="expression" dxfId="612" priority="9">
      <formula>$E443=12</formula>
    </cfRule>
  </conditionalFormatting>
  <conditionalFormatting sqref="C443:F445">
    <cfRule type="expression" dxfId="611" priority="10">
      <formula>$E443=10</formula>
    </cfRule>
    <cfRule type="expression" dxfId="610" priority="11">
      <formula>$E443=11</formula>
    </cfRule>
    <cfRule type="expression" dxfId="609" priority="12">
      <formula>$E443=18</formula>
    </cfRule>
    <cfRule type="expression" dxfId="608" priority="13">
      <formula>$E443=17</formula>
    </cfRule>
    <cfRule type="expression" dxfId="607" priority="14">
      <formula>$E443=16</formula>
    </cfRule>
    <cfRule type="expression" dxfId="606" priority="15">
      <formula>$E443=15</formula>
    </cfRule>
    <cfRule type="expression" dxfId="605" priority="16">
      <formula>$E443=14</formula>
    </cfRule>
    <cfRule type="expression" dxfId="604" priority="17">
      <formula>$E443=13</formula>
    </cfRule>
    <cfRule type="expression" dxfId="603" priority="18">
      <formula>$E443=12</formula>
    </cfRule>
  </conditionalFormatting>
  <conditionalFormatting sqref="AJ443:IV445 A443:AG445">
    <cfRule type="expression" dxfId="602" priority="28">
      <formula>$E443&lt;12</formula>
    </cfRule>
    <cfRule type="expression" dxfId="601" priority="29">
      <formula>$E443=18</formula>
    </cfRule>
    <cfRule type="expression" dxfId="600" priority="30">
      <formula>$E443=17</formula>
    </cfRule>
    <cfRule type="expression" dxfId="599" priority="31">
      <formula>$E443=16</formula>
    </cfRule>
    <cfRule type="expression" dxfId="598" priority="32">
      <formula>$E443=15</formula>
    </cfRule>
    <cfRule type="expression" dxfId="597" priority="33">
      <formula>$E443=14</formula>
    </cfRule>
    <cfRule type="expression" dxfId="596" priority="34">
      <formula>$E443=13</formula>
    </cfRule>
    <cfRule type="expression" dxfId="595" priority="35">
      <formula>$E443=12</formula>
    </cfRule>
  </conditionalFormatting>
  <conditionalFormatting sqref="AJ443:IV445 A443:AG445">
    <cfRule type="expression" dxfId="594" priority="19">
      <formula>$E443=10</formula>
    </cfRule>
    <cfRule type="expression" dxfId="593" priority="20">
      <formula>$E443=11</formula>
    </cfRule>
    <cfRule type="expression" dxfId="592" priority="21">
      <formula>$E443=18</formula>
    </cfRule>
    <cfRule type="expression" dxfId="591" priority="22">
      <formula>$E443=17</formula>
    </cfRule>
    <cfRule type="expression" dxfId="590" priority="23">
      <formula>$E443=16</formula>
    </cfRule>
    <cfRule type="expression" dxfId="589" priority="24">
      <formula>$E443=15</formula>
    </cfRule>
    <cfRule type="expression" dxfId="588" priority="25">
      <formula>$E443=14</formula>
    </cfRule>
    <cfRule type="expression" dxfId="587" priority="26">
      <formula>$E443=13</formula>
    </cfRule>
    <cfRule type="expression" dxfId="586" priority="27">
      <formula>$E443=12</formula>
    </cfRule>
  </conditionalFormatting>
  <hyperlinks>
    <hyperlink ref="I152" r:id="rId1" display="https://aes1.advancedeventsystems.com/Event/Volleyball/EventTeamInfo.aspx?ZCruShzPjMGv6cuivzEZ3bdHnxan7utPe-38b2URl8mzU62jttSjG3kENzzLrFO5DJ2gC4tYCpITNOPe7kWQLp22OSbVlCGBuLUYcUJcvMs1mfXaIumiL4opmJlO0to20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5"/>
  <sheetViews>
    <sheetView topLeftCell="I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2" width="2.42578125" style="313" customWidth="1"/>
    <col min="3" max="6" width="8.42578125" style="313" bestFit="1" customWidth="1"/>
    <col min="7" max="7" width="13.140625" style="313" bestFit="1" customWidth="1"/>
    <col min="8" max="8" width="28.85546875" style="313" bestFit="1" customWidth="1"/>
    <col min="9" max="9" width="25.85546875" style="313" bestFit="1" customWidth="1"/>
    <col min="10" max="10" width="6.140625" style="313" bestFit="1" customWidth="1"/>
    <col min="11" max="11" width="13.85546875" style="314" bestFit="1" customWidth="1"/>
    <col min="12" max="12" width="11.42578125" style="313" bestFit="1" customWidth="1"/>
    <col min="13" max="13" width="10" style="314" bestFit="1" customWidth="1"/>
    <col min="14" max="15" width="6.7109375" style="313" bestFit="1" customWidth="1"/>
    <col min="16" max="16" width="6.7109375" style="313" customWidth="1"/>
    <col min="17" max="17" width="7.7109375" style="313" bestFit="1" customWidth="1"/>
    <col min="18" max="18" width="8.42578125" style="313" bestFit="1" customWidth="1"/>
    <col min="19" max="19" width="7.7109375" style="313" bestFit="1" customWidth="1"/>
    <col min="20" max="20" width="6.7109375" style="313" bestFit="1" customWidth="1"/>
    <col min="21" max="23" width="7.7109375" style="313" bestFit="1" customWidth="1"/>
    <col min="24" max="24" width="6.7109375" style="313" bestFit="1" customWidth="1"/>
    <col min="25" max="27" width="7.7109375" style="313" bestFit="1" customWidth="1"/>
    <col min="28" max="33" width="9.140625" style="313"/>
    <col min="35" max="35" width="12" bestFit="1" customWidth="1"/>
    <col min="36" max="36" width="12" style="313" bestFit="1" customWidth="1"/>
    <col min="37" max="16384" width="9.140625" style="313"/>
  </cols>
  <sheetData>
    <row r="1" spans="1:35" s="1029" customFormat="1" ht="30" x14ac:dyDescent="0.25">
      <c r="A1" s="1029" t="s">
        <v>536</v>
      </c>
      <c r="C1" s="1029" t="s">
        <v>537</v>
      </c>
      <c r="D1" s="1029" t="s">
        <v>145</v>
      </c>
      <c r="E1" s="1029" t="s">
        <v>14</v>
      </c>
      <c r="F1" s="1029" t="s">
        <v>538</v>
      </c>
      <c r="G1" s="1029" t="s">
        <v>539</v>
      </c>
      <c r="H1" s="1029" t="s">
        <v>540</v>
      </c>
      <c r="I1" s="1029" t="s">
        <v>7</v>
      </c>
      <c r="K1" s="1030" t="s">
        <v>541</v>
      </c>
      <c r="M1" s="1030" t="s">
        <v>89</v>
      </c>
      <c r="N1" s="1031" t="s">
        <v>542</v>
      </c>
      <c r="O1" s="1031" t="s">
        <v>543</v>
      </c>
      <c r="P1" s="1031" t="s">
        <v>543</v>
      </c>
      <c r="Q1" s="1031" t="s">
        <v>544</v>
      </c>
      <c r="R1" s="1031"/>
      <c r="S1" s="1031" t="s">
        <v>545</v>
      </c>
      <c r="T1" s="1031" t="s">
        <v>546</v>
      </c>
      <c r="U1" s="1031" t="s">
        <v>547</v>
      </c>
      <c r="V1" s="1031" t="s">
        <v>548</v>
      </c>
      <c r="W1" s="1031" t="s">
        <v>549</v>
      </c>
      <c r="X1" s="1031" t="s">
        <v>550</v>
      </c>
      <c r="Y1" s="1031" t="s">
        <v>551</v>
      </c>
      <c r="Z1" s="1031" t="s">
        <v>552</v>
      </c>
      <c r="AA1" s="1031" t="s">
        <v>553</v>
      </c>
      <c r="AB1" s="1031" t="s">
        <v>554</v>
      </c>
      <c r="AH1"/>
      <c r="AI1"/>
    </row>
    <row r="2" spans="1:35" x14ac:dyDescent="0.25">
      <c r="A2" s="313">
        <v>3</v>
      </c>
      <c r="C2" s="313">
        <f t="shared" ref="C2:C65" si="0">IF(E2=E1,C1+1,1)</f>
        <v>1</v>
      </c>
      <c r="D2" s="313">
        <f t="shared" ref="D2:D65" si="1">IF(M2=M1,D1,C2)</f>
        <v>1</v>
      </c>
      <c r="E2" s="313">
        <f t="shared" ref="E2:E65" si="2">10+VALUE(RIGHT(LEFT(G2,3),1))</f>
        <v>11</v>
      </c>
      <c r="F2" s="313" t="str">
        <f t="shared" ref="F2:F65" si="3">RIGHT(G2,2) &amp; IF(A2&lt;2,"x","")</f>
        <v>pm</v>
      </c>
      <c r="G2" s="313" t="s">
        <v>290</v>
      </c>
      <c r="H2" s="313" t="s">
        <v>207</v>
      </c>
      <c r="I2" s="313" t="s">
        <v>476</v>
      </c>
      <c r="K2" s="314">
        <f t="shared" ref="K2:K65" si="4">LOOKUP(1E+100,M2:AC2)</f>
        <v>1295.6142470840948</v>
      </c>
      <c r="M2" s="314">
        <v>1400</v>
      </c>
      <c r="R2" s="313" t="str">
        <f>IF(AND((J2="This"),(L2="Only")),VLOOKUP(G2,#REF!,7,FALSE),"")</f>
        <v/>
      </c>
      <c r="S2" s="313">
        <v>1437.9335235749238</v>
      </c>
      <c r="T2" s="313">
        <v>1369.8984600179906</v>
      </c>
      <c r="X2" s="313">
        <v>1295.6142470840948</v>
      </c>
    </row>
    <row r="3" spans="1:35" x14ac:dyDescent="0.25">
      <c r="A3" s="313">
        <v>1</v>
      </c>
      <c r="C3" s="313">
        <f t="shared" si="0"/>
        <v>2</v>
      </c>
      <c r="D3" s="313">
        <f t="shared" si="1"/>
        <v>1</v>
      </c>
      <c r="E3" s="313">
        <f t="shared" si="2"/>
        <v>11</v>
      </c>
      <c r="F3" s="313" t="str">
        <f t="shared" si="3"/>
        <v>pmx</v>
      </c>
      <c r="G3" s="313" t="s">
        <v>555</v>
      </c>
      <c r="H3" s="313" t="s">
        <v>556</v>
      </c>
      <c r="I3" s="313" t="s">
        <v>557</v>
      </c>
      <c r="K3" s="314">
        <f t="shared" si="4"/>
        <v>1424.6516343084484</v>
      </c>
      <c r="M3" s="314">
        <v>1400</v>
      </c>
      <c r="O3" s="313">
        <v>1424.6516343084484</v>
      </c>
      <c r="R3" s="313" t="str">
        <f>IF(AND((J3="This"),(L3="Only")),VLOOKUP(G3,#REF!,7,FALSE),"")</f>
        <v/>
      </c>
    </row>
    <row r="4" spans="1:35" x14ac:dyDescent="0.25">
      <c r="A4" s="313">
        <v>4</v>
      </c>
      <c r="C4" s="313">
        <f t="shared" si="0"/>
        <v>3</v>
      </c>
      <c r="D4" s="313">
        <f t="shared" si="1"/>
        <v>3</v>
      </c>
      <c r="E4" s="313">
        <f t="shared" si="2"/>
        <v>11</v>
      </c>
      <c r="F4" s="313" t="str">
        <f t="shared" si="3"/>
        <v>pm</v>
      </c>
      <c r="G4" s="313" t="s">
        <v>374</v>
      </c>
      <c r="H4" s="313" t="s">
        <v>219</v>
      </c>
      <c r="I4" s="313" t="s">
        <v>373</v>
      </c>
      <c r="K4" s="314">
        <f t="shared" si="4"/>
        <v>1178.064106587741</v>
      </c>
      <c r="M4" s="314">
        <v>1300</v>
      </c>
      <c r="O4" s="313">
        <v>1220.3883471899449</v>
      </c>
      <c r="R4" s="313" t="str">
        <f>IF(AND((J4="This"),(L4="Only")),VLOOKUP(G4,#REF!,7,FALSE),"")</f>
        <v/>
      </c>
      <c r="S4" s="313">
        <v>1240.2255380634294</v>
      </c>
      <c r="V4" s="313">
        <v>1216.8565925282476</v>
      </c>
      <c r="X4" s="313">
        <v>1178.064106587741</v>
      </c>
    </row>
    <row r="5" spans="1:35" x14ac:dyDescent="0.25">
      <c r="A5" s="313">
        <v>3</v>
      </c>
      <c r="C5" s="313">
        <f t="shared" si="0"/>
        <v>4</v>
      </c>
      <c r="D5" s="313">
        <f t="shared" si="1"/>
        <v>4</v>
      </c>
      <c r="E5" s="313">
        <f t="shared" si="2"/>
        <v>11</v>
      </c>
      <c r="F5" s="313" t="str">
        <f t="shared" si="3"/>
        <v>pm</v>
      </c>
      <c r="G5" s="313" t="s">
        <v>558</v>
      </c>
      <c r="H5" s="313" t="s">
        <v>559</v>
      </c>
      <c r="I5" s="313" t="s">
        <v>560</v>
      </c>
      <c r="K5" s="314">
        <f t="shared" si="4"/>
        <v>1214.9940196953432</v>
      </c>
      <c r="M5" s="314">
        <v>1266.6666666666667</v>
      </c>
      <c r="R5" s="313" t="str">
        <f>IF(AND((J5="This"),(L5="Only")),VLOOKUP(G5,#REF!,7,FALSE),"")</f>
        <v/>
      </c>
      <c r="S5" s="313">
        <v>1214.9940196953432</v>
      </c>
    </row>
    <row r="6" spans="1:35" x14ac:dyDescent="0.25">
      <c r="A6" s="313">
        <v>1</v>
      </c>
      <c r="C6" s="313">
        <f t="shared" si="0"/>
        <v>5</v>
      </c>
      <c r="D6" s="313">
        <f t="shared" si="1"/>
        <v>5</v>
      </c>
      <c r="E6" s="313">
        <f t="shared" si="2"/>
        <v>11</v>
      </c>
      <c r="F6" s="313" t="str">
        <f t="shared" si="3"/>
        <v>crx</v>
      </c>
      <c r="G6" s="313" t="s">
        <v>561</v>
      </c>
      <c r="H6" s="313" t="s">
        <v>209</v>
      </c>
      <c r="I6" s="313" t="s">
        <v>562</v>
      </c>
      <c r="K6" s="314">
        <f t="shared" si="4"/>
        <v>1209.7648192472977</v>
      </c>
      <c r="M6" s="314">
        <v>1200</v>
      </c>
      <c r="R6" s="313" t="str">
        <f>IF(AND((J6="This"),(L6="Only")),VLOOKUP(G6,#REF!,7,FALSE),"")</f>
        <v/>
      </c>
      <c r="S6" s="313">
        <v>1209.7648192472977</v>
      </c>
    </row>
    <row r="7" spans="1:35" x14ac:dyDescent="0.25">
      <c r="A7" s="313">
        <v>4</v>
      </c>
      <c r="C7" s="313">
        <f t="shared" si="0"/>
        <v>6</v>
      </c>
      <c r="D7" s="313">
        <f t="shared" si="1"/>
        <v>5</v>
      </c>
      <c r="E7" s="313">
        <f t="shared" si="2"/>
        <v>11</v>
      </c>
      <c r="F7" s="313" t="str">
        <f t="shared" si="3"/>
        <v>pm</v>
      </c>
      <c r="G7" s="313" t="s">
        <v>563</v>
      </c>
      <c r="H7" s="313" t="s">
        <v>201</v>
      </c>
      <c r="I7" s="313" t="s">
        <v>564</v>
      </c>
      <c r="K7" s="314">
        <f t="shared" si="4"/>
        <v>1184.8124427571879</v>
      </c>
      <c r="M7" s="314">
        <v>1200</v>
      </c>
      <c r="R7" s="313" t="str">
        <f>IF(AND((J7="This"),(L7="Only")),VLOOKUP(G7,#REF!,7,FALSE),"")</f>
        <v/>
      </c>
      <c r="S7" s="313">
        <v>1165.8661889498064</v>
      </c>
      <c r="V7" s="313">
        <v>1199.3436780073632</v>
      </c>
      <c r="X7" s="313">
        <v>1184.8124427571879</v>
      </c>
    </row>
    <row r="8" spans="1:35" x14ac:dyDescent="0.25">
      <c r="A8" s="313">
        <v>4</v>
      </c>
      <c r="C8" s="313">
        <f t="shared" si="0"/>
        <v>7</v>
      </c>
      <c r="D8" s="313">
        <f t="shared" si="1"/>
        <v>5</v>
      </c>
      <c r="E8" s="313">
        <f t="shared" si="2"/>
        <v>11</v>
      </c>
      <c r="F8" s="313" t="str">
        <f t="shared" si="3"/>
        <v>pm</v>
      </c>
      <c r="G8" s="313" t="s">
        <v>565</v>
      </c>
      <c r="H8" s="313" t="s">
        <v>201</v>
      </c>
      <c r="I8" s="313" t="s">
        <v>566</v>
      </c>
      <c r="K8" s="314">
        <f t="shared" si="4"/>
        <v>1158.6168950584097</v>
      </c>
      <c r="M8" s="314">
        <v>1200</v>
      </c>
      <c r="R8" s="313" t="str">
        <f>IF(AND((J8="This"),(L8="Only")),VLOOKUP(G8,#REF!,7,FALSE),"")</f>
        <v/>
      </c>
      <c r="S8" s="313">
        <v>1176.0869382150693</v>
      </c>
      <c r="V8" s="313">
        <v>1233.3466974331975</v>
      </c>
      <c r="X8" s="313">
        <v>1158.6168950584097</v>
      </c>
    </row>
    <row r="9" spans="1:35" x14ac:dyDescent="0.25">
      <c r="A9" s="313">
        <v>4</v>
      </c>
      <c r="C9" s="313">
        <f t="shared" si="0"/>
        <v>8</v>
      </c>
      <c r="D9" s="313">
        <f t="shared" si="1"/>
        <v>5</v>
      </c>
      <c r="E9" s="313">
        <f t="shared" si="2"/>
        <v>11</v>
      </c>
      <c r="F9" s="313" t="str">
        <f t="shared" si="3"/>
        <v>pm</v>
      </c>
      <c r="G9" s="313" t="s">
        <v>567</v>
      </c>
      <c r="H9" s="313" t="s">
        <v>201</v>
      </c>
      <c r="I9" s="313" t="s">
        <v>568</v>
      </c>
      <c r="K9" s="314">
        <f t="shared" si="4"/>
        <v>1193.2734220466778</v>
      </c>
      <c r="M9" s="314">
        <v>1200</v>
      </c>
      <c r="R9" s="313" t="str">
        <f>IF(AND((J9="This"),(L9="Only")),VLOOKUP(G9,#REF!,7,FALSE),"")</f>
        <v/>
      </c>
      <c r="S9" s="313">
        <v>1226.8555378745032</v>
      </c>
      <c r="V9" s="313">
        <v>1230.6391901737691</v>
      </c>
      <c r="X9" s="313">
        <v>1193.2734220466778</v>
      </c>
    </row>
    <row r="10" spans="1:35" x14ac:dyDescent="0.25">
      <c r="A10" s="313">
        <v>1</v>
      </c>
      <c r="C10" s="313">
        <f t="shared" si="0"/>
        <v>1</v>
      </c>
      <c r="D10" s="313">
        <f t="shared" si="1"/>
        <v>1</v>
      </c>
      <c r="E10" s="313">
        <f t="shared" si="2"/>
        <v>12</v>
      </c>
      <c r="F10" s="313" t="str">
        <f t="shared" si="3"/>
        <v>pmx</v>
      </c>
      <c r="G10" s="313" t="s">
        <v>569</v>
      </c>
      <c r="H10" s="313" t="s">
        <v>570</v>
      </c>
      <c r="I10" s="313" t="s">
        <v>571</v>
      </c>
      <c r="K10" s="314">
        <f t="shared" si="4"/>
        <v>2000</v>
      </c>
      <c r="M10" s="314">
        <v>2000</v>
      </c>
      <c r="R10" s="313" t="str">
        <f>IF(AND((J10="This"),(L10="Only")),VLOOKUP(G10,#REF!,7,FALSE),"")</f>
        <v/>
      </c>
    </row>
    <row r="11" spans="1:35" x14ac:dyDescent="0.25">
      <c r="A11" s="313">
        <v>1</v>
      </c>
      <c r="C11" s="313">
        <f t="shared" si="0"/>
        <v>2</v>
      </c>
      <c r="D11" s="313">
        <f t="shared" si="1"/>
        <v>2</v>
      </c>
      <c r="E11" s="313">
        <f t="shared" si="2"/>
        <v>12</v>
      </c>
      <c r="F11" s="313" t="str">
        <f t="shared" si="3"/>
        <v>pmx</v>
      </c>
      <c r="G11" s="313" t="s">
        <v>572</v>
      </c>
      <c r="H11" s="313" t="s">
        <v>556</v>
      </c>
      <c r="I11" s="313" t="s">
        <v>573</v>
      </c>
      <c r="K11" s="314">
        <f t="shared" si="4"/>
        <v>1784.2304146196925</v>
      </c>
      <c r="M11" s="314">
        <v>1800</v>
      </c>
      <c r="O11" s="313">
        <v>1784.2304146196925</v>
      </c>
      <c r="R11" s="313" t="str">
        <f>IF(AND((J11="This"),(L11="Only")),VLOOKUP(G11,#REF!,7,FALSE),"")</f>
        <v/>
      </c>
    </row>
    <row r="12" spans="1:35" x14ac:dyDescent="0.25">
      <c r="A12" s="313">
        <v>1</v>
      </c>
      <c r="C12" s="313">
        <f t="shared" si="0"/>
        <v>3</v>
      </c>
      <c r="D12" s="313">
        <f t="shared" si="1"/>
        <v>3</v>
      </c>
      <c r="E12" s="313">
        <f t="shared" si="2"/>
        <v>12</v>
      </c>
      <c r="F12" s="313" t="str">
        <f t="shared" si="3"/>
        <v>sox</v>
      </c>
      <c r="G12" s="1032" t="s">
        <v>574</v>
      </c>
      <c r="H12" s="313" t="s">
        <v>575</v>
      </c>
      <c r="I12" s="313" t="s">
        <v>576</v>
      </c>
      <c r="K12" s="314">
        <f t="shared" si="4"/>
        <v>1581.3689376475111</v>
      </c>
      <c r="M12" s="314">
        <v>1600</v>
      </c>
      <c r="R12" s="313" t="str">
        <f>IF(AND((J12="This"),(L12="Only")),VLOOKUP(G12,#REF!,7,FALSE),"")</f>
        <v/>
      </c>
      <c r="U12" s="313">
        <v>1581.3689376475111</v>
      </c>
    </row>
    <row r="13" spans="1:35" x14ac:dyDescent="0.25">
      <c r="A13" s="313">
        <v>1</v>
      </c>
      <c r="C13" s="313">
        <f t="shared" si="0"/>
        <v>4</v>
      </c>
      <c r="D13" s="313">
        <f t="shared" si="1"/>
        <v>3</v>
      </c>
      <c r="E13" s="313">
        <f t="shared" si="2"/>
        <v>12</v>
      </c>
      <c r="F13" s="313" t="str">
        <f t="shared" si="3"/>
        <v>pmx</v>
      </c>
      <c r="G13" s="313" t="s">
        <v>577</v>
      </c>
      <c r="H13" s="313" t="s">
        <v>578</v>
      </c>
      <c r="I13" s="313" t="s">
        <v>579</v>
      </c>
      <c r="K13" s="314">
        <f t="shared" si="4"/>
        <v>1614.2711162149969</v>
      </c>
      <c r="M13" s="314">
        <v>1600</v>
      </c>
      <c r="O13" s="313">
        <v>1614.2711162149969</v>
      </c>
      <c r="R13" s="313" t="str">
        <f>IF(AND((J13="This"),(L13="Only")),VLOOKUP(G13,#REF!,7,FALSE),"")</f>
        <v/>
      </c>
    </row>
    <row r="14" spans="1:35" x14ac:dyDescent="0.25">
      <c r="A14" s="313">
        <v>3</v>
      </c>
      <c r="C14" s="313">
        <f t="shared" si="0"/>
        <v>5</v>
      </c>
      <c r="D14" s="313">
        <f t="shared" si="1"/>
        <v>3</v>
      </c>
      <c r="E14" s="313">
        <f t="shared" si="2"/>
        <v>12</v>
      </c>
      <c r="F14" s="313" t="str">
        <f t="shared" si="3"/>
        <v>pm</v>
      </c>
      <c r="G14" s="313" t="s">
        <v>426</v>
      </c>
      <c r="H14" s="313" t="s">
        <v>207</v>
      </c>
      <c r="I14" s="313" t="s">
        <v>425</v>
      </c>
      <c r="K14" s="314">
        <f t="shared" si="4"/>
        <v>1514.8461190674018</v>
      </c>
      <c r="M14" s="314">
        <v>1600</v>
      </c>
      <c r="R14" s="313" t="str">
        <f>IF(AND((J14="This"),(L14="Only")),VLOOKUP(G14,#REF!,7,FALSE),"")</f>
        <v/>
      </c>
      <c r="S14" s="313">
        <v>1545.0658002022537</v>
      </c>
      <c r="T14" s="313">
        <v>1552.399145092096</v>
      </c>
      <c r="X14" s="313">
        <v>1514.8461190674018</v>
      </c>
    </row>
    <row r="15" spans="1:35" x14ac:dyDescent="0.25">
      <c r="A15" s="313">
        <v>4</v>
      </c>
      <c r="C15" s="313">
        <f t="shared" si="0"/>
        <v>6</v>
      </c>
      <c r="D15" s="313">
        <f t="shared" si="1"/>
        <v>3</v>
      </c>
      <c r="E15" s="313">
        <f t="shared" si="2"/>
        <v>12</v>
      </c>
      <c r="F15" s="313" t="str">
        <f t="shared" si="3"/>
        <v>pm</v>
      </c>
      <c r="G15" s="313" t="s">
        <v>580</v>
      </c>
      <c r="H15" s="313" t="s">
        <v>281</v>
      </c>
      <c r="I15" s="313" t="s">
        <v>581</v>
      </c>
      <c r="K15" s="314">
        <f t="shared" si="4"/>
        <v>1585.2104517597488</v>
      </c>
      <c r="M15" s="314">
        <v>1600</v>
      </c>
      <c r="R15" s="313" t="str">
        <f>IF(AND((J15="This"),(L15="Only")),VLOOKUP(G15,#REF!,7,FALSE),"")</f>
        <v/>
      </c>
      <c r="S15" s="313">
        <v>1594.5351714058854</v>
      </c>
      <c r="W15" s="313">
        <v>1585.2104517597488</v>
      </c>
    </row>
    <row r="16" spans="1:35" x14ac:dyDescent="0.25">
      <c r="A16" s="313">
        <v>1</v>
      </c>
      <c r="C16" s="313">
        <f t="shared" si="0"/>
        <v>7</v>
      </c>
      <c r="D16" s="313">
        <f t="shared" si="1"/>
        <v>3</v>
      </c>
      <c r="E16" s="313">
        <f t="shared" si="2"/>
        <v>12</v>
      </c>
      <c r="F16" s="313" t="str">
        <f t="shared" si="3"/>
        <v>pmx</v>
      </c>
      <c r="G16" s="313" t="s">
        <v>582</v>
      </c>
      <c r="H16" s="313" t="s">
        <v>556</v>
      </c>
      <c r="I16" s="313" t="s">
        <v>583</v>
      </c>
      <c r="K16" s="314">
        <f t="shared" si="4"/>
        <v>1637.1751345319028</v>
      </c>
      <c r="M16" s="314">
        <v>1600</v>
      </c>
      <c r="O16" s="313">
        <v>1637.1751345319028</v>
      </c>
      <c r="R16" s="313" t="str">
        <f>IF(AND((J16="This"),(L16="Only")),VLOOKUP(G16,#REF!,7,FALSE),"")</f>
        <v/>
      </c>
    </row>
    <row r="17" spans="1:24" x14ac:dyDescent="0.25">
      <c r="A17" s="313">
        <v>4</v>
      </c>
      <c r="C17" s="313">
        <f t="shared" si="0"/>
        <v>8</v>
      </c>
      <c r="D17" s="313">
        <f t="shared" si="1"/>
        <v>8</v>
      </c>
      <c r="E17" s="313">
        <f t="shared" si="2"/>
        <v>12</v>
      </c>
      <c r="F17" s="313" t="str">
        <f t="shared" si="3"/>
        <v>pm</v>
      </c>
      <c r="G17" s="313" t="s">
        <v>584</v>
      </c>
      <c r="H17" s="313" t="s">
        <v>559</v>
      </c>
      <c r="I17" s="313" t="s">
        <v>585</v>
      </c>
      <c r="K17" s="314">
        <f t="shared" si="4"/>
        <v>1588.7121935660714</v>
      </c>
      <c r="M17" s="314">
        <v>1500</v>
      </c>
      <c r="R17" s="313" t="str">
        <f>IF(AND((J17="This"),(L17="Only")),VLOOKUP(G17,#REF!,7,FALSE),"")</f>
        <v/>
      </c>
      <c r="S17" s="313">
        <v>1588.7121935660714</v>
      </c>
    </row>
    <row r="18" spans="1:24" x14ac:dyDescent="0.25">
      <c r="A18" s="313">
        <v>5</v>
      </c>
      <c r="C18" s="313">
        <f t="shared" si="0"/>
        <v>9</v>
      </c>
      <c r="D18" s="313">
        <f t="shared" si="1"/>
        <v>9</v>
      </c>
      <c r="E18" s="313">
        <f t="shared" si="2"/>
        <v>12</v>
      </c>
      <c r="F18" s="313" t="str">
        <f t="shared" si="3"/>
        <v>pm</v>
      </c>
      <c r="G18" s="1032" t="s">
        <v>392</v>
      </c>
      <c r="H18" s="313" t="s">
        <v>393</v>
      </c>
      <c r="I18" s="313" t="s">
        <v>391</v>
      </c>
      <c r="K18" s="314">
        <f t="shared" si="4"/>
        <v>1476.2966030517014</v>
      </c>
      <c r="M18" s="314">
        <v>1400</v>
      </c>
      <c r="O18" s="313">
        <v>1359.8313547797393</v>
      </c>
      <c r="R18" s="313" t="str">
        <f>IF(AND((J18="This"),(L18="Only")),VLOOKUP(G18,#REF!,7,FALSE),"")</f>
        <v/>
      </c>
      <c r="S18" s="313">
        <v>1376.9109943231629</v>
      </c>
      <c r="T18" s="313">
        <v>1442.8319701170221</v>
      </c>
      <c r="X18" s="313">
        <v>1476.2966030517014</v>
      </c>
    </row>
    <row r="19" spans="1:24" x14ac:dyDescent="0.25">
      <c r="A19" s="313">
        <v>2</v>
      </c>
      <c r="C19" s="313">
        <f t="shared" si="0"/>
        <v>10</v>
      </c>
      <c r="D19" s="313">
        <f t="shared" si="1"/>
        <v>9</v>
      </c>
      <c r="E19" s="313">
        <f t="shared" si="2"/>
        <v>12</v>
      </c>
      <c r="F19" s="313" t="str">
        <f t="shared" si="3"/>
        <v>cr</v>
      </c>
      <c r="G19" s="313" t="s">
        <v>208</v>
      </c>
      <c r="H19" s="313" t="s">
        <v>209</v>
      </c>
      <c r="I19" s="313" t="s">
        <v>172</v>
      </c>
      <c r="K19" s="314">
        <f t="shared" si="4"/>
        <v>1413.9007393424706</v>
      </c>
      <c r="M19" s="314">
        <v>1400</v>
      </c>
      <c r="R19" s="313" t="str">
        <f>IF(AND((J19="This"),(L19="Only")),VLOOKUP(G19,#REF!,7,FALSE),"")</f>
        <v/>
      </c>
      <c r="S19" s="313">
        <v>1413.9007393424706</v>
      </c>
    </row>
    <row r="20" spans="1:24" x14ac:dyDescent="0.25">
      <c r="A20" s="313">
        <v>1</v>
      </c>
      <c r="C20" s="313">
        <f t="shared" si="0"/>
        <v>11</v>
      </c>
      <c r="D20" s="313">
        <f t="shared" si="1"/>
        <v>9</v>
      </c>
      <c r="E20" s="313">
        <f t="shared" si="2"/>
        <v>12</v>
      </c>
      <c r="F20" s="313" t="str">
        <f t="shared" si="3"/>
        <v>pmx</v>
      </c>
      <c r="G20" s="313" t="s">
        <v>586</v>
      </c>
      <c r="H20" s="313" t="s">
        <v>578</v>
      </c>
      <c r="I20" s="313" t="s">
        <v>587</v>
      </c>
      <c r="K20" s="314">
        <f t="shared" si="4"/>
        <v>1379.3213417745701</v>
      </c>
      <c r="M20" s="314">
        <v>1400</v>
      </c>
      <c r="O20" s="313">
        <v>1379.3213417745701</v>
      </c>
      <c r="R20" s="313" t="str">
        <f>IF(AND((J20="This"),(L20="Only")),VLOOKUP(G20,#REF!,7,FALSE),"")</f>
        <v/>
      </c>
    </row>
    <row r="21" spans="1:24" x14ac:dyDescent="0.25">
      <c r="A21" s="313">
        <v>1</v>
      </c>
      <c r="C21" s="313">
        <f t="shared" si="0"/>
        <v>12</v>
      </c>
      <c r="D21" s="313">
        <f t="shared" si="1"/>
        <v>9</v>
      </c>
      <c r="E21" s="313">
        <f t="shared" si="2"/>
        <v>12</v>
      </c>
      <c r="F21" s="313" t="str">
        <f t="shared" si="3"/>
        <v>pmx</v>
      </c>
      <c r="G21" s="313" t="s">
        <v>588</v>
      </c>
      <c r="H21" s="313" t="s">
        <v>578</v>
      </c>
      <c r="I21" s="313" t="s">
        <v>589</v>
      </c>
      <c r="K21" s="314">
        <f t="shared" si="4"/>
        <v>1356.8915347774796</v>
      </c>
      <c r="M21" s="314">
        <v>1400</v>
      </c>
      <c r="O21" s="313">
        <v>1356.8915347774796</v>
      </c>
      <c r="R21" s="313" t="str">
        <f>IF(AND((J21="This"),(L21="Only")),VLOOKUP(G21,#REF!,7,FALSE),"")</f>
        <v/>
      </c>
    </row>
    <row r="22" spans="1:24" x14ac:dyDescent="0.25">
      <c r="A22" s="313">
        <v>4</v>
      </c>
      <c r="C22" s="313">
        <f t="shared" si="0"/>
        <v>13</v>
      </c>
      <c r="D22" s="313">
        <f t="shared" si="1"/>
        <v>9</v>
      </c>
      <c r="E22" s="313">
        <f t="shared" si="2"/>
        <v>12</v>
      </c>
      <c r="F22" s="313" t="str">
        <f t="shared" si="3"/>
        <v>pm</v>
      </c>
      <c r="G22" s="313" t="s">
        <v>590</v>
      </c>
      <c r="H22" s="313" t="s">
        <v>213</v>
      </c>
      <c r="I22" s="313" t="s">
        <v>591</v>
      </c>
      <c r="K22" s="314">
        <f t="shared" si="4"/>
        <v>1584.5549621974531</v>
      </c>
      <c r="M22" s="314">
        <v>1400</v>
      </c>
      <c r="O22" s="313">
        <v>1424.8014199287991</v>
      </c>
      <c r="R22" s="313" t="str">
        <f>IF(AND((J22="This"),(L22="Only")),VLOOKUP(G22,#REF!,7,FALSE),"")</f>
        <v/>
      </c>
      <c r="T22" s="313">
        <v>1531.814236061155</v>
      </c>
      <c r="V22" s="313">
        <v>1584.5549621974531</v>
      </c>
    </row>
    <row r="23" spans="1:24" x14ac:dyDescent="0.25">
      <c r="A23" s="313">
        <v>3</v>
      </c>
      <c r="C23" s="313">
        <f t="shared" si="0"/>
        <v>14</v>
      </c>
      <c r="D23" s="313">
        <f t="shared" si="1"/>
        <v>9</v>
      </c>
      <c r="E23" s="313">
        <f t="shared" si="2"/>
        <v>12</v>
      </c>
      <c r="F23" s="313" t="str">
        <f t="shared" si="3"/>
        <v>pm</v>
      </c>
      <c r="G23" s="313" t="s">
        <v>224</v>
      </c>
      <c r="H23" s="313" t="s">
        <v>207</v>
      </c>
      <c r="I23" s="313" t="s">
        <v>477</v>
      </c>
      <c r="K23" s="314">
        <f t="shared" si="4"/>
        <v>1636.452085468107</v>
      </c>
      <c r="M23" s="314">
        <v>1400</v>
      </c>
      <c r="O23" s="313">
        <v>1474.9258546035371</v>
      </c>
      <c r="R23" s="313" t="str">
        <f>IF(AND((J23="This"),(L23="Only")),VLOOKUP(G23,#REF!,7,FALSE),"")</f>
        <v/>
      </c>
      <c r="S23" s="313">
        <v>1547.6054388640575</v>
      </c>
      <c r="X23" s="313">
        <v>1636.452085468107</v>
      </c>
    </row>
    <row r="24" spans="1:24" x14ac:dyDescent="0.25">
      <c r="A24" s="313">
        <v>3</v>
      </c>
      <c r="C24" s="313">
        <f t="shared" si="0"/>
        <v>15</v>
      </c>
      <c r="D24" s="313">
        <f t="shared" si="1"/>
        <v>9</v>
      </c>
      <c r="E24" s="313">
        <f t="shared" si="2"/>
        <v>12</v>
      </c>
      <c r="F24" s="313" t="str">
        <f t="shared" si="3"/>
        <v>pm</v>
      </c>
      <c r="G24" s="313" t="s">
        <v>479</v>
      </c>
      <c r="H24" s="313" t="s">
        <v>207</v>
      </c>
      <c r="I24" s="313" t="s">
        <v>478</v>
      </c>
      <c r="K24" s="314">
        <f t="shared" si="4"/>
        <v>1784.1908394018988</v>
      </c>
      <c r="M24" s="314">
        <v>1400</v>
      </c>
      <c r="O24" s="313">
        <v>1490.8936464090691</v>
      </c>
      <c r="R24" s="313" t="str">
        <f>IF(AND((J24="This"),(L24="Only")),VLOOKUP(G24,#REF!,7,FALSE),"")</f>
        <v/>
      </c>
      <c r="S24" s="313">
        <v>1597.0988941571195</v>
      </c>
      <c r="X24" s="313">
        <v>1784.1908394018988</v>
      </c>
    </row>
    <row r="25" spans="1:24" x14ac:dyDescent="0.25">
      <c r="A25" s="313">
        <v>3</v>
      </c>
      <c r="C25" s="313">
        <f t="shared" si="0"/>
        <v>16</v>
      </c>
      <c r="D25" s="313">
        <f t="shared" si="1"/>
        <v>9</v>
      </c>
      <c r="E25" s="313">
        <f t="shared" si="2"/>
        <v>12</v>
      </c>
      <c r="F25" s="313" t="str">
        <f t="shared" si="3"/>
        <v>pm</v>
      </c>
      <c r="G25" s="313" t="s">
        <v>481</v>
      </c>
      <c r="H25" s="313" t="s">
        <v>207</v>
      </c>
      <c r="I25" s="313" t="s">
        <v>480</v>
      </c>
      <c r="K25" s="314">
        <f t="shared" si="4"/>
        <v>1577.5150270118809</v>
      </c>
      <c r="M25" s="314">
        <v>1400</v>
      </c>
      <c r="O25" s="313">
        <v>1470.8271049211355</v>
      </c>
      <c r="R25" s="313" t="str">
        <f>IF(AND((J25="This"),(L25="Only")),VLOOKUP(G25,#REF!,7,FALSE),"")</f>
        <v/>
      </c>
      <c r="S25" s="313">
        <v>1552.5217618694735</v>
      </c>
      <c r="X25" s="313">
        <v>1577.5150270118809</v>
      </c>
    </row>
    <row r="26" spans="1:24" x14ac:dyDescent="0.25">
      <c r="A26" s="313">
        <v>3</v>
      </c>
      <c r="C26" s="313">
        <f t="shared" si="0"/>
        <v>17</v>
      </c>
      <c r="D26" s="313">
        <f t="shared" si="1"/>
        <v>9</v>
      </c>
      <c r="E26" s="313">
        <f t="shared" si="2"/>
        <v>12</v>
      </c>
      <c r="F26" s="313" t="str">
        <f t="shared" si="3"/>
        <v>pm</v>
      </c>
      <c r="G26" s="313" t="s">
        <v>483</v>
      </c>
      <c r="H26" s="313" t="s">
        <v>207</v>
      </c>
      <c r="I26" s="313" t="s">
        <v>482</v>
      </c>
      <c r="K26" s="314">
        <f t="shared" si="4"/>
        <v>1323.8787834707246</v>
      </c>
      <c r="M26" s="314">
        <v>1400</v>
      </c>
      <c r="R26" s="313" t="str">
        <f>IF(AND((J26="This"),(L26="Only")),VLOOKUP(G26,#REF!,7,FALSE),"")</f>
        <v/>
      </c>
      <c r="S26" s="313">
        <v>1395.3301340799349</v>
      </c>
      <c r="T26" s="313">
        <v>1314.8627941243271</v>
      </c>
      <c r="X26" s="313">
        <v>1323.8787834707246</v>
      </c>
    </row>
    <row r="27" spans="1:24" x14ac:dyDescent="0.25">
      <c r="A27" s="313">
        <v>3</v>
      </c>
      <c r="C27" s="313">
        <f t="shared" si="0"/>
        <v>18</v>
      </c>
      <c r="D27" s="313">
        <f t="shared" si="1"/>
        <v>9</v>
      </c>
      <c r="E27" s="313">
        <f t="shared" si="2"/>
        <v>12</v>
      </c>
      <c r="F27" s="313" t="str">
        <f t="shared" si="3"/>
        <v>pm</v>
      </c>
      <c r="G27" s="313" t="s">
        <v>485</v>
      </c>
      <c r="H27" s="313" t="s">
        <v>207</v>
      </c>
      <c r="I27" s="313" t="s">
        <v>484</v>
      </c>
      <c r="K27" s="314">
        <f t="shared" si="4"/>
        <v>1396.3387625413409</v>
      </c>
      <c r="M27" s="314">
        <v>1400</v>
      </c>
      <c r="R27" s="313" t="str">
        <f>IF(AND((J27="This"),(L27="Only")),VLOOKUP(G27,#REF!,7,FALSE),"")</f>
        <v/>
      </c>
      <c r="S27" s="313">
        <v>1313.5677811716366</v>
      </c>
      <c r="T27" s="313">
        <v>1344.0894005280031</v>
      </c>
      <c r="X27" s="313">
        <v>1396.3387625413409</v>
      </c>
    </row>
    <row r="28" spans="1:24" x14ac:dyDescent="0.25">
      <c r="A28" s="313">
        <v>4</v>
      </c>
      <c r="C28" s="313">
        <f t="shared" si="0"/>
        <v>19</v>
      </c>
      <c r="D28" s="313">
        <f t="shared" si="1"/>
        <v>9</v>
      </c>
      <c r="E28" s="313">
        <f t="shared" si="2"/>
        <v>12</v>
      </c>
      <c r="F28" s="313" t="str">
        <f t="shared" si="3"/>
        <v>pm</v>
      </c>
      <c r="G28" s="313" t="s">
        <v>291</v>
      </c>
      <c r="H28" s="313" t="s">
        <v>286</v>
      </c>
      <c r="I28" s="313" t="s">
        <v>517</v>
      </c>
      <c r="K28" s="314">
        <f t="shared" si="4"/>
        <v>1510.9885122956937</v>
      </c>
      <c r="M28" s="314">
        <v>1400</v>
      </c>
      <c r="R28" s="313" t="str">
        <f>IF(AND((J28="This"),(L28="Only")),VLOOKUP(G28,#REF!,7,FALSE),"")</f>
        <v/>
      </c>
      <c r="S28" s="313">
        <v>1481.9064108927323</v>
      </c>
      <c r="T28" s="313">
        <v>1482.7085948011659</v>
      </c>
      <c r="X28" s="313">
        <v>1510.9885122956937</v>
      </c>
    </row>
    <row r="29" spans="1:24" x14ac:dyDescent="0.25">
      <c r="A29" s="313">
        <v>5</v>
      </c>
      <c r="C29" s="313">
        <f t="shared" si="0"/>
        <v>20</v>
      </c>
      <c r="D29" s="313">
        <f t="shared" si="1"/>
        <v>9</v>
      </c>
      <c r="E29" s="313">
        <f t="shared" si="2"/>
        <v>12</v>
      </c>
      <c r="F29" s="313" t="str">
        <f t="shared" si="3"/>
        <v>pm</v>
      </c>
      <c r="G29" s="313" t="s">
        <v>236</v>
      </c>
      <c r="H29" s="313" t="s">
        <v>204</v>
      </c>
      <c r="I29" s="313" t="s">
        <v>174</v>
      </c>
      <c r="K29" s="314">
        <f t="shared" si="4"/>
        <v>1440.949944070938</v>
      </c>
      <c r="M29" s="314">
        <v>1400</v>
      </c>
      <c r="R29" s="313" t="str">
        <f>IF(AND((J29="This"),(L29="Only")),VLOOKUP(G29,#REF!,7,FALSE),"")</f>
        <v/>
      </c>
      <c r="S29" s="313">
        <v>1439.3040279119832</v>
      </c>
      <c r="T29" s="313">
        <v>1410.8128235954669</v>
      </c>
      <c r="V29" s="313">
        <v>1428.9948068214296</v>
      </c>
      <c r="X29" s="313">
        <v>1440.949944070938</v>
      </c>
    </row>
    <row r="30" spans="1:24" x14ac:dyDescent="0.25">
      <c r="A30" s="313">
        <v>4</v>
      </c>
      <c r="C30" s="313">
        <f t="shared" si="0"/>
        <v>21</v>
      </c>
      <c r="D30" s="313">
        <f t="shared" si="1"/>
        <v>9</v>
      </c>
      <c r="E30" s="313">
        <f t="shared" si="2"/>
        <v>12</v>
      </c>
      <c r="F30" s="313" t="str">
        <f t="shared" si="3"/>
        <v>pm</v>
      </c>
      <c r="G30" s="313" t="s">
        <v>475</v>
      </c>
      <c r="H30" s="313" t="s">
        <v>199</v>
      </c>
      <c r="I30" s="313" t="s">
        <v>474</v>
      </c>
      <c r="K30" s="314">
        <f t="shared" si="4"/>
        <v>1216.5369458560062</v>
      </c>
      <c r="M30" s="314">
        <v>1400</v>
      </c>
      <c r="R30" s="313" t="str">
        <f>IF(AND((J30="This"),(L30="Only")),VLOOKUP(G30,#REF!,7,FALSE),"")</f>
        <v/>
      </c>
      <c r="S30" s="313">
        <v>1296.3634893108842</v>
      </c>
      <c r="T30" s="313">
        <v>1221.8365208689011</v>
      </c>
      <c r="V30" s="313">
        <v>1182.3261223768773</v>
      </c>
      <c r="X30" s="313">
        <v>1216.5369458560062</v>
      </c>
    </row>
    <row r="31" spans="1:24" x14ac:dyDescent="0.25">
      <c r="A31" s="313">
        <v>2</v>
      </c>
      <c r="C31" s="313">
        <f t="shared" si="0"/>
        <v>22</v>
      </c>
      <c r="D31" s="313">
        <f t="shared" si="1"/>
        <v>9</v>
      </c>
      <c r="E31" s="313">
        <f t="shared" si="2"/>
        <v>12</v>
      </c>
      <c r="F31" s="313" t="str">
        <f t="shared" si="3"/>
        <v>pm</v>
      </c>
      <c r="G31" s="313" t="s">
        <v>472</v>
      </c>
      <c r="H31" s="313" t="s">
        <v>473</v>
      </c>
      <c r="I31" s="313" t="s">
        <v>471</v>
      </c>
      <c r="K31" s="314">
        <f t="shared" si="4"/>
        <v>1477.5353118598305</v>
      </c>
      <c r="M31" s="314">
        <v>1400</v>
      </c>
      <c r="R31" s="313" t="str">
        <f>IF(AND((J31="This"),(L31="Only")),VLOOKUP(G31,#REF!,7,FALSE),"")</f>
        <v/>
      </c>
      <c r="T31" s="313">
        <v>1457.5420336558111</v>
      </c>
      <c r="X31" s="313">
        <v>1477.5353118598305</v>
      </c>
    </row>
    <row r="32" spans="1:24" x14ac:dyDescent="0.25">
      <c r="A32" s="313">
        <v>6</v>
      </c>
      <c r="C32" s="313">
        <f t="shared" si="0"/>
        <v>23</v>
      </c>
      <c r="D32" s="313">
        <f t="shared" si="1"/>
        <v>9</v>
      </c>
      <c r="E32" s="313">
        <f t="shared" si="2"/>
        <v>12</v>
      </c>
      <c r="F32" s="313" t="str">
        <f t="shared" si="3"/>
        <v>pm</v>
      </c>
      <c r="G32" s="313" t="s">
        <v>410</v>
      </c>
      <c r="H32" s="313" t="s">
        <v>411</v>
      </c>
      <c r="I32" s="313" t="s">
        <v>409</v>
      </c>
      <c r="K32" s="314">
        <f t="shared" si="4"/>
        <v>1163.9840888221456</v>
      </c>
      <c r="M32" s="314">
        <v>1400</v>
      </c>
      <c r="O32" s="313">
        <v>1301.6735721662928</v>
      </c>
      <c r="R32" s="313" t="str">
        <f>IF(AND((J32="This"),(L32="Only")),VLOOKUP(G32,#REF!,7,FALSE),"")</f>
        <v/>
      </c>
      <c r="S32" s="313">
        <v>1246.3111984541233</v>
      </c>
      <c r="T32" s="313">
        <v>1226.0702313271092</v>
      </c>
      <c r="V32" s="313">
        <v>1172.8946927404108</v>
      </c>
      <c r="X32" s="313">
        <v>1163.9840888221456</v>
      </c>
    </row>
    <row r="33" spans="1:24" x14ac:dyDescent="0.25">
      <c r="A33" s="313">
        <v>4</v>
      </c>
      <c r="C33" s="313">
        <f t="shared" si="0"/>
        <v>24</v>
      </c>
      <c r="D33" s="313">
        <f t="shared" si="1"/>
        <v>9</v>
      </c>
      <c r="E33" s="313">
        <f t="shared" si="2"/>
        <v>12</v>
      </c>
      <c r="F33" s="313" t="str">
        <f t="shared" si="3"/>
        <v>pm</v>
      </c>
      <c r="G33" s="313" t="s">
        <v>250</v>
      </c>
      <c r="H33" s="313" t="s">
        <v>198</v>
      </c>
      <c r="I33" s="313" t="s">
        <v>173</v>
      </c>
      <c r="K33" s="314">
        <f t="shared" si="4"/>
        <v>1295.6475178966837</v>
      </c>
      <c r="M33" s="314">
        <v>1400</v>
      </c>
      <c r="R33" s="313" t="str">
        <f>IF(AND((J33="This"),(L33="Only")),VLOOKUP(G33,#REF!,7,FALSE),"")</f>
        <v/>
      </c>
      <c r="S33" s="313">
        <v>1339.4461517631892</v>
      </c>
      <c r="T33" s="313">
        <v>1354.0026826130036</v>
      </c>
      <c r="X33" s="313">
        <v>1295.6475178966837</v>
      </c>
    </row>
    <row r="34" spans="1:24" x14ac:dyDescent="0.25">
      <c r="A34" s="313">
        <v>3</v>
      </c>
      <c r="C34" s="313">
        <f t="shared" si="0"/>
        <v>25</v>
      </c>
      <c r="D34" s="313">
        <f t="shared" si="1"/>
        <v>9</v>
      </c>
      <c r="E34" s="313">
        <f t="shared" si="2"/>
        <v>12</v>
      </c>
      <c r="F34" s="313" t="str">
        <f t="shared" si="3"/>
        <v>pm</v>
      </c>
      <c r="G34" s="313" t="s">
        <v>293</v>
      </c>
      <c r="H34" s="313" t="s">
        <v>198</v>
      </c>
      <c r="I34" s="313" t="s">
        <v>292</v>
      </c>
      <c r="K34" s="314">
        <f t="shared" si="4"/>
        <v>1160.6389153145926</v>
      </c>
      <c r="M34" s="314">
        <v>1400</v>
      </c>
      <c r="R34" s="313" t="str">
        <f>IF(AND((J34="This"),(L34="Only")),VLOOKUP(G34,#REF!,7,FALSE),"")</f>
        <v/>
      </c>
      <c r="T34" s="313">
        <v>1262.2688698980021</v>
      </c>
      <c r="X34" s="313">
        <v>1160.6389153145926</v>
      </c>
    </row>
    <row r="35" spans="1:24" x14ac:dyDescent="0.25">
      <c r="A35" s="313">
        <v>4</v>
      </c>
      <c r="C35" s="313">
        <f t="shared" si="0"/>
        <v>26</v>
      </c>
      <c r="D35" s="313">
        <f t="shared" si="1"/>
        <v>9</v>
      </c>
      <c r="E35" s="313">
        <f t="shared" si="2"/>
        <v>12</v>
      </c>
      <c r="F35" s="313" t="str">
        <f t="shared" si="3"/>
        <v>pm</v>
      </c>
      <c r="G35" s="313" t="s">
        <v>422</v>
      </c>
      <c r="H35" s="313" t="s">
        <v>235</v>
      </c>
      <c r="I35" s="313" t="s">
        <v>421</v>
      </c>
      <c r="K35" s="314">
        <f t="shared" si="4"/>
        <v>1348.0654211657343</v>
      </c>
      <c r="M35" s="314">
        <v>1400</v>
      </c>
      <c r="R35" s="313" t="str">
        <f>IF(AND((J35="This"),(L35="Only")),VLOOKUP(G35,#REF!,7,FALSE),"")</f>
        <v/>
      </c>
      <c r="T35" s="313">
        <v>1304.5564991499768</v>
      </c>
      <c r="V35" s="313">
        <v>1282.8814689298702</v>
      </c>
      <c r="X35" s="313">
        <v>1348.0654211657343</v>
      </c>
    </row>
    <row r="36" spans="1:24" x14ac:dyDescent="0.25">
      <c r="A36" s="313">
        <v>2</v>
      </c>
      <c r="C36" s="313">
        <f t="shared" si="0"/>
        <v>27</v>
      </c>
      <c r="D36" s="313">
        <f t="shared" si="1"/>
        <v>9</v>
      </c>
      <c r="E36" s="313">
        <f t="shared" si="2"/>
        <v>12</v>
      </c>
      <c r="F36" s="313" t="str">
        <f t="shared" si="3"/>
        <v>cr</v>
      </c>
      <c r="G36" s="313" t="s">
        <v>592</v>
      </c>
      <c r="H36" s="313" t="s">
        <v>593</v>
      </c>
      <c r="I36" s="313" t="s">
        <v>594</v>
      </c>
      <c r="K36" s="314">
        <f t="shared" si="4"/>
        <v>1453.7727056479055</v>
      </c>
      <c r="M36" s="314">
        <v>1400</v>
      </c>
      <c r="R36" s="313" t="str">
        <f>IF(AND((J36="This"),(L36="Only")),VLOOKUP(G36,#REF!,7,FALSE),"")</f>
        <v/>
      </c>
      <c r="T36" s="313">
        <v>1453.7727056479055</v>
      </c>
    </row>
    <row r="37" spans="1:24" x14ac:dyDescent="0.25">
      <c r="A37" s="313">
        <v>3</v>
      </c>
      <c r="C37" s="313">
        <f t="shared" si="0"/>
        <v>28</v>
      </c>
      <c r="D37" s="313">
        <f t="shared" si="1"/>
        <v>9</v>
      </c>
      <c r="E37" s="313">
        <f t="shared" si="2"/>
        <v>12</v>
      </c>
      <c r="F37" s="313" t="str">
        <f t="shared" si="3"/>
        <v>pm</v>
      </c>
      <c r="G37" s="313" t="s">
        <v>595</v>
      </c>
      <c r="H37" s="313" t="s">
        <v>559</v>
      </c>
      <c r="I37" s="313" t="s">
        <v>596</v>
      </c>
      <c r="K37" s="314">
        <f t="shared" si="4"/>
        <v>1498.741500196315</v>
      </c>
      <c r="M37" s="314">
        <v>1400</v>
      </c>
      <c r="R37" s="313" t="str">
        <f>IF(AND((J37="This"),(L37="Only")),VLOOKUP(G37,#REF!,7,FALSE),"")</f>
        <v/>
      </c>
      <c r="V37" s="313">
        <v>1498.741500196315</v>
      </c>
    </row>
    <row r="38" spans="1:24" x14ac:dyDescent="0.25">
      <c r="A38" s="313">
        <v>3</v>
      </c>
      <c r="C38" s="313">
        <f t="shared" si="0"/>
        <v>29</v>
      </c>
      <c r="D38" s="313">
        <f t="shared" si="1"/>
        <v>9</v>
      </c>
      <c r="E38" s="313">
        <f t="shared" si="2"/>
        <v>12</v>
      </c>
      <c r="F38" s="313" t="str">
        <f t="shared" si="3"/>
        <v>pm</v>
      </c>
      <c r="G38" s="313" t="s">
        <v>597</v>
      </c>
      <c r="H38" s="313" t="s">
        <v>559</v>
      </c>
      <c r="I38" s="313" t="s">
        <v>598</v>
      </c>
      <c r="K38" s="314">
        <f t="shared" si="4"/>
        <v>1298.9950797310169</v>
      </c>
      <c r="M38" s="314">
        <v>1400</v>
      </c>
      <c r="R38" s="313" t="str">
        <f>IF(AND((J38="This"),(L38="Only")),VLOOKUP(G38,#REF!,7,FALSE),"")</f>
        <v/>
      </c>
      <c r="S38" s="313">
        <v>1298.9950797310169</v>
      </c>
    </row>
    <row r="39" spans="1:24" x14ac:dyDescent="0.25">
      <c r="A39" s="313">
        <v>3</v>
      </c>
      <c r="C39" s="313">
        <f t="shared" si="0"/>
        <v>30</v>
      </c>
      <c r="D39" s="313">
        <f t="shared" si="1"/>
        <v>9</v>
      </c>
      <c r="E39" s="313">
        <f t="shared" si="2"/>
        <v>12</v>
      </c>
      <c r="F39" s="313" t="str">
        <f t="shared" si="3"/>
        <v>pm</v>
      </c>
      <c r="G39" s="313" t="s">
        <v>599</v>
      </c>
      <c r="H39" s="313" t="s">
        <v>559</v>
      </c>
      <c r="I39" s="313" t="s">
        <v>600</v>
      </c>
      <c r="K39" s="314">
        <f t="shared" si="4"/>
        <v>1363.4627166828639</v>
      </c>
      <c r="M39" s="314">
        <v>1400</v>
      </c>
      <c r="R39" s="313" t="str">
        <f>IF(AND((J39="This"),(L39="Only")),VLOOKUP(G39,#REF!,7,FALSE),"")</f>
        <v/>
      </c>
      <c r="S39" s="313">
        <v>1363.4627166828639</v>
      </c>
    </row>
    <row r="40" spans="1:24" x14ac:dyDescent="0.25">
      <c r="A40" s="313">
        <v>3</v>
      </c>
      <c r="C40" s="313">
        <f t="shared" si="0"/>
        <v>31</v>
      </c>
      <c r="D40" s="313">
        <f t="shared" si="1"/>
        <v>9</v>
      </c>
      <c r="E40" s="313">
        <f t="shared" si="2"/>
        <v>12</v>
      </c>
      <c r="F40" s="313" t="str">
        <f t="shared" si="3"/>
        <v>pm</v>
      </c>
      <c r="G40" s="313" t="s">
        <v>601</v>
      </c>
      <c r="H40" s="313" t="s">
        <v>559</v>
      </c>
      <c r="I40" s="313" t="s">
        <v>602</v>
      </c>
      <c r="K40" s="314">
        <f t="shared" si="4"/>
        <v>1392.8100796128085</v>
      </c>
      <c r="M40" s="314">
        <v>1400</v>
      </c>
      <c r="R40" s="313" t="str">
        <f>IF(AND((J40="This"),(L40="Only")),VLOOKUP(G40,#REF!,7,FALSE),"")</f>
        <v/>
      </c>
      <c r="V40" s="313">
        <v>1392.8100796128085</v>
      </c>
    </row>
    <row r="41" spans="1:24" x14ac:dyDescent="0.25">
      <c r="A41" s="313">
        <v>5</v>
      </c>
      <c r="C41" s="313">
        <f t="shared" si="0"/>
        <v>32</v>
      </c>
      <c r="D41" s="313">
        <f t="shared" si="1"/>
        <v>9</v>
      </c>
      <c r="E41" s="313">
        <f t="shared" si="2"/>
        <v>12</v>
      </c>
      <c r="F41" s="313" t="str">
        <f t="shared" si="3"/>
        <v>pm</v>
      </c>
      <c r="G41" s="313" t="s">
        <v>504</v>
      </c>
      <c r="H41" s="313" t="s">
        <v>505</v>
      </c>
      <c r="I41" s="313" t="s">
        <v>503</v>
      </c>
      <c r="K41" s="314">
        <f t="shared" si="4"/>
        <v>1362.8879663810731</v>
      </c>
      <c r="M41" s="314">
        <v>1400</v>
      </c>
      <c r="O41" s="313">
        <v>1317.0177436725585</v>
      </c>
      <c r="R41" s="313" t="str">
        <f>IF(AND((J41="This"),(L41="Only")),VLOOKUP(G41,#REF!,7,FALSE),"")</f>
        <v/>
      </c>
      <c r="T41" s="313">
        <v>1396.2263060585235</v>
      </c>
      <c r="V41" s="313">
        <v>1375.4433983168517</v>
      </c>
      <c r="X41" s="313">
        <v>1362.8879663810731</v>
      </c>
    </row>
    <row r="42" spans="1:24" x14ac:dyDescent="0.25">
      <c r="A42" s="313">
        <v>5</v>
      </c>
      <c r="C42" s="313">
        <f t="shared" si="0"/>
        <v>33</v>
      </c>
      <c r="D42" s="313">
        <f t="shared" si="1"/>
        <v>9</v>
      </c>
      <c r="E42" s="313">
        <f t="shared" si="2"/>
        <v>12</v>
      </c>
      <c r="F42" s="313" t="str">
        <f t="shared" si="3"/>
        <v>pm</v>
      </c>
      <c r="G42" s="313" t="s">
        <v>289</v>
      </c>
      <c r="H42" s="313" t="s">
        <v>211</v>
      </c>
      <c r="I42" s="313" t="s">
        <v>414</v>
      </c>
      <c r="K42" s="314">
        <f t="shared" si="4"/>
        <v>1389.2978929267476</v>
      </c>
      <c r="M42" s="314">
        <v>1400</v>
      </c>
      <c r="R42" s="313" t="str">
        <f>IF(AND((J42="This"),(L42="Only")),VLOOKUP(G42,#REF!,7,FALSE),"")</f>
        <v/>
      </c>
      <c r="S42" s="313">
        <v>1420.6812562153646</v>
      </c>
      <c r="T42" s="313">
        <v>1439.4176887113954</v>
      </c>
      <c r="X42" s="313">
        <v>1389.2978929267476</v>
      </c>
    </row>
    <row r="43" spans="1:24" x14ac:dyDescent="0.25">
      <c r="A43" s="313">
        <v>5</v>
      </c>
      <c r="C43" s="313">
        <f t="shared" si="0"/>
        <v>34</v>
      </c>
      <c r="D43" s="313">
        <f t="shared" si="1"/>
        <v>9</v>
      </c>
      <c r="E43" s="313">
        <f t="shared" si="2"/>
        <v>12</v>
      </c>
      <c r="F43" s="313" t="str">
        <f t="shared" si="3"/>
        <v>pm</v>
      </c>
      <c r="G43" s="313" t="s">
        <v>466</v>
      </c>
      <c r="H43" s="313" t="s">
        <v>201</v>
      </c>
      <c r="I43" s="313" t="s">
        <v>171</v>
      </c>
      <c r="K43" s="314">
        <f t="shared" si="4"/>
        <v>1431.4182354610773</v>
      </c>
      <c r="M43" s="314">
        <v>1400</v>
      </c>
      <c r="R43" s="313" t="str">
        <f>IF(AND((J43="This"),(L43="Only")),VLOOKUP(G43,#REF!,7,FALSE),"")</f>
        <v/>
      </c>
      <c r="S43" s="313">
        <v>1394.6922807192168</v>
      </c>
      <c r="T43" s="313">
        <v>1450.3242032415919</v>
      </c>
      <c r="V43" s="313">
        <v>1438.2606481323326</v>
      </c>
      <c r="X43" s="313">
        <v>1431.4182354610773</v>
      </c>
    </row>
    <row r="44" spans="1:24" x14ac:dyDescent="0.25">
      <c r="A44" s="313">
        <v>4</v>
      </c>
      <c r="C44" s="313">
        <f t="shared" si="0"/>
        <v>35</v>
      </c>
      <c r="D44" s="313">
        <f t="shared" si="1"/>
        <v>9</v>
      </c>
      <c r="E44" s="313">
        <f t="shared" si="2"/>
        <v>12</v>
      </c>
      <c r="F44" s="313" t="str">
        <f t="shared" si="3"/>
        <v>pm</v>
      </c>
      <c r="G44" s="313" t="s">
        <v>294</v>
      </c>
      <c r="H44" s="313" t="s">
        <v>182</v>
      </c>
      <c r="I44" s="313" t="s">
        <v>396</v>
      </c>
      <c r="K44" s="314">
        <f t="shared" si="4"/>
        <v>1419.8544811035597</v>
      </c>
      <c r="M44" s="314">
        <v>1400</v>
      </c>
      <c r="R44" s="313" t="str">
        <f>IF(AND((J44="This"),(L44="Only")),VLOOKUP(G44,#REF!,7,FALSE),"")</f>
        <v/>
      </c>
      <c r="S44" s="313">
        <v>1365.2789041780873</v>
      </c>
      <c r="T44" s="313">
        <v>1411.3842368219443</v>
      </c>
      <c r="X44" s="313">
        <v>1419.8544811035597</v>
      </c>
    </row>
    <row r="45" spans="1:24" x14ac:dyDescent="0.25">
      <c r="A45" s="313">
        <v>4</v>
      </c>
      <c r="C45" s="313">
        <f t="shared" si="0"/>
        <v>36</v>
      </c>
      <c r="D45" s="313">
        <f t="shared" si="1"/>
        <v>9</v>
      </c>
      <c r="E45" s="313">
        <f t="shared" si="2"/>
        <v>12</v>
      </c>
      <c r="F45" s="313" t="str">
        <f t="shared" si="3"/>
        <v>pm</v>
      </c>
      <c r="G45" s="313" t="s">
        <v>398</v>
      </c>
      <c r="H45" s="313" t="s">
        <v>182</v>
      </c>
      <c r="I45" s="313" t="s">
        <v>397</v>
      </c>
      <c r="K45" s="314">
        <f t="shared" si="4"/>
        <v>1347.9072899202179</v>
      </c>
      <c r="M45" s="314">
        <v>1400</v>
      </c>
      <c r="R45" s="313" t="str">
        <f>IF(AND((J45="This"),(L45="Only")),VLOOKUP(G45,#REF!,7,FALSE),"")</f>
        <v/>
      </c>
      <c r="S45" s="313">
        <v>1441.9714593347824</v>
      </c>
      <c r="T45" s="313">
        <v>1340.443133695343</v>
      </c>
      <c r="X45" s="313">
        <v>1347.9072899202179</v>
      </c>
    </row>
    <row r="46" spans="1:24" x14ac:dyDescent="0.25">
      <c r="A46" s="313">
        <v>1</v>
      </c>
      <c r="C46" s="313">
        <f t="shared" si="0"/>
        <v>37</v>
      </c>
      <c r="D46" s="313">
        <f t="shared" si="1"/>
        <v>9</v>
      </c>
      <c r="E46" s="313">
        <f t="shared" si="2"/>
        <v>12</v>
      </c>
      <c r="F46" s="313" t="str">
        <f t="shared" si="3"/>
        <v>crx</v>
      </c>
      <c r="G46" s="313" t="s">
        <v>603</v>
      </c>
      <c r="H46" s="313" t="s">
        <v>604</v>
      </c>
      <c r="I46" s="313" t="s">
        <v>605</v>
      </c>
      <c r="K46" s="314">
        <f t="shared" si="4"/>
        <v>1400</v>
      </c>
      <c r="M46" s="314">
        <v>1400</v>
      </c>
      <c r="R46" s="313" t="str">
        <f>IF(AND((J46="This"),(L46="Only")),VLOOKUP(G46,#REF!,7,FALSE),"")</f>
        <v/>
      </c>
    </row>
    <row r="47" spans="1:24" x14ac:dyDescent="0.25">
      <c r="A47" s="313">
        <v>1</v>
      </c>
      <c r="C47" s="313">
        <f t="shared" si="0"/>
        <v>38</v>
      </c>
      <c r="D47" s="313">
        <f t="shared" si="1"/>
        <v>9</v>
      </c>
      <c r="E47" s="313">
        <f t="shared" si="2"/>
        <v>12</v>
      </c>
      <c r="F47" s="313" t="str">
        <f t="shared" si="3"/>
        <v>crx</v>
      </c>
      <c r="G47" s="313" t="s">
        <v>606</v>
      </c>
      <c r="H47" s="313" t="s">
        <v>604</v>
      </c>
      <c r="I47" s="313" t="s">
        <v>607</v>
      </c>
      <c r="K47" s="314">
        <f t="shared" si="4"/>
        <v>1400</v>
      </c>
      <c r="M47" s="314">
        <v>1400</v>
      </c>
      <c r="R47" s="313" t="str">
        <f>IF(AND((J47="This"),(L47="Only")),VLOOKUP(G47,#REF!,7,FALSE),"")</f>
        <v/>
      </c>
    </row>
    <row r="48" spans="1:24" x14ac:dyDescent="0.25">
      <c r="A48" s="313">
        <v>6</v>
      </c>
      <c r="C48" s="313">
        <f t="shared" si="0"/>
        <v>39</v>
      </c>
      <c r="D48" s="313">
        <f t="shared" si="1"/>
        <v>39</v>
      </c>
      <c r="E48" s="313">
        <f t="shared" si="2"/>
        <v>12</v>
      </c>
      <c r="F48" s="313" t="str">
        <f t="shared" si="3"/>
        <v>pm</v>
      </c>
      <c r="G48" s="313" t="s">
        <v>514</v>
      </c>
      <c r="H48" s="313" t="s">
        <v>216</v>
      </c>
      <c r="I48" s="313" t="s">
        <v>513</v>
      </c>
      <c r="K48" s="314">
        <f t="shared" si="4"/>
        <v>1464.6860920817701</v>
      </c>
      <c r="M48" s="314">
        <v>1366.6666666666667</v>
      </c>
      <c r="O48" s="313">
        <v>1368.846762184352</v>
      </c>
      <c r="R48" s="313" t="str">
        <f>IF(AND((J48="This"),(L48="Only")),VLOOKUP(G48,#REF!,7,FALSE),"")</f>
        <v/>
      </c>
      <c r="S48" s="313">
        <v>1343.7160524871026</v>
      </c>
      <c r="T48" s="313">
        <v>1420.369437083843</v>
      </c>
      <c r="V48" s="313">
        <v>1405.1025780622188</v>
      </c>
      <c r="X48" s="313">
        <v>1464.6860920817701</v>
      </c>
    </row>
    <row r="49" spans="1:24" x14ac:dyDescent="0.25">
      <c r="A49" s="313">
        <v>3</v>
      </c>
      <c r="C49" s="313">
        <f t="shared" si="0"/>
        <v>40</v>
      </c>
      <c r="D49" s="313">
        <f t="shared" si="1"/>
        <v>40</v>
      </c>
      <c r="E49" s="313">
        <f t="shared" si="2"/>
        <v>12</v>
      </c>
      <c r="F49" s="313" t="str">
        <f t="shared" si="3"/>
        <v>pm</v>
      </c>
      <c r="G49" s="1032" t="s">
        <v>608</v>
      </c>
      <c r="H49" s="313" t="s">
        <v>393</v>
      </c>
      <c r="I49" s="313" t="s">
        <v>609</v>
      </c>
      <c r="K49" s="314">
        <f t="shared" si="4"/>
        <v>1138.6942092454178</v>
      </c>
      <c r="M49" s="314">
        <v>1200</v>
      </c>
      <c r="R49" s="313" t="str">
        <f>IF(AND((J49="This"),(L49="Only")),VLOOKUP(G49,#REF!,7,FALSE),"")</f>
        <v/>
      </c>
      <c r="S49" s="313">
        <v>1159.5990105628869</v>
      </c>
      <c r="T49" s="313">
        <v>1138.6942092454178</v>
      </c>
    </row>
    <row r="50" spans="1:24" x14ac:dyDescent="0.25">
      <c r="A50" s="313">
        <v>3</v>
      </c>
      <c r="C50" s="313">
        <f t="shared" si="0"/>
        <v>41</v>
      </c>
      <c r="D50" s="313">
        <f t="shared" si="1"/>
        <v>40</v>
      </c>
      <c r="E50" s="313">
        <f t="shared" si="2"/>
        <v>12</v>
      </c>
      <c r="F50" s="313" t="str">
        <f t="shared" si="3"/>
        <v>pm</v>
      </c>
      <c r="G50" s="313" t="s">
        <v>610</v>
      </c>
      <c r="H50" s="313" t="s">
        <v>207</v>
      </c>
      <c r="I50" s="313" t="s">
        <v>611</v>
      </c>
      <c r="K50" s="314">
        <f t="shared" si="4"/>
        <v>1232.4333282362945</v>
      </c>
      <c r="M50" s="314">
        <v>1200</v>
      </c>
      <c r="R50" s="313" t="str">
        <f>IF(AND((J50="This"),(L50="Only")),VLOOKUP(G50,#REF!,7,FALSE),"")</f>
        <v/>
      </c>
      <c r="S50" s="313">
        <v>1198.7332252889023</v>
      </c>
      <c r="T50" s="313">
        <v>1207.2949680843783</v>
      </c>
      <c r="V50" s="313">
        <v>1232.4333282362945</v>
      </c>
    </row>
    <row r="51" spans="1:24" x14ac:dyDescent="0.25">
      <c r="A51" s="313">
        <v>3</v>
      </c>
      <c r="C51" s="313">
        <f t="shared" si="0"/>
        <v>42</v>
      </c>
      <c r="D51" s="313">
        <f t="shared" si="1"/>
        <v>40</v>
      </c>
      <c r="E51" s="313">
        <f t="shared" si="2"/>
        <v>12</v>
      </c>
      <c r="F51" s="313" t="str">
        <f t="shared" si="3"/>
        <v>pm</v>
      </c>
      <c r="G51" s="313" t="s">
        <v>612</v>
      </c>
      <c r="H51" s="313" t="s">
        <v>207</v>
      </c>
      <c r="I51" s="313" t="s">
        <v>613</v>
      </c>
      <c r="K51" s="314">
        <f t="shared" si="4"/>
        <v>1107.1369587677066</v>
      </c>
      <c r="M51" s="314">
        <v>1200</v>
      </c>
      <c r="R51" s="313" t="str">
        <f>IF(AND((J51="This"),(L51="Only")),VLOOKUP(G51,#REF!,7,FALSE),"")</f>
        <v/>
      </c>
      <c r="S51" s="313">
        <v>1164.9127778263323</v>
      </c>
      <c r="T51" s="313">
        <v>1162.9144133651291</v>
      </c>
      <c r="V51" s="313">
        <v>1107.1369587677066</v>
      </c>
    </row>
    <row r="52" spans="1:24" x14ac:dyDescent="0.25">
      <c r="A52" s="313">
        <v>1</v>
      </c>
      <c r="C52" s="313">
        <f t="shared" si="0"/>
        <v>43</v>
      </c>
      <c r="D52" s="313">
        <f t="shared" si="1"/>
        <v>40</v>
      </c>
      <c r="E52" s="313">
        <f t="shared" si="2"/>
        <v>12</v>
      </c>
      <c r="F52" s="313" t="str">
        <f t="shared" si="3"/>
        <v>pmx</v>
      </c>
      <c r="G52" s="313" t="s">
        <v>614</v>
      </c>
      <c r="H52" s="313" t="s">
        <v>199</v>
      </c>
      <c r="I52" s="313" t="s">
        <v>615</v>
      </c>
      <c r="K52" s="314">
        <f t="shared" si="4"/>
        <v>1184.5649349646574</v>
      </c>
      <c r="M52" s="314">
        <v>1200</v>
      </c>
      <c r="R52" s="313" t="str">
        <f>IF(AND((J52="This"),(L52="Only")),VLOOKUP(G52,#REF!,7,FALSE),"")</f>
        <v/>
      </c>
      <c r="S52" s="313">
        <v>1208.7030381965719</v>
      </c>
      <c r="T52" s="313">
        <v>1192.3440303301518</v>
      </c>
      <c r="V52" s="313">
        <v>1164.88819190138</v>
      </c>
      <c r="X52" s="313">
        <v>1184.5649349646574</v>
      </c>
    </row>
    <row r="53" spans="1:24" x14ac:dyDescent="0.25">
      <c r="A53" s="313">
        <v>1</v>
      </c>
      <c r="C53" s="313">
        <f t="shared" si="0"/>
        <v>44</v>
      </c>
      <c r="D53" s="313">
        <f t="shared" si="1"/>
        <v>40</v>
      </c>
      <c r="E53" s="313">
        <f t="shared" si="2"/>
        <v>12</v>
      </c>
      <c r="F53" s="313" t="str">
        <f t="shared" si="3"/>
        <v>pmx</v>
      </c>
      <c r="G53" s="313" t="s">
        <v>616</v>
      </c>
      <c r="H53" s="313" t="s">
        <v>199</v>
      </c>
      <c r="I53" s="313" t="s">
        <v>617</v>
      </c>
      <c r="K53" s="314">
        <f t="shared" si="4"/>
        <v>1121.134561842277</v>
      </c>
      <c r="M53" s="314">
        <v>1200</v>
      </c>
      <c r="R53" s="313" t="str">
        <f>IF(AND((J53="This"),(L53="Only")),VLOOKUP(G53,#REF!,7,FALSE),"")</f>
        <v/>
      </c>
      <c r="S53" s="313">
        <v>1206.6525831479435</v>
      </c>
      <c r="T53" s="313">
        <v>1154.8449608707572</v>
      </c>
      <c r="V53" s="313">
        <v>1121.134561842277</v>
      </c>
    </row>
    <row r="54" spans="1:24" x14ac:dyDescent="0.25">
      <c r="A54" s="313">
        <v>3</v>
      </c>
      <c r="C54" s="313">
        <f t="shared" si="0"/>
        <v>45</v>
      </c>
      <c r="D54" s="313">
        <f t="shared" si="1"/>
        <v>40</v>
      </c>
      <c r="E54" s="313">
        <f t="shared" si="2"/>
        <v>12</v>
      </c>
      <c r="F54" s="313" t="str">
        <f t="shared" si="3"/>
        <v>pm</v>
      </c>
      <c r="G54" s="313" t="s">
        <v>618</v>
      </c>
      <c r="H54" s="313" t="s">
        <v>281</v>
      </c>
      <c r="I54" s="313" t="s">
        <v>619</v>
      </c>
      <c r="K54" s="314">
        <f t="shared" si="4"/>
        <v>1266.5976262521745</v>
      </c>
      <c r="M54" s="314">
        <v>1200</v>
      </c>
      <c r="R54" s="313" t="str">
        <f>IF(AND((J54="This"),(L54="Only")),VLOOKUP(G54,#REF!,7,FALSE),"")</f>
        <v/>
      </c>
      <c r="S54" s="313">
        <v>1222.3604297626539</v>
      </c>
      <c r="T54" s="313">
        <v>1250.6062258294207</v>
      </c>
      <c r="V54" s="313">
        <v>1293.6267294435881</v>
      </c>
      <c r="X54" s="313">
        <v>1266.5976262521745</v>
      </c>
    </row>
    <row r="55" spans="1:24" x14ac:dyDescent="0.25">
      <c r="A55" s="313">
        <v>2</v>
      </c>
      <c r="C55" s="313">
        <f t="shared" si="0"/>
        <v>46</v>
      </c>
      <c r="D55" s="313">
        <f t="shared" si="1"/>
        <v>40</v>
      </c>
      <c r="E55" s="313">
        <f t="shared" si="2"/>
        <v>12</v>
      </c>
      <c r="F55" s="313" t="str">
        <f t="shared" si="3"/>
        <v>pm</v>
      </c>
      <c r="G55" s="313" t="s">
        <v>620</v>
      </c>
      <c r="H55" s="313" t="s">
        <v>281</v>
      </c>
      <c r="I55" s="313" t="s">
        <v>621</v>
      </c>
      <c r="K55" s="314">
        <f t="shared" si="4"/>
        <v>1292.4729575643664</v>
      </c>
      <c r="M55" s="314">
        <v>1200</v>
      </c>
      <c r="R55" s="313" t="str">
        <f>IF(AND((J55="This"),(L55="Only")),VLOOKUP(G55,#REF!,7,FALSE),"")</f>
        <v/>
      </c>
      <c r="S55" s="313">
        <v>1177.5284599285887</v>
      </c>
      <c r="T55" s="313">
        <v>1231.7907169886246</v>
      </c>
      <c r="V55" s="313">
        <v>1252.9739815801377</v>
      </c>
      <c r="X55" s="313">
        <v>1292.4729575643664</v>
      </c>
    </row>
    <row r="56" spans="1:24" x14ac:dyDescent="0.25">
      <c r="A56" s="313">
        <v>2</v>
      </c>
      <c r="C56" s="313">
        <f t="shared" si="0"/>
        <v>47</v>
      </c>
      <c r="D56" s="313">
        <f t="shared" si="1"/>
        <v>40</v>
      </c>
      <c r="E56" s="313">
        <f t="shared" si="2"/>
        <v>12</v>
      </c>
      <c r="F56" s="313" t="str">
        <f t="shared" si="3"/>
        <v>pm</v>
      </c>
      <c r="G56" s="313" t="s">
        <v>622</v>
      </c>
      <c r="H56" s="313" t="s">
        <v>198</v>
      </c>
      <c r="I56" s="313" t="s">
        <v>623</v>
      </c>
      <c r="K56" s="314">
        <f t="shared" si="4"/>
        <v>1190.8699600920074</v>
      </c>
      <c r="M56" s="314">
        <v>1200</v>
      </c>
      <c r="R56" s="313" t="str">
        <f>IF(AND((J56="This"),(L56="Only")),VLOOKUP(G56,#REF!,7,FALSE),"")</f>
        <v/>
      </c>
      <c r="V56" s="313">
        <v>1190.8699600920074</v>
      </c>
    </row>
    <row r="57" spans="1:24" x14ac:dyDescent="0.25">
      <c r="A57" s="313">
        <v>1</v>
      </c>
      <c r="C57" s="313">
        <f t="shared" si="0"/>
        <v>48</v>
      </c>
      <c r="D57" s="313">
        <f t="shared" si="1"/>
        <v>40</v>
      </c>
      <c r="E57" s="313">
        <f t="shared" si="2"/>
        <v>12</v>
      </c>
      <c r="F57" s="313" t="str">
        <f t="shared" si="3"/>
        <v>sox</v>
      </c>
      <c r="G57" s="313" t="s">
        <v>624</v>
      </c>
      <c r="H57" s="313" t="s">
        <v>222</v>
      </c>
      <c r="I57" s="313" t="s">
        <v>625</v>
      </c>
      <c r="K57" s="314">
        <f t="shared" si="4"/>
        <v>1200</v>
      </c>
      <c r="M57" s="314">
        <v>1200</v>
      </c>
      <c r="R57" s="313" t="str">
        <f>IF(AND((J57="This"),(L57="Only")),VLOOKUP(G57,#REF!,7,FALSE),"")</f>
        <v/>
      </c>
    </row>
    <row r="58" spans="1:24" x14ac:dyDescent="0.25">
      <c r="A58" s="313">
        <v>4</v>
      </c>
      <c r="C58" s="313">
        <f t="shared" si="0"/>
        <v>49</v>
      </c>
      <c r="D58" s="313">
        <f t="shared" si="1"/>
        <v>40</v>
      </c>
      <c r="E58" s="313">
        <f t="shared" si="2"/>
        <v>12</v>
      </c>
      <c r="F58" s="313" t="str">
        <f t="shared" si="3"/>
        <v>pm</v>
      </c>
      <c r="G58" s="313" t="s">
        <v>251</v>
      </c>
      <c r="H58" s="313" t="s">
        <v>201</v>
      </c>
      <c r="I58" s="313" t="s">
        <v>626</v>
      </c>
      <c r="K58" s="314">
        <f t="shared" si="4"/>
        <v>1235.0933022219344</v>
      </c>
      <c r="M58" s="314">
        <v>1200</v>
      </c>
      <c r="R58" s="313" t="str">
        <f>IF(AND((J58="This"),(L58="Only")),VLOOKUP(G58,#REF!,7,FALSE),"")</f>
        <v/>
      </c>
      <c r="S58" s="313">
        <v>1210.0364093066682</v>
      </c>
      <c r="V58" s="313">
        <v>1206.7266798132362</v>
      </c>
      <c r="X58" s="313">
        <v>1235.0933022219344</v>
      </c>
    </row>
    <row r="59" spans="1:24" x14ac:dyDescent="0.25">
      <c r="A59" s="313">
        <v>4</v>
      </c>
      <c r="C59" s="313">
        <f t="shared" si="0"/>
        <v>50</v>
      </c>
      <c r="D59" s="313">
        <f t="shared" si="1"/>
        <v>40</v>
      </c>
      <c r="E59" s="313">
        <f t="shared" si="2"/>
        <v>12</v>
      </c>
      <c r="F59" s="313" t="str">
        <f t="shared" si="3"/>
        <v>pm</v>
      </c>
      <c r="G59" s="313" t="s">
        <v>627</v>
      </c>
      <c r="H59" s="313" t="s">
        <v>201</v>
      </c>
      <c r="I59" s="313" t="s">
        <v>628</v>
      </c>
      <c r="K59" s="314">
        <f t="shared" si="4"/>
        <v>1434.2378988305024</v>
      </c>
      <c r="M59" s="314">
        <v>1200</v>
      </c>
      <c r="R59" s="313" t="str">
        <f>IF(AND((J59="This"),(L59="Only")),VLOOKUP(G59,#REF!,7,FALSE),"")</f>
        <v/>
      </c>
      <c r="S59" s="313">
        <v>1268.8246362009256</v>
      </c>
      <c r="V59" s="313">
        <v>1332.4149795123046</v>
      </c>
      <c r="X59" s="313">
        <v>1434.2378988305024</v>
      </c>
    </row>
    <row r="60" spans="1:24" x14ac:dyDescent="0.25">
      <c r="A60" s="313">
        <v>1</v>
      </c>
      <c r="C60" s="313">
        <f t="shared" si="0"/>
        <v>51</v>
      </c>
      <c r="D60" s="313">
        <f t="shared" si="1"/>
        <v>40</v>
      </c>
      <c r="E60" s="313">
        <f t="shared" si="2"/>
        <v>12</v>
      </c>
      <c r="F60" s="313" t="str">
        <f t="shared" si="3"/>
        <v>pmx</v>
      </c>
      <c r="G60" s="313" t="s">
        <v>629</v>
      </c>
      <c r="H60" s="313" t="s">
        <v>201</v>
      </c>
      <c r="I60" s="313" t="s">
        <v>630</v>
      </c>
      <c r="K60" s="314">
        <f t="shared" si="4"/>
        <v>1200</v>
      </c>
      <c r="M60" s="314">
        <v>1200</v>
      </c>
      <c r="R60" s="313" t="str">
        <f>IF(AND((J60="This"),(L60="Only")),VLOOKUP(G60,#REF!,7,FALSE),"")</f>
        <v/>
      </c>
    </row>
    <row r="61" spans="1:24" x14ac:dyDescent="0.25">
      <c r="A61" s="313">
        <v>4</v>
      </c>
      <c r="C61" s="313">
        <f t="shared" si="0"/>
        <v>52</v>
      </c>
      <c r="D61" s="313">
        <f t="shared" si="1"/>
        <v>40</v>
      </c>
      <c r="E61" s="313">
        <f t="shared" si="2"/>
        <v>12</v>
      </c>
      <c r="F61" s="313" t="str">
        <f t="shared" si="3"/>
        <v>pm</v>
      </c>
      <c r="G61" s="313" t="s">
        <v>631</v>
      </c>
      <c r="H61" s="313" t="s">
        <v>287</v>
      </c>
      <c r="I61" s="313" t="s">
        <v>632</v>
      </c>
      <c r="K61" s="314">
        <f t="shared" si="4"/>
        <v>1105.5010845061092</v>
      </c>
      <c r="M61" s="314">
        <v>1200</v>
      </c>
      <c r="R61" s="313" t="str">
        <f>IF(AND((J61="This"),(L61="Only")),VLOOKUP(G61,#REF!,7,FALSE),"")</f>
        <v/>
      </c>
      <c r="S61" s="313">
        <v>1235.9114015896889</v>
      </c>
      <c r="V61" s="313">
        <v>1141.2104363370433</v>
      </c>
      <c r="X61" s="313">
        <v>1105.5010845061092</v>
      </c>
    </row>
    <row r="62" spans="1:24" x14ac:dyDescent="0.25">
      <c r="A62" s="313">
        <v>0</v>
      </c>
      <c r="C62" s="313">
        <f t="shared" si="0"/>
        <v>53</v>
      </c>
      <c r="D62" s="313">
        <f t="shared" si="1"/>
        <v>40</v>
      </c>
      <c r="E62" s="313">
        <f t="shared" si="2"/>
        <v>12</v>
      </c>
      <c r="F62" s="313" t="str">
        <f t="shared" si="3"/>
        <v>pmx</v>
      </c>
      <c r="G62" s="313" t="s">
        <v>633</v>
      </c>
      <c r="H62" s="313" t="s">
        <v>578</v>
      </c>
      <c r="I62" s="313" t="s">
        <v>634</v>
      </c>
      <c r="K62" s="314">
        <f t="shared" si="4"/>
        <v>1276.5963499507407</v>
      </c>
      <c r="M62" s="314">
        <v>1200</v>
      </c>
      <c r="O62" s="313">
        <v>1276.5963499507407</v>
      </c>
      <c r="R62" s="313" t="str">
        <f>IF(AND((J62="This"),(L62="Only")),VLOOKUP(G62,#REF!,7,FALSE),"")</f>
        <v/>
      </c>
    </row>
    <row r="63" spans="1:24" x14ac:dyDescent="0.25">
      <c r="A63" s="313">
        <v>2</v>
      </c>
      <c r="C63" s="313">
        <f t="shared" si="0"/>
        <v>1</v>
      </c>
      <c r="D63" s="313">
        <f t="shared" si="1"/>
        <v>1</v>
      </c>
      <c r="E63" s="313">
        <f t="shared" si="2"/>
        <v>13</v>
      </c>
      <c r="F63" s="313" t="str">
        <f t="shared" si="3"/>
        <v>cr</v>
      </c>
      <c r="G63" s="1032" t="s">
        <v>635</v>
      </c>
      <c r="H63" s="313" t="s">
        <v>636</v>
      </c>
      <c r="I63" s="313" t="s">
        <v>637</v>
      </c>
      <c r="K63" s="314">
        <f t="shared" si="4"/>
        <v>2111.8344007482601</v>
      </c>
      <c r="M63" s="314">
        <v>2100</v>
      </c>
      <c r="P63" s="313">
        <v>2111.1803947450967</v>
      </c>
      <c r="R63" s="313" t="str">
        <f>IF(AND((J63="This"),(L63="Only")),VLOOKUP(G63,#REF!,7,FALSE),"")</f>
        <v/>
      </c>
      <c r="S63" s="313">
        <v>2111.8344007482601</v>
      </c>
    </row>
    <row r="64" spans="1:24" x14ac:dyDescent="0.25">
      <c r="A64" s="313">
        <v>1</v>
      </c>
      <c r="C64" s="313">
        <f t="shared" si="0"/>
        <v>2</v>
      </c>
      <c r="D64" s="313">
        <f t="shared" si="1"/>
        <v>2</v>
      </c>
      <c r="E64" s="313">
        <f t="shared" si="2"/>
        <v>13</v>
      </c>
      <c r="F64" s="313" t="str">
        <f t="shared" si="3"/>
        <v>sox</v>
      </c>
      <c r="G64" s="313" t="s">
        <v>638</v>
      </c>
      <c r="H64" s="313" t="s">
        <v>575</v>
      </c>
      <c r="I64" s="313" t="s">
        <v>639</v>
      </c>
      <c r="K64" s="314">
        <f t="shared" si="4"/>
        <v>1923.4584917001632</v>
      </c>
      <c r="M64" s="314">
        <v>2000</v>
      </c>
      <c r="R64" s="313" t="str">
        <f>IF(AND((J64="This"),(L64="Only")),VLOOKUP(G64,#REF!,7,FALSE),"")</f>
        <v/>
      </c>
      <c r="U64" s="313">
        <v>1923.4584917001632</v>
      </c>
    </row>
    <row r="65" spans="1:23" x14ac:dyDescent="0.25">
      <c r="A65" s="313">
        <v>2</v>
      </c>
      <c r="C65" s="313">
        <f t="shared" si="0"/>
        <v>3</v>
      </c>
      <c r="D65" s="313">
        <f t="shared" si="1"/>
        <v>2</v>
      </c>
      <c r="E65" s="313">
        <f t="shared" si="2"/>
        <v>13</v>
      </c>
      <c r="F65" s="313" t="str">
        <f t="shared" si="3"/>
        <v>pm</v>
      </c>
      <c r="G65" s="313" t="s">
        <v>640</v>
      </c>
      <c r="H65" s="313" t="s">
        <v>213</v>
      </c>
      <c r="I65" s="313" t="s">
        <v>641</v>
      </c>
      <c r="K65" s="314">
        <f t="shared" si="4"/>
        <v>1957.4424167884204</v>
      </c>
      <c r="M65" s="314">
        <v>2000</v>
      </c>
      <c r="N65" s="313">
        <v>1957.4424167884204</v>
      </c>
      <c r="R65" s="313" t="str">
        <f>IF(AND((J65="This"),(L65="Only")),VLOOKUP(G65,#REF!,7,FALSE),"")</f>
        <v/>
      </c>
    </row>
    <row r="66" spans="1:23" x14ac:dyDescent="0.25">
      <c r="A66" s="313">
        <v>1</v>
      </c>
      <c r="C66" s="313">
        <f t="shared" ref="C66:C129" si="5">IF(E66=E65,C65+1,1)</f>
        <v>4</v>
      </c>
      <c r="D66" s="313">
        <f t="shared" ref="D66:D129" si="6">IF(M66=M65,D65,C66)</f>
        <v>2</v>
      </c>
      <c r="E66" s="313">
        <f t="shared" ref="E66:E129" si="7">10+VALUE(RIGHT(LEFT(G66,3),1))</f>
        <v>13</v>
      </c>
      <c r="F66" s="313" t="str">
        <f t="shared" ref="F66:F129" si="8">RIGHT(G66,2) &amp; IF(A66&lt;2,"x","")</f>
        <v>crx</v>
      </c>
      <c r="G66" s="313" t="s">
        <v>642</v>
      </c>
      <c r="H66" s="313" t="s">
        <v>643</v>
      </c>
      <c r="I66" s="313" t="s">
        <v>644</v>
      </c>
      <c r="K66" s="314">
        <f t="shared" ref="K66:K129" si="9">LOOKUP(1E+100,M66:AC66)</f>
        <v>2019.1725953669204</v>
      </c>
      <c r="M66" s="314">
        <v>2000</v>
      </c>
      <c r="N66" s="313">
        <v>2019.1725953669204</v>
      </c>
      <c r="R66" s="313" t="str">
        <f>IF(AND((J66="This"),(L66="Only")),VLOOKUP(G66,#REF!,7,FALSE),"")</f>
        <v/>
      </c>
    </row>
    <row r="67" spans="1:23" x14ac:dyDescent="0.25">
      <c r="A67" s="313">
        <v>4</v>
      </c>
      <c r="C67" s="313">
        <f t="shared" si="5"/>
        <v>5</v>
      </c>
      <c r="D67" s="313">
        <f t="shared" si="6"/>
        <v>2</v>
      </c>
      <c r="E67" s="313">
        <f t="shared" si="7"/>
        <v>13</v>
      </c>
      <c r="F67" s="313" t="str">
        <f t="shared" si="8"/>
        <v>pm</v>
      </c>
      <c r="G67" s="313" t="s">
        <v>645</v>
      </c>
      <c r="H67" s="313" t="s">
        <v>207</v>
      </c>
      <c r="I67" s="313" t="s">
        <v>646</v>
      </c>
      <c r="K67" s="314">
        <f t="shared" si="9"/>
        <v>2168.0055370911878</v>
      </c>
      <c r="M67" s="314">
        <v>2000</v>
      </c>
      <c r="N67" s="313">
        <v>2136.3174765642048</v>
      </c>
      <c r="R67" s="313" t="str">
        <f>IF(AND((J67="This"),(L67="Only")),VLOOKUP(G67,#REF!,7,FALSE),"")</f>
        <v/>
      </c>
      <c r="U67" s="313">
        <v>2179.8632995599451</v>
      </c>
      <c r="W67" s="313">
        <v>2168.0055370911878</v>
      </c>
    </row>
    <row r="68" spans="1:23" x14ac:dyDescent="0.25">
      <c r="A68" s="313">
        <v>6</v>
      </c>
      <c r="C68" s="313">
        <f t="shared" si="5"/>
        <v>6</v>
      </c>
      <c r="D68" s="313">
        <f t="shared" si="6"/>
        <v>2</v>
      </c>
      <c r="E68" s="313">
        <f t="shared" si="7"/>
        <v>13</v>
      </c>
      <c r="F68" s="313" t="str">
        <f t="shared" si="8"/>
        <v>pm</v>
      </c>
      <c r="G68" s="313" t="s">
        <v>260</v>
      </c>
      <c r="H68" s="313" t="s">
        <v>204</v>
      </c>
      <c r="I68" s="313" t="s">
        <v>259</v>
      </c>
      <c r="K68" s="314">
        <f t="shared" si="9"/>
        <v>2114.218467395664</v>
      </c>
      <c r="M68" s="314">
        <v>2000</v>
      </c>
      <c r="N68" s="313">
        <v>2121.6308368759796</v>
      </c>
      <c r="P68" s="313">
        <v>2175.8772912480499</v>
      </c>
      <c r="R68" s="313" t="str">
        <f>IF(AND((J68="This"),(L68="Only")),VLOOKUP(G68,#REF!,7,FALSE),"")</f>
        <v/>
      </c>
      <c r="S68" s="313">
        <v>2102.4237747330426</v>
      </c>
      <c r="U68" s="313">
        <v>2056.8719586490975</v>
      </c>
      <c r="W68" s="313">
        <v>2114.218467395664</v>
      </c>
    </row>
    <row r="69" spans="1:23" x14ac:dyDescent="0.25">
      <c r="A69" s="313">
        <v>3</v>
      </c>
      <c r="C69" s="313">
        <f t="shared" si="5"/>
        <v>7</v>
      </c>
      <c r="D69" s="313">
        <f t="shared" si="6"/>
        <v>2</v>
      </c>
      <c r="E69" s="313">
        <f t="shared" si="7"/>
        <v>13</v>
      </c>
      <c r="F69" s="313" t="str">
        <f t="shared" si="8"/>
        <v>pm</v>
      </c>
      <c r="G69" s="313" t="s">
        <v>647</v>
      </c>
      <c r="H69" s="313" t="s">
        <v>473</v>
      </c>
      <c r="I69" s="313" t="s">
        <v>648</v>
      </c>
      <c r="K69" s="314">
        <f t="shared" si="9"/>
        <v>2032.4693952819664</v>
      </c>
      <c r="M69" s="314">
        <v>2000</v>
      </c>
      <c r="R69" s="313" t="str">
        <f>IF(AND((J69="This"),(L69="Only")),VLOOKUP(G69,#REF!,7,FALSE),"")</f>
        <v/>
      </c>
      <c r="S69" s="313">
        <v>2019.5944937514193</v>
      </c>
      <c r="U69" s="313">
        <v>2032.4693952819664</v>
      </c>
    </row>
    <row r="70" spans="1:23" x14ac:dyDescent="0.25">
      <c r="A70" s="313">
        <v>1</v>
      </c>
      <c r="C70" s="313">
        <f t="shared" si="5"/>
        <v>8</v>
      </c>
      <c r="D70" s="313">
        <f t="shared" si="6"/>
        <v>2</v>
      </c>
      <c r="E70" s="313">
        <f t="shared" si="7"/>
        <v>13</v>
      </c>
      <c r="F70" s="313" t="str">
        <f t="shared" si="8"/>
        <v>pmx</v>
      </c>
      <c r="G70" s="313" t="s">
        <v>649</v>
      </c>
      <c r="H70" s="313" t="s">
        <v>650</v>
      </c>
      <c r="I70" s="313" t="s">
        <v>651</v>
      </c>
      <c r="K70" s="314">
        <f t="shared" si="9"/>
        <v>2103.1493812409949</v>
      </c>
      <c r="M70" s="314">
        <v>2000</v>
      </c>
      <c r="R70" s="313" t="str">
        <f>IF(AND((J70="This"),(L70="Only")),VLOOKUP(G70,#REF!,7,FALSE),"")</f>
        <v/>
      </c>
      <c r="U70" s="313">
        <v>2103.1493812409949</v>
      </c>
    </row>
    <row r="71" spans="1:23" x14ac:dyDescent="0.25">
      <c r="A71" s="313">
        <v>3</v>
      </c>
      <c r="C71" s="313">
        <f t="shared" si="5"/>
        <v>9</v>
      </c>
      <c r="D71" s="313">
        <f t="shared" si="6"/>
        <v>2</v>
      </c>
      <c r="E71" s="313">
        <f t="shared" si="7"/>
        <v>13</v>
      </c>
      <c r="F71" s="313" t="str">
        <f t="shared" si="8"/>
        <v>pm</v>
      </c>
      <c r="G71" s="313" t="s">
        <v>652</v>
      </c>
      <c r="H71" s="313" t="s">
        <v>282</v>
      </c>
      <c r="I71" s="313" t="s">
        <v>653</v>
      </c>
      <c r="K71" s="314">
        <f t="shared" si="9"/>
        <v>2126.7732935713634</v>
      </c>
      <c r="M71" s="314">
        <v>2000</v>
      </c>
      <c r="N71" s="313">
        <v>2068.8673410456058</v>
      </c>
      <c r="R71" s="313" t="str">
        <f>IF(AND((J71="This"),(L71="Only")),VLOOKUP(G71,#REF!,7,FALSE),"")</f>
        <v/>
      </c>
      <c r="U71" s="313">
        <v>2126.7732935713634</v>
      </c>
    </row>
    <row r="72" spans="1:23" x14ac:dyDescent="0.25">
      <c r="A72" s="313">
        <v>2</v>
      </c>
      <c r="C72" s="313">
        <f t="shared" si="5"/>
        <v>10</v>
      </c>
      <c r="D72" s="313">
        <f t="shared" si="6"/>
        <v>2</v>
      </c>
      <c r="E72" s="313">
        <f t="shared" si="7"/>
        <v>13</v>
      </c>
      <c r="F72" s="313" t="str">
        <f t="shared" si="8"/>
        <v>pm</v>
      </c>
      <c r="G72" s="313" t="s">
        <v>654</v>
      </c>
      <c r="H72" s="313" t="s">
        <v>559</v>
      </c>
      <c r="I72" s="313" t="s">
        <v>655</v>
      </c>
      <c r="K72" s="314">
        <f t="shared" si="9"/>
        <v>2070.7625433400967</v>
      </c>
      <c r="M72" s="314">
        <v>2000</v>
      </c>
      <c r="R72" s="313" t="str">
        <f>IF(AND((J72="This"),(L72="Only")),VLOOKUP(G72,#REF!,7,FALSE),"")</f>
        <v/>
      </c>
      <c r="S72" s="313">
        <v>2070.7625433400967</v>
      </c>
    </row>
    <row r="73" spans="1:23" x14ac:dyDescent="0.25">
      <c r="A73" s="313">
        <v>2</v>
      </c>
      <c r="C73" s="313">
        <f t="shared" si="5"/>
        <v>11</v>
      </c>
      <c r="D73" s="313">
        <f t="shared" si="6"/>
        <v>2</v>
      </c>
      <c r="E73" s="313">
        <f t="shared" si="7"/>
        <v>13</v>
      </c>
      <c r="F73" s="313" t="str">
        <f t="shared" si="8"/>
        <v>pm</v>
      </c>
      <c r="G73" s="313" t="s">
        <v>656</v>
      </c>
      <c r="H73" s="313" t="s">
        <v>559</v>
      </c>
      <c r="I73" s="313" t="s">
        <v>657</v>
      </c>
      <c r="K73" s="314">
        <f t="shared" si="9"/>
        <v>1981.8462673264924</v>
      </c>
      <c r="M73" s="314">
        <v>2000</v>
      </c>
      <c r="R73" s="313" t="str">
        <f>IF(AND((J73="This"),(L73="Only")),VLOOKUP(G73,#REF!,7,FALSE),"")</f>
        <v/>
      </c>
      <c r="S73" s="313">
        <v>1981.8462673264924</v>
      </c>
    </row>
    <row r="74" spans="1:23" x14ac:dyDescent="0.25">
      <c r="A74" s="313">
        <v>2</v>
      </c>
      <c r="C74" s="313">
        <f t="shared" si="5"/>
        <v>12</v>
      </c>
      <c r="D74" s="313">
        <f t="shared" si="6"/>
        <v>2</v>
      </c>
      <c r="E74" s="313">
        <f t="shared" si="7"/>
        <v>13</v>
      </c>
      <c r="F74" s="313" t="str">
        <f t="shared" si="8"/>
        <v>pm</v>
      </c>
      <c r="G74" s="313" t="s">
        <v>658</v>
      </c>
      <c r="H74" s="313" t="s">
        <v>559</v>
      </c>
      <c r="I74" s="313" t="s">
        <v>659</v>
      </c>
      <c r="K74" s="314">
        <f t="shared" si="9"/>
        <v>2007.9837421737384</v>
      </c>
      <c r="M74" s="314">
        <v>2000</v>
      </c>
      <c r="R74" s="313" t="str">
        <f>IF(AND((J74="This"),(L74="Only")),VLOOKUP(G74,#REF!,7,FALSE),"")</f>
        <v/>
      </c>
      <c r="W74" s="313">
        <v>2007.9837421737384</v>
      </c>
    </row>
    <row r="75" spans="1:23" x14ac:dyDescent="0.25">
      <c r="A75" s="313">
        <v>3</v>
      </c>
      <c r="C75" s="313">
        <f t="shared" si="5"/>
        <v>13</v>
      </c>
      <c r="D75" s="313">
        <f t="shared" si="6"/>
        <v>2</v>
      </c>
      <c r="E75" s="313">
        <f t="shared" si="7"/>
        <v>13</v>
      </c>
      <c r="F75" s="313" t="str">
        <f t="shared" si="8"/>
        <v>pm</v>
      </c>
      <c r="G75" s="313" t="s">
        <v>660</v>
      </c>
      <c r="H75" s="313" t="s">
        <v>505</v>
      </c>
      <c r="I75" s="313" t="s">
        <v>661</v>
      </c>
      <c r="K75" s="314">
        <f t="shared" si="9"/>
        <v>1852.6607629227449</v>
      </c>
      <c r="M75" s="314">
        <v>2000</v>
      </c>
      <c r="P75" s="313">
        <v>1982.4597396585023</v>
      </c>
      <c r="R75" s="313" t="str">
        <f>IF(AND((J75="This"),(L75="Only")),VLOOKUP(G75,#REF!,7,FALSE),"")</f>
        <v/>
      </c>
      <c r="S75" s="313">
        <v>1890.178619221768</v>
      </c>
      <c r="W75" s="313">
        <v>1852.6607629227449</v>
      </c>
    </row>
    <row r="76" spans="1:23" x14ac:dyDescent="0.25">
      <c r="A76" s="313">
        <v>3</v>
      </c>
      <c r="C76" s="313">
        <f t="shared" si="5"/>
        <v>14</v>
      </c>
      <c r="D76" s="313">
        <f t="shared" si="6"/>
        <v>2</v>
      </c>
      <c r="E76" s="313">
        <f t="shared" si="7"/>
        <v>13</v>
      </c>
      <c r="F76" s="313" t="str">
        <f t="shared" si="8"/>
        <v>pm</v>
      </c>
      <c r="G76" s="313" t="s">
        <v>662</v>
      </c>
      <c r="H76" s="313" t="s">
        <v>505</v>
      </c>
      <c r="I76" s="313" t="s">
        <v>663</v>
      </c>
      <c r="K76" s="314">
        <f t="shared" si="9"/>
        <v>1832.1637689168383</v>
      </c>
      <c r="M76" s="314">
        <v>2000</v>
      </c>
      <c r="P76" s="313">
        <v>1955.7555748936616</v>
      </c>
      <c r="R76" s="313" t="str">
        <f>IF(AND((J76="This"),(L76="Only")),VLOOKUP(G76,#REF!,7,FALSE),"")</f>
        <v/>
      </c>
      <c r="S76" s="313">
        <v>1903.1806533714757</v>
      </c>
      <c r="W76" s="313">
        <v>1832.1637689168383</v>
      </c>
    </row>
    <row r="77" spans="1:23" x14ac:dyDescent="0.25">
      <c r="A77" s="313">
        <v>1</v>
      </c>
      <c r="C77" s="313">
        <f t="shared" si="5"/>
        <v>15</v>
      </c>
      <c r="D77" s="313">
        <f t="shared" si="6"/>
        <v>2</v>
      </c>
      <c r="E77" s="313">
        <f t="shared" si="7"/>
        <v>13</v>
      </c>
      <c r="F77" s="313" t="str">
        <f t="shared" si="8"/>
        <v>odx</v>
      </c>
      <c r="G77" s="313" t="s">
        <v>664</v>
      </c>
      <c r="H77" s="313" t="s">
        <v>665</v>
      </c>
      <c r="I77" s="313" t="s">
        <v>666</v>
      </c>
      <c r="K77" s="314">
        <f t="shared" si="9"/>
        <v>1968.9126868555159</v>
      </c>
      <c r="M77" s="314">
        <v>2000</v>
      </c>
      <c r="R77" s="313" t="str">
        <f>IF(AND((J77="This"),(L77="Only")),VLOOKUP(G77,#REF!,7,FALSE),"")</f>
        <v/>
      </c>
      <c r="U77" s="313">
        <v>1968.9126868555159</v>
      </c>
    </row>
    <row r="78" spans="1:23" x14ac:dyDescent="0.25">
      <c r="A78" s="313">
        <v>2</v>
      </c>
      <c r="C78" s="313">
        <f t="shared" si="5"/>
        <v>16</v>
      </c>
      <c r="D78" s="313">
        <f t="shared" si="6"/>
        <v>2</v>
      </c>
      <c r="E78" s="313">
        <f t="shared" si="7"/>
        <v>13</v>
      </c>
      <c r="F78" s="313" t="str">
        <f t="shared" si="8"/>
        <v>pm</v>
      </c>
      <c r="G78" s="313" t="s">
        <v>667</v>
      </c>
      <c r="H78" s="313" t="s">
        <v>201</v>
      </c>
      <c r="I78" s="313" t="s">
        <v>668</v>
      </c>
      <c r="K78" s="314">
        <f t="shared" si="9"/>
        <v>2048.3591129165875</v>
      </c>
      <c r="M78" s="314">
        <v>2000</v>
      </c>
      <c r="R78" s="313" t="str">
        <f>IF(AND((J78="This"),(L78="Only")),VLOOKUP(G78,#REF!,7,FALSE),"")</f>
        <v/>
      </c>
      <c r="U78" s="313">
        <v>1993.5078969377387</v>
      </c>
      <c r="W78" s="313">
        <v>2048.3591129165875</v>
      </c>
    </row>
    <row r="79" spans="1:23" x14ac:dyDescent="0.25">
      <c r="A79" s="313">
        <v>1</v>
      </c>
      <c r="C79" s="313">
        <f t="shared" si="5"/>
        <v>17</v>
      </c>
      <c r="D79" s="313">
        <f t="shared" si="6"/>
        <v>2</v>
      </c>
      <c r="E79" s="313">
        <f t="shared" si="7"/>
        <v>13</v>
      </c>
      <c r="F79" s="313" t="str">
        <f t="shared" si="8"/>
        <v>crx</v>
      </c>
      <c r="G79" s="313" t="s">
        <v>669</v>
      </c>
      <c r="H79" s="313" t="s">
        <v>670</v>
      </c>
      <c r="I79" s="313" t="s">
        <v>671</v>
      </c>
      <c r="K79" s="314">
        <f t="shared" si="9"/>
        <v>1965.1680982309992</v>
      </c>
      <c r="M79" s="314">
        <v>2000</v>
      </c>
      <c r="R79" s="313" t="str">
        <f>IF(AND((J79="This"),(L79="Only")),VLOOKUP(G79,#REF!,7,FALSE),"")</f>
        <v/>
      </c>
      <c r="U79" s="313">
        <v>1965.1680982309992</v>
      </c>
    </row>
    <row r="80" spans="1:23" x14ac:dyDescent="0.25">
      <c r="A80" s="313">
        <v>1</v>
      </c>
      <c r="C80" s="313">
        <f t="shared" si="5"/>
        <v>18</v>
      </c>
      <c r="D80" s="313">
        <f t="shared" si="6"/>
        <v>2</v>
      </c>
      <c r="E80" s="313">
        <f t="shared" si="7"/>
        <v>13</v>
      </c>
      <c r="F80" s="313" t="str">
        <f t="shared" si="8"/>
        <v>crx</v>
      </c>
      <c r="G80" s="313" t="s">
        <v>672</v>
      </c>
      <c r="H80" s="313" t="s">
        <v>604</v>
      </c>
      <c r="I80" s="313" t="s">
        <v>673</v>
      </c>
      <c r="K80" s="314">
        <f t="shared" si="9"/>
        <v>1940.6695289847978</v>
      </c>
      <c r="M80" s="314">
        <v>2000</v>
      </c>
      <c r="P80" s="313">
        <v>1940.6695289847978</v>
      </c>
      <c r="R80" s="313" t="str">
        <f>IF(AND((J80="This"),(L80="Only")),VLOOKUP(G80,#REF!,7,FALSE),"")</f>
        <v/>
      </c>
    </row>
    <row r="81" spans="1:24" x14ac:dyDescent="0.25">
      <c r="A81" s="313">
        <v>1</v>
      </c>
      <c r="C81" s="313">
        <f t="shared" si="5"/>
        <v>19</v>
      </c>
      <c r="D81" s="313">
        <f t="shared" si="6"/>
        <v>2</v>
      </c>
      <c r="E81" s="313">
        <f t="shared" si="7"/>
        <v>13</v>
      </c>
      <c r="F81" s="313" t="str">
        <f t="shared" si="8"/>
        <v>pmx</v>
      </c>
      <c r="G81" s="313" t="s">
        <v>674</v>
      </c>
      <c r="H81" s="313" t="s">
        <v>570</v>
      </c>
      <c r="I81" s="313" t="s">
        <v>675</v>
      </c>
      <c r="K81" s="314">
        <f t="shared" si="9"/>
        <v>2000</v>
      </c>
      <c r="M81" s="314">
        <v>2000</v>
      </c>
      <c r="R81" s="313" t="str">
        <f>IF(AND((J81="This"),(L81="Only")),VLOOKUP(G81,#REF!,7,FALSE),"")</f>
        <v/>
      </c>
    </row>
    <row r="82" spans="1:24" x14ac:dyDescent="0.25">
      <c r="A82" s="313">
        <v>1</v>
      </c>
      <c r="C82" s="313">
        <f t="shared" si="5"/>
        <v>20</v>
      </c>
      <c r="D82" s="313">
        <f t="shared" si="6"/>
        <v>2</v>
      </c>
      <c r="E82" s="313">
        <f t="shared" si="7"/>
        <v>13</v>
      </c>
      <c r="F82" s="313" t="str">
        <f t="shared" si="8"/>
        <v>pmx</v>
      </c>
      <c r="G82" s="313" t="s">
        <v>676</v>
      </c>
      <c r="H82" s="313" t="s">
        <v>570</v>
      </c>
      <c r="I82" s="313" t="s">
        <v>677</v>
      </c>
      <c r="K82" s="314">
        <f t="shared" si="9"/>
        <v>2000</v>
      </c>
      <c r="M82" s="314">
        <v>2000</v>
      </c>
      <c r="R82" s="313" t="str">
        <f>IF(AND((J82="This"),(L82="Only")),VLOOKUP(G82,#REF!,7,FALSE),"")</f>
        <v/>
      </c>
    </row>
    <row r="83" spans="1:24" x14ac:dyDescent="0.25">
      <c r="A83" s="313">
        <v>1</v>
      </c>
      <c r="C83" s="313">
        <f t="shared" si="5"/>
        <v>21</v>
      </c>
      <c r="D83" s="313">
        <f t="shared" si="6"/>
        <v>2</v>
      </c>
      <c r="E83" s="313">
        <f t="shared" si="7"/>
        <v>13</v>
      </c>
      <c r="F83" s="313" t="str">
        <f t="shared" si="8"/>
        <v>pmx</v>
      </c>
      <c r="G83" s="313" t="s">
        <v>678</v>
      </c>
      <c r="H83" s="313" t="s">
        <v>570</v>
      </c>
      <c r="I83" s="313" t="s">
        <v>679</v>
      </c>
      <c r="K83" s="314">
        <f t="shared" si="9"/>
        <v>2000</v>
      </c>
      <c r="M83" s="314">
        <v>2000</v>
      </c>
      <c r="R83" s="313" t="str">
        <f>IF(AND((J83="This"),(L83="Only")),VLOOKUP(G83,#REF!,7,FALSE),"")</f>
        <v/>
      </c>
    </row>
    <row r="84" spans="1:24" x14ac:dyDescent="0.25">
      <c r="A84" s="313">
        <v>1</v>
      </c>
      <c r="C84" s="313">
        <f t="shared" si="5"/>
        <v>22</v>
      </c>
      <c r="D84" s="313">
        <f t="shared" si="6"/>
        <v>2</v>
      </c>
      <c r="E84" s="313">
        <f t="shared" si="7"/>
        <v>13</v>
      </c>
      <c r="F84" s="313" t="str">
        <f t="shared" si="8"/>
        <v>pmx</v>
      </c>
      <c r="G84" s="313" t="s">
        <v>680</v>
      </c>
      <c r="H84" s="313" t="s">
        <v>570</v>
      </c>
      <c r="I84" s="313" t="s">
        <v>681</v>
      </c>
      <c r="K84" s="314">
        <f t="shared" si="9"/>
        <v>2000</v>
      </c>
      <c r="M84" s="314">
        <v>2000</v>
      </c>
      <c r="R84" s="313" t="str">
        <f>IF(AND((J84="This"),(L84="Only")),VLOOKUP(G84,#REF!,7,FALSE),"")</f>
        <v/>
      </c>
    </row>
    <row r="85" spans="1:24" x14ac:dyDescent="0.25">
      <c r="A85" s="313">
        <v>3</v>
      </c>
      <c r="C85" s="313">
        <f t="shared" si="5"/>
        <v>23</v>
      </c>
      <c r="D85" s="313">
        <f t="shared" si="6"/>
        <v>2</v>
      </c>
      <c r="E85" s="313">
        <f t="shared" si="7"/>
        <v>13</v>
      </c>
      <c r="F85" s="313" t="str">
        <f t="shared" si="8"/>
        <v>pm</v>
      </c>
      <c r="G85" s="313" t="s">
        <v>682</v>
      </c>
      <c r="H85" s="313" t="s">
        <v>494</v>
      </c>
      <c r="I85" s="313" t="s">
        <v>683</v>
      </c>
      <c r="K85" s="314">
        <f t="shared" si="9"/>
        <v>2221.8453806431626</v>
      </c>
      <c r="M85" s="314">
        <v>2000</v>
      </c>
      <c r="P85" s="313">
        <v>2108.9668891287279</v>
      </c>
      <c r="R85" s="313" t="str">
        <f>IF(AND((J85="This"),(L85="Only")),VLOOKUP(G85,#REF!,7,FALSE),"")</f>
        <v/>
      </c>
      <c r="W85" s="313">
        <v>2221.8453806431626</v>
      </c>
    </row>
    <row r="86" spans="1:24" x14ac:dyDescent="0.25">
      <c r="A86" s="313">
        <v>4</v>
      </c>
      <c r="C86" s="313">
        <f t="shared" si="5"/>
        <v>24</v>
      </c>
      <c r="D86" s="313">
        <f t="shared" si="6"/>
        <v>24</v>
      </c>
      <c r="E86" s="313">
        <f t="shared" si="7"/>
        <v>13</v>
      </c>
      <c r="F86" s="313" t="str">
        <f t="shared" si="8"/>
        <v>pm</v>
      </c>
      <c r="G86" s="313" t="s">
        <v>684</v>
      </c>
      <c r="H86" s="313" t="s">
        <v>281</v>
      </c>
      <c r="I86" s="313" t="s">
        <v>685</v>
      </c>
      <c r="K86" s="314">
        <f t="shared" si="9"/>
        <v>1966.4775519220375</v>
      </c>
      <c r="M86" s="314">
        <v>1950</v>
      </c>
      <c r="R86" s="313" t="str">
        <f>IF(AND((J86="This"),(L86="Only")),VLOOKUP(G86,#REF!,7,FALSE),"")</f>
        <v/>
      </c>
      <c r="S86" s="313">
        <v>2043.9635883050619</v>
      </c>
      <c r="W86" s="313">
        <v>1966.4775519220375</v>
      </c>
    </row>
    <row r="87" spans="1:24" x14ac:dyDescent="0.25">
      <c r="A87" s="313">
        <v>5</v>
      </c>
      <c r="C87" s="313">
        <f t="shared" si="5"/>
        <v>25</v>
      </c>
      <c r="D87" s="313">
        <f t="shared" si="6"/>
        <v>25</v>
      </c>
      <c r="E87" s="313">
        <f t="shared" si="7"/>
        <v>13</v>
      </c>
      <c r="F87" s="313" t="str">
        <f t="shared" si="8"/>
        <v>pm</v>
      </c>
      <c r="G87" s="313" t="s">
        <v>302</v>
      </c>
      <c r="H87" s="313" t="s">
        <v>281</v>
      </c>
      <c r="I87" s="313" t="s">
        <v>686</v>
      </c>
      <c r="K87" s="314">
        <f t="shared" si="9"/>
        <v>1699.5013431577072</v>
      </c>
      <c r="M87" s="314">
        <v>1920</v>
      </c>
      <c r="P87" s="313">
        <v>1850.7216154182379</v>
      </c>
      <c r="R87" s="313" t="str">
        <f>IF(AND((J87="This"),(L87="Only")),VLOOKUP(G87,#REF!,7,FALSE),"")</f>
        <v/>
      </c>
      <c r="S87" s="313">
        <v>1725.6641033884546</v>
      </c>
      <c r="W87" s="313">
        <v>1699.5013431577072</v>
      </c>
    </row>
    <row r="88" spans="1:24" x14ac:dyDescent="0.25">
      <c r="A88" s="313">
        <v>3</v>
      </c>
      <c r="C88" s="313">
        <f t="shared" si="5"/>
        <v>26</v>
      </c>
      <c r="D88" s="313">
        <f t="shared" si="6"/>
        <v>26</v>
      </c>
      <c r="E88" s="313">
        <f t="shared" si="7"/>
        <v>13</v>
      </c>
      <c r="F88" s="313" t="str">
        <f t="shared" si="8"/>
        <v>pm</v>
      </c>
      <c r="G88" s="313" t="s">
        <v>687</v>
      </c>
      <c r="H88" s="313" t="s">
        <v>688</v>
      </c>
      <c r="I88" s="313" t="s">
        <v>688</v>
      </c>
      <c r="K88" s="314">
        <f t="shared" si="9"/>
        <v>1853.6534291311473</v>
      </c>
      <c r="M88" s="314">
        <v>1800</v>
      </c>
      <c r="O88" s="313">
        <v>1834.3577946522198</v>
      </c>
      <c r="R88" s="313" t="str">
        <f>IF(AND((J88="This"),(L88="Only")),VLOOKUP(G88,#REF!,7,FALSE),"")</f>
        <v/>
      </c>
      <c r="S88" s="313">
        <v>1820.8676337248239</v>
      </c>
      <c r="V88" s="313">
        <v>1853.6534291311473</v>
      </c>
    </row>
    <row r="89" spans="1:24" x14ac:dyDescent="0.25">
      <c r="A89" s="313">
        <v>1</v>
      </c>
      <c r="C89" s="313">
        <f t="shared" si="5"/>
        <v>27</v>
      </c>
      <c r="D89" s="313">
        <f t="shared" si="6"/>
        <v>26</v>
      </c>
      <c r="E89" s="313">
        <f t="shared" si="7"/>
        <v>13</v>
      </c>
      <c r="F89" s="313" t="str">
        <f t="shared" si="8"/>
        <v>crx</v>
      </c>
      <c r="G89" s="313" t="s">
        <v>689</v>
      </c>
      <c r="H89" s="313" t="s">
        <v>690</v>
      </c>
      <c r="I89" s="313" t="s">
        <v>691</v>
      </c>
      <c r="K89" s="314">
        <f t="shared" si="9"/>
        <v>1860.0180291254051</v>
      </c>
      <c r="M89" s="314">
        <v>1800</v>
      </c>
      <c r="O89" s="313">
        <v>1860.0180291254051</v>
      </c>
      <c r="R89" s="313" t="str">
        <f>IF(AND((J89="This"),(L89="Only")),VLOOKUP(G89,#REF!,7,FALSE),"")</f>
        <v/>
      </c>
    </row>
    <row r="90" spans="1:24" x14ac:dyDescent="0.25">
      <c r="A90" s="313">
        <v>5</v>
      </c>
      <c r="C90" s="313">
        <f t="shared" si="5"/>
        <v>28</v>
      </c>
      <c r="D90" s="313">
        <f t="shared" si="6"/>
        <v>28</v>
      </c>
      <c r="E90" s="313">
        <f t="shared" si="7"/>
        <v>13</v>
      </c>
      <c r="F90" s="313" t="str">
        <f t="shared" si="8"/>
        <v>pm</v>
      </c>
      <c r="G90" s="313" t="s">
        <v>218</v>
      </c>
      <c r="H90" s="313" t="s">
        <v>219</v>
      </c>
      <c r="I90" s="313" t="s">
        <v>377</v>
      </c>
      <c r="K90" s="314">
        <f t="shared" si="9"/>
        <v>1852.7901971715694</v>
      </c>
      <c r="M90" s="314">
        <v>1760</v>
      </c>
      <c r="O90" s="313">
        <v>1754.0671620760272</v>
      </c>
      <c r="R90" s="313" t="str">
        <f>IF(AND((J90="This"),(L90="Only")),VLOOKUP(G90,#REF!,7,FALSE),"")</f>
        <v/>
      </c>
      <c r="S90" s="313">
        <v>1795.4888670336384</v>
      </c>
      <c r="W90" s="313">
        <v>1879.4957453076413</v>
      </c>
      <c r="X90" s="313">
        <v>1852.7901971715694</v>
      </c>
    </row>
    <row r="91" spans="1:24" x14ac:dyDescent="0.25">
      <c r="A91" s="313">
        <v>3</v>
      </c>
      <c r="C91" s="313">
        <f t="shared" si="5"/>
        <v>29</v>
      </c>
      <c r="D91" s="313">
        <f t="shared" si="6"/>
        <v>29</v>
      </c>
      <c r="E91" s="313">
        <f t="shared" si="7"/>
        <v>13</v>
      </c>
      <c r="F91" s="313" t="str">
        <f t="shared" si="8"/>
        <v>pm</v>
      </c>
      <c r="G91" s="313" t="s">
        <v>304</v>
      </c>
      <c r="H91" s="313" t="s">
        <v>213</v>
      </c>
      <c r="I91" s="313" t="s">
        <v>303</v>
      </c>
      <c r="K91" s="314">
        <f t="shared" si="9"/>
        <v>1840.7252067753311</v>
      </c>
      <c r="M91" s="314">
        <v>1733.3333333333333</v>
      </c>
      <c r="O91" s="313">
        <v>1800.3799320591111</v>
      </c>
      <c r="R91" s="313" t="str">
        <f>IF(AND((J91="This"),(L91="Only")),VLOOKUP(G91,#REF!,7,FALSE),"")</f>
        <v/>
      </c>
      <c r="W91" s="313">
        <v>1855.4692952764783</v>
      </c>
      <c r="X91" s="313">
        <v>1840.7252067753311</v>
      </c>
    </row>
    <row r="92" spans="1:24" x14ac:dyDescent="0.25">
      <c r="A92" s="313">
        <v>3</v>
      </c>
      <c r="C92" s="313">
        <f t="shared" si="5"/>
        <v>30</v>
      </c>
      <c r="D92" s="313">
        <f t="shared" si="6"/>
        <v>29</v>
      </c>
      <c r="E92" s="313">
        <f t="shared" si="7"/>
        <v>13</v>
      </c>
      <c r="F92" s="313" t="str">
        <f t="shared" si="8"/>
        <v>pm</v>
      </c>
      <c r="G92" s="313" t="s">
        <v>692</v>
      </c>
      <c r="H92" s="313" t="s">
        <v>559</v>
      </c>
      <c r="I92" s="313" t="s">
        <v>693</v>
      </c>
      <c r="K92" s="314">
        <f t="shared" si="9"/>
        <v>1767.6030214270597</v>
      </c>
      <c r="M92" s="314">
        <v>1733.3333333333333</v>
      </c>
      <c r="R92" s="313" t="str">
        <f>IF(AND((J92="This"),(L92="Only")),VLOOKUP(G92,#REF!,7,FALSE),"")</f>
        <v/>
      </c>
      <c r="S92" s="313">
        <v>1767.6030214270597</v>
      </c>
    </row>
    <row r="93" spans="1:24" x14ac:dyDescent="0.25">
      <c r="A93" s="313">
        <v>5</v>
      </c>
      <c r="C93" s="313">
        <f t="shared" si="5"/>
        <v>31</v>
      </c>
      <c r="D93" s="313">
        <f t="shared" si="6"/>
        <v>31</v>
      </c>
      <c r="E93" s="313">
        <f t="shared" si="7"/>
        <v>13</v>
      </c>
      <c r="F93" s="313" t="str">
        <f t="shared" si="8"/>
        <v>pm</v>
      </c>
      <c r="G93" s="313" t="s">
        <v>509</v>
      </c>
      <c r="H93" s="313" t="s">
        <v>510</v>
      </c>
      <c r="I93" s="313" t="s">
        <v>508</v>
      </c>
      <c r="K93" s="314">
        <f t="shared" si="9"/>
        <v>1857.7120355940935</v>
      </c>
      <c r="M93" s="314">
        <v>1680</v>
      </c>
      <c r="O93" s="313">
        <v>1727.4141373732955</v>
      </c>
      <c r="R93" s="313" t="str">
        <f>IF(AND((J93="This"),(L93="Only")),VLOOKUP(G93,#REF!,7,FALSE),"")</f>
        <v/>
      </c>
      <c r="S93" s="313">
        <v>1802.3707013759865</v>
      </c>
      <c r="U93" s="313">
        <v>1818.9402748303323</v>
      </c>
      <c r="V93" s="313">
        <v>1868.4106312164884</v>
      </c>
      <c r="X93" s="313">
        <v>1857.7120355940935</v>
      </c>
    </row>
    <row r="94" spans="1:24" x14ac:dyDescent="0.25">
      <c r="A94" s="313">
        <v>5</v>
      </c>
      <c r="C94" s="313">
        <f t="shared" si="5"/>
        <v>32</v>
      </c>
      <c r="D94" s="313">
        <f t="shared" si="6"/>
        <v>31</v>
      </c>
      <c r="E94" s="313">
        <f t="shared" si="7"/>
        <v>13</v>
      </c>
      <c r="F94" s="313" t="str">
        <f t="shared" si="8"/>
        <v>pm</v>
      </c>
      <c r="G94" s="313" t="s">
        <v>512</v>
      </c>
      <c r="H94" s="313" t="s">
        <v>510</v>
      </c>
      <c r="I94" s="313" t="s">
        <v>511</v>
      </c>
      <c r="K94" s="314">
        <f t="shared" si="9"/>
        <v>1571.8701672086986</v>
      </c>
      <c r="M94" s="314">
        <v>1680</v>
      </c>
      <c r="O94" s="313">
        <v>1638.9266878949168</v>
      </c>
      <c r="R94" s="313" t="str">
        <f>IF(AND((J94="This"),(L94="Only")),VLOOKUP(G94,#REF!,7,FALSE),"")</f>
        <v/>
      </c>
      <c r="S94" s="313">
        <v>1615.8472257401343</v>
      </c>
      <c r="V94" s="313">
        <v>1532.3959580712301</v>
      </c>
      <c r="X94" s="313">
        <v>1571.8701672086986</v>
      </c>
    </row>
    <row r="95" spans="1:24" x14ac:dyDescent="0.25">
      <c r="A95" s="313">
        <v>2</v>
      </c>
      <c r="C95" s="313">
        <f t="shared" si="5"/>
        <v>33</v>
      </c>
      <c r="D95" s="313">
        <f t="shared" si="6"/>
        <v>33</v>
      </c>
      <c r="E95" s="313">
        <f t="shared" si="7"/>
        <v>13</v>
      </c>
      <c r="F95" s="313" t="str">
        <f t="shared" si="8"/>
        <v>cr</v>
      </c>
      <c r="G95" s="313" t="s">
        <v>255</v>
      </c>
      <c r="H95" s="313" t="s">
        <v>209</v>
      </c>
      <c r="I95" s="313" t="s">
        <v>179</v>
      </c>
      <c r="K95" s="314">
        <f t="shared" si="9"/>
        <v>1973.9613648967495</v>
      </c>
      <c r="M95" s="314">
        <v>1600</v>
      </c>
      <c r="R95" s="313" t="str">
        <f>IF(AND((J95="This"),(L95="Only")),VLOOKUP(G95,#REF!,7,FALSE),"")</f>
        <v/>
      </c>
      <c r="X95" s="313">
        <v>1973.9613648967495</v>
      </c>
    </row>
    <row r="96" spans="1:24" x14ac:dyDescent="0.25">
      <c r="A96" s="313">
        <v>3</v>
      </c>
      <c r="C96" s="313">
        <f t="shared" si="5"/>
        <v>34</v>
      </c>
      <c r="D96" s="313">
        <f t="shared" si="6"/>
        <v>33</v>
      </c>
      <c r="E96" s="313">
        <f t="shared" si="7"/>
        <v>13</v>
      </c>
      <c r="F96" s="313" t="str">
        <f t="shared" si="8"/>
        <v>cr</v>
      </c>
      <c r="G96" s="313" t="s">
        <v>221</v>
      </c>
      <c r="H96" s="313" t="s">
        <v>209</v>
      </c>
      <c r="I96" s="313" t="s">
        <v>181</v>
      </c>
      <c r="K96" s="314">
        <f t="shared" si="9"/>
        <v>1637.3083549280275</v>
      </c>
      <c r="M96" s="314">
        <v>1600</v>
      </c>
      <c r="R96" s="313" t="str">
        <f>IF(AND((J96="This"),(L96="Only")),VLOOKUP(G96,#REF!,7,FALSE),"")</f>
        <v/>
      </c>
      <c r="S96" s="313">
        <v>1637.3083549280275</v>
      </c>
    </row>
    <row r="97" spans="1:24" x14ac:dyDescent="0.25">
      <c r="A97" s="313">
        <v>1</v>
      </c>
      <c r="C97" s="313">
        <f t="shared" si="5"/>
        <v>35</v>
      </c>
      <c r="D97" s="313">
        <f t="shared" si="6"/>
        <v>33</v>
      </c>
      <c r="E97" s="313">
        <f t="shared" si="7"/>
        <v>13</v>
      </c>
      <c r="F97" s="313" t="str">
        <f t="shared" si="8"/>
        <v>crx</v>
      </c>
      <c r="G97" s="313" t="s">
        <v>694</v>
      </c>
      <c r="H97" s="313" t="s">
        <v>209</v>
      </c>
      <c r="I97" s="313" t="s">
        <v>695</v>
      </c>
      <c r="K97" s="314">
        <f t="shared" si="9"/>
        <v>1523.7931400751718</v>
      </c>
      <c r="M97" s="314">
        <v>1600</v>
      </c>
      <c r="R97" s="313" t="str">
        <f>IF(AND((J97="This"),(L97="Only")),VLOOKUP(G97,#REF!,7,FALSE),"")</f>
        <v/>
      </c>
      <c r="S97" s="313">
        <v>1523.7931400751718</v>
      </c>
    </row>
    <row r="98" spans="1:24" x14ac:dyDescent="0.25">
      <c r="A98" s="313">
        <v>5</v>
      </c>
      <c r="C98" s="313">
        <f t="shared" si="5"/>
        <v>36</v>
      </c>
      <c r="D98" s="313">
        <f t="shared" si="6"/>
        <v>33</v>
      </c>
      <c r="E98" s="313">
        <f t="shared" si="7"/>
        <v>13</v>
      </c>
      <c r="F98" s="313" t="str">
        <f t="shared" si="8"/>
        <v>pm</v>
      </c>
      <c r="G98" s="313" t="s">
        <v>696</v>
      </c>
      <c r="H98" s="313" t="s">
        <v>697</v>
      </c>
      <c r="I98" s="313" t="s">
        <v>698</v>
      </c>
      <c r="K98" s="314">
        <f t="shared" si="9"/>
        <v>1467.8957556218759</v>
      </c>
      <c r="M98" s="314">
        <v>1600</v>
      </c>
      <c r="O98" s="313">
        <v>1543.1379599637289</v>
      </c>
      <c r="R98" s="313" t="str">
        <f>IF(AND((J98="This"),(L98="Only")),VLOOKUP(G98,#REF!,7,FALSE),"")</f>
        <v/>
      </c>
      <c r="T98" s="313">
        <v>1458.4555688261864</v>
      </c>
      <c r="V98" s="313">
        <v>1467.8957556218759</v>
      </c>
    </row>
    <row r="99" spans="1:24" x14ac:dyDescent="0.25">
      <c r="A99" s="313">
        <v>4</v>
      </c>
      <c r="C99" s="313">
        <f t="shared" si="5"/>
        <v>37</v>
      </c>
      <c r="D99" s="313">
        <f t="shared" si="6"/>
        <v>33</v>
      </c>
      <c r="E99" s="313">
        <f t="shared" si="7"/>
        <v>13</v>
      </c>
      <c r="F99" s="313" t="str">
        <f t="shared" si="8"/>
        <v>pm</v>
      </c>
      <c r="G99" s="313" t="s">
        <v>306</v>
      </c>
      <c r="H99" s="313" t="s">
        <v>213</v>
      </c>
      <c r="I99" s="313" t="s">
        <v>305</v>
      </c>
      <c r="K99" s="314">
        <f t="shared" si="9"/>
        <v>1624.0611052715087</v>
      </c>
      <c r="M99" s="314">
        <v>1600</v>
      </c>
      <c r="O99" s="313">
        <v>1510.6135428350065</v>
      </c>
      <c r="R99" s="313" t="str">
        <f>IF(AND((J99="This"),(L99="Only")),VLOOKUP(G99,#REF!,7,FALSE),"")</f>
        <v/>
      </c>
      <c r="V99" s="313">
        <v>1605.5410773854333</v>
      </c>
      <c r="X99" s="313">
        <v>1624.0611052715087</v>
      </c>
    </row>
    <row r="100" spans="1:24" x14ac:dyDescent="0.25">
      <c r="A100" s="313">
        <v>3</v>
      </c>
      <c r="C100" s="313">
        <f t="shared" si="5"/>
        <v>38</v>
      </c>
      <c r="D100" s="313">
        <f t="shared" si="6"/>
        <v>33</v>
      </c>
      <c r="E100" s="313">
        <f t="shared" si="7"/>
        <v>13</v>
      </c>
      <c r="F100" s="313" t="str">
        <f t="shared" si="8"/>
        <v>pm</v>
      </c>
      <c r="G100" s="313" t="s">
        <v>232</v>
      </c>
      <c r="H100" s="313" t="s">
        <v>207</v>
      </c>
      <c r="I100" s="313" t="s">
        <v>486</v>
      </c>
      <c r="K100" s="314">
        <f t="shared" si="9"/>
        <v>1740.617576890636</v>
      </c>
      <c r="M100" s="314">
        <v>1600</v>
      </c>
      <c r="O100" s="313">
        <v>1640.5992668477998</v>
      </c>
      <c r="R100" s="313" t="str">
        <f>IF(AND((J100="This"),(L100="Only")),VLOOKUP(G100,#REF!,7,FALSE),"")</f>
        <v/>
      </c>
      <c r="S100" s="313">
        <v>1718.3151948204377</v>
      </c>
      <c r="X100" s="313">
        <v>1740.617576890636</v>
      </c>
    </row>
    <row r="101" spans="1:24" x14ac:dyDescent="0.25">
      <c r="A101" s="313">
        <v>3</v>
      </c>
      <c r="C101" s="313">
        <f t="shared" si="5"/>
        <v>39</v>
      </c>
      <c r="D101" s="313">
        <f t="shared" si="6"/>
        <v>33</v>
      </c>
      <c r="E101" s="313">
        <f t="shared" si="7"/>
        <v>13</v>
      </c>
      <c r="F101" s="313" t="str">
        <f t="shared" si="8"/>
        <v>pm</v>
      </c>
      <c r="G101" s="313" t="s">
        <v>245</v>
      </c>
      <c r="H101" s="313" t="s">
        <v>207</v>
      </c>
      <c r="I101" s="313" t="s">
        <v>300</v>
      </c>
      <c r="K101" s="314">
        <f t="shared" si="9"/>
        <v>1553.1146881464708</v>
      </c>
      <c r="M101" s="314">
        <v>1600</v>
      </c>
      <c r="R101" s="313" t="str">
        <f>IF(AND((J101="This"),(L101="Only")),VLOOKUP(G101,#REF!,7,FALSE),"")</f>
        <v/>
      </c>
      <c r="S101" s="313">
        <v>1612.3030183432836</v>
      </c>
      <c r="T101" s="313">
        <v>1592.2302498222155</v>
      </c>
      <c r="X101" s="313">
        <v>1553.1146881464708</v>
      </c>
    </row>
    <row r="102" spans="1:24" x14ac:dyDescent="0.25">
      <c r="A102" s="313">
        <v>3</v>
      </c>
      <c r="C102" s="313">
        <f t="shared" si="5"/>
        <v>40</v>
      </c>
      <c r="D102" s="313">
        <f t="shared" si="6"/>
        <v>33</v>
      </c>
      <c r="E102" s="313">
        <f t="shared" si="7"/>
        <v>13</v>
      </c>
      <c r="F102" s="313" t="str">
        <f t="shared" si="8"/>
        <v>pm</v>
      </c>
      <c r="G102" s="313" t="s">
        <v>299</v>
      </c>
      <c r="H102" s="313" t="s">
        <v>207</v>
      </c>
      <c r="I102" s="313" t="s">
        <v>301</v>
      </c>
      <c r="K102" s="314">
        <f t="shared" si="9"/>
        <v>1524.91900289658</v>
      </c>
      <c r="M102" s="314">
        <v>1600</v>
      </c>
      <c r="R102" s="313" t="str">
        <f>IF(AND((J102="This"),(L102="Only")),VLOOKUP(G102,#REF!,7,FALSE),"")</f>
        <v/>
      </c>
      <c r="S102" s="313">
        <v>1673.4893306775402</v>
      </c>
      <c r="T102" s="313">
        <v>1559.0584600733771</v>
      </c>
      <c r="X102" s="313">
        <v>1524.91900289658</v>
      </c>
    </row>
    <row r="103" spans="1:24" x14ac:dyDescent="0.25">
      <c r="A103" s="313">
        <v>5</v>
      </c>
      <c r="C103" s="313">
        <f t="shared" si="5"/>
        <v>41</v>
      </c>
      <c r="D103" s="313">
        <f t="shared" si="6"/>
        <v>33</v>
      </c>
      <c r="E103" s="313">
        <f t="shared" si="7"/>
        <v>13</v>
      </c>
      <c r="F103" s="313" t="str">
        <f t="shared" si="8"/>
        <v>pm</v>
      </c>
      <c r="G103" s="313" t="s">
        <v>519</v>
      </c>
      <c r="H103" s="313" t="s">
        <v>286</v>
      </c>
      <c r="I103" s="313" t="s">
        <v>518</v>
      </c>
      <c r="K103" s="314">
        <f t="shared" si="9"/>
        <v>1952.441255879969</v>
      </c>
      <c r="M103" s="314">
        <v>1600</v>
      </c>
      <c r="O103" s="313">
        <v>1728.897291095632</v>
      </c>
      <c r="R103" s="313" t="str">
        <f>IF(AND((J103="This"),(L103="Only")),VLOOKUP(G103,#REF!,7,FALSE),"")</f>
        <v/>
      </c>
      <c r="S103" s="313">
        <v>1819.6471570862507</v>
      </c>
      <c r="T103" s="313">
        <v>1880.9536423839288</v>
      </c>
      <c r="X103" s="313">
        <v>1952.441255879969</v>
      </c>
    </row>
    <row r="104" spans="1:24" x14ac:dyDescent="0.25">
      <c r="A104" s="313">
        <v>6</v>
      </c>
      <c r="C104" s="313">
        <f t="shared" si="5"/>
        <v>42</v>
      </c>
      <c r="D104" s="313">
        <f t="shared" si="6"/>
        <v>33</v>
      </c>
      <c r="E104" s="313">
        <f t="shared" si="7"/>
        <v>13</v>
      </c>
      <c r="F104" s="313" t="str">
        <f t="shared" si="8"/>
        <v>pm</v>
      </c>
      <c r="G104" s="313" t="s">
        <v>203</v>
      </c>
      <c r="H104" s="313" t="s">
        <v>204</v>
      </c>
      <c r="I104" s="313" t="s">
        <v>177</v>
      </c>
      <c r="K104" s="314">
        <f t="shared" si="9"/>
        <v>1570.045589451209</v>
      </c>
      <c r="M104" s="314">
        <v>1600</v>
      </c>
      <c r="O104" s="313">
        <v>1625.3262917022503</v>
      </c>
      <c r="R104" s="313" t="str">
        <f>IF(AND((J104="This"),(L104="Only")),VLOOKUP(G104,#REF!,7,FALSE),"")</f>
        <v/>
      </c>
      <c r="S104" s="313">
        <v>1619.5179443157126</v>
      </c>
      <c r="T104" s="313">
        <v>1693.3818306474545</v>
      </c>
      <c r="V104" s="313">
        <v>1649.1598067006576</v>
      </c>
      <c r="X104" s="313">
        <v>1570.045589451209</v>
      </c>
    </row>
    <row r="105" spans="1:24" x14ac:dyDescent="0.25">
      <c r="A105" s="313">
        <v>5</v>
      </c>
      <c r="C105" s="313">
        <f t="shared" si="5"/>
        <v>43</v>
      </c>
      <c r="D105" s="313">
        <f t="shared" si="6"/>
        <v>33</v>
      </c>
      <c r="E105" s="313">
        <f t="shared" si="7"/>
        <v>13</v>
      </c>
      <c r="F105" s="313" t="str">
        <f t="shared" si="8"/>
        <v>pm</v>
      </c>
      <c r="G105" s="313" t="s">
        <v>297</v>
      </c>
      <c r="H105" s="313" t="s">
        <v>204</v>
      </c>
      <c r="I105" s="313" t="s">
        <v>296</v>
      </c>
      <c r="K105" s="314">
        <f t="shared" si="9"/>
        <v>1455.919866359161</v>
      </c>
      <c r="M105" s="314">
        <v>1600</v>
      </c>
      <c r="R105" s="313" t="str">
        <f>IF(AND((J105="This"),(L105="Only")),VLOOKUP(G105,#REF!,7,FALSE),"")</f>
        <v/>
      </c>
      <c r="S105" s="313">
        <v>1521.1076517388424</v>
      </c>
      <c r="T105" s="313">
        <v>1577.3037892908403</v>
      </c>
      <c r="V105" s="313">
        <v>1506.9929479813056</v>
      </c>
      <c r="X105" s="313">
        <v>1455.919866359161</v>
      </c>
    </row>
    <row r="106" spans="1:24" x14ac:dyDescent="0.25">
      <c r="A106" s="313">
        <v>1</v>
      </c>
      <c r="C106" s="313">
        <f t="shared" si="5"/>
        <v>44</v>
      </c>
      <c r="D106" s="313">
        <f t="shared" si="6"/>
        <v>33</v>
      </c>
      <c r="E106" s="313">
        <f t="shared" si="7"/>
        <v>13</v>
      </c>
      <c r="F106" s="313" t="str">
        <f t="shared" si="8"/>
        <v>sox</v>
      </c>
      <c r="G106" s="313" t="s">
        <v>427</v>
      </c>
      <c r="H106" s="313" t="s">
        <v>295</v>
      </c>
      <c r="I106" s="313" t="s">
        <v>308</v>
      </c>
      <c r="K106" s="314">
        <f t="shared" si="9"/>
        <v>2031.5628240207368</v>
      </c>
      <c r="M106" s="314">
        <v>1600</v>
      </c>
      <c r="R106" s="313" t="str">
        <f>IF(AND((J106="This"),(L106="Only")),VLOOKUP(G106,#REF!,7,FALSE),"")</f>
        <v/>
      </c>
      <c r="X106" s="313">
        <v>2031.5628240207368</v>
      </c>
    </row>
    <row r="107" spans="1:24" x14ac:dyDescent="0.25">
      <c r="A107" s="313">
        <v>2</v>
      </c>
      <c r="C107" s="313">
        <f t="shared" si="5"/>
        <v>45</v>
      </c>
      <c r="D107" s="313">
        <f t="shared" si="6"/>
        <v>33</v>
      </c>
      <c r="E107" s="313">
        <f t="shared" si="7"/>
        <v>13</v>
      </c>
      <c r="F107" s="313" t="str">
        <f t="shared" si="8"/>
        <v>so</v>
      </c>
      <c r="G107" s="313" t="s">
        <v>429</v>
      </c>
      <c r="H107" s="313" t="s">
        <v>295</v>
      </c>
      <c r="I107" s="313" t="s">
        <v>428</v>
      </c>
      <c r="K107" s="314">
        <f t="shared" si="9"/>
        <v>1565.2223545511395</v>
      </c>
      <c r="M107" s="314">
        <v>1600</v>
      </c>
      <c r="R107" s="313" t="str">
        <f>IF(AND((J107="This"),(L107="Only")),VLOOKUP(G107,#REF!,7,FALSE),"")</f>
        <v/>
      </c>
      <c r="S107" s="313">
        <v>1565.2223545511395</v>
      </c>
    </row>
    <row r="108" spans="1:24" x14ac:dyDescent="0.25">
      <c r="A108" s="313">
        <v>5</v>
      </c>
      <c r="C108" s="313">
        <f t="shared" si="5"/>
        <v>46</v>
      </c>
      <c r="D108" s="313">
        <f t="shared" si="6"/>
        <v>33</v>
      </c>
      <c r="E108" s="313">
        <f t="shared" si="7"/>
        <v>13</v>
      </c>
      <c r="F108" s="313" t="str">
        <f t="shared" si="8"/>
        <v>pm</v>
      </c>
      <c r="G108" s="313" t="s">
        <v>298</v>
      </c>
      <c r="H108" s="313" t="s">
        <v>199</v>
      </c>
      <c r="I108" s="313" t="s">
        <v>366</v>
      </c>
      <c r="K108" s="314">
        <f t="shared" si="9"/>
        <v>1747.4620936172917</v>
      </c>
      <c r="M108" s="314">
        <v>1600</v>
      </c>
      <c r="O108" s="313">
        <v>1605.2989833259981</v>
      </c>
      <c r="R108" s="313" t="str">
        <f>IF(AND((J108="This"),(L108="Only")),VLOOKUP(G108,#REF!,7,FALSE),"")</f>
        <v/>
      </c>
      <c r="S108" s="313">
        <v>1690.2861109118255</v>
      </c>
      <c r="V108" s="313">
        <v>1753.5034142818647</v>
      </c>
      <c r="X108" s="313">
        <v>1747.4620936172917</v>
      </c>
    </row>
    <row r="109" spans="1:24" x14ac:dyDescent="0.25">
      <c r="A109" s="313">
        <v>6</v>
      </c>
      <c r="C109" s="313">
        <f t="shared" si="5"/>
        <v>47</v>
      </c>
      <c r="D109" s="313">
        <f t="shared" si="6"/>
        <v>33</v>
      </c>
      <c r="E109" s="313">
        <f t="shared" si="7"/>
        <v>13</v>
      </c>
      <c r="F109" s="313" t="str">
        <f t="shared" si="8"/>
        <v>pm</v>
      </c>
      <c r="G109" s="313" t="s">
        <v>413</v>
      </c>
      <c r="H109" s="313" t="s">
        <v>411</v>
      </c>
      <c r="I109" s="313" t="s">
        <v>412</v>
      </c>
      <c r="K109" s="314">
        <f t="shared" si="9"/>
        <v>1491.3545061485115</v>
      </c>
      <c r="M109" s="314">
        <v>1600</v>
      </c>
      <c r="O109" s="313">
        <v>1508.2672187375808</v>
      </c>
      <c r="R109" s="313" t="str">
        <f>IF(AND((J109="This"),(L109="Only")),VLOOKUP(G109,#REF!,7,FALSE),"")</f>
        <v/>
      </c>
      <c r="S109" s="313">
        <v>1540.7626731767975</v>
      </c>
      <c r="T109" s="313">
        <v>1618.6634729877185</v>
      </c>
      <c r="V109" s="313">
        <v>1541.5139178594579</v>
      </c>
      <c r="X109" s="313">
        <v>1491.3545061485115</v>
      </c>
    </row>
    <row r="110" spans="1:24" x14ac:dyDescent="0.25">
      <c r="A110" s="313">
        <v>4</v>
      </c>
      <c r="C110" s="313">
        <f t="shared" si="5"/>
        <v>48</v>
      </c>
      <c r="D110" s="313">
        <f t="shared" si="6"/>
        <v>33</v>
      </c>
      <c r="E110" s="313">
        <f t="shared" si="7"/>
        <v>13</v>
      </c>
      <c r="F110" s="313" t="str">
        <f t="shared" si="8"/>
        <v>pm</v>
      </c>
      <c r="G110" s="313" t="s">
        <v>243</v>
      </c>
      <c r="H110" s="313" t="s">
        <v>198</v>
      </c>
      <c r="I110" s="313" t="s">
        <v>180</v>
      </c>
      <c r="K110" s="314">
        <f t="shared" si="9"/>
        <v>1772.6865459012897</v>
      </c>
      <c r="M110" s="314">
        <v>1600</v>
      </c>
      <c r="R110" s="313" t="str">
        <f>IF(AND((J110="This"),(L110="Only")),VLOOKUP(G110,#REF!,7,FALSE),"")</f>
        <v/>
      </c>
      <c r="T110" s="313">
        <v>1669.8390646286034</v>
      </c>
      <c r="V110" s="313">
        <v>1677.3980559149245</v>
      </c>
      <c r="X110" s="313">
        <v>1772.6865459012897</v>
      </c>
    </row>
    <row r="111" spans="1:24" x14ac:dyDescent="0.25">
      <c r="A111" s="313">
        <v>3</v>
      </c>
      <c r="C111" s="313">
        <f t="shared" si="5"/>
        <v>49</v>
      </c>
      <c r="D111" s="313">
        <f t="shared" si="6"/>
        <v>33</v>
      </c>
      <c r="E111" s="313">
        <f t="shared" si="7"/>
        <v>13</v>
      </c>
      <c r="F111" s="313" t="str">
        <f t="shared" si="8"/>
        <v>pm</v>
      </c>
      <c r="G111" s="313" t="s">
        <v>699</v>
      </c>
      <c r="H111" s="313" t="s">
        <v>700</v>
      </c>
      <c r="I111" s="313" t="s">
        <v>701</v>
      </c>
      <c r="K111" s="314">
        <f t="shared" si="9"/>
        <v>1604.6972640134418</v>
      </c>
      <c r="M111" s="314">
        <v>1600</v>
      </c>
      <c r="R111" s="313" t="str">
        <f>IF(AND((J111="This"),(L111="Only")),VLOOKUP(G111,#REF!,7,FALSE),"")</f>
        <v/>
      </c>
      <c r="T111" s="313">
        <v>1604.6972640134418</v>
      </c>
    </row>
    <row r="112" spans="1:24" x14ac:dyDescent="0.25">
      <c r="A112" s="313">
        <v>1</v>
      </c>
      <c r="C112" s="313">
        <f t="shared" si="5"/>
        <v>50</v>
      </c>
      <c r="D112" s="313">
        <f t="shared" si="6"/>
        <v>33</v>
      </c>
      <c r="E112" s="313">
        <f t="shared" si="7"/>
        <v>13</v>
      </c>
      <c r="F112" s="313" t="str">
        <f t="shared" si="8"/>
        <v>sox</v>
      </c>
      <c r="G112" s="313" t="s">
        <v>309</v>
      </c>
      <c r="H112" s="313" t="s">
        <v>229</v>
      </c>
      <c r="I112" s="313" t="s">
        <v>448</v>
      </c>
      <c r="K112" s="314">
        <f t="shared" si="9"/>
        <v>1975.7224030177772</v>
      </c>
      <c r="M112" s="314">
        <v>1600</v>
      </c>
      <c r="R112" s="313" t="str">
        <f>IF(AND((J112="This"),(L112="Only")),VLOOKUP(G112,#REF!,7,FALSE),"")</f>
        <v/>
      </c>
      <c r="X112" s="313">
        <v>1975.7224030177772</v>
      </c>
    </row>
    <row r="113" spans="1:24" x14ac:dyDescent="0.25">
      <c r="A113" s="313">
        <v>5</v>
      </c>
      <c r="C113" s="313">
        <f t="shared" si="5"/>
        <v>51</v>
      </c>
      <c r="D113" s="313">
        <f t="shared" si="6"/>
        <v>33</v>
      </c>
      <c r="E113" s="313">
        <f t="shared" si="7"/>
        <v>13</v>
      </c>
      <c r="F113" s="313" t="str">
        <f t="shared" si="8"/>
        <v>pm</v>
      </c>
      <c r="G113" s="313" t="s">
        <v>702</v>
      </c>
      <c r="H113" s="313" t="s">
        <v>235</v>
      </c>
      <c r="I113" s="313" t="s">
        <v>703</v>
      </c>
      <c r="K113" s="314">
        <f t="shared" si="9"/>
        <v>1600</v>
      </c>
      <c r="M113" s="314">
        <v>1600</v>
      </c>
      <c r="R113" s="313" t="str">
        <f>IF(AND((J113="This"),(L113="Only")),VLOOKUP(G113,#REF!,7,FALSE),"")</f>
        <v/>
      </c>
    </row>
    <row r="114" spans="1:24" x14ac:dyDescent="0.25">
      <c r="A114" s="313">
        <v>6</v>
      </c>
      <c r="C114" s="313">
        <f t="shared" si="5"/>
        <v>52</v>
      </c>
      <c r="D114" s="313">
        <f t="shared" si="6"/>
        <v>33</v>
      </c>
      <c r="E114" s="313">
        <f t="shared" si="7"/>
        <v>13</v>
      </c>
      <c r="F114" s="313" t="str">
        <f t="shared" si="8"/>
        <v>pm</v>
      </c>
      <c r="G114" s="313" t="s">
        <v>249</v>
      </c>
      <c r="H114" s="313" t="s">
        <v>216</v>
      </c>
      <c r="I114" s="313" t="s">
        <v>178</v>
      </c>
      <c r="K114" s="314">
        <f t="shared" si="9"/>
        <v>1778.9601871978155</v>
      </c>
      <c r="M114" s="314">
        <v>1600</v>
      </c>
      <c r="O114" s="313">
        <v>1645.408006056949</v>
      </c>
      <c r="R114" s="313" t="str">
        <f>IF(AND((J114="This"),(L114="Only")),VLOOKUP(G114,#REF!,7,FALSE),"")</f>
        <v/>
      </c>
      <c r="S114" s="313">
        <v>1656.4894223319777</v>
      </c>
      <c r="T114" s="313">
        <v>1696.3067637980012</v>
      </c>
      <c r="V114" s="313">
        <v>1724.0595262997672</v>
      </c>
      <c r="X114" s="313">
        <v>1778.9601871978155</v>
      </c>
    </row>
    <row r="115" spans="1:24" x14ac:dyDescent="0.25">
      <c r="A115" s="313">
        <v>2</v>
      </c>
      <c r="C115" s="313">
        <f t="shared" si="5"/>
        <v>53</v>
      </c>
      <c r="D115" s="313">
        <f t="shared" si="6"/>
        <v>33</v>
      </c>
      <c r="E115" s="313">
        <f t="shared" si="7"/>
        <v>13</v>
      </c>
      <c r="F115" s="313" t="str">
        <f t="shared" si="8"/>
        <v>cr</v>
      </c>
      <c r="G115" s="313" t="s">
        <v>704</v>
      </c>
      <c r="H115" s="313" t="s">
        <v>593</v>
      </c>
      <c r="I115" s="313" t="s">
        <v>705</v>
      </c>
      <c r="K115" s="314">
        <f t="shared" si="9"/>
        <v>1694.6591687633331</v>
      </c>
      <c r="M115" s="314">
        <v>1600</v>
      </c>
      <c r="R115" s="313" t="str">
        <f>IF(AND((J115="This"),(L115="Only")),VLOOKUP(G115,#REF!,7,FALSE),"")</f>
        <v/>
      </c>
      <c r="T115" s="313">
        <v>1694.6591687633331</v>
      </c>
    </row>
    <row r="116" spans="1:24" x14ac:dyDescent="0.25">
      <c r="A116" s="313">
        <v>2</v>
      </c>
      <c r="C116" s="313">
        <f t="shared" si="5"/>
        <v>54</v>
      </c>
      <c r="D116" s="313">
        <f t="shared" si="6"/>
        <v>33</v>
      </c>
      <c r="E116" s="313">
        <f t="shared" si="7"/>
        <v>13</v>
      </c>
      <c r="F116" s="313" t="str">
        <f t="shared" si="8"/>
        <v>cr</v>
      </c>
      <c r="G116" s="313" t="s">
        <v>706</v>
      </c>
      <c r="H116" s="313" t="s">
        <v>593</v>
      </c>
      <c r="I116" s="313" t="s">
        <v>707</v>
      </c>
      <c r="K116" s="314">
        <f t="shared" si="9"/>
        <v>1582.7925814313389</v>
      </c>
      <c r="M116" s="314">
        <v>1600</v>
      </c>
      <c r="R116" s="313" t="str">
        <f>IF(AND((J116="This"),(L116="Only")),VLOOKUP(G116,#REF!,7,FALSE),"")</f>
        <v/>
      </c>
      <c r="T116" s="313">
        <v>1582.7925814313389</v>
      </c>
    </row>
    <row r="117" spans="1:24" x14ac:dyDescent="0.25">
      <c r="A117" s="313">
        <v>2</v>
      </c>
      <c r="C117" s="313">
        <f t="shared" si="5"/>
        <v>55</v>
      </c>
      <c r="D117" s="313">
        <f t="shared" si="6"/>
        <v>33</v>
      </c>
      <c r="E117" s="313">
        <f t="shared" si="7"/>
        <v>13</v>
      </c>
      <c r="F117" s="313" t="str">
        <f t="shared" si="8"/>
        <v>pm</v>
      </c>
      <c r="G117" s="313" t="s">
        <v>708</v>
      </c>
      <c r="H117" s="313" t="s">
        <v>559</v>
      </c>
      <c r="I117" s="313" t="s">
        <v>709</v>
      </c>
      <c r="K117" s="314">
        <f t="shared" si="9"/>
        <v>1660.7607370584117</v>
      </c>
      <c r="M117" s="314">
        <v>1600</v>
      </c>
      <c r="R117" s="313" t="str">
        <f>IF(AND((J117="This"),(L117="Only")),VLOOKUP(G117,#REF!,7,FALSE),"")</f>
        <v/>
      </c>
      <c r="S117" s="313">
        <v>1660.7607370584117</v>
      </c>
    </row>
    <row r="118" spans="1:24" x14ac:dyDescent="0.25">
      <c r="A118" s="313">
        <v>2</v>
      </c>
      <c r="C118" s="313">
        <f t="shared" si="5"/>
        <v>56</v>
      </c>
      <c r="D118" s="313">
        <f t="shared" si="6"/>
        <v>33</v>
      </c>
      <c r="E118" s="313">
        <f t="shared" si="7"/>
        <v>13</v>
      </c>
      <c r="F118" s="313" t="str">
        <f t="shared" si="8"/>
        <v>pm</v>
      </c>
      <c r="G118" s="313" t="s">
        <v>710</v>
      </c>
      <c r="H118" s="313" t="s">
        <v>559</v>
      </c>
      <c r="I118" s="313" t="s">
        <v>711</v>
      </c>
      <c r="K118" s="314">
        <f t="shared" si="9"/>
        <v>1617.872536849952</v>
      </c>
      <c r="M118" s="314">
        <v>1600</v>
      </c>
      <c r="R118" s="313" t="str">
        <f>IF(AND((J118="This"),(L118="Only")),VLOOKUP(G118,#REF!,7,FALSE),"")</f>
        <v/>
      </c>
      <c r="V118" s="313">
        <v>1617.872536849952</v>
      </c>
    </row>
    <row r="119" spans="1:24" x14ac:dyDescent="0.25">
      <c r="A119" s="313">
        <v>2</v>
      </c>
      <c r="C119" s="313">
        <f t="shared" si="5"/>
        <v>57</v>
      </c>
      <c r="D119" s="313">
        <f t="shared" si="6"/>
        <v>33</v>
      </c>
      <c r="E119" s="313">
        <f t="shared" si="7"/>
        <v>13</v>
      </c>
      <c r="F119" s="313" t="str">
        <f t="shared" si="8"/>
        <v>pm</v>
      </c>
      <c r="G119" s="313" t="s">
        <v>712</v>
      </c>
      <c r="H119" s="313" t="s">
        <v>559</v>
      </c>
      <c r="I119" s="313" t="s">
        <v>713</v>
      </c>
      <c r="K119" s="314">
        <f t="shared" si="9"/>
        <v>1520.584890435453</v>
      </c>
      <c r="M119" s="314">
        <v>1600</v>
      </c>
      <c r="R119" s="313" t="str">
        <f>IF(AND((J119="This"),(L119="Only")),VLOOKUP(G119,#REF!,7,FALSE),"")</f>
        <v/>
      </c>
      <c r="S119" s="313">
        <v>1520.584890435453</v>
      </c>
    </row>
    <row r="120" spans="1:24" x14ac:dyDescent="0.25">
      <c r="A120" s="313">
        <v>2</v>
      </c>
      <c r="C120" s="313">
        <f t="shared" si="5"/>
        <v>58</v>
      </c>
      <c r="D120" s="313">
        <f t="shared" si="6"/>
        <v>33</v>
      </c>
      <c r="E120" s="313">
        <f t="shared" si="7"/>
        <v>13</v>
      </c>
      <c r="F120" s="313" t="str">
        <f t="shared" si="8"/>
        <v>pm</v>
      </c>
      <c r="G120" s="313" t="s">
        <v>714</v>
      </c>
      <c r="H120" s="313" t="s">
        <v>559</v>
      </c>
      <c r="I120" s="313" t="s">
        <v>715</v>
      </c>
      <c r="K120" s="314">
        <f t="shared" si="9"/>
        <v>1554.3863321425481</v>
      </c>
      <c r="M120" s="314">
        <v>1600</v>
      </c>
      <c r="R120" s="313" t="str">
        <f>IF(AND((J120="This"),(L120="Only")),VLOOKUP(G120,#REF!,7,FALSE),"")</f>
        <v/>
      </c>
      <c r="S120" s="313">
        <v>1554.3863321425481</v>
      </c>
    </row>
    <row r="121" spans="1:24" x14ac:dyDescent="0.25">
      <c r="A121" s="313">
        <v>5</v>
      </c>
      <c r="C121" s="313">
        <f t="shared" si="5"/>
        <v>59</v>
      </c>
      <c r="D121" s="313">
        <f t="shared" si="6"/>
        <v>33</v>
      </c>
      <c r="E121" s="313">
        <f t="shared" si="7"/>
        <v>13</v>
      </c>
      <c r="F121" s="313" t="str">
        <f t="shared" si="8"/>
        <v>pm</v>
      </c>
      <c r="G121" s="313" t="s">
        <v>376</v>
      </c>
      <c r="H121" s="313" t="s">
        <v>219</v>
      </c>
      <c r="I121" s="313" t="s">
        <v>375</v>
      </c>
      <c r="K121" s="314">
        <f t="shared" si="9"/>
        <v>1311.3008440135307</v>
      </c>
      <c r="M121" s="314">
        <v>1600</v>
      </c>
      <c r="O121" s="313">
        <v>1496.0605297120387</v>
      </c>
      <c r="R121" s="313" t="str">
        <f>IF(AND((J121="This"),(L121="Only")),VLOOKUP(G121,#REF!,7,FALSE),"")</f>
        <v/>
      </c>
      <c r="T121" s="313">
        <v>1420.2404492297683</v>
      </c>
      <c r="X121" s="313">
        <v>1311.3008440135307</v>
      </c>
    </row>
    <row r="122" spans="1:24" x14ac:dyDescent="0.25">
      <c r="A122" s="313">
        <v>2</v>
      </c>
      <c r="C122" s="313">
        <f t="shared" si="5"/>
        <v>60</v>
      </c>
      <c r="D122" s="313">
        <f t="shared" si="6"/>
        <v>33</v>
      </c>
      <c r="E122" s="313">
        <f t="shared" si="7"/>
        <v>13</v>
      </c>
      <c r="F122" s="313" t="str">
        <f t="shared" si="8"/>
        <v>pm</v>
      </c>
      <c r="G122" s="313" t="s">
        <v>489</v>
      </c>
      <c r="H122" s="313" t="s">
        <v>254</v>
      </c>
      <c r="I122" s="313" t="s">
        <v>488</v>
      </c>
      <c r="K122" s="314">
        <f t="shared" si="9"/>
        <v>1477.7407601574198</v>
      </c>
      <c r="M122" s="314">
        <v>1600</v>
      </c>
      <c r="R122" s="313" t="str">
        <f>IF(AND((J122="This"),(L122="Only")),VLOOKUP(G122,#REF!,7,FALSE),"")</f>
        <v/>
      </c>
      <c r="S122" s="313">
        <v>1510.9636495195373</v>
      </c>
      <c r="X122" s="313">
        <v>1477.7407601574198</v>
      </c>
    </row>
    <row r="123" spans="1:24" x14ac:dyDescent="0.25">
      <c r="A123" s="313">
        <v>1</v>
      </c>
      <c r="C123" s="313">
        <f t="shared" si="5"/>
        <v>61</v>
      </c>
      <c r="D123" s="313">
        <f t="shared" si="6"/>
        <v>33</v>
      </c>
      <c r="E123" s="313">
        <f t="shared" si="7"/>
        <v>13</v>
      </c>
      <c r="F123" s="313" t="str">
        <f t="shared" si="8"/>
        <v>sox</v>
      </c>
      <c r="G123" s="313" t="s">
        <v>716</v>
      </c>
      <c r="H123" s="313" t="s">
        <v>222</v>
      </c>
      <c r="I123" s="313" t="s">
        <v>717</v>
      </c>
      <c r="K123" s="314">
        <f t="shared" si="9"/>
        <v>1677.9066198304924</v>
      </c>
      <c r="M123" s="314">
        <v>1600</v>
      </c>
      <c r="R123" s="313" t="str">
        <f>IF(AND((J123="This"),(L123="Only")),VLOOKUP(G123,#REF!,7,FALSE),"")</f>
        <v/>
      </c>
      <c r="T123" s="313">
        <v>1677.9066198304924</v>
      </c>
    </row>
    <row r="124" spans="1:24" x14ac:dyDescent="0.25">
      <c r="A124" s="313">
        <v>2</v>
      </c>
      <c r="C124" s="313">
        <f t="shared" si="5"/>
        <v>62</v>
      </c>
      <c r="D124" s="313">
        <f t="shared" si="6"/>
        <v>33</v>
      </c>
      <c r="E124" s="313">
        <f t="shared" si="7"/>
        <v>13</v>
      </c>
      <c r="F124" s="313" t="str">
        <f t="shared" si="8"/>
        <v>so</v>
      </c>
      <c r="G124" s="313" t="s">
        <v>454</v>
      </c>
      <c r="H124" s="313" t="s">
        <v>222</v>
      </c>
      <c r="I124" s="313" t="s">
        <v>453</v>
      </c>
      <c r="K124" s="314">
        <f t="shared" si="9"/>
        <v>1489.7995928955042</v>
      </c>
      <c r="M124" s="314">
        <v>1600</v>
      </c>
      <c r="R124" s="313" t="str">
        <f>IF(AND((J124="This"),(L124="Only")),VLOOKUP(G124,#REF!,7,FALSE),"")</f>
        <v/>
      </c>
      <c r="T124" s="313">
        <v>1578.5432678949517</v>
      </c>
      <c r="X124" s="313">
        <v>1489.7995928955042</v>
      </c>
    </row>
    <row r="125" spans="1:24" x14ac:dyDescent="0.25">
      <c r="A125" s="313">
        <v>7</v>
      </c>
      <c r="C125" s="313">
        <f t="shared" si="5"/>
        <v>63</v>
      </c>
      <c r="D125" s="313">
        <f t="shared" si="6"/>
        <v>33</v>
      </c>
      <c r="E125" s="313">
        <f t="shared" si="7"/>
        <v>13</v>
      </c>
      <c r="F125" s="313" t="str">
        <f t="shared" si="8"/>
        <v>pm</v>
      </c>
      <c r="G125" s="313" t="s">
        <v>248</v>
      </c>
      <c r="H125" s="313" t="s">
        <v>211</v>
      </c>
      <c r="I125" s="313" t="s">
        <v>415</v>
      </c>
      <c r="K125" s="314">
        <f t="shared" si="9"/>
        <v>1638.7065670849699</v>
      </c>
      <c r="M125" s="314">
        <v>1600</v>
      </c>
      <c r="O125" s="313">
        <v>1577.4900729060989</v>
      </c>
      <c r="R125" s="313" t="str">
        <f>IF(AND((J125="This"),(L125="Only")),VLOOKUP(G125,#REF!,7,FALSE),"")</f>
        <v/>
      </c>
      <c r="S125" s="313">
        <v>1551.9367302009932</v>
      </c>
      <c r="T125" s="313">
        <v>1570.0470154155958</v>
      </c>
      <c r="V125" s="313">
        <v>1641.1631745399584</v>
      </c>
      <c r="X125" s="313">
        <v>1638.7065670849699</v>
      </c>
    </row>
    <row r="126" spans="1:24" x14ac:dyDescent="0.25">
      <c r="A126" s="313">
        <v>5</v>
      </c>
      <c r="C126" s="313">
        <f t="shared" si="5"/>
        <v>64</v>
      </c>
      <c r="D126" s="313">
        <f t="shared" si="6"/>
        <v>33</v>
      </c>
      <c r="E126" s="313">
        <f t="shared" si="7"/>
        <v>13</v>
      </c>
      <c r="F126" s="313" t="str">
        <f t="shared" si="8"/>
        <v>pm</v>
      </c>
      <c r="G126" s="313" t="s">
        <v>261</v>
      </c>
      <c r="H126" s="313" t="s">
        <v>201</v>
      </c>
      <c r="I126" s="313" t="s">
        <v>175</v>
      </c>
      <c r="K126" s="314">
        <f t="shared" si="9"/>
        <v>1561.769821982075</v>
      </c>
      <c r="M126" s="314">
        <v>1600</v>
      </c>
      <c r="R126" s="313" t="str">
        <f>IF(AND((J126="This"),(L126="Only")),VLOOKUP(G126,#REF!,7,FALSE),"")</f>
        <v/>
      </c>
      <c r="S126" s="313">
        <v>1501.4152753915264</v>
      </c>
      <c r="T126" s="313">
        <v>1488.4874647585782</v>
      </c>
      <c r="V126" s="313">
        <v>1479.2171814305723</v>
      </c>
      <c r="X126" s="313">
        <v>1561.769821982075</v>
      </c>
    </row>
    <row r="127" spans="1:24" x14ac:dyDescent="0.25">
      <c r="A127" s="313">
        <v>5</v>
      </c>
      <c r="C127" s="313">
        <f t="shared" si="5"/>
        <v>65</v>
      </c>
      <c r="D127" s="313">
        <f t="shared" si="6"/>
        <v>33</v>
      </c>
      <c r="E127" s="313">
        <f t="shared" si="7"/>
        <v>13</v>
      </c>
      <c r="F127" s="313" t="str">
        <f t="shared" si="8"/>
        <v>pm</v>
      </c>
      <c r="G127" s="313" t="s">
        <v>226</v>
      </c>
      <c r="H127" s="313" t="s">
        <v>201</v>
      </c>
      <c r="I127" s="313" t="s">
        <v>176</v>
      </c>
      <c r="K127" s="314">
        <f t="shared" si="9"/>
        <v>1442.1293939796219</v>
      </c>
      <c r="M127" s="314">
        <v>1600</v>
      </c>
      <c r="R127" s="313" t="str">
        <f>IF(AND((J127="This"),(L127="Only")),VLOOKUP(G127,#REF!,7,FALSE),"")</f>
        <v/>
      </c>
      <c r="S127" s="313">
        <v>1526.5577404254093</v>
      </c>
      <c r="T127" s="313">
        <v>1447.3909581757298</v>
      </c>
      <c r="V127" s="313">
        <v>1425.4109540497846</v>
      </c>
      <c r="X127" s="313">
        <v>1442.1293939796219</v>
      </c>
    </row>
    <row r="128" spans="1:24" x14ac:dyDescent="0.25">
      <c r="A128" s="313">
        <v>3</v>
      </c>
      <c r="C128" s="313">
        <f t="shared" si="5"/>
        <v>66</v>
      </c>
      <c r="D128" s="313">
        <f t="shared" si="6"/>
        <v>33</v>
      </c>
      <c r="E128" s="313">
        <f t="shared" si="7"/>
        <v>13</v>
      </c>
      <c r="F128" s="313" t="str">
        <f t="shared" si="8"/>
        <v>pm</v>
      </c>
      <c r="G128" s="313" t="s">
        <v>307</v>
      </c>
      <c r="H128" s="313" t="s">
        <v>182</v>
      </c>
      <c r="I128" s="313" t="s">
        <v>399</v>
      </c>
      <c r="K128" s="314">
        <f t="shared" si="9"/>
        <v>1669.691703894817</v>
      </c>
      <c r="M128" s="314">
        <v>1600</v>
      </c>
      <c r="R128" s="313" t="str">
        <f>IF(AND((J128="This"),(L128="Only")),VLOOKUP(G128,#REF!,7,FALSE),"")</f>
        <v/>
      </c>
      <c r="S128" s="313">
        <v>1663.3222275324013</v>
      </c>
      <c r="T128" s="313">
        <v>1672.8922772837741</v>
      </c>
      <c r="X128" s="313">
        <v>1669.691703894817</v>
      </c>
    </row>
    <row r="129" spans="1:24" x14ac:dyDescent="0.25">
      <c r="A129" s="313">
        <v>5</v>
      </c>
      <c r="C129" s="313">
        <f t="shared" si="5"/>
        <v>67</v>
      </c>
      <c r="D129" s="313">
        <f t="shared" si="6"/>
        <v>33</v>
      </c>
      <c r="E129" s="313">
        <f t="shared" si="7"/>
        <v>13</v>
      </c>
      <c r="F129" s="313" t="str">
        <f t="shared" si="8"/>
        <v>pm</v>
      </c>
      <c r="G129" s="313" t="s">
        <v>381</v>
      </c>
      <c r="H129" s="313" t="s">
        <v>205</v>
      </c>
      <c r="I129" s="313" t="s">
        <v>380</v>
      </c>
      <c r="K129" s="314">
        <f t="shared" si="9"/>
        <v>1604.7543289628434</v>
      </c>
      <c r="M129" s="314">
        <v>1600</v>
      </c>
      <c r="R129" s="313" t="str">
        <f>IF(AND((J129="This"),(L129="Only")),VLOOKUP(G129,#REF!,7,FALSE),"")</f>
        <v/>
      </c>
      <c r="S129" s="313">
        <v>1571.3618286035594</v>
      </c>
      <c r="T129" s="313">
        <v>1568.1003447488174</v>
      </c>
      <c r="V129" s="313">
        <v>1571.3271481700851</v>
      </c>
      <c r="X129" s="313">
        <v>1604.7543289628434</v>
      </c>
    </row>
    <row r="130" spans="1:24" x14ac:dyDescent="0.25">
      <c r="A130" s="313">
        <v>4</v>
      </c>
      <c r="C130" s="313">
        <f t="shared" ref="C130:C193" si="10">IF(E130=E129,C129+1,1)</f>
        <v>68</v>
      </c>
      <c r="D130" s="313">
        <f t="shared" ref="D130:D193" si="11">IF(M130=M129,D129,C130)</f>
        <v>33</v>
      </c>
      <c r="E130" s="313">
        <f t="shared" ref="E130:E193" si="12">10+VALUE(RIGHT(LEFT(G130,3),1))</f>
        <v>13</v>
      </c>
      <c r="F130" s="313" t="str">
        <f t="shared" ref="F130:F193" si="13">RIGHT(G130,2) &amp; IF(A130&lt;2,"x","")</f>
        <v>pm</v>
      </c>
      <c r="G130" s="313" t="s">
        <v>493</v>
      </c>
      <c r="H130" s="313" t="s">
        <v>494</v>
      </c>
      <c r="I130" s="313" t="s">
        <v>492</v>
      </c>
      <c r="K130" s="314">
        <f t="shared" ref="K130:K193" si="14">LOOKUP(1E+100,M130:AC130)</f>
        <v>1800.6174885332118</v>
      </c>
      <c r="M130" s="314">
        <v>1600</v>
      </c>
      <c r="R130" s="313" t="str">
        <f>IF(AND((J130="This"),(L130="Only")),VLOOKUP(G130,#REF!,7,FALSE),"")</f>
        <v/>
      </c>
      <c r="S130" s="313">
        <v>1696.7395363532391</v>
      </c>
      <c r="V130" s="313">
        <v>1754.9535955038507</v>
      </c>
      <c r="X130" s="313">
        <v>1800.6174885332118</v>
      </c>
    </row>
    <row r="131" spans="1:24" x14ac:dyDescent="0.25">
      <c r="A131" s="313">
        <v>4</v>
      </c>
      <c r="C131" s="313">
        <f t="shared" si="10"/>
        <v>69</v>
      </c>
      <c r="D131" s="313">
        <f t="shared" si="11"/>
        <v>33</v>
      </c>
      <c r="E131" s="313">
        <f t="shared" si="12"/>
        <v>13</v>
      </c>
      <c r="F131" s="313" t="str">
        <f t="shared" si="13"/>
        <v>pm</v>
      </c>
      <c r="G131" s="313" t="s">
        <v>496</v>
      </c>
      <c r="H131" s="313" t="s">
        <v>494</v>
      </c>
      <c r="I131" s="313" t="s">
        <v>495</v>
      </c>
      <c r="K131" s="314">
        <f t="shared" si="14"/>
        <v>1504.9677174020592</v>
      </c>
      <c r="M131" s="314">
        <v>1600</v>
      </c>
      <c r="R131" s="313" t="str">
        <f>IF(AND((J131="This"),(L131="Only")),VLOOKUP(G131,#REF!,7,FALSE),"")</f>
        <v/>
      </c>
      <c r="S131" s="313">
        <v>1636.6616321677709</v>
      </c>
      <c r="V131" s="313">
        <v>1531.9857171026847</v>
      </c>
      <c r="X131" s="313">
        <v>1504.9677174020592</v>
      </c>
    </row>
    <row r="132" spans="1:24" x14ac:dyDescent="0.25">
      <c r="A132" s="313">
        <v>1</v>
      </c>
      <c r="C132" s="313">
        <f t="shared" si="10"/>
        <v>1</v>
      </c>
      <c r="D132" s="313">
        <f t="shared" si="11"/>
        <v>1</v>
      </c>
      <c r="E132" s="313">
        <f t="shared" si="12"/>
        <v>14</v>
      </c>
      <c r="F132" s="313" t="str">
        <f t="shared" si="13"/>
        <v>sox</v>
      </c>
      <c r="G132" s="313" t="s">
        <v>718</v>
      </c>
      <c r="H132" s="313" t="s">
        <v>719</v>
      </c>
      <c r="I132" s="313" t="s">
        <v>720</v>
      </c>
      <c r="K132" s="314">
        <f t="shared" si="14"/>
        <v>2200</v>
      </c>
      <c r="M132" s="314">
        <v>2200</v>
      </c>
      <c r="R132" s="313" t="str">
        <f>IF(AND((J132="This"),(L132="Only")),VLOOKUP(G132,#REF!,7,FALSE),"")</f>
        <v/>
      </c>
    </row>
    <row r="133" spans="1:24" x14ac:dyDescent="0.25">
      <c r="A133" s="313">
        <v>1</v>
      </c>
      <c r="C133" s="313">
        <f t="shared" si="10"/>
        <v>2</v>
      </c>
      <c r="D133" s="313">
        <f t="shared" si="11"/>
        <v>1</v>
      </c>
      <c r="E133" s="313">
        <f t="shared" si="12"/>
        <v>14</v>
      </c>
      <c r="F133" s="313" t="str">
        <f t="shared" si="13"/>
        <v>sox</v>
      </c>
      <c r="G133" s="313" t="s">
        <v>721</v>
      </c>
      <c r="H133" s="313" t="s">
        <v>575</v>
      </c>
      <c r="I133" s="313" t="s">
        <v>722</v>
      </c>
      <c r="K133" s="314">
        <f t="shared" si="14"/>
        <v>2200</v>
      </c>
      <c r="M133" s="314">
        <v>2200</v>
      </c>
      <c r="R133" s="313" t="str">
        <f>IF(AND((J133="This"),(L133="Only")),VLOOKUP(G133,#REF!,7,FALSE),"")</f>
        <v/>
      </c>
    </row>
    <row r="134" spans="1:24" x14ac:dyDescent="0.25">
      <c r="A134" s="313">
        <v>2</v>
      </c>
      <c r="C134" s="313">
        <f t="shared" si="10"/>
        <v>3</v>
      </c>
      <c r="D134" s="313">
        <f t="shared" si="11"/>
        <v>1</v>
      </c>
      <c r="E134" s="313">
        <f t="shared" si="12"/>
        <v>14</v>
      </c>
      <c r="F134" s="313" t="str">
        <f t="shared" si="13"/>
        <v>cr</v>
      </c>
      <c r="G134" s="313" t="s">
        <v>723</v>
      </c>
      <c r="H134" s="313" t="s">
        <v>209</v>
      </c>
      <c r="I134" s="313" t="s">
        <v>724</v>
      </c>
      <c r="K134" s="314">
        <f t="shared" si="14"/>
        <v>2256.4726642229521</v>
      </c>
      <c r="M134" s="314">
        <v>2200</v>
      </c>
      <c r="P134" s="313">
        <v>2256.4726642229521</v>
      </c>
      <c r="R134" s="313" t="str">
        <f>IF(AND((J134="This"),(L134="Only")),VLOOKUP(G134,#REF!,7,FALSE),"")</f>
        <v/>
      </c>
    </row>
    <row r="135" spans="1:24" x14ac:dyDescent="0.25">
      <c r="A135" s="313">
        <v>2</v>
      </c>
      <c r="C135" s="313">
        <f t="shared" si="10"/>
        <v>4</v>
      </c>
      <c r="D135" s="313">
        <f t="shared" si="11"/>
        <v>1</v>
      </c>
      <c r="E135" s="313">
        <f t="shared" si="12"/>
        <v>14</v>
      </c>
      <c r="F135" s="313" t="str">
        <f t="shared" si="13"/>
        <v>pm</v>
      </c>
      <c r="G135" s="313" t="s">
        <v>214</v>
      </c>
      <c r="H135" s="313" t="s">
        <v>213</v>
      </c>
      <c r="I135" s="313" t="s">
        <v>183</v>
      </c>
      <c r="K135" s="314">
        <f t="shared" si="14"/>
        <v>2242.8082264482937</v>
      </c>
      <c r="M135" s="314">
        <v>2200</v>
      </c>
      <c r="N135" s="313">
        <v>2242.8082264482937</v>
      </c>
      <c r="R135" s="313" t="str">
        <f>IF(AND((J135="This"),(L135="Only")),VLOOKUP(G135,#REF!,7,FALSE),"")</f>
        <v/>
      </c>
    </row>
    <row r="136" spans="1:24" x14ac:dyDescent="0.25">
      <c r="A136" s="313">
        <v>2</v>
      </c>
      <c r="C136" s="313">
        <f t="shared" si="10"/>
        <v>5</v>
      </c>
      <c r="D136" s="313">
        <f t="shared" si="11"/>
        <v>1</v>
      </c>
      <c r="E136" s="313">
        <f t="shared" si="12"/>
        <v>14</v>
      </c>
      <c r="F136" s="313" t="str">
        <f t="shared" si="13"/>
        <v>pm</v>
      </c>
      <c r="G136" s="313" t="s">
        <v>320</v>
      </c>
      <c r="H136" s="313" t="s">
        <v>213</v>
      </c>
      <c r="I136" s="313" t="s">
        <v>319</v>
      </c>
      <c r="K136" s="314">
        <f t="shared" si="14"/>
        <v>2135.8392479664076</v>
      </c>
      <c r="M136" s="314">
        <v>2200</v>
      </c>
      <c r="N136" s="313">
        <v>2148.0572046490697</v>
      </c>
      <c r="R136" s="313" t="str">
        <f>IF(AND((J136="This"),(L136="Only")),VLOOKUP(G136,#REF!,7,FALSE),"")</f>
        <v/>
      </c>
      <c r="X136" s="313">
        <v>2135.8392479664076</v>
      </c>
    </row>
    <row r="137" spans="1:24" x14ac:dyDescent="0.25">
      <c r="A137" s="313">
        <v>3</v>
      </c>
      <c r="C137" s="313">
        <f t="shared" si="10"/>
        <v>6</v>
      </c>
      <c r="D137" s="313">
        <f t="shared" si="11"/>
        <v>1</v>
      </c>
      <c r="E137" s="313">
        <f t="shared" si="12"/>
        <v>14</v>
      </c>
      <c r="F137" s="313" t="str">
        <f t="shared" si="13"/>
        <v>pm</v>
      </c>
      <c r="G137" s="313" t="s">
        <v>725</v>
      </c>
      <c r="H137" s="313" t="s">
        <v>207</v>
      </c>
      <c r="I137" s="313" t="s">
        <v>726</v>
      </c>
      <c r="K137" s="314">
        <f t="shared" si="14"/>
        <v>2360.4440637068092</v>
      </c>
      <c r="M137" s="314">
        <v>2200</v>
      </c>
      <c r="N137" s="313">
        <v>2306.5141993458815</v>
      </c>
      <c r="R137" s="313" t="str">
        <f>IF(AND((J137="This"),(L137="Only")),VLOOKUP(G137,#REF!,7,FALSE),"")</f>
        <v/>
      </c>
      <c r="U137" s="313">
        <v>2360.4440637068092</v>
      </c>
    </row>
    <row r="138" spans="1:24" x14ac:dyDescent="0.25">
      <c r="A138" s="313">
        <v>4</v>
      </c>
      <c r="C138" s="313">
        <f t="shared" si="10"/>
        <v>7</v>
      </c>
      <c r="D138" s="313">
        <f t="shared" si="11"/>
        <v>1</v>
      </c>
      <c r="E138" s="313">
        <f t="shared" si="12"/>
        <v>14</v>
      </c>
      <c r="F138" s="313" t="str">
        <f t="shared" si="13"/>
        <v>pm</v>
      </c>
      <c r="G138" s="313" t="s">
        <v>727</v>
      </c>
      <c r="H138" s="313" t="s">
        <v>207</v>
      </c>
      <c r="I138" s="313" t="s">
        <v>728</v>
      </c>
      <c r="K138" s="314">
        <f t="shared" si="14"/>
        <v>2326.7309739793168</v>
      </c>
      <c r="M138" s="314">
        <v>2200</v>
      </c>
      <c r="N138" s="313">
        <v>2234.317086556041</v>
      </c>
      <c r="R138" s="313" t="str">
        <f>IF(AND((J138="This"),(L138="Only")),VLOOKUP(G138,#REF!,7,FALSE),"")</f>
        <v/>
      </c>
      <c r="U138" s="313">
        <v>2295.955969587601</v>
      </c>
      <c r="W138" s="313">
        <v>2326.7309739793168</v>
      </c>
    </row>
    <row r="139" spans="1:24" x14ac:dyDescent="0.25">
      <c r="A139" s="313">
        <v>4</v>
      </c>
      <c r="C139" s="313">
        <f t="shared" si="10"/>
        <v>8</v>
      </c>
      <c r="D139" s="313">
        <f t="shared" si="11"/>
        <v>1</v>
      </c>
      <c r="E139" s="313">
        <f t="shared" si="12"/>
        <v>14</v>
      </c>
      <c r="F139" s="313" t="str">
        <f t="shared" si="13"/>
        <v>pm</v>
      </c>
      <c r="G139" s="313" t="s">
        <v>206</v>
      </c>
      <c r="H139" s="313" t="s">
        <v>207</v>
      </c>
      <c r="I139" s="313" t="s">
        <v>729</v>
      </c>
      <c r="K139" s="314">
        <f t="shared" si="14"/>
        <v>2122.2966793804871</v>
      </c>
      <c r="M139" s="314">
        <v>2200</v>
      </c>
      <c r="N139" s="313">
        <v>2160.6945874992289</v>
      </c>
      <c r="R139" s="313" t="str">
        <f>IF(AND((J139="This"),(L139="Only")),VLOOKUP(G139,#REF!,7,FALSE),"")</f>
        <v/>
      </c>
      <c r="U139" s="313">
        <v>2148.9859090201348</v>
      </c>
      <c r="W139" s="313">
        <v>2122.2966793804871</v>
      </c>
    </row>
    <row r="140" spans="1:24" x14ac:dyDescent="0.25">
      <c r="A140" s="313">
        <v>6</v>
      </c>
      <c r="C140" s="313">
        <f t="shared" si="10"/>
        <v>9</v>
      </c>
      <c r="D140" s="313">
        <f t="shared" si="11"/>
        <v>1</v>
      </c>
      <c r="E140" s="313">
        <f t="shared" si="12"/>
        <v>14</v>
      </c>
      <c r="F140" s="313" t="str">
        <f t="shared" si="13"/>
        <v>pm</v>
      </c>
      <c r="G140" s="313" t="s">
        <v>730</v>
      </c>
      <c r="H140" s="313" t="s">
        <v>204</v>
      </c>
      <c r="I140" s="313" t="s">
        <v>731</v>
      </c>
      <c r="K140" s="314">
        <f t="shared" si="14"/>
        <v>2130.206287549629</v>
      </c>
      <c r="M140" s="314">
        <v>2200</v>
      </c>
      <c r="N140" s="313">
        <v>2142.6540778770523</v>
      </c>
      <c r="P140" s="313">
        <v>2105.2510909599187</v>
      </c>
      <c r="R140" s="313" t="str">
        <f>IF(AND((J140="This"),(L140="Only")),VLOOKUP(G140,#REF!,7,FALSE),"")</f>
        <v/>
      </c>
      <c r="S140" s="313">
        <v>2097.7644613858624</v>
      </c>
      <c r="U140" s="313">
        <v>2153.2095704362496</v>
      </c>
      <c r="W140" s="313">
        <v>2130.206287549629</v>
      </c>
    </row>
    <row r="141" spans="1:24" x14ac:dyDescent="0.25">
      <c r="A141" s="313">
        <v>2</v>
      </c>
      <c r="C141" s="313">
        <f t="shared" si="10"/>
        <v>10</v>
      </c>
      <c r="D141" s="313">
        <f t="shared" si="11"/>
        <v>1</v>
      </c>
      <c r="E141" s="313">
        <f t="shared" si="12"/>
        <v>14</v>
      </c>
      <c r="F141" s="313" t="str">
        <f t="shared" si="13"/>
        <v>pm</v>
      </c>
      <c r="G141" s="313" t="s">
        <v>732</v>
      </c>
      <c r="H141" s="313" t="s">
        <v>393</v>
      </c>
      <c r="I141" s="313" t="s">
        <v>733</v>
      </c>
      <c r="K141" s="314">
        <f t="shared" si="14"/>
        <v>2335.7533430560889</v>
      </c>
      <c r="M141" s="314">
        <v>2200</v>
      </c>
      <c r="N141" s="313">
        <v>2248.7430591333896</v>
      </c>
      <c r="R141" s="313" t="str">
        <f>IF(AND((J141="This"),(L141="Only")),VLOOKUP(G141,#REF!,7,FALSE),"")</f>
        <v/>
      </c>
      <c r="S141" s="313">
        <v>2335.7533430560889</v>
      </c>
    </row>
    <row r="142" spans="1:24" x14ac:dyDescent="0.25">
      <c r="A142" s="313">
        <v>1</v>
      </c>
      <c r="C142" s="313">
        <f t="shared" si="10"/>
        <v>11</v>
      </c>
      <c r="D142" s="313">
        <f t="shared" si="11"/>
        <v>1</v>
      </c>
      <c r="E142" s="313">
        <f t="shared" si="12"/>
        <v>14</v>
      </c>
      <c r="F142" s="313" t="str">
        <f t="shared" si="13"/>
        <v>pmx</v>
      </c>
      <c r="G142" s="313" t="s">
        <v>734</v>
      </c>
      <c r="H142" s="313" t="s">
        <v>650</v>
      </c>
      <c r="I142" s="313" t="s">
        <v>735</v>
      </c>
      <c r="K142" s="314">
        <f t="shared" si="14"/>
        <v>2249.9246776686837</v>
      </c>
      <c r="M142" s="314">
        <v>2200</v>
      </c>
      <c r="R142" s="313" t="str">
        <f>IF(AND((J142="This"),(L142="Only")),VLOOKUP(G142,#REF!,7,FALSE),"")</f>
        <v/>
      </c>
      <c r="U142" s="313">
        <v>2249.9246776686837</v>
      </c>
    </row>
    <row r="143" spans="1:24" x14ac:dyDescent="0.25">
      <c r="A143" s="313">
        <v>1</v>
      </c>
      <c r="C143" s="313">
        <f t="shared" si="10"/>
        <v>12</v>
      </c>
      <c r="D143" s="313">
        <f t="shared" si="11"/>
        <v>1</v>
      </c>
      <c r="E143" s="313">
        <f t="shared" si="12"/>
        <v>14</v>
      </c>
      <c r="F143" s="313" t="str">
        <f t="shared" si="13"/>
        <v>pmx</v>
      </c>
      <c r="G143" s="313" t="s">
        <v>736</v>
      </c>
      <c r="H143" s="313" t="s">
        <v>650</v>
      </c>
      <c r="I143" s="313" t="s">
        <v>737</v>
      </c>
      <c r="K143" s="314">
        <f t="shared" si="14"/>
        <v>2103.2414788342721</v>
      </c>
      <c r="M143" s="314">
        <v>2200</v>
      </c>
      <c r="R143" s="313" t="str">
        <f>IF(AND((J143="This"),(L143="Only")),VLOOKUP(G143,#REF!,7,FALSE),"")</f>
        <v/>
      </c>
      <c r="U143" s="313">
        <v>2103.2414788342721</v>
      </c>
    </row>
    <row r="144" spans="1:24" x14ac:dyDescent="0.25">
      <c r="A144" s="313">
        <v>1</v>
      </c>
      <c r="C144" s="313">
        <f t="shared" si="10"/>
        <v>13</v>
      </c>
      <c r="D144" s="313">
        <f t="shared" si="11"/>
        <v>1</v>
      </c>
      <c r="E144" s="313">
        <f t="shared" si="12"/>
        <v>14</v>
      </c>
      <c r="F144" s="313" t="str">
        <f t="shared" si="13"/>
        <v>crx</v>
      </c>
      <c r="G144" s="313" t="s">
        <v>738</v>
      </c>
      <c r="H144" s="313" t="s">
        <v>283</v>
      </c>
      <c r="I144" s="313" t="s">
        <v>739</v>
      </c>
      <c r="K144" s="314">
        <f t="shared" si="14"/>
        <v>2200</v>
      </c>
      <c r="M144" s="314">
        <v>2200</v>
      </c>
      <c r="R144" s="313" t="str">
        <f>IF(AND((J144="This"),(L144="Only")),VLOOKUP(G144,#REF!,7,FALSE),"")</f>
        <v/>
      </c>
    </row>
    <row r="145" spans="1:23" x14ac:dyDescent="0.25">
      <c r="A145" s="313">
        <v>1</v>
      </c>
      <c r="C145" s="313">
        <f t="shared" si="10"/>
        <v>14</v>
      </c>
      <c r="D145" s="313">
        <f t="shared" si="11"/>
        <v>1</v>
      </c>
      <c r="E145" s="313">
        <f t="shared" si="12"/>
        <v>14</v>
      </c>
      <c r="F145" s="313" t="str">
        <f t="shared" si="13"/>
        <v>crx</v>
      </c>
      <c r="G145" s="313" t="s">
        <v>740</v>
      </c>
      <c r="H145" s="313" t="s">
        <v>283</v>
      </c>
      <c r="I145" s="313" t="s">
        <v>741</v>
      </c>
      <c r="K145" s="314">
        <f t="shared" si="14"/>
        <v>2200</v>
      </c>
      <c r="M145" s="314">
        <v>2200</v>
      </c>
      <c r="R145" s="313" t="str">
        <f>IF(AND((J145="This"),(L145="Only")),VLOOKUP(G145,#REF!,7,FALSE),"")</f>
        <v/>
      </c>
    </row>
    <row r="146" spans="1:23" x14ac:dyDescent="0.25">
      <c r="A146" s="313">
        <v>4</v>
      </c>
      <c r="C146" s="313">
        <f t="shared" si="10"/>
        <v>15</v>
      </c>
      <c r="D146" s="313">
        <f t="shared" si="11"/>
        <v>1</v>
      </c>
      <c r="E146" s="313">
        <f t="shared" si="12"/>
        <v>14</v>
      </c>
      <c r="F146" s="313" t="str">
        <f t="shared" si="13"/>
        <v>pm</v>
      </c>
      <c r="G146" s="313" t="s">
        <v>253</v>
      </c>
      <c r="H146" s="313" t="s">
        <v>198</v>
      </c>
      <c r="I146" s="313" t="s">
        <v>188</v>
      </c>
      <c r="K146" s="314">
        <f t="shared" si="14"/>
        <v>2174.4435664290072</v>
      </c>
      <c r="M146" s="314">
        <v>2200</v>
      </c>
      <c r="P146" s="313">
        <v>2233.7867329179321</v>
      </c>
      <c r="R146" s="313" t="str">
        <f>IF(AND((J146="This"),(L146="Only")),VLOOKUP(G146,#REF!,7,FALSE),"")</f>
        <v/>
      </c>
      <c r="S146" s="313">
        <v>2194.7898785702087</v>
      </c>
      <c r="U146" s="313">
        <v>2174.4435664290072</v>
      </c>
    </row>
    <row r="147" spans="1:23" x14ac:dyDescent="0.25">
      <c r="A147" s="313">
        <v>6</v>
      </c>
      <c r="C147" s="313">
        <f t="shared" si="10"/>
        <v>16</v>
      </c>
      <c r="D147" s="313">
        <f t="shared" si="11"/>
        <v>1</v>
      </c>
      <c r="E147" s="313">
        <f t="shared" si="12"/>
        <v>14</v>
      </c>
      <c r="F147" s="313" t="str">
        <f t="shared" si="13"/>
        <v>pm</v>
      </c>
      <c r="G147" s="313" t="s">
        <v>220</v>
      </c>
      <c r="H147" s="313" t="s">
        <v>216</v>
      </c>
      <c r="I147" s="313" t="s">
        <v>742</v>
      </c>
      <c r="K147" s="314">
        <f t="shared" si="14"/>
        <v>2290.1397423732751</v>
      </c>
      <c r="M147" s="314">
        <v>2200</v>
      </c>
      <c r="N147" s="313">
        <v>2235.4451064009868</v>
      </c>
      <c r="P147" s="313">
        <v>2278.4614151352116</v>
      </c>
      <c r="R147" s="313" t="str">
        <f>IF(AND((J147="This"),(L147="Only")),VLOOKUP(G147,#REF!,7,FALSE),"")</f>
        <v/>
      </c>
      <c r="S147" s="313">
        <v>2248.6070344959771</v>
      </c>
      <c r="U147" s="313">
        <v>2276.7378483263374</v>
      </c>
      <c r="W147" s="313">
        <v>2290.1397423732751</v>
      </c>
    </row>
    <row r="148" spans="1:23" x14ac:dyDescent="0.25">
      <c r="A148" s="313">
        <v>5</v>
      </c>
      <c r="C148" s="313">
        <f t="shared" si="10"/>
        <v>17</v>
      </c>
      <c r="D148" s="313">
        <f t="shared" si="11"/>
        <v>1</v>
      </c>
      <c r="E148" s="313">
        <f t="shared" si="12"/>
        <v>14</v>
      </c>
      <c r="F148" s="313" t="str">
        <f t="shared" si="13"/>
        <v>pm</v>
      </c>
      <c r="G148" s="313" t="s">
        <v>743</v>
      </c>
      <c r="H148" s="313" t="s">
        <v>282</v>
      </c>
      <c r="I148" s="313" t="s">
        <v>744</v>
      </c>
      <c r="K148" s="314">
        <f t="shared" si="14"/>
        <v>2114.4847623771152</v>
      </c>
      <c r="M148" s="314">
        <v>2200</v>
      </c>
      <c r="N148" s="313">
        <v>2158.7277915153195</v>
      </c>
      <c r="R148" s="313" t="str">
        <f>IF(AND((J148="This"),(L148="Only")),VLOOKUP(G148,#REF!,7,FALSE),"")</f>
        <v/>
      </c>
      <c r="U148" s="313">
        <v>2117.4442736423839</v>
      </c>
      <c r="W148" s="313">
        <v>2114.4847623771152</v>
      </c>
    </row>
    <row r="149" spans="1:23" x14ac:dyDescent="0.25">
      <c r="A149" s="313">
        <v>2</v>
      </c>
      <c r="C149" s="313">
        <f t="shared" si="10"/>
        <v>18</v>
      </c>
      <c r="D149" s="313">
        <f t="shared" si="11"/>
        <v>1</v>
      </c>
      <c r="E149" s="313">
        <f t="shared" si="12"/>
        <v>14</v>
      </c>
      <c r="F149" s="313" t="str">
        <f t="shared" si="13"/>
        <v>pm</v>
      </c>
      <c r="G149" s="313" t="s">
        <v>745</v>
      </c>
      <c r="H149" s="313" t="s">
        <v>559</v>
      </c>
      <c r="I149" s="313" t="s">
        <v>746</v>
      </c>
      <c r="K149" s="314">
        <f t="shared" si="14"/>
        <v>2234.955109981981</v>
      </c>
      <c r="M149" s="314">
        <v>2200</v>
      </c>
      <c r="R149" s="313" t="str">
        <f>IF(AND((J149="This"),(L149="Only")),VLOOKUP(G149,#REF!,7,FALSE),"")</f>
        <v/>
      </c>
      <c r="S149" s="313">
        <v>2234.955109981981</v>
      </c>
    </row>
    <row r="150" spans="1:23" x14ac:dyDescent="0.25">
      <c r="A150" s="313">
        <v>2</v>
      </c>
      <c r="C150" s="313">
        <f t="shared" si="10"/>
        <v>19</v>
      </c>
      <c r="D150" s="313">
        <f t="shared" si="11"/>
        <v>1</v>
      </c>
      <c r="E150" s="313">
        <f t="shared" si="12"/>
        <v>14</v>
      </c>
      <c r="F150" s="313" t="str">
        <f t="shared" si="13"/>
        <v>pm</v>
      </c>
      <c r="G150" s="313" t="s">
        <v>747</v>
      </c>
      <c r="H150" s="313" t="s">
        <v>559</v>
      </c>
      <c r="I150" s="313" t="s">
        <v>748</v>
      </c>
      <c r="K150" s="314">
        <f t="shared" si="14"/>
        <v>2262.6255966977401</v>
      </c>
      <c r="M150" s="314">
        <v>2200</v>
      </c>
      <c r="R150" s="313" t="str">
        <f>IF(AND((J150="This"),(L150="Only")),VLOOKUP(G150,#REF!,7,FALSE),"")</f>
        <v/>
      </c>
      <c r="S150" s="313">
        <v>2262.6255966977401</v>
      </c>
    </row>
    <row r="151" spans="1:23" x14ac:dyDescent="0.25">
      <c r="A151" s="313">
        <v>2</v>
      </c>
      <c r="C151" s="313">
        <f t="shared" si="10"/>
        <v>20</v>
      </c>
      <c r="D151" s="313">
        <f t="shared" si="11"/>
        <v>1</v>
      </c>
      <c r="E151" s="313">
        <f t="shared" si="12"/>
        <v>14</v>
      </c>
      <c r="F151" s="313" t="str">
        <f t="shared" si="13"/>
        <v>pm</v>
      </c>
      <c r="G151" s="313" t="s">
        <v>749</v>
      </c>
      <c r="H151" s="313" t="s">
        <v>559</v>
      </c>
      <c r="I151" s="313" t="s">
        <v>750</v>
      </c>
      <c r="K151" s="314">
        <f t="shared" si="14"/>
        <v>2222.4603306929507</v>
      </c>
      <c r="M151" s="314">
        <v>2200</v>
      </c>
      <c r="R151" s="313" t="str">
        <f>IF(AND((J151="This"),(L151="Only")),VLOOKUP(G151,#REF!,7,FALSE),"")</f>
        <v/>
      </c>
      <c r="W151" s="313">
        <v>2222.4603306929507</v>
      </c>
    </row>
    <row r="152" spans="1:23" x14ac:dyDescent="0.25">
      <c r="A152" s="313">
        <v>1</v>
      </c>
      <c r="C152" s="313">
        <f t="shared" si="10"/>
        <v>21</v>
      </c>
      <c r="D152" s="313">
        <f t="shared" si="11"/>
        <v>1</v>
      </c>
      <c r="E152" s="313">
        <f t="shared" si="12"/>
        <v>14</v>
      </c>
      <c r="F152" s="313" t="str">
        <f t="shared" si="13"/>
        <v>sox</v>
      </c>
      <c r="G152" s="313" t="s">
        <v>751</v>
      </c>
      <c r="H152" s="313" t="s">
        <v>285</v>
      </c>
      <c r="I152" s="313" t="s">
        <v>752</v>
      </c>
      <c r="K152" s="314">
        <f t="shared" si="14"/>
        <v>2163.8222309199368</v>
      </c>
      <c r="M152" s="314">
        <v>2200</v>
      </c>
      <c r="R152" s="313" t="str">
        <f>IF(AND((J152="This"),(L152="Only")),VLOOKUP(G152,#REF!,7,FALSE),"")</f>
        <v/>
      </c>
      <c r="U152" s="313">
        <v>2163.8222309199368</v>
      </c>
    </row>
    <row r="153" spans="1:23" x14ac:dyDescent="0.25">
      <c r="A153" s="313">
        <v>1</v>
      </c>
      <c r="C153" s="313">
        <f t="shared" si="10"/>
        <v>22</v>
      </c>
      <c r="D153" s="313">
        <f t="shared" si="11"/>
        <v>1</v>
      </c>
      <c r="E153" s="313">
        <f t="shared" si="12"/>
        <v>14</v>
      </c>
      <c r="F153" s="313" t="str">
        <f t="shared" si="13"/>
        <v>sox</v>
      </c>
      <c r="G153" s="313" t="s">
        <v>753</v>
      </c>
      <c r="H153" s="313" t="s">
        <v>222</v>
      </c>
      <c r="I153" s="313" t="s">
        <v>754</v>
      </c>
      <c r="K153" s="314">
        <f t="shared" si="14"/>
        <v>2110.2833451779379</v>
      </c>
      <c r="M153" s="314">
        <v>2200</v>
      </c>
      <c r="P153" s="313">
        <v>2110.2833451779379</v>
      </c>
      <c r="R153" s="313" t="str">
        <f>IF(AND((J153="This"),(L153="Only")),VLOOKUP(G153,#REF!,7,FALSE),"")</f>
        <v/>
      </c>
    </row>
    <row r="154" spans="1:23" x14ac:dyDescent="0.25">
      <c r="A154" s="313">
        <v>1</v>
      </c>
      <c r="C154" s="313">
        <f t="shared" si="10"/>
        <v>23</v>
      </c>
      <c r="D154" s="313">
        <f t="shared" si="11"/>
        <v>1</v>
      </c>
      <c r="E154" s="313">
        <f t="shared" si="12"/>
        <v>14</v>
      </c>
      <c r="F154" s="313" t="str">
        <f t="shared" si="13"/>
        <v>odx</v>
      </c>
      <c r="G154" s="313" t="s">
        <v>755</v>
      </c>
      <c r="H154" s="313" t="s">
        <v>756</v>
      </c>
      <c r="I154" s="313" t="s">
        <v>757</v>
      </c>
      <c r="K154" s="314">
        <f t="shared" si="14"/>
        <v>2200</v>
      </c>
      <c r="M154" s="314">
        <v>2200</v>
      </c>
      <c r="R154" s="313" t="str">
        <f>IF(AND((J154="This"),(L154="Only")),VLOOKUP(G154,#REF!,7,FALSE),"")</f>
        <v/>
      </c>
    </row>
    <row r="155" spans="1:23" x14ac:dyDescent="0.25">
      <c r="A155" s="313">
        <v>3</v>
      </c>
      <c r="C155" s="313">
        <f t="shared" si="10"/>
        <v>24</v>
      </c>
      <c r="D155" s="313">
        <f t="shared" si="11"/>
        <v>1</v>
      </c>
      <c r="E155" s="313">
        <f t="shared" si="12"/>
        <v>14</v>
      </c>
      <c r="F155" s="313" t="str">
        <f t="shared" si="13"/>
        <v>pm</v>
      </c>
      <c r="G155" s="313" t="s">
        <v>758</v>
      </c>
      <c r="H155" s="313" t="s">
        <v>510</v>
      </c>
      <c r="I155" s="313" t="s">
        <v>759</v>
      </c>
      <c r="K155" s="314">
        <f t="shared" si="14"/>
        <v>1962.4290924555107</v>
      </c>
      <c r="M155" s="314">
        <v>2200</v>
      </c>
      <c r="N155" s="313">
        <v>2089.6484920282369</v>
      </c>
      <c r="R155" s="313" t="str">
        <f>IF(AND((J155="This"),(L155="Only")),VLOOKUP(G155,#REF!,7,FALSE),"")</f>
        <v/>
      </c>
      <c r="S155" s="313">
        <v>2006.2959936375398</v>
      </c>
      <c r="U155" s="313">
        <v>1962.4290924555107</v>
      </c>
    </row>
    <row r="156" spans="1:23" x14ac:dyDescent="0.25">
      <c r="A156" s="313">
        <v>3</v>
      </c>
      <c r="C156" s="313">
        <f t="shared" si="10"/>
        <v>25</v>
      </c>
      <c r="D156" s="313">
        <f t="shared" si="11"/>
        <v>1</v>
      </c>
      <c r="E156" s="313">
        <f t="shared" si="12"/>
        <v>14</v>
      </c>
      <c r="F156" s="313" t="str">
        <f t="shared" si="13"/>
        <v>pm</v>
      </c>
      <c r="G156" s="313" t="s">
        <v>760</v>
      </c>
      <c r="H156" s="313" t="s">
        <v>505</v>
      </c>
      <c r="I156" s="313" t="s">
        <v>761</v>
      </c>
      <c r="K156" s="314">
        <f t="shared" si="14"/>
        <v>2006.1553511094478</v>
      </c>
      <c r="M156" s="314">
        <v>2200</v>
      </c>
      <c r="P156" s="313">
        <v>2078.3089119158358</v>
      </c>
      <c r="R156" s="313" t="str">
        <f>IF(AND((J156="This"),(L156="Only")),VLOOKUP(G156,#REF!,7,FALSE),"")</f>
        <v/>
      </c>
      <c r="S156" s="313">
        <v>2071.4063032898539</v>
      </c>
      <c r="W156" s="313">
        <v>2006.1553511094478</v>
      </c>
    </row>
    <row r="157" spans="1:23" x14ac:dyDescent="0.25">
      <c r="A157" s="313">
        <v>7</v>
      </c>
      <c r="C157" s="313">
        <f t="shared" si="10"/>
        <v>26</v>
      </c>
      <c r="D157" s="313">
        <f t="shared" si="11"/>
        <v>1</v>
      </c>
      <c r="E157" s="313">
        <f t="shared" si="12"/>
        <v>14</v>
      </c>
      <c r="F157" s="313" t="str">
        <f t="shared" si="13"/>
        <v>pm</v>
      </c>
      <c r="G157" s="313" t="s">
        <v>762</v>
      </c>
      <c r="H157" s="313" t="s">
        <v>211</v>
      </c>
      <c r="I157" s="313" t="s">
        <v>763</v>
      </c>
      <c r="K157" s="314">
        <f t="shared" si="14"/>
        <v>1991.208506628537</v>
      </c>
      <c r="M157" s="314">
        <v>2200</v>
      </c>
      <c r="N157" s="313">
        <v>2083.9994997349372</v>
      </c>
      <c r="P157" s="313">
        <v>2109.776316100691</v>
      </c>
      <c r="R157" s="313" t="str">
        <f>IF(AND((J157="This"),(L157="Only")),VLOOKUP(G157,#REF!,7,FALSE),"")</f>
        <v/>
      </c>
      <c r="S157" s="313">
        <v>2072.4598338911765</v>
      </c>
      <c r="U157" s="313">
        <v>2051.882735573779</v>
      </c>
      <c r="W157" s="313">
        <v>1991.208506628537</v>
      </c>
    </row>
    <row r="158" spans="1:23" x14ac:dyDescent="0.25">
      <c r="A158" s="313">
        <v>2</v>
      </c>
      <c r="C158" s="313">
        <f t="shared" si="10"/>
        <v>27</v>
      </c>
      <c r="D158" s="313">
        <f t="shared" si="11"/>
        <v>1</v>
      </c>
      <c r="E158" s="313">
        <f t="shared" si="12"/>
        <v>14</v>
      </c>
      <c r="F158" s="313" t="str">
        <f t="shared" si="13"/>
        <v>pm</v>
      </c>
      <c r="G158" s="313" t="s">
        <v>764</v>
      </c>
      <c r="H158" s="313" t="s">
        <v>201</v>
      </c>
      <c r="I158" s="313" t="s">
        <v>765</v>
      </c>
      <c r="K158" s="314">
        <f t="shared" si="14"/>
        <v>2362.6766295698312</v>
      </c>
      <c r="M158" s="314">
        <v>2200</v>
      </c>
      <c r="R158" s="313" t="str">
        <f>IF(AND((J158="This"),(L158="Only")),VLOOKUP(G158,#REF!,7,FALSE),"")</f>
        <v/>
      </c>
      <c r="U158" s="313">
        <v>2326.0573699748429</v>
      </c>
      <c r="W158" s="313">
        <v>2362.6766295698312</v>
      </c>
    </row>
    <row r="159" spans="1:23" x14ac:dyDescent="0.25">
      <c r="A159" s="313">
        <v>4</v>
      </c>
      <c r="C159" s="313">
        <f t="shared" si="10"/>
        <v>28</v>
      </c>
      <c r="D159" s="313">
        <f t="shared" si="11"/>
        <v>1</v>
      </c>
      <c r="E159" s="313">
        <f t="shared" si="12"/>
        <v>14</v>
      </c>
      <c r="F159" s="313" t="str">
        <f t="shared" si="13"/>
        <v>pm</v>
      </c>
      <c r="G159" s="313" t="s">
        <v>766</v>
      </c>
      <c r="H159" s="313" t="s">
        <v>201</v>
      </c>
      <c r="I159" s="313" t="s">
        <v>767</v>
      </c>
      <c r="K159" s="314">
        <f t="shared" si="14"/>
        <v>2097.9177541838917</v>
      </c>
      <c r="M159" s="314">
        <v>2200</v>
      </c>
      <c r="P159" s="313">
        <v>2181.4831126580739</v>
      </c>
      <c r="R159" s="313" t="str">
        <f>IF(AND((J159="This"),(L159="Only")),VLOOKUP(G159,#REF!,7,FALSE),"")</f>
        <v/>
      </c>
      <c r="U159" s="313">
        <v>2163.1779238560807</v>
      </c>
      <c r="W159" s="313">
        <v>2097.9177541838917</v>
      </c>
    </row>
    <row r="160" spans="1:23" x14ac:dyDescent="0.25">
      <c r="A160" s="313">
        <v>1</v>
      </c>
      <c r="C160" s="313">
        <f t="shared" si="10"/>
        <v>29</v>
      </c>
      <c r="D160" s="313">
        <f t="shared" si="11"/>
        <v>1</v>
      </c>
      <c r="E160" s="313">
        <f t="shared" si="12"/>
        <v>14</v>
      </c>
      <c r="F160" s="313" t="str">
        <f t="shared" si="13"/>
        <v>crx</v>
      </c>
      <c r="G160" s="313" t="s">
        <v>768</v>
      </c>
      <c r="H160" s="313" t="s">
        <v>670</v>
      </c>
      <c r="I160" s="313" t="s">
        <v>769</v>
      </c>
      <c r="K160" s="314">
        <f t="shared" si="14"/>
        <v>2223.720133126676</v>
      </c>
      <c r="M160" s="314">
        <v>2200</v>
      </c>
      <c r="R160" s="313" t="str">
        <f>IF(AND((J160="This"),(L160="Only")),VLOOKUP(G160,#REF!,7,FALSE),"")</f>
        <v/>
      </c>
      <c r="U160" s="313">
        <v>2223.720133126676</v>
      </c>
    </row>
    <row r="161" spans="1:24" x14ac:dyDescent="0.25">
      <c r="A161" s="313">
        <v>1</v>
      </c>
      <c r="C161" s="313">
        <f t="shared" si="10"/>
        <v>30</v>
      </c>
      <c r="D161" s="313">
        <f t="shared" si="11"/>
        <v>1</v>
      </c>
      <c r="E161" s="313">
        <f t="shared" si="12"/>
        <v>14</v>
      </c>
      <c r="F161" s="313" t="str">
        <f t="shared" si="13"/>
        <v>crx</v>
      </c>
      <c r="G161" s="313" t="s">
        <v>770</v>
      </c>
      <c r="H161" s="313" t="s">
        <v>670</v>
      </c>
      <c r="I161" s="313" t="s">
        <v>771</v>
      </c>
      <c r="K161" s="314">
        <f t="shared" si="14"/>
        <v>2150.1762617273243</v>
      </c>
      <c r="M161" s="314">
        <v>2200</v>
      </c>
      <c r="R161" s="313" t="str">
        <f>IF(AND((J161="This"),(L161="Only")),VLOOKUP(G161,#REF!,7,FALSE),"")</f>
        <v/>
      </c>
      <c r="U161" s="313">
        <v>2150.1762617273243</v>
      </c>
    </row>
    <row r="162" spans="1:24" x14ac:dyDescent="0.25">
      <c r="A162" s="313">
        <v>1</v>
      </c>
      <c r="C162" s="313">
        <f t="shared" si="10"/>
        <v>31</v>
      </c>
      <c r="D162" s="313">
        <f t="shared" si="11"/>
        <v>1</v>
      </c>
      <c r="E162" s="313">
        <f t="shared" si="12"/>
        <v>14</v>
      </c>
      <c r="F162" s="313" t="str">
        <f t="shared" si="13"/>
        <v>pmx</v>
      </c>
      <c r="G162" s="313" t="s">
        <v>321</v>
      </c>
      <c r="H162" s="313" t="s">
        <v>182</v>
      </c>
      <c r="I162" s="313" t="s">
        <v>772</v>
      </c>
      <c r="K162" s="314">
        <f t="shared" si="14"/>
        <v>2205.0583548575696</v>
      </c>
      <c r="M162" s="314">
        <v>2200</v>
      </c>
      <c r="P162" s="313">
        <v>2205.0583548575696</v>
      </c>
      <c r="R162" s="313" t="str">
        <f>IF(AND((J162="This"),(L162="Only")),VLOOKUP(G162,#REF!,7,FALSE),"")</f>
        <v/>
      </c>
    </row>
    <row r="163" spans="1:24" x14ac:dyDescent="0.25">
      <c r="A163" s="313">
        <v>1</v>
      </c>
      <c r="C163" s="313">
        <f t="shared" si="10"/>
        <v>32</v>
      </c>
      <c r="D163" s="313">
        <f t="shared" si="11"/>
        <v>1</v>
      </c>
      <c r="E163" s="313">
        <f t="shared" si="12"/>
        <v>14</v>
      </c>
      <c r="F163" s="313" t="str">
        <f t="shared" si="13"/>
        <v>crx</v>
      </c>
      <c r="G163" s="313" t="s">
        <v>773</v>
      </c>
      <c r="H163" s="313" t="s">
        <v>604</v>
      </c>
      <c r="I163" s="313" t="s">
        <v>774</v>
      </c>
      <c r="K163" s="314">
        <f t="shared" si="14"/>
        <v>2235.9520901444639</v>
      </c>
      <c r="M163" s="314">
        <v>2200</v>
      </c>
      <c r="P163" s="313">
        <v>2235.9520901444639</v>
      </c>
      <c r="R163" s="313" t="str">
        <f>IF(AND((J163="This"),(L163="Only")),VLOOKUP(G163,#REF!,7,FALSE),"")</f>
        <v/>
      </c>
    </row>
    <row r="164" spans="1:24" x14ac:dyDescent="0.25">
      <c r="A164" s="313">
        <v>4</v>
      </c>
      <c r="C164" s="313">
        <f t="shared" si="10"/>
        <v>33</v>
      </c>
      <c r="D164" s="313">
        <f t="shared" si="11"/>
        <v>1</v>
      </c>
      <c r="E164" s="313">
        <f t="shared" si="12"/>
        <v>14</v>
      </c>
      <c r="F164" s="313" t="str">
        <f t="shared" si="13"/>
        <v>pm</v>
      </c>
      <c r="G164" s="313" t="s">
        <v>775</v>
      </c>
      <c r="H164" s="313" t="s">
        <v>240</v>
      </c>
      <c r="I164" s="313" t="s">
        <v>776</v>
      </c>
      <c r="K164" s="314">
        <f t="shared" si="14"/>
        <v>2125.9611979965498</v>
      </c>
      <c r="M164" s="314">
        <v>2200</v>
      </c>
      <c r="N164" s="313">
        <v>2154.4080062376902</v>
      </c>
      <c r="R164" s="313" t="str">
        <f>IF(AND((J164="This"),(L164="Only")),VLOOKUP(G164,#REF!,7,FALSE),"")</f>
        <v/>
      </c>
      <c r="S164" s="313">
        <v>2153.5198214457323</v>
      </c>
      <c r="U164" s="313">
        <v>2125.9611979965498</v>
      </c>
    </row>
    <row r="165" spans="1:24" x14ac:dyDescent="0.25">
      <c r="A165" s="313">
        <v>1</v>
      </c>
      <c r="C165" s="313">
        <f t="shared" si="10"/>
        <v>34</v>
      </c>
      <c r="D165" s="313">
        <f t="shared" si="11"/>
        <v>1</v>
      </c>
      <c r="E165" s="313">
        <f t="shared" si="12"/>
        <v>14</v>
      </c>
      <c r="F165" s="313" t="str">
        <f t="shared" si="13"/>
        <v>pmx</v>
      </c>
      <c r="G165" s="313" t="s">
        <v>777</v>
      </c>
      <c r="H165" s="313" t="s">
        <v>570</v>
      </c>
      <c r="I165" s="313" t="s">
        <v>778</v>
      </c>
      <c r="K165" s="314">
        <f t="shared" si="14"/>
        <v>2200</v>
      </c>
      <c r="M165" s="314">
        <v>2200</v>
      </c>
      <c r="R165" s="313" t="str">
        <f>IF(AND((J165="This"),(L165="Only")),VLOOKUP(G165,#REF!,7,FALSE),"")</f>
        <v/>
      </c>
    </row>
    <row r="166" spans="1:24" x14ac:dyDescent="0.25">
      <c r="A166" s="313">
        <v>3</v>
      </c>
      <c r="C166" s="313">
        <f t="shared" si="10"/>
        <v>35</v>
      </c>
      <c r="D166" s="313">
        <f t="shared" si="11"/>
        <v>1</v>
      </c>
      <c r="E166" s="313">
        <f t="shared" si="12"/>
        <v>14</v>
      </c>
      <c r="F166" s="313" t="str">
        <f t="shared" si="13"/>
        <v>pm</v>
      </c>
      <c r="G166" s="313" t="s">
        <v>779</v>
      </c>
      <c r="H166" s="313" t="s">
        <v>494</v>
      </c>
      <c r="I166" s="313" t="s">
        <v>780</v>
      </c>
      <c r="K166" s="314">
        <f t="shared" si="14"/>
        <v>2197.5788039433905</v>
      </c>
      <c r="M166" s="314">
        <v>2200</v>
      </c>
      <c r="P166" s="313">
        <v>2240.256748099006</v>
      </c>
      <c r="R166" s="313" t="str">
        <f>IF(AND((J166="This"),(L166="Only")),VLOOKUP(G166,#REF!,7,FALSE),"")</f>
        <v/>
      </c>
      <c r="W166" s="313">
        <v>2197.5788039433905</v>
      </c>
    </row>
    <row r="167" spans="1:24" x14ac:dyDescent="0.25">
      <c r="A167" s="313">
        <v>4</v>
      </c>
      <c r="C167" s="313">
        <f t="shared" si="10"/>
        <v>36</v>
      </c>
      <c r="D167" s="313">
        <f t="shared" si="11"/>
        <v>36</v>
      </c>
      <c r="E167" s="313">
        <f t="shared" si="12"/>
        <v>14</v>
      </c>
      <c r="F167" s="313" t="str">
        <f t="shared" si="13"/>
        <v>pm</v>
      </c>
      <c r="G167" s="313" t="s">
        <v>781</v>
      </c>
      <c r="H167" s="313" t="s">
        <v>281</v>
      </c>
      <c r="I167" s="313" t="s">
        <v>782</v>
      </c>
      <c r="K167" s="314">
        <f t="shared" si="14"/>
        <v>2320.3402125650441</v>
      </c>
      <c r="M167" s="314">
        <v>2150</v>
      </c>
      <c r="R167" s="313" t="str">
        <f>IF(AND((J167="This"),(L167="Only")),VLOOKUP(G167,#REF!,7,FALSE),"")</f>
        <v/>
      </c>
      <c r="S167" s="313">
        <v>2244.178282513466</v>
      </c>
      <c r="W167" s="313">
        <v>2320.3402125650441</v>
      </c>
    </row>
    <row r="168" spans="1:24" x14ac:dyDescent="0.25">
      <c r="A168" s="313">
        <v>6</v>
      </c>
      <c r="C168" s="313">
        <f t="shared" si="10"/>
        <v>37</v>
      </c>
      <c r="D168" s="313">
        <f t="shared" si="11"/>
        <v>37</v>
      </c>
      <c r="E168" s="313">
        <f t="shared" si="12"/>
        <v>14</v>
      </c>
      <c r="F168" s="313" t="str">
        <f t="shared" si="13"/>
        <v>pm</v>
      </c>
      <c r="G168" s="313" t="s">
        <v>783</v>
      </c>
      <c r="H168" s="313" t="s">
        <v>697</v>
      </c>
      <c r="I168" s="313" t="s">
        <v>784</v>
      </c>
      <c r="K168" s="314">
        <f t="shared" si="14"/>
        <v>1875.901547419704</v>
      </c>
      <c r="M168" s="314">
        <v>2133.3333333333335</v>
      </c>
      <c r="N168" s="313">
        <v>2016.8195230308613</v>
      </c>
      <c r="R168" s="313" t="str">
        <f>IF(AND((J168="This"),(L168="Only")),VLOOKUP(G168,#REF!,7,FALSE),"")</f>
        <v/>
      </c>
      <c r="S168" s="313">
        <v>1960.2450351185873</v>
      </c>
      <c r="U168" s="313">
        <v>1942.5335283191307</v>
      </c>
      <c r="W168" s="313">
        <v>1875.901547419704</v>
      </c>
    </row>
    <row r="169" spans="1:24" x14ac:dyDescent="0.25">
      <c r="A169" s="313">
        <v>4</v>
      </c>
      <c r="C169" s="313">
        <f t="shared" si="10"/>
        <v>38</v>
      </c>
      <c r="D169" s="313">
        <f t="shared" si="11"/>
        <v>38</v>
      </c>
      <c r="E169" s="313">
        <f t="shared" si="12"/>
        <v>14</v>
      </c>
      <c r="F169" s="313" t="str">
        <f t="shared" si="13"/>
        <v>pm</v>
      </c>
      <c r="G169" s="313" t="s">
        <v>318</v>
      </c>
      <c r="H169" s="313" t="s">
        <v>281</v>
      </c>
      <c r="I169" s="313" t="s">
        <v>785</v>
      </c>
      <c r="K169" s="314">
        <f t="shared" si="14"/>
        <v>1996.8375770424129</v>
      </c>
      <c r="M169" s="314">
        <v>2100</v>
      </c>
      <c r="P169" s="313">
        <v>2027.2781141395997</v>
      </c>
      <c r="R169" s="313" t="str">
        <f>IF(AND((J169="This"),(L169="Only")),VLOOKUP(G169,#REF!,7,FALSE),"")</f>
        <v/>
      </c>
      <c r="S169" s="313">
        <v>1992.6977665424979</v>
      </c>
      <c r="W169" s="313">
        <v>1996.8375770424129</v>
      </c>
    </row>
    <row r="170" spans="1:24" x14ac:dyDescent="0.25">
      <c r="A170" s="313">
        <v>3</v>
      </c>
      <c r="C170" s="313">
        <f t="shared" si="10"/>
        <v>39</v>
      </c>
      <c r="D170" s="313">
        <f t="shared" si="11"/>
        <v>39</v>
      </c>
      <c r="E170" s="313">
        <f t="shared" si="12"/>
        <v>14</v>
      </c>
      <c r="F170" s="313" t="str">
        <f t="shared" si="13"/>
        <v>pm</v>
      </c>
      <c r="G170" s="313" t="s">
        <v>786</v>
      </c>
      <c r="H170" s="313" t="s">
        <v>700</v>
      </c>
      <c r="I170" s="313" t="s">
        <v>787</v>
      </c>
      <c r="K170" s="314">
        <f t="shared" si="14"/>
        <v>2253.0290632225715</v>
      </c>
      <c r="M170" s="314">
        <v>2066.6666666666665</v>
      </c>
      <c r="P170" s="313">
        <v>2159.383839052045</v>
      </c>
      <c r="R170" s="313" t="str">
        <f>IF(AND((J170="This"),(L170="Only")),VLOOKUP(G170,#REF!,7,FALSE),"")</f>
        <v/>
      </c>
      <c r="S170" s="313">
        <v>2224.1169108397717</v>
      </c>
      <c r="V170" s="313">
        <v>2253.0290632225715</v>
      </c>
    </row>
    <row r="171" spans="1:24" x14ac:dyDescent="0.25">
      <c r="A171" s="313">
        <v>3</v>
      </c>
      <c r="C171" s="313">
        <f t="shared" si="10"/>
        <v>40</v>
      </c>
      <c r="D171" s="313">
        <f t="shared" si="11"/>
        <v>39</v>
      </c>
      <c r="E171" s="313">
        <f t="shared" si="12"/>
        <v>14</v>
      </c>
      <c r="F171" s="313" t="str">
        <f t="shared" si="13"/>
        <v>pm</v>
      </c>
      <c r="G171" s="313" t="s">
        <v>491</v>
      </c>
      <c r="H171" s="313" t="s">
        <v>254</v>
      </c>
      <c r="I171" s="313" t="s">
        <v>490</v>
      </c>
      <c r="K171" s="314">
        <f t="shared" si="14"/>
        <v>2121.4624860219083</v>
      </c>
      <c r="M171" s="314">
        <v>2066.6666666666665</v>
      </c>
      <c r="N171" s="313">
        <v>2073.7324729018796</v>
      </c>
      <c r="R171" s="313" t="str">
        <f>IF(AND((J171="This"),(L171="Only")),VLOOKUP(G171,#REF!,7,FALSE),"")</f>
        <v/>
      </c>
      <c r="X171" s="313">
        <v>2121.4624860219083</v>
      </c>
    </row>
    <row r="172" spans="1:24" x14ac:dyDescent="0.25">
      <c r="A172" s="313">
        <v>5</v>
      </c>
      <c r="C172" s="313">
        <f t="shared" si="10"/>
        <v>41</v>
      </c>
      <c r="D172" s="313">
        <f t="shared" si="11"/>
        <v>41</v>
      </c>
      <c r="E172" s="313">
        <f t="shared" si="12"/>
        <v>14</v>
      </c>
      <c r="F172" s="313" t="str">
        <f t="shared" si="13"/>
        <v>pm</v>
      </c>
      <c r="G172" s="313" t="s">
        <v>314</v>
      </c>
      <c r="H172" s="313" t="s">
        <v>230</v>
      </c>
      <c r="I172" s="313" t="s">
        <v>788</v>
      </c>
      <c r="K172" s="314">
        <f t="shared" si="14"/>
        <v>2205.4841047721684</v>
      </c>
      <c r="M172" s="1033">
        <v>2120</v>
      </c>
      <c r="O172" s="313">
        <v>2163.8355327864051</v>
      </c>
      <c r="P172" s="313">
        <v>2170.8481480848104</v>
      </c>
      <c r="R172" s="313" t="str">
        <f>IF(AND((J172="This"),(L172="Only")),VLOOKUP(G172,#REF!,7,FALSE),"")</f>
        <v/>
      </c>
      <c r="S172" s="313">
        <v>2193.5433511420206</v>
      </c>
      <c r="U172" s="313">
        <v>2205.4841047721684</v>
      </c>
    </row>
    <row r="173" spans="1:24" x14ac:dyDescent="0.25">
      <c r="A173" s="313">
        <v>5</v>
      </c>
      <c r="C173" s="313">
        <f t="shared" si="10"/>
        <v>42</v>
      </c>
      <c r="D173" s="313">
        <f t="shared" si="11"/>
        <v>42</v>
      </c>
      <c r="E173" s="313">
        <f t="shared" si="12"/>
        <v>14</v>
      </c>
      <c r="F173" s="313" t="str">
        <f t="shared" si="13"/>
        <v>pm</v>
      </c>
      <c r="G173" s="313" t="s">
        <v>379</v>
      </c>
      <c r="H173" s="313" t="s">
        <v>219</v>
      </c>
      <c r="I173" s="313" t="s">
        <v>378</v>
      </c>
      <c r="K173" s="314">
        <f t="shared" si="14"/>
        <v>1843.6720858938916</v>
      </c>
      <c r="M173" s="314">
        <v>1960</v>
      </c>
      <c r="O173" s="313">
        <v>1886.1471271036833</v>
      </c>
      <c r="R173" s="313" t="str">
        <f>IF(AND((J173="This"),(L173="Only")),VLOOKUP(G173,#REF!,7,FALSE),"")</f>
        <v/>
      </c>
      <c r="S173" s="313">
        <v>1865.9020532314012</v>
      </c>
      <c r="W173" s="313">
        <v>1933.3202027700872</v>
      </c>
      <c r="X173" s="313">
        <v>1843.6720858938916</v>
      </c>
    </row>
    <row r="174" spans="1:24" x14ac:dyDescent="0.25">
      <c r="A174" s="313">
        <v>4</v>
      </c>
      <c r="C174" s="313">
        <f t="shared" si="10"/>
        <v>43</v>
      </c>
      <c r="D174" s="313">
        <f t="shared" si="11"/>
        <v>43</v>
      </c>
      <c r="E174" s="313">
        <f t="shared" si="12"/>
        <v>14</v>
      </c>
      <c r="F174" s="313" t="str">
        <f t="shared" si="13"/>
        <v>pm</v>
      </c>
      <c r="G174" s="313" t="s">
        <v>789</v>
      </c>
      <c r="H174" s="313" t="s">
        <v>526</v>
      </c>
      <c r="I174" s="313" t="s">
        <v>790</v>
      </c>
      <c r="K174" s="314">
        <f t="shared" si="14"/>
        <v>1775.1763729480085</v>
      </c>
      <c r="M174" s="314">
        <v>1900</v>
      </c>
      <c r="O174" s="313">
        <v>1778.9420275432644</v>
      </c>
      <c r="R174" s="313" t="str">
        <f>IF(AND((J174="This"),(L174="Only")),VLOOKUP(G174,#REF!,7,FALSE),"")</f>
        <v/>
      </c>
      <c r="T174" s="313">
        <v>1801.8461220598372</v>
      </c>
      <c r="U174" s="313">
        <v>1775.1763729480085</v>
      </c>
    </row>
    <row r="175" spans="1:24" x14ac:dyDescent="0.25">
      <c r="A175" s="313">
        <v>4</v>
      </c>
      <c r="C175" s="313">
        <f t="shared" si="10"/>
        <v>44</v>
      </c>
      <c r="D175" s="313">
        <f t="shared" si="11"/>
        <v>43</v>
      </c>
      <c r="E175" s="313">
        <f t="shared" si="12"/>
        <v>14</v>
      </c>
      <c r="F175" s="313" t="str">
        <f t="shared" si="13"/>
        <v>pm</v>
      </c>
      <c r="G175" s="313" t="s">
        <v>241</v>
      </c>
      <c r="H175" s="313" t="s">
        <v>240</v>
      </c>
      <c r="I175" s="313" t="s">
        <v>434</v>
      </c>
      <c r="K175" s="314">
        <f t="shared" si="14"/>
        <v>1591.7374264549485</v>
      </c>
      <c r="M175" s="314">
        <v>1900</v>
      </c>
      <c r="O175" s="313">
        <v>1765.0448102640312</v>
      </c>
      <c r="R175" s="313" t="str">
        <f>IF(AND((J175="This"),(L175="Only")),VLOOKUP(G175,#REF!,7,FALSE),"")</f>
        <v/>
      </c>
      <c r="S175" s="313">
        <v>1716.6048936697202</v>
      </c>
      <c r="U175" s="313">
        <v>1695.6949666343532</v>
      </c>
      <c r="X175" s="313">
        <v>1591.7374264549485</v>
      </c>
    </row>
    <row r="176" spans="1:24" x14ac:dyDescent="0.25">
      <c r="A176" s="313">
        <v>5</v>
      </c>
      <c r="C176" s="313">
        <f t="shared" si="10"/>
        <v>45</v>
      </c>
      <c r="D176" s="313">
        <f t="shared" si="11"/>
        <v>45</v>
      </c>
      <c r="E176" s="313">
        <f t="shared" si="12"/>
        <v>14</v>
      </c>
      <c r="F176" s="313" t="str">
        <f t="shared" si="13"/>
        <v>pm</v>
      </c>
      <c r="G176" s="313" t="s">
        <v>791</v>
      </c>
      <c r="H176" s="313" t="s">
        <v>230</v>
      </c>
      <c r="I176" s="313" t="s">
        <v>792</v>
      </c>
      <c r="K176" s="314">
        <f t="shared" si="14"/>
        <v>1850.7380858738534</v>
      </c>
      <c r="M176" s="314">
        <v>1800</v>
      </c>
      <c r="O176" s="313">
        <v>1878.114620855217</v>
      </c>
      <c r="R176" s="313" t="str">
        <f>IF(AND((J176="This"),(L176="Only")),VLOOKUP(G176,#REF!,7,FALSE),"")</f>
        <v/>
      </c>
      <c r="T176" s="313">
        <v>1899.6480727597882</v>
      </c>
      <c r="V176" s="313">
        <v>1850.7380858738534</v>
      </c>
    </row>
    <row r="177" spans="1:24" x14ac:dyDescent="0.25">
      <c r="A177" s="313">
        <v>3</v>
      </c>
      <c r="C177" s="313">
        <f t="shared" si="10"/>
        <v>46</v>
      </c>
      <c r="D177" s="313">
        <f t="shared" si="11"/>
        <v>45</v>
      </c>
      <c r="E177" s="313">
        <f t="shared" si="12"/>
        <v>14</v>
      </c>
      <c r="F177" s="313" t="str">
        <f t="shared" si="13"/>
        <v>cr</v>
      </c>
      <c r="G177" s="313" t="s">
        <v>210</v>
      </c>
      <c r="H177" s="313" t="s">
        <v>209</v>
      </c>
      <c r="I177" s="313" t="s">
        <v>187</v>
      </c>
      <c r="K177" s="314">
        <f t="shared" si="14"/>
        <v>1885.8634313593002</v>
      </c>
      <c r="M177" s="314">
        <v>1800</v>
      </c>
      <c r="R177" s="313" t="str">
        <f>IF(AND((J177="This"),(L177="Only")),VLOOKUP(G177,#REF!,7,FALSE),"")</f>
        <v/>
      </c>
      <c r="S177" s="313">
        <v>1805.2356241346474</v>
      </c>
      <c r="X177" s="313">
        <v>1885.8634313593002</v>
      </c>
    </row>
    <row r="178" spans="1:24" x14ac:dyDescent="0.25">
      <c r="A178" s="313">
        <v>3</v>
      </c>
      <c r="C178" s="313">
        <f t="shared" si="10"/>
        <v>47</v>
      </c>
      <c r="D178" s="313">
        <f t="shared" si="11"/>
        <v>45</v>
      </c>
      <c r="E178" s="313">
        <f t="shared" si="12"/>
        <v>14</v>
      </c>
      <c r="F178" s="313" t="str">
        <f t="shared" si="13"/>
        <v>cr</v>
      </c>
      <c r="G178" s="313" t="s">
        <v>311</v>
      </c>
      <c r="H178" s="313" t="s">
        <v>209</v>
      </c>
      <c r="I178" s="313" t="s">
        <v>310</v>
      </c>
      <c r="K178" s="314">
        <f t="shared" si="14"/>
        <v>1832.4676561060883</v>
      </c>
      <c r="M178" s="314">
        <v>1800</v>
      </c>
      <c r="R178" s="313" t="str">
        <f>IF(AND((J178="This"),(L178="Only")),VLOOKUP(G178,#REF!,7,FALSE),"")</f>
        <v/>
      </c>
      <c r="S178" s="313">
        <v>1811.1441592697583</v>
      </c>
      <c r="X178" s="313">
        <v>1832.4676561060883</v>
      </c>
    </row>
    <row r="179" spans="1:24" x14ac:dyDescent="0.25">
      <c r="A179" s="313">
        <v>5</v>
      </c>
      <c r="C179" s="313">
        <f t="shared" si="10"/>
        <v>48</v>
      </c>
      <c r="D179" s="313">
        <f t="shared" si="11"/>
        <v>45</v>
      </c>
      <c r="E179" s="313">
        <f t="shared" si="12"/>
        <v>14</v>
      </c>
      <c r="F179" s="313" t="str">
        <f t="shared" si="13"/>
        <v>pm</v>
      </c>
      <c r="G179" s="313" t="s">
        <v>364</v>
      </c>
      <c r="H179" s="313" t="s">
        <v>217</v>
      </c>
      <c r="I179" s="313" t="s">
        <v>363</v>
      </c>
      <c r="K179" s="314">
        <f t="shared" si="14"/>
        <v>1615.8727852600437</v>
      </c>
      <c r="M179" s="314">
        <v>1800</v>
      </c>
      <c r="O179" s="313">
        <v>1721.0245607386446</v>
      </c>
      <c r="R179" s="313" t="str">
        <f>IF(AND((J179="This"),(L179="Only")),VLOOKUP(G179,#REF!,7,FALSE),"")</f>
        <v/>
      </c>
      <c r="S179" s="313">
        <v>1700.0432703271169</v>
      </c>
      <c r="T179" s="313">
        <v>1636.641799015636</v>
      </c>
      <c r="V179" s="313">
        <v>1644.9049961515773</v>
      </c>
      <c r="X179" s="313">
        <v>1615.8727852600437</v>
      </c>
    </row>
    <row r="180" spans="1:24" x14ac:dyDescent="0.25">
      <c r="A180" s="313">
        <v>1</v>
      </c>
      <c r="C180" s="313">
        <f t="shared" si="10"/>
        <v>49</v>
      </c>
      <c r="D180" s="313">
        <f t="shared" si="11"/>
        <v>45</v>
      </c>
      <c r="E180" s="313">
        <f t="shared" si="12"/>
        <v>14</v>
      </c>
      <c r="F180" s="313" t="str">
        <f t="shared" si="13"/>
        <v>pmx</v>
      </c>
      <c r="G180" s="313" t="s">
        <v>793</v>
      </c>
      <c r="H180" s="313" t="s">
        <v>578</v>
      </c>
      <c r="I180" s="313" t="s">
        <v>794</v>
      </c>
      <c r="K180" s="314">
        <f t="shared" si="14"/>
        <v>1807.3210148453811</v>
      </c>
      <c r="M180" s="314">
        <v>1800</v>
      </c>
      <c r="O180" s="313">
        <v>1807.3210148453811</v>
      </c>
      <c r="R180" s="313" t="str">
        <f>IF(AND((J180="This"),(L180="Only")),VLOOKUP(G180,#REF!,7,FALSE),"")</f>
        <v/>
      </c>
    </row>
    <row r="181" spans="1:24" x14ac:dyDescent="0.25">
      <c r="A181" s="313">
        <v>4</v>
      </c>
      <c r="C181" s="313">
        <f t="shared" si="10"/>
        <v>50</v>
      </c>
      <c r="D181" s="313">
        <f t="shared" si="11"/>
        <v>45</v>
      </c>
      <c r="E181" s="313">
        <f t="shared" si="12"/>
        <v>14</v>
      </c>
      <c r="F181" s="313" t="str">
        <f t="shared" si="13"/>
        <v>pm</v>
      </c>
      <c r="G181" s="313" t="s">
        <v>390</v>
      </c>
      <c r="H181" s="313" t="s">
        <v>213</v>
      </c>
      <c r="I181" s="313" t="s">
        <v>389</v>
      </c>
      <c r="K181" s="314">
        <f t="shared" si="14"/>
        <v>1808.3399317636411</v>
      </c>
      <c r="M181" s="314">
        <v>1800</v>
      </c>
      <c r="O181" s="313">
        <v>1831.4590904430709</v>
      </c>
      <c r="R181" s="313" t="str">
        <f>IF(AND((J181="This"),(L181="Only")),VLOOKUP(G181,#REF!,7,FALSE),"")</f>
        <v/>
      </c>
      <c r="T181" s="313">
        <v>1880.3757698226127</v>
      </c>
      <c r="V181" s="313">
        <v>1830.5436089119114</v>
      </c>
      <c r="X181" s="313">
        <v>1808.3399317636411</v>
      </c>
    </row>
    <row r="182" spans="1:24" x14ac:dyDescent="0.25">
      <c r="A182" s="313">
        <v>1</v>
      </c>
      <c r="C182" s="313">
        <f t="shared" si="10"/>
        <v>51</v>
      </c>
      <c r="D182" s="313">
        <f t="shared" si="11"/>
        <v>45</v>
      </c>
      <c r="E182" s="313">
        <f t="shared" si="12"/>
        <v>14</v>
      </c>
      <c r="F182" s="313" t="str">
        <f t="shared" si="13"/>
        <v>crx</v>
      </c>
      <c r="G182" s="313" t="s">
        <v>521</v>
      </c>
      <c r="H182" s="313" t="s">
        <v>522</v>
      </c>
      <c r="I182" s="313" t="s">
        <v>520</v>
      </c>
      <c r="K182" s="314">
        <f t="shared" si="14"/>
        <v>1936.0903343342557</v>
      </c>
      <c r="M182" s="314">
        <v>1800</v>
      </c>
      <c r="R182" s="313" t="str">
        <f>IF(AND((J182="This"),(L182="Only")),VLOOKUP(G182,#REF!,7,FALSE),"")</f>
        <v/>
      </c>
      <c r="S182" s="313">
        <v>1917.7652604016778</v>
      </c>
      <c r="X182" s="313">
        <v>1936.0903343342557</v>
      </c>
    </row>
    <row r="183" spans="1:24" x14ac:dyDescent="0.25">
      <c r="A183" s="313">
        <v>3</v>
      </c>
      <c r="C183" s="313">
        <f t="shared" si="10"/>
        <v>52</v>
      </c>
      <c r="D183" s="313">
        <f t="shared" si="11"/>
        <v>45</v>
      </c>
      <c r="E183" s="313">
        <f t="shared" si="12"/>
        <v>14</v>
      </c>
      <c r="F183" s="313" t="str">
        <f t="shared" si="13"/>
        <v>pm</v>
      </c>
      <c r="G183" s="313" t="s">
        <v>233</v>
      </c>
      <c r="H183" s="313" t="s">
        <v>207</v>
      </c>
      <c r="I183" s="313" t="s">
        <v>315</v>
      </c>
      <c r="K183" s="314">
        <f t="shared" si="14"/>
        <v>1900.4753549957709</v>
      </c>
      <c r="M183" s="314">
        <v>1800</v>
      </c>
      <c r="O183" s="313">
        <v>1885.5732286269356</v>
      </c>
      <c r="R183" s="313" t="str">
        <f>IF(AND((J183="This"),(L183="Only")),VLOOKUP(G183,#REF!,7,FALSE),"")</f>
        <v/>
      </c>
      <c r="S183" s="313">
        <v>1891.4603047981896</v>
      </c>
      <c r="X183" s="313">
        <v>1900.4753549957709</v>
      </c>
    </row>
    <row r="184" spans="1:24" x14ac:dyDescent="0.25">
      <c r="A184" s="313">
        <v>3</v>
      </c>
      <c r="C184" s="313">
        <f t="shared" si="10"/>
        <v>53</v>
      </c>
      <c r="D184" s="313">
        <f t="shared" si="11"/>
        <v>45</v>
      </c>
      <c r="E184" s="313">
        <f t="shared" si="12"/>
        <v>14</v>
      </c>
      <c r="F184" s="313" t="str">
        <f t="shared" si="13"/>
        <v>pm</v>
      </c>
      <c r="G184" s="313" t="s">
        <v>258</v>
      </c>
      <c r="H184" s="313" t="s">
        <v>207</v>
      </c>
      <c r="I184" s="313" t="s">
        <v>316</v>
      </c>
      <c r="K184" s="314">
        <f t="shared" si="14"/>
        <v>1931.1341198367875</v>
      </c>
      <c r="M184" s="314">
        <v>1800</v>
      </c>
      <c r="O184" s="313">
        <v>1897.8835552697344</v>
      </c>
      <c r="R184" s="313" t="str">
        <f>IF(AND((J184="This"),(L184="Only")),VLOOKUP(G184,#REF!,7,FALSE),"")</f>
        <v/>
      </c>
      <c r="S184" s="313">
        <v>1895.4903689374637</v>
      </c>
      <c r="X184" s="313">
        <v>1931.1341198367875</v>
      </c>
    </row>
    <row r="185" spans="1:24" x14ac:dyDescent="0.25">
      <c r="A185" s="313">
        <v>3</v>
      </c>
      <c r="C185" s="313">
        <f t="shared" si="10"/>
        <v>54</v>
      </c>
      <c r="D185" s="313">
        <f t="shared" si="11"/>
        <v>45</v>
      </c>
      <c r="E185" s="313">
        <f t="shared" si="12"/>
        <v>14</v>
      </c>
      <c r="F185" s="313" t="str">
        <f t="shared" si="13"/>
        <v>pm</v>
      </c>
      <c r="G185" s="313" t="s">
        <v>317</v>
      </c>
      <c r="H185" s="313" t="s">
        <v>207</v>
      </c>
      <c r="I185" s="313" t="s">
        <v>189</v>
      </c>
      <c r="K185" s="314">
        <f t="shared" si="14"/>
        <v>1808.1070716129773</v>
      </c>
      <c r="M185" s="314">
        <v>1800</v>
      </c>
      <c r="O185" s="313">
        <v>1797.7221920256341</v>
      </c>
      <c r="R185" s="313" t="str">
        <f>IF(AND((J185="This"),(L185="Only")),VLOOKUP(G185,#REF!,7,FALSE),"")</f>
        <v/>
      </c>
      <c r="S185" s="313">
        <v>1828.7521321234813</v>
      </c>
      <c r="X185" s="313">
        <v>1808.1070716129773</v>
      </c>
    </row>
    <row r="186" spans="1:24" x14ac:dyDescent="0.25">
      <c r="A186" s="313">
        <v>3</v>
      </c>
      <c r="C186" s="313">
        <f t="shared" si="10"/>
        <v>55</v>
      </c>
      <c r="D186" s="313">
        <f t="shared" si="11"/>
        <v>45</v>
      </c>
      <c r="E186" s="313">
        <f t="shared" si="12"/>
        <v>14</v>
      </c>
      <c r="F186" s="313" t="str">
        <f t="shared" si="13"/>
        <v>pm</v>
      </c>
      <c r="G186" s="313" t="s">
        <v>487</v>
      </c>
      <c r="H186" s="313" t="s">
        <v>207</v>
      </c>
      <c r="I186" s="313" t="s">
        <v>190</v>
      </c>
      <c r="K186" s="314">
        <f t="shared" si="14"/>
        <v>1811.3963190537154</v>
      </c>
      <c r="M186" s="314">
        <v>1800</v>
      </c>
      <c r="R186" s="313" t="str">
        <f>IF(AND((J186="This"),(L186="Only")),VLOOKUP(G186,#REF!,7,FALSE),"")</f>
        <v/>
      </c>
      <c r="S186" s="313">
        <v>1917.047248554828</v>
      </c>
      <c r="T186" s="313">
        <v>1890.1692768639286</v>
      </c>
      <c r="X186" s="313">
        <v>1811.3963190537154</v>
      </c>
    </row>
    <row r="187" spans="1:24" x14ac:dyDescent="0.25">
      <c r="A187" s="313">
        <v>6</v>
      </c>
      <c r="C187" s="313">
        <f t="shared" si="10"/>
        <v>56</v>
      </c>
      <c r="D187" s="313">
        <f t="shared" si="11"/>
        <v>45</v>
      </c>
      <c r="E187" s="313">
        <f t="shared" si="12"/>
        <v>14</v>
      </c>
      <c r="F187" s="313" t="str">
        <f t="shared" si="13"/>
        <v>pm</v>
      </c>
      <c r="G187" s="313" t="s">
        <v>234</v>
      </c>
      <c r="H187" s="313" t="s">
        <v>204</v>
      </c>
      <c r="I187" s="313" t="s">
        <v>185</v>
      </c>
      <c r="K187" s="314">
        <f t="shared" si="14"/>
        <v>1925.295911556369</v>
      </c>
      <c r="M187" s="314">
        <v>1800</v>
      </c>
      <c r="O187" s="313">
        <v>1832.7769050427903</v>
      </c>
      <c r="R187" s="313" t="str">
        <f>IF(AND((J187="This"),(L187="Only")),VLOOKUP(G187,#REF!,7,FALSE),"")</f>
        <v/>
      </c>
      <c r="S187" s="313">
        <v>1858.1436790158755</v>
      </c>
      <c r="T187" s="313">
        <v>1907.7374614602916</v>
      </c>
      <c r="V187" s="313">
        <v>1914.8405147891358</v>
      </c>
      <c r="X187" s="313">
        <v>1925.295911556369</v>
      </c>
    </row>
    <row r="188" spans="1:24" x14ac:dyDescent="0.25">
      <c r="A188" s="313">
        <v>1</v>
      </c>
      <c r="C188" s="313">
        <f t="shared" si="10"/>
        <v>57</v>
      </c>
      <c r="D188" s="313">
        <f t="shared" si="11"/>
        <v>45</v>
      </c>
      <c r="E188" s="313">
        <f t="shared" si="12"/>
        <v>14</v>
      </c>
      <c r="F188" s="313" t="str">
        <f t="shared" si="13"/>
        <v>sox</v>
      </c>
      <c r="G188" s="313" t="s">
        <v>431</v>
      </c>
      <c r="H188" s="313" t="s">
        <v>295</v>
      </c>
      <c r="I188" s="313" t="s">
        <v>430</v>
      </c>
      <c r="K188" s="314">
        <f t="shared" si="14"/>
        <v>1800</v>
      </c>
      <c r="M188" s="314">
        <v>1800</v>
      </c>
      <c r="R188" s="313" t="str">
        <f>IF(AND((J188="This"),(L188="Only")),VLOOKUP(G188,#REF!,7,FALSE),"")</f>
        <v/>
      </c>
    </row>
    <row r="189" spans="1:24" x14ac:dyDescent="0.25">
      <c r="A189" s="313">
        <v>2</v>
      </c>
      <c r="C189" s="313">
        <f t="shared" si="10"/>
        <v>58</v>
      </c>
      <c r="D189" s="313">
        <f t="shared" si="11"/>
        <v>45</v>
      </c>
      <c r="E189" s="313">
        <f t="shared" si="12"/>
        <v>14</v>
      </c>
      <c r="F189" s="313" t="str">
        <f t="shared" si="13"/>
        <v>so</v>
      </c>
      <c r="G189" s="313" t="s">
        <v>433</v>
      </c>
      <c r="H189" s="313" t="s">
        <v>295</v>
      </c>
      <c r="I189" s="313" t="s">
        <v>432</v>
      </c>
      <c r="K189" s="314">
        <f t="shared" si="14"/>
        <v>1847.4634591582353</v>
      </c>
      <c r="M189" s="314">
        <v>1800</v>
      </c>
      <c r="R189" s="313" t="str">
        <f>IF(AND((J189="This"),(L189="Only")),VLOOKUP(G189,#REF!,7,FALSE),"")</f>
        <v/>
      </c>
      <c r="X189" s="313">
        <v>1847.4634591582353</v>
      </c>
    </row>
    <row r="190" spans="1:24" x14ac:dyDescent="0.25">
      <c r="A190" s="313">
        <v>5</v>
      </c>
      <c r="C190" s="313">
        <f t="shared" si="10"/>
        <v>59</v>
      </c>
      <c r="D190" s="313">
        <f t="shared" si="11"/>
        <v>45</v>
      </c>
      <c r="E190" s="313">
        <f t="shared" si="12"/>
        <v>14</v>
      </c>
      <c r="F190" s="313" t="str">
        <f t="shared" si="13"/>
        <v>pm</v>
      </c>
      <c r="G190" s="313" t="s">
        <v>215</v>
      </c>
      <c r="H190" s="313" t="s">
        <v>199</v>
      </c>
      <c r="I190" s="313" t="s">
        <v>367</v>
      </c>
      <c r="K190" s="314">
        <f t="shared" si="14"/>
        <v>2006.3678428890369</v>
      </c>
      <c r="M190" s="314">
        <v>1800</v>
      </c>
      <c r="O190" s="313">
        <v>1913.6326230156692</v>
      </c>
      <c r="R190" s="313" t="str">
        <f>IF(AND((J190="This"),(L190="Only")),VLOOKUP(G190,#REF!,7,FALSE),"")</f>
        <v/>
      </c>
      <c r="S190" s="313">
        <v>1925.0434236172341</v>
      </c>
      <c r="V190" s="313">
        <v>1963.0509671228099</v>
      </c>
      <c r="X190" s="313">
        <v>2006.3678428890369</v>
      </c>
    </row>
    <row r="191" spans="1:24" x14ac:dyDescent="0.25">
      <c r="A191" s="313">
        <v>2</v>
      </c>
      <c r="C191" s="313">
        <f t="shared" si="10"/>
        <v>60</v>
      </c>
      <c r="D191" s="313">
        <f t="shared" si="11"/>
        <v>45</v>
      </c>
      <c r="E191" s="313">
        <f t="shared" si="12"/>
        <v>14</v>
      </c>
      <c r="F191" s="313" t="str">
        <f t="shared" si="13"/>
        <v>pm</v>
      </c>
      <c r="G191" s="313" t="s">
        <v>795</v>
      </c>
      <c r="H191" s="313" t="s">
        <v>281</v>
      </c>
      <c r="I191" s="313" t="s">
        <v>796</v>
      </c>
      <c r="K191" s="314">
        <f t="shared" si="14"/>
        <v>1647.1294488255151</v>
      </c>
      <c r="M191" s="314">
        <v>1800</v>
      </c>
      <c r="R191" s="313" t="str">
        <f>IF(AND((J191="This"),(L191="Only")),VLOOKUP(G191,#REF!,7,FALSE),"")</f>
        <v/>
      </c>
      <c r="S191" s="313">
        <v>1687.89017886652</v>
      </c>
      <c r="T191" s="313">
        <v>1606.0897183893037</v>
      </c>
      <c r="V191" s="313">
        <v>1647.1294488255151</v>
      </c>
    </row>
    <row r="192" spans="1:24" x14ac:dyDescent="0.25">
      <c r="A192" s="313">
        <v>4</v>
      </c>
      <c r="C192" s="313">
        <f t="shared" si="10"/>
        <v>61</v>
      </c>
      <c r="D192" s="313">
        <f t="shared" si="11"/>
        <v>45</v>
      </c>
      <c r="E192" s="313">
        <f t="shared" si="12"/>
        <v>14</v>
      </c>
      <c r="F192" s="313" t="str">
        <f t="shared" si="13"/>
        <v>pm</v>
      </c>
      <c r="G192" s="313" t="s">
        <v>436</v>
      </c>
      <c r="H192" s="313" t="s">
        <v>198</v>
      </c>
      <c r="I192" s="313" t="s">
        <v>435</v>
      </c>
      <c r="K192" s="314">
        <f t="shared" si="14"/>
        <v>1611.6303299747217</v>
      </c>
      <c r="M192" s="314">
        <v>1800</v>
      </c>
      <c r="R192" s="313" t="str">
        <f>IF(AND((J192="This"),(L192="Only")),VLOOKUP(G192,#REF!,7,FALSE),"")</f>
        <v/>
      </c>
      <c r="S192" s="313">
        <v>1706.6302599197058</v>
      </c>
      <c r="T192" s="313">
        <v>1681.5214943555018</v>
      </c>
      <c r="X192" s="313">
        <v>1611.6303299747217</v>
      </c>
    </row>
    <row r="193" spans="1:24" x14ac:dyDescent="0.25">
      <c r="A193" s="313">
        <v>6</v>
      </c>
      <c r="C193" s="313">
        <f t="shared" si="10"/>
        <v>62</v>
      </c>
      <c r="D193" s="313">
        <f t="shared" si="11"/>
        <v>45</v>
      </c>
      <c r="E193" s="313">
        <f t="shared" si="12"/>
        <v>14</v>
      </c>
      <c r="F193" s="313" t="str">
        <f t="shared" si="13"/>
        <v>pm</v>
      </c>
      <c r="G193" s="313" t="s">
        <v>515</v>
      </c>
      <c r="H193" s="313" t="s">
        <v>216</v>
      </c>
      <c r="I193" s="313" t="s">
        <v>186</v>
      </c>
      <c r="K193" s="314">
        <f t="shared" si="14"/>
        <v>1920.2615501216155</v>
      </c>
      <c r="M193" s="314">
        <v>1800</v>
      </c>
      <c r="O193" s="313">
        <v>1779.977065877883</v>
      </c>
      <c r="R193" s="313" t="str">
        <f>IF(AND((J193="This"),(L193="Only")),VLOOKUP(G193,#REF!,7,FALSE),"")</f>
        <v/>
      </c>
      <c r="S193" s="313">
        <v>1830.0095482937588</v>
      </c>
      <c r="T193" s="313">
        <v>1800.3848611781038</v>
      </c>
      <c r="V193" s="313">
        <v>1838.133719846739</v>
      </c>
      <c r="X193" s="313">
        <v>1920.2615501216155</v>
      </c>
    </row>
    <row r="194" spans="1:24" x14ac:dyDescent="0.25">
      <c r="A194" s="313">
        <v>2</v>
      </c>
      <c r="C194" s="313">
        <f t="shared" ref="C194:C257" si="15">IF(E194=E193,C193+1,1)</f>
        <v>63</v>
      </c>
      <c r="D194" s="313">
        <f t="shared" ref="D194:D257" si="16">IF(M194=M193,D193,C194)</f>
        <v>45</v>
      </c>
      <c r="E194" s="313">
        <f t="shared" ref="E194:E257" si="17">10+VALUE(RIGHT(LEFT(G194,3),1))</f>
        <v>14</v>
      </c>
      <c r="F194" s="313" t="str">
        <f t="shared" ref="F194:F257" si="18">RIGHT(G194,2) &amp; IF(A194&lt;2,"x","")</f>
        <v>cr</v>
      </c>
      <c r="G194" s="313" t="s">
        <v>797</v>
      </c>
      <c r="H194" s="313" t="s">
        <v>593</v>
      </c>
      <c r="I194" s="313" t="s">
        <v>798</v>
      </c>
      <c r="K194" s="314">
        <f t="shared" ref="K194:K257" si="19">LOOKUP(1E+100,M194:AC194)</f>
        <v>1932.2992373846746</v>
      </c>
      <c r="M194" s="314">
        <v>1800</v>
      </c>
      <c r="R194" s="313" t="str">
        <f>IF(AND((J194="This"),(L194="Only")),VLOOKUP(G194,#REF!,7,FALSE),"")</f>
        <v/>
      </c>
      <c r="T194" s="313">
        <v>1932.2992373846746</v>
      </c>
    </row>
    <row r="195" spans="1:24" x14ac:dyDescent="0.25">
      <c r="A195" s="313">
        <v>2</v>
      </c>
      <c r="C195" s="313">
        <f t="shared" si="15"/>
        <v>64</v>
      </c>
      <c r="D195" s="313">
        <f t="shared" si="16"/>
        <v>45</v>
      </c>
      <c r="E195" s="313">
        <f t="shared" si="17"/>
        <v>14</v>
      </c>
      <c r="F195" s="313" t="str">
        <f t="shared" si="18"/>
        <v>pm</v>
      </c>
      <c r="G195" s="313" t="s">
        <v>799</v>
      </c>
      <c r="H195" s="313" t="s">
        <v>559</v>
      </c>
      <c r="I195" s="313" t="s">
        <v>800</v>
      </c>
      <c r="K195" s="314">
        <f t="shared" si="19"/>
        <v>1900.734248323354</v>
      </c>
      <c r="M195" s="314">
        <v>1800</v>
      </c>
      <c r="R195" s="313" t="str">
        <f>IF(AND((J195="This"),(L195="Only")),VLOOKUP(G195,#REF!,7,FALSE),"")</f>
        <v/>
      </c>
      <c r="V195" s="313">
        <v>1900.734248323354</v>
      </c>
    </row>
    <row r="196" spans="1:24" x14ac:dyDescent="0.25">
      <c r="A196" s="313">
        <v>2</v>
      </c>
      <c r="C196" s="313">
        <f t="shared" si="15"/>
        <v>65</v>
      </c>
      <c r="D196" s="313">
        <f t="shared" si="16"/>
        <v>45</v>
      </c>
      <c r="E196" s="313">
        <f t="shared" si="17"/>
        <v>14</v>
      </c>
      <c r="F196" s="313" t="str">
        <f t="shared" si="18"/>
        <v>pm</v>
      </c>
      <c r="G196" s="313" t="s">
        <v>801</v>
      </c>
      <c r="H196" s="313" t="s">
        <v>559</v>
      </c>
      <c r="I196" s="313" t="s">
        <v>802</v>
      </c>
      <c r="K196" s="314">
        <f t="shared" si="19"/>
        <v>1814.5725518335212</v>
      </c>
      <c r="M196" s="314">
        <v>1800</v>
      </c>
      <c r="R196" s="313" t="str">
        <f>IF(AND((J196="This"),(L196="Only")),VLOOKUP(G196,#REF!,7,FALSE),"")</f>
        <v/>
      </c>
      <c r="V196" s="313">
        <v>1814.5725518335212</v>
      </c>
    </row>
    <row r="197" spans="1:24" x14ac:dyDescent="0.25">
      <c r="A197" s="313">
        <v>2</v>
      </c>
      <c r="C197" s="313">
        <f t="shared" si="15"/>
        <v>66</v>
      </c>
      <c r="D197" s="313">
        <f t="shared" si="16"/>
        <v>45</v>
      </c>
      <c r="E197" s="313">
        <f t="shared" si="17"/>
        <v>14</v>
      </c>
      <c r="F197" s="313" t="str">
        <f t="shared" si="18"/>
        <v>pm</v>
      </c>
      <c r="G197" s="313" t="s">
        <v>803</v>
      </c>
      <c r="H197" s="313" t="s">
        <v>559</v>
      </c>
      <c r="I197" s="313" t="s">
        <v>804</v>
      </c>
      <c r="K197" s="314">
        <f t="shared" si="19"/>
        <v>1700.2368709686421</v>
      </c>
      <c r="M197" s="314">
        <v>1800</v>
      </c>
      <c r="R197" s="313" t="str">
        <f>IF(AND((J197="This"),(L197="Only")),VLOOKUP(G197,#REF!,7,FALSE),"")</f>
        <v/>
      </c>
      <c r="V197" s="313">
        <v>1700.2368709686421</v>
      </c>
    </row>
    <row r="198" spans="1:24" x14ac:dyDescent="0.25">
      <c r="A198" s="313">
        <v>2</v>
      </c>
      <c r="C198" s="313">
        <f t="shared" si="15"/>
        <v>67</v>
      </c>
      <c r="D198" s="313">
        <f t="shared" si="16"/>
        <v>45</v>
      </c>
      <c r="E198" s="313">
        <f t="shared" si="17"/>
        <v>14</v>
      </c>
      <c r="F198" s="313" t="str">
        <f t="shared" si="18"/>
        <v>pm</v>
      </c>
      <c r="G198" s="313" t="s">
        <v>805</v>
      </c>
      <c r="H198" s="313" t="s">
        <v>559</v>
      </c>
      <c r="I198" s="313" t="s">
        <v>806</v>
      </c>
      <c r="K198" s="314">
        <f t="shared" si="19"/>
        <v>1800</v>
      </c>
      <c r="M198" s="314">
        <v>1800</v>
      </c>
      <c r="R198" s="313" t="str">
        <f>IF(AND((J198="This"),(L198="Only")),VLOOKUP(G198,#REF!,7,FALSE),"")</f>
        <v/>
      </c>
    </row>
    <row r="199" spans="1:24" x14ac:dyDescent="0.25">
      <c r="A199" s="313">
        <v>2</v>
      </c>
      <c r="C199" s="313">
        <f t="shared" si="15"/>
        <v>68</v>
      </c>
      <c r="D199" s="313">
        <f t="shared" si="16"/>
        <v>45</v>
      </c>
      <c r="E199" s="313">
        <f t="shared" si="17"/>
        <v>14</v>
      </c>
      <c r="F199" s="313" t="str">
        <f t="shared" si="18"/>
        <v>pm</v>
      </c>
      <c r="G199" s="313" t="s">
        <v>807</v>
      </c>
      <c r="H199" s="313" t="s">
        <v>559</v>
      </c>
      <c r="I199" s="313" t="s">
        <v>808</v>
      </c>
      <c r="K199" s="314">
        <f t="shared" si="19"/>
        <v>1694.6804953151775</v>
      </c>
      <c r="M199" s="314">
        <v>1800</v>
      </c>
      <c r="R199" s="313" t="str">
        <f>IF(AND((J199="This"),(L199="Only")),VLOOKUP(G199,#REF!,7,FALSE),"")</f>
        <v/>
      </c>
      <c r="V199" s="313">
        <v>1694.6804953151775</v>
      </c>
    </row>
    <row r="200" spans="1:24" x14ac:dyDescent="0.25">
      <c r="A200" s="313">
        <v>2</v>
      </c>
      <c r="C200" s="313">
        <f t="shared" si="15"/>
        <v>69</v>
      </c>
      <c r="D200" s="313">
        <f t="shared" si="16"/>
        <v>45</v>
      </c>
      <c r="E200" s="313">
        <f t="shared" si="17"/>
        <v>14</v>
      </c>
      <c r="F200" s="313" t="str">
        <f t="shared" si="18"/>
        <v>pm</v>
      </c>
      <c r="G200" s="313" t="s">
        <v>809</v>
      </c>
      <c r="H200" s="313" t="s">
        <v>559</v>
      </c>
      <c r="I200" s="313" t="s">
        <v>810</v>
      </c>
      <c r="K200" s="314">
        <f t="shared" si="19"/>
        <v>1734.7837101165069</v>
      </c>
      <c r="M200" s="314">
        <v>1800</v>
      </c>
      <c r="R200" s="313" t="str">
        <f>IF(AND((J200="This"),(L200="Only")),VLOOKUP(G200,#REF!,7,FALSE),"")</f>
        <v/>
      </c>
      <c r="V200" s="313">
        <v>1734.7837101165069</v>
      </c>
    </row>
    <row r="201" spans="1:24" x14ac:dyDescent="0.25">
      <c r="A201" s="313">
        <v>3</v>
      </c>
      <c r="C201" s="313">
        <f t="shared" si="15"/>
        <v>70</v>
      </c>
      <c r="D201" s="313">
        <f t="shared" si="16"/>
        <v>45</v>
      </c>
      <c r="E201" s="313">
        <f t="shared" si="17"/>
        <v>14</v>
      </c>
      <c r="F201" s="313" t="str">
        <f t="shared" si="18"/>
        <v>pm</v>
      </c>
      <c r="G201" s="313" t="s">
        <v>528</v>
      </c>
      <c r="H201" s="313" t="s">
        <v>526</v>
      </c>
      <c r="I201" s="313" t="s">
        <v>527</v>
      </c>
      <c r="K201" s="314">
        <f t="shared" si="19"/>
        <v>1634.6920739531975</v>
      </c>
      <c r="M201" s="314">
        <v>1800</v>
      </c>
      <c r="O201" s="313">
        <v>1756.3448786492454</v>
      </c>
      <c r="R201" s="313" t="str">
        <f>IF(AND((J201="This"),(L201="Only")),VLOOKUP(G201,#REF!,7,FALSE),"")</f>
        <v/>
      </c>
      <c r="T201" s="313">
        <v>1625.5722405667989</v>
      </c>
      <c r="X201" s="313">
        <v>1634.6920739531975</v>
      </c>
    </row>
    <row r="202" spans="1:24" x14ac:dyDescent="0.25">
      <c r="A202" s="313">
        <v>1</v>
      </c>
      <c r="C202" s="313">
        <f t="shared" si="15"/>
        <v>71</v>
      </c>
      <c r="D202" s="313">
        <f t="shared" si="16"/>
        <v>45</v>
      </c>
      <c r="E202" s="313">
        <f t="shared" si="17"/>
        <v>14</v>
      </c>
      <c r="F202" s="313" t="str">
        <f t="shared" si="18"/>
        <v>sox</v>
      </c>
      <c r="G202" s="313" t="s">
        <v>456</v>
      </c>
      <c r="H202" s="313" t="s">
        <v>222</v>
      </c>
      <c r="I202" s="313" t="s">
        <v>455</v>
      </c>
      <c r="K202" s="314">
        <f t="shared" si="19"/>
        <v>2226.2113243175049</v>
      </c>
      <c r="M202" s="314">
        <v>1800</v>
      </c>
      <c r="R202" s="313" t="str">
        <f>IF(AND((J202="This"),(L202="Only")),VLOOKUP(G202,#REF!,7,FALSE),"")</f>
        <v/>
      </c>
      <c r="X202" s="313">
        <v>2226.2113243175049</v>
      </c>
    </row>
    <row r="203" spans="1:24" x14ac:dyDescent="0.25">
      <c r="A203" s="313">
        <v>4</v>
      </c>
      <c r="C203" s="313">
        <f t="shared" si="15"/>
        <v>72</v>
      </c>
      <c r="D203" s="313">
        <f t="shared" si="16"/>
        <v>45</v>
      </c>
      <c r="E203" s="313">
        <f t="shared" si="17"/>
        <v>14</v>
      </c>
      <c r="F203" s="313" t="str">
        <f t="shared" si="18"/>
        <v>pm</v>
      </c>
      <c r="G203" s="313" t="s">
        <v>507</v>
      </c>
      <c r="H203" s="313" t="s">
        <v>505</v>
      </c>
      <c r="I203" s="313" t="s">
        <v>506</v>
      </c>
      <c r="K203" s="314">
        <f t="shared" si="19"/>
        <v>1745.7532376061822</v>
      </c>
      <c r="M203" s="314">
        <v>1800</v>
      </c>
      <c r="O203" s="313">
        <v>1783.7626751486391</v>
      </c>
      <c r="R203" s="313" t="str">
        <f>IF(AND((J203="This"),(L203="Only")),VLOOKUP(G203,#REF!,7,FALSE),"")</f>
        <v/>
      </c>
      <c r="T203" s="313">
        <v>1706.7949714909773</v>
      </c>
      <c r="V203" s="313">
        <v>1741.3689204677482</v>
      </c>
      <c r="X203" s="313">
        <v>1745.7532376061822</v>
      </c>
    </row>
    <row r="204" spans="1:24" x14ac:dyDescent="0.25">
      <c r="A204" s="313">
        <v>7</v>
      </c>
      <c r="C204" s="313">
        <f t="shared" si="15"/>
        <v>73</v>
      </c>
      <c r="D204" s="313">
        <f t="shared" si="16"/>
        <v>45</v>
      </c>
      <c r="E204" s="313">
        <f t="shared" si="17"/>
        <v>14</v>
      </c>
      <c r="F204" s="313" t="str">
        <f t="shared" si="18"/>
        <v>pm</v>
      </c>
      <c r="G204" s="313" t="s">
        <v>417</v>
      </c>
      <c r="H204" s="313" t="s">
        <v>211</v>
      </c>
      <c r="I204" s="313" t="s">
        <v>416</v>
      </c>
      <c r="K204" s="314">
        <f t="shared" si="19"/>
        <v>1641.5980941199523</v>
      </c>
      <c r="M204" s="314">
        <v>1800</v>
      </c>
      <c r="O204" s="313">
        <v>1721.8318533664537</v>
      </c>
      <c r="R204" s="313" t="str">
        <f>IF(AND((J204="This"),(L204="Only")),VLOOKUP(G204,#REF!,7,FALSE),"")</f>
        <v/>
      </c>
      <c r="S204" s="313">
        <v>1690.476591806912</v>
      </c>
      <c r="T204" s="313">
        <v>1697.8792064296672</v>
      </c>
      <c r="V204" s="313">
        <v>1716.1266950832369</v>
      </c>
      <c r="X204" s="313">
        <v>1641.5980941199523</v>
      </c>
    </row>
    <row r="205" spans="1:24" x14ac:dyDescent="0.25">
      <c r="A205" s="313">
        <v>5</v>
      </c>
      <c r="C205" s="313">
        <f t="shared" si="15"/>
        <v>74</v>
      </c>
      <c r="D205" s="313">
        <f t="shared" si="16"/>
        <v>45</v>
      </c>
      <c r="E205" s="313">
        <f t="shared" si="17"/>
        <v>14</v>
      </c>
      <c r="F205" s="313" t="str">
        <f t="shared" si="18"/>
        <v>pm</v>
      </c>
      <c r="G205" s="313" t="s">
        <v>312</v>
      </c>
      <c r="H205" s="313" t="s">
        <v>201</v>
      </c>
      <c r="I205" s="313" t="s">
        <v>184</v>
      </c>
      <c r="K205" s="314">
        <f t="shared" si="19"/>
        <v>1598.9631396964801</v>
      </c>
      <c r="M205" s="314">
        <v>1800</v>
      </c>
      <c r="R205" s="313" t="str">
        <f>IF(AND((J205="This"),(L205="Only")),VLOOKUP(G205,#REF!,7,FALSE),"")</f>
        <v/>
      </c>
      <c r="S205" s="313">
        <v>1704.9165570856503</v>
      </c>
      <c r="T205" s="313">
        <v>1651.4456963857826</v>
      </c>
      <c r="V205" s="313">
        <v>1570.7017546104134</v>
      </c>
      <c r="X205" s="313">
        <v>1598.9631396964801</v>
      </c>
    </row>
    <row r="206" spans="1:24" x14ac:dyDescent="0.25">
      <c r="A206" s="313">
        <v>5</v>
      </c>
      <c r="C206" s="313">
        <f t="shared" si="15"/>
        <v>75</v>
      </c>
      <c r="D206" s="313">
        <f t="shared" si="16"/>
        <v>45</v>
      </c>
      <c r="E206" s="313">
        <f t="shared" si="17"/>
        <v>14</v>
      </c>
      <c r="F206" s="313" t="str">
        <f t="shared" si="18"/>
        <v>pm</v>
      </c>
      <c r="G206" s="313" t="s">
        <v>257</v>
      </c>
      <c r="H206" s="313" t="s">
        <v>201</v>
      </c>
      <c r="I206" s="313" t="s">
        <v>313</v>
      </c>
      <c r="K206" s="314">
        <f t="shared" si="19"/>
        <v>1722.2995681426601</v>
      </c>
      <c r="M206" s="314">
        <v>1800</v>
      </c>
      <c r="R206" s="313" t="str">
        <f>IF(AND((J206="This"),(L206="Only")),VLOOKUP(G206,#REF!,7,FALSE),"")</f>
        <v/>
      </c>
      <c r="S206" s="313">
        <v>1728.9414825506315</v>
      </c>
      <c r="T206" s="313">
        <v>1684.852427864196</v>
      </c>
      <c r="V206" s="313">
        <v>1720.2289335203257</v>
      </c>
      <c r="X206" s="313">
        <v>1722.2995681426601</v>
      </c>
    </row>
    <row r="207" spans="1:24" x14ac:dyDescent="0.25">
      <c r="A207" s="313">
        <v>1</v>
      </c>
      <c r="C207" s="313">
        <f t="shared" si="15"/>
        <v>76</v>
      </c>
      <c r="D207" s="313">
        <f t="shared" si="16"/>
        <v>45</v>
      </c>
      <c r="E207" s="313">
        <f t="shared" si="17"/>
        <v>14</v>
      </c>
      <c r="F207" s="313" t="str">
        <f t="shared" si="18"/>
        <v>crx</v>
      </c>
      <c r="G207" s="313" t="s">
        <v>811</v>
      </c>
      <c r="H207" s="313" t="s">
        <v>812</v>
      </c>
      <c r="I207" s="313" t="s">
        <v>812</v>
      </c>
      <c r="K207" s="314">
        <f t="shared" si="19"/>
        <v>1945.8582482864797</v>
      </c>
      <c r="M207" s="314">
        <v>1800</v>
      </c>
      <c r="R207" s="313" t="str">
        <f>IF(AND((J207="This"),(L207="Only")),VLOOKUP(G207,#REF!,7,FALSE),"")</f>
        <v/>
      </c>
      <c r="T207" s="313">
        <v>1871.6837848905743</v>
      </c>
      <c r="V207" s="313">
        <v>1945.8582482864797</v>
      </c>
    </row>
    <row r="208" spans="1:24" x14ac:dyDescent="0.25">
      <c r="A208" s="313">
        <v>1</v>
      </c>
      <c r="C208" s="313">
        <f t="shared" si="15"/>
        <v>77</v>
      </c>
      <c r="D208" s="313">
        <f t="shared" si="16"/>
        <v>45</v>
      </c>
      <c r="E208" s="313">
        <f t="shared" si="17"/>
        <v>14</v>
      </c>
      <c r="F208" s="313" t="str">
        <f t="shared" si="18"/>
        <v>crx</v>
      </c>
      <c r="G208" s="313" t="s">
        <v>401</v>
      </c>
      <c r="H208" s="313" t="s">
        <v>402</v>
      </c>
      <c r="I208" s="313" t="s">
        <v>400</v>
      </c>
      <c r="K208" s="314">
        <f t="shared" si="19"/>
        <v>2155.0443410250045</v>
      </c>
      <c r="M208" s="314">
        <v>1800</v>
      </c>
      <c r="R208" s="313" t="str">
        <f>IF(AND((J208="This"),(L208="Only")),VLOOKUP(G208,#REF!,7,FALSE),"")</f>
        <v/>
      </c>
      <c r="X208" s="313">
        <v>2155.0443410250045</v>
      </c>
    </row>
    <row r="209" spans="1:24" x14ac:dyDescent="0.25">
      <c r="A209" s="313">
        <v>1</v>
      </c>
      <c r="C209" s="313">
        <f t="shared" si="15"/>
        <v>78</v>
      </c>
      <c r="D209" s="313">
        <f t="shared" si="16"/>
        <v>45</v>
      </c>
      <c r="E209" s="313">
        <f t="shared" si="17"/>
        <v>14</v>
      </c>
      <c r="F209" s="313" t="str">
        <f t="shared" si="18"/>
        <v>pmx</v>
      </c>
      <c r="G209" s="313" t="s">
        <v>465</v>
      </c>
      <c r="H209" s="313" t="s">
        <v>182</v>
      </c>
      <c r="I209" s="313" t="s">
        <v>464</v>
      </c>
      <c r="K209" s="314">
        <f t="shared" si="19"/>
        <v>1900.0253559371931</v>
      </c>
      <c r="M209" s="314">
        <v>1800</v>
      </c>
      <c r="R209" s="313" t="str">
        <f>IF(AND((J209="This"),(L209="Only")),VLOOKUP(G209,#REF!,7,FALSE),"")</f>
        <v/>
      </c>
      <c r="S209" s="313">
        <v>1865.2574148016322</v>
      </c>
      <c r="X209" s="313">
        <v>1900.0253559371931</v>
      </c>
    </row>
    <row r="210" spans="1:24" x14ac:dyDescent="0.25">
      <c r="A210" s="313">
        <v>5</v>
      </c>
      <c r="C210" s="313">
        <f t="shared" si="15"/>
        <v>79</v>
      </c>
      <c r="D210" s="313">
        <f t="shared" si="16"/>
        <v>45</v>
      </c>
      <c r="E210" s="313">
        <f t="shared" si="17"/>
        <v>14</v>
      </c>
      <c r="F210" s="313" t="str">
        <f t="shared" si="18"/>
        <v>pm</v>
      </c>
      <c r="G210" s="313" t="s">
        <v>383</v>
      </c>
      <c r="H210" s="313" t="s">
        <v>205</v>
      </c>
      <c r="I210" s="313" t="s">
        <v>382</v>
      </c>
      <c r="K210" s="314">
        <f t="shared" si="19"/>
        <v>1831.1486890310628</v>
      </c>
      <c r="M210" s="314">
        <v>1800</v>
      </c>
      <c r="R210" s="313" t="str">
        <f>IF(AND((J210="This"),(L210="Only")),VLOOKUP(G210,#REF!,7,FALSE),"")</f>
        <v/>
      </c>
      <c r="S210" s="313">
        <v>1816.3597723411556</v>
      </c>
      <c r="T210" s="313">
        <v>1799.9656310899888</v>
      </c>
      <c r="V210" s="313">
        <v>1805.1071930791211</v>
      </c>
      <c r="X210" s="313">
        <v>1831.1486890310628</v>
      </c>
    </row>
    <row r="211" spans="1:24" x14ac:dyDescent="0.25">
      <c r="A211" s="313">
        <v>1</v>
      </c>
      <c r="C211" s="313">
        <f t="shared" si="15"/>
        <v>80</v>
      </c>
      <c r="D211" s="313">
        <f t="shared" si="16"/>
        <v>45</v>
      </c>
      <c r="E211" s="313">
        <f t="shared" si="17"/>
        <v>14</v>
      </c>
      <c r="F211" s="313" t="str">
        <f t="shared" si="18"/>
        <v>sox</v>
      </c>
      <c r="G211" s="313" t="s">
        <v>323</v>
      </c>
      <c r="H211" s="313" t="s">
        <v>212</v>
      </c>
      <c r="I211" s="313" t="s">
        <v>437</v>
      </c>
      <c r="K211" s="314">
        <f t="shared" si="19"/>
        <v>2191.3037844041428</v>
      </c>
      <c r="M211" s="314">
        <v>1800</v>
      </c>
      <c r="R211" s="313" t="str">
        <f>IF(AND((J211="This"),(L211="Only")),VLOOKUP(G211,#REF!,7,FALSE),"")</f>
        <v/>
      </c>
      <c r="X211" s="313">
        <v>2191.3037844041428</v>
      </c>
    </row>
    <row r="212" spans="1:24" x14ac:dyDescent="0.25">
      <c r="A212" s="313">
        <v>1</v>
      </c>
      <c r="C212" s="313">
        <f t="shared" si="15"/>
        <v>81</v>
      </c>
      <c r="D212" s="313">
        <f t="shared" si="16"/>
        <v>45</v>
      </c>
      <c r="E212" s="313">
        <f t="shared" si="17"/>
        <v>14</v>
      </c>
      <c r="F212" s="313" t="str">
        <f t="shared" si="18"/>
        <v>sox</v>
      </c>
      <c r="G212" s="313" t="s">
        <v>439</v>
      </c>
      <c r="H212" s="313" t="s">
        <v>212</v>
      </c>
      <c r="I212" s="313" t="s">
        <v>438</v>
      </c>
      <c r="K212" s="314">
        <f t="shared" si="19"/>
        <v>2183.3270107723647</v>
      </c>
      <c r="M212" s="314">
        <v>1800</v>
      </c>
      <c r="R212" s="313" t="str">
        <f>IF(AND((J212="This"),(L212="Only")),VLOOKUP(G212,#REF!,7,FALSE),"")</f>
        <v/>
      </c>
      <c r="X212" s="313">
        <v>2183.3270107723647</v>
      </c>
    </row>
    <row r="213" spans="1:24" x14ac:dyDescent="0.25">
      <c r="A213" s="313">
        <v>4</v>
      </c>
      <c r="C213" s="313">
        <f t="shared" si="15"/>
        <v>82</v>
      </c>
      <c r="D213" s="313">
        <f t="shared" si="16"/>
        <v>45</v>
      </c>
      <c r="E213" s="313">
        <f t="shared" si="17"/>
        <v>14</v>
      </c>
      <c r="F213" s="313" t="str">
        <f t="shared" si="18"/>
        <v>pm</v>
      </c>
      <c r="G213" s="313" t="s">
        <v>498</v>
      </c>
      <c r="H213" s="313" t="s">
        <v>494</v>
      </c>
      <c r="I213" s="313" t="s">
        <v>497</v>
      </c>
      <c r="K213" s="314">
        <f t="shared" si="19"/>
        <v>1799.434316797571</v>
      </c>
      <c r="M213" s="314">
        <v>1800</v>
      </c>
      <c r="R213" s="313" t="str">
        <f>IF(AND((J213="This"),(L213="Only")),VLOOKUP(G213,#REF!,7,FALSE),"")</f>
        <v/>
      </c>
      <c r="S213" s="313">
        <v>1810.7634942276854</v>
      </c>
      <c r="V213" s="313">
        <v>1741.8911152621556</v>
      </c>
      <c r="X213" s="313">
        <v>1799.434316797571</v>
      </c>
    </row>
    <row r="214" spans="1:24" x14ac:dyDescent="0.25">
      <c r="A214" s="313">
        <v>2</v>
      </c>
      <c r="C214" s="313">
        <f t="shared" si="15"/>
        <v>1</v>
      </c>
      <c r="D214" s="313">
        <f t="shared" si="16"/>
        <v>1</v>
      </c>
      <c r="E214" s="313">
        <f t="shared" si="17"/>
        <v>15</v>
      </c>
      <c r="F214" s="313" t="str">
        <f t="shared" si="18"/>
        <v>pm</v>
      </c>
      <c r="G214" s="313" t="s">
        <v>813</v>
      </c>
      <c r="H214" s="313" t="s">
        <v>201</v>
      </c>
      <c r="I214" s="313" t="s">
        <v>814</v>
      </c>
      <c r="K214" s="314">
        <f t="shared" si="19"/>
        <v>2486.3121659690087</v>
      </c>
      <c r="M214" s="314">
        <v>2400</v>
      </c>
      <c r="R214" s="313" t="str">
        <f>IF(AND((J214="This"),(L214="Only")),VLOOKUP(G214,#REF!,7,FALSE),"")</f>
        <v/>
      </c>
      <c r="U214" s="313">
        <v>2493.626289433224</v>
      </c>
      <c r="W214" s="313">
        <v>2486.3121659690087</v>
      </c>
    </row>
    <row r="215" spans="1:24" x14ac:dyDescent="0.25">
      <c r="A215" s="313">
        <v>7</v>
      </c>
      <c r="C215" s="313">
        <f t="shared" si="15"/>
        <v>2</v>
      </c>
      <c r="D215" s="313">
        <f t="shared" si="16"/>
        <v>2</v>
      </c>
      <c r="E215" s="313">
        <f t="shared" si="17"/>
        <v>15</v>
      </c>
      <c r="F215" s="313" t="str">
        <f t="shared" si="18"/>
        <v>pm</v>
      </c>
      <c r="G215" s="313" t="s">
        <v>815</v>
      </c>
      <c r="H215" s="313" t="s">
        <v>697</v>
      </c>
      <c r="I215" s="313" t="s">
        <v>816</v>
      </c>
      <c r="K215" s="314">
        <f t="shared" si="19"/>
        <v>2043.4409293967788</v>
      </c>
      <c r="M215" s="314">
        <v>2428.5714285714284</v>
      </c>
      <c r="O215" s="313">
        <v>2268.7826308362091</v>
      </c>
      <c r="P215" s="313">
        <v>2236.1285794773908</v>
      </c>
      <c r="R215" s="313" t="str">
        <f>IF(AND((J215="This"),(L215="Only")),VLOOKUP(G215,#REF!,7,FALSE),"")</f>
        <v/>
      </c>
      <c r="S215" s="313">
        <v>2195.5636434586636</v>
      </c>
      <c r="U215" s="313">
        <v>2140.9672825573971</v>
      </c>
      <c r="V215" s="313">
        <v>2043.4409293967788</v>
      </c>
    </row>
    <row r="216" spans="1:24" x14ac:dyDescent="0.25">
      <c r="A216" s="313">
        <v>1</v>
      </c>
      <c r="C216" s="313">
        <f t="shared" si="15"/>
        <v>3</v>
      </c>
      <c r="D216" s="313">
        <f t="shared" si="16"/>
        <v>3</v>
      </c>
      <c r="E216" s="313">
        <f t="shared" si="17"/>
        <v>15</v>
      </c>
      <c r="F216" s="313" t="str">
        <f t="shared" si="18"/>
        <v>sox</v>
      </c>
      <c r="G216" s="313" t="s">
        <v>817</v>
      </c>
      <c r="H216" s="313" t="s">
        <v>575</v>
      </c>
      <c r="I216" s="313" t="s">
        <v>818</v>
      </c>
      <c r="K216" s="314">
        <f t="shared" si="19"/>
        <v>2282.1780115266283</v>
      </c>
      <c r="M216" s="314">
        <v>2400</v>
      </c>
      <c r="R216" s="313" t="str">
        <f>IF(AND((J216="This"),(L216="Only")),VLOOKUP(G216,#REF!,7,FALSE),"")</f>
        <v/>
      </c>
      <c r="U216" s="313">
        <v>2282.1780115266283</v>
      </c>
    </row>
    <row r="217" spans="1:24" x14ac:dyDescent="0.25">
      <c r="A217" s="313">
        <v>1</v>
      </c>
      <c r="C217" s="313">
        <f t="shared" si="15"/>
        <v>4</v>
      </c>
      <c r="D217" s="313">
        <f t="shared" si="16"/>
        <v>3</v>
      </c>
      <c r="E217" s="313">
        <f t="shared" si="17"/>
        <v>15</v>
      </c>
      <c r="F217" s="313" t="str">
        <f t="shared" si="18"/>
        <v>crx</v>
      </c>
      <c r="G217" s="313" t="s">
        <v>819</v>
      </c>
      <c r="H217" s="313" t="s">
        <v>209</v>
      </c>
      <c r="I217" s="313" t="s">
        <v>820</v>
      </c>
      <c r="K217" s="314">
        <f t="shared" si="19"/>
        <v>2400</v>
      </c>
      <c r="M217" s="314">
        <v>2400</v>
      </c>
      <c r="R217" s="313" t="str">
        <f>IF(AND((J217="This"),(L217="Only")),VLOOKUP(G217,#REF!,7,FALSE),"")</f>
        <v/>
      </c>
    </row>
    <row r="218" spans="1:24" x14ac:dyDescent="0.25">
      <c r="A218" s="313">
        <v>2</v>
      </c>
      <c r="C218" s="313">
        <f t="shared" si="15"/>
        <v>5</v>
      </c>
      <c r="D218" s="313">
        <f t="shared" si="16"/>
        <v>3</v>
      </c>
      <c r="E218" s="313">
        <f t="shared" si="17"/>
        <v>15</v>
      </c>
      <c r="F218" s="313" t="str">
        <f t="shared" si="18"/>
        <v>cr</v>
      </c>
      <c r="G218" s="313" t="s">
        <v>239</v>
      </c>
      <c r="H218" s="313" t="s">
        <v>209</v>
      </c>
      <c r="I218" s="313" t="s">
        <v>821</v>
      </c>
      <c r="K218" s="314">
        <f t="shared" si="19"/>
        <v>2400</v>
      </c>
      <c r="M218" s="314">
        <v>2400</v>
      </c>
      <c r="R218" s="313" t="str">
        <f>IF(AND((J218="This"),(L218="Only")),VLOOKUP(G218,#REF!,7,FALSE),"")</f>
        <v/>
      </c>
    </row>
    <row r="219" spans="1:24" x14ac:dyDescent="0.25">
      <c r="A219" s="313">
        <v>1</v>
      </c>
      <c r="C219" s="313">
        <f t="shared" si="15"/>
        <v>6</v>
      </c>
      <c r="D219" s="313">
        <f t="shared" si="16"/>
        <v>3</v>
      </c>
      <c r="E219" s="313">
        <f t="shared" si="17"/>
        <v>15</v>
      </c>
      <c r="F219" s="313" t="str">
        <f t="shared" si="18"/>
        <v>sox</v>
      </c>
      <c r="G219" s="313" t="s">
        <v>822</v>
      </c>
      <c r="H219" s="313" t="s">
        <v>823</v>
      </c>
      <c r="I219" s="313" t="s">
        <v>824</v>
      </c>
      <c r="K219" s="314">
        <f t="shared" si="19"/>
        <v>2400</v>
      </c>
      <c r="M219" s="314">
        <v>2400</v>
      </c>
      <c r="R219" s="313" t="str">
        <f>IF(AND((J219="This"),(L219="Only")),VLOOKUP(G219,#REF!,7,FALSE),"")</f>
        <v/>
      </c>
    </row>
    <row r="220" spans="1:24" x14ac:dyDescent="0.25">
      <c r="A220" s="313">
        <v>2</v>
      </c>
      <c r="C220" s="313">
        <f t="shared" si="15"/>
        <v>7</v>
      </c>
      <c r="D220" s="313">
        <f t="shared" si="16"/>
        <v>3</v>
      </c>
      <c r="E220" s="313">
        <f t="shared" si="17"/>
        <v>15</v>
      </c>
      <c r="F220" s="313" t="str">
        <f t="shared" si="18"/>
        <v>pm</v>
      </c>
      <c r="G220" s="313" t="s">
        <v>825</v>
      </c>
      <c r="H220" s="313" t="s">
        <v>213</v>
      </c>
      <c r="I220" s="313" t="s">
        <v>826</v>
      </c>
      <c r="K220" s="314">
        <f t="shared" si="19"/>
        <v>2492.2492453469672</v>
      </c>
      <c r="M220" s="314">
        <v>2400</v>
      </c>
      <c r="N220" s="313">
        <v>2492.2492453469672</v>
      </c>
      <c r="R220" s="313" t="str">
        <f>IF(AND((J220="This"),(L220="Only")),VLOOKUP(G220,#REF!,7,FALSE),"")</f>
        <v/>
      </c>
    </row>
    <row r="221" spans="1:24" x14ac:dyDescent="0.25">
      <c r="A221" s="313">
        <v>1</v>
      </c>
      <c r="C221" s="313">
        <f t="shared" si="15"/>
        <v>8</v>
      </c>
      <c r="D221" s="313">
        <f t="shared" si="16"/>
        <v>3</v>
      </c>
      <c r="E221" s="313">
        <f t="shared" si="17"/>
        <v>15</v>
      </c>
      <c r="F221" s="313" t="str">
        <f t="shared" si="18"/>
        <v>crx</v>
      </c>
      <c r="G221" s="313" t="s">
        <v>827</v>
      </c>
      <c r="H221" s="313" t="s">
        <v>828</v>
      </c>
      <c r="I221" s="313" t="s">
        <v>829</v>
      </c>
      <c r="K221" s="314">
        <f t="shared" si="19"/>
        <v>2553.7103374604826</v>
      </c>
      <c r="M221" s="314">
        <v>2400</v>
      </c>
      <c r="R221" s="313" t="str">
        <f>IF(AND((J221="This"),(L221="Only")),VLOOKUP(G221,#REF!,7,FALSE),"")</f>
        <v/>
      </c>
      <c r="U221" s="313">
        <v>2553.7103374604826</v>
      </c>
    </row>
    <row r="222" spans="1:24" x14ac:dyDescent="0.25">
      <c r="A222" s="313">
        <v>3</v>
      </c>
      <c r="C222" s="313">
        <f t="shared" si="15"/>
        <v>9</v>
      </c>
      <c r="D222" s="313">
        <f t="shared" si="16"/>
        <v>3</v>
      </c>
      <c r="E222" s="313">
        <f t="shared" si="17"/>
        <v>15</v>
      </c>
      <c r="F222" s="313" t="str">
        <f t="shared" si="18"/>
        <v>pm</v>
      </c>
      <c r="G222" s="313" t="s">
        <v>830</v>
      </c>
      <c r="H222" s="313" t="s">
        <v>207</v>
      </c>
      <c r="I222" s="313" t="s">
        <v>831</v>
      </c>
      <c r="K222" s="314">
        <f t="shared" si="19"/>
        <v>2502.5098735044567</v>
      </c>
      <c r="M222" s="314">
        <v>2400</v>
      </c>
      <c r="N222" s="313">
        <v>2499.7117552915306</v>
      </c>
      <c r="R222" s="313" t="str">
        <f>IF(AND((J222="This"),(L222="Only")),VLOOKUP(G222,#REF!,7,FALSE),"")</f>
        <v/>
      </c>
      <c r="U222" s="313">
        <v>2502.5098735044567</v>
      </c>
    </row>
    <row r="223" spans="1:24" x14ac:dyDescent="0.25">
      <c r="A223" s="313">
        <v>4</v>
      </c>
      <c r="C223" s="313">
        <f t="shared" si="15"/>
        <v>10</v>
      </c>
      <c r="D223" s="313">
        <f t="shared" si="16"/>
        <v>3</v>
      </c>
      <c r="E223" s="313">
        <f t="shared" si="17"/>
        <v>15</v>
      </c>
      <c r="F223" s="313" t="str">
        <f t="shared" si="18"/>
        <v>pm</v>
      </c>
      <c r="G223" s="313" t="s">
        <v>832</v>
      </c>
      <c r="H223" s="313" t="s">
        <v>207</v>
      </c>
      <c r="I223" s="313" t="s">
        <v>833</v>
      </c>
      <c r="K223" s="314">
        <f t="shared" si="19"/>
        <v>2527.2786745948765</v>
      </c>
      <c r="M223" s="314">
        <v>2400</v>
      </c>
      <c r="N223" s="313">
        <v>2470.5474448149635</v>
      </c>
      <c r="R223" s="313" t="str">
        <f>IF(AND((J223="This"),(L223="Only")),VLOOKUP(G223,#REF!,7,FALSE),"")</f>
        <v/>
      </c>
      <c r="U223" s="313">
        <v>2527.2786745948765</v>
      </c>
    </row>
    <row r="224" spans="1:24" x14ac:dyDescent="0.25">
      <c r="A224" s="313">
        <v>4</v>
      </c>
      <c r="C224" s="313">
        <f t="shared" si="15"/>
        <v>11</v>
      </c>
      <c r="D224" s="313">
        <f t="shared" si="16"/>
        <v>3</v>
      </c>
      <c r="E224" s="313">
        <f t="shared" si="17"/>
        <v>15</v>
      </c>
      <c r="F224" s="313" t="str">
        <f t="shared" si="18"/>
        <v>pm</v>
      </c>
      <c r="G224" s="313" t="s">
        <v>834</v>
      </c>
      <c r="H224" s="313" t="s">
        <v>207</v>
      </c>
      <c r="I224" s="313" t="s">
        <v>835</v>
      </c>
      <c r="K224" s="314">
        <f t="shared" si="19"/>
        <v>2375.6682246005921</v>
      </c>
      <c r="M224" s="314">
        <v>2400</v>
      </c>
      <c r="N224" s="313">
        <v>2369.6009381256022</v>
      </c>
      <c r="R224" s="313" t="str">
        <f>IF(AND((J224="This"),(L224="Only")),VLOOKUP(G224,#REF!,7,FALSE),"")</f>
        <v/>
      </c>
      <c r="U224" s="313">
        <v>2359.4300065726879</v>
      </c>
      <c r="W224" s="313">
        <v>2375.6682246005921</v>
      </c>
    </row>
    <row r="225" spans="1:23" x14ac:dyDescent="0.25">
      <c r="A225" s="313">
        <v>5</v>
      </c>
      <c r="C225" s="313">
        <f t="shared" si="15"/>
        <v>12</v>
      </c>
      <c r="D225" s="313">
        <f t="shared" si="16"/>
        <v>3</v>
      </c>
      <c r="E225" s="313">
        <f t="shared" si="17"/>
        <v>15</v>
      </c>
      <c r="F225" s="313" t="str">
        <f t="shared" si="18"/>
        <v>pm</v>
      </c>
      <c r="G225" s="313" t="s">
        <v>836</v>
      </c>
      <c r="H225" s="313" t="s">
        <v>286</v>
      </c>
      <c r="I225" s="313" t="s">
        <v>837</v>
      </c>
      <c r="K225" s="314">
        <f t="shared" si="19"/>
        <v>2354.5146283160193</v>
      </c>
      <c r="M225" s="314">
        <v>2400</v>
      </c>
      <c r="N225" s="313">
        <v>2394.4035633824892</v>
      </c>
      <c r="R225" s="313" t="str">
        <f>IF(AND((J225="This"),(L225="Only")),VLOOKUP(G225,#REF!,7,FALSE),"")</f>
        <v/>
      </c>
      <c r="S225" s="313">
        <v>2392.8165751582583</v>
      </c>
      <c r="U225" s="313">
        <v>2381.8006957841599</v>
      </c>
      <c r="W225" s="313">
        <v>2354.5146283160193</v>
      </c>
    </row>
    <row r="226" spans="1:23" x14ac:dyDescent="0.25">
      <c r="A226" s="313">
        <v>6</v>
      </c>
      <c r="C226" s="313">
        <f t="shared" si="15"/>
        <v>13</v>
      </c>
      <c r="D226" s="313">
        <f t="shared" si="16"/>
        <v>3</v>
      </c>
      <c r="E226" s="313">
        <f t="shared" si="17"/>
        <v>15</v>
      </c>
      <c r="F226" s="313" t="str">
        <f t="shared" si="18"/>
        <v>pm</v>
      </c>
      <c r="G226" s="313" t="s">
        <v>838</v>
      </c>
      <c r="H226" s="313" t="s">
        <v>204</v>
      </c>
      <c r="I226" s="313" t="s">
        <v>839</v>
      </c>
      <c r="K226" s="314">
        <f t="shared" si="19"/>
        <v>2450.4890891409045</v>
      </c>
      <c r="M226" s="314">
        <v>2400</v>
      </c>
      <c r="N226" s="313">
        <v>2461.9045489450959</v>
      </c>
      <c r="P226" s="313">
        <v>2478.9577728246177</v>
      </c>
      <c r="R226" s="313" t="str">
        <f>IF(AND((J226="This"),(L226="Only")),VLOOKUP(G226,#REF!,7,FALSE),"")</f>
        <v/>
      </c>
      <c r="S226" s="313">
        <v>2469.2170727327562</v>
      </c>
      <c r="U226" s="313">
        <v>2442.1065800796255</v>
      </c>
      <c r="W226" s="313">
        <v>2450.4890891409045</v>
      </c>
    </row>
    <row r="227" spans="1:23" x14ac:dyDescent="0.25">
      <c r="A227" s="313">
        <v>3</v>
      </c>
      <c r="C227" s="313">
        <f t="shared" si="15"/>
        <v>14</v>
      </c>
      <c r="D227" s="313">
        <f t="shared" si="16"/>
        <v>3</v>
      </c>
      <c r="E227" s="313">
        <f t="shared" si="17"/>
        <v>15</v>
      </c>
      <c r="F227" s="313" t="str">
        <f t="shared" si="18"/>
        <v>pm</v>
      </c>
      <c r="G227" s="313" t="s">
        <v>840</v>
      </c>
      <c r="H227" s="313" t="s">
        <v>473</v>
      </c>
      <c r="I227" s="313" t="s">
        <v>841</v>
      </c>
      <c r="K227" s="314">
        <f t="shared" si="19"/>
        <v>2382.5277444743001</v>
      </c>
      <c r="M227" s="314">
        <v>2400</v>
      </c>
      <c r="R227" s="313" t="str">
        <f>IF(AND((J227="This"),(L227="Only")),VLOOKUP(G227,#REF!,7,FALSE),"")</f>
        <v/>
      </c>
      <c r="S227" s="313">
        <v>2354.7201914323136</v>
      </c>
      <c r="U227" s="313">
        <v>2382.5277444743001</v>
      </c>
    </row>
    <row r="228" spans="1:23" x14ac:dyDescent="0.25">
      <c r="A228" s="313">
        <v>1</v>
      </c>
      <c r="C228" s="313">
        <f t="shared" si="15"/>
        <v>15</v>
      </c>
      <c r="D228" s="313">
        <f t="shared" si="16"/>
        <v>3</v>
      </c>
      <c r="E228" s="313">
        <f t="shared" si="17"/>
        <v>15</v>
      </c>
      <c r="F228" s="313" t="str">
        <f t="shared" si="18"/>
        <v>pmx</v>
      </c>
      <c r="G228" s="313" t="s">
        <v>842</v>
      </c>
      <c r="H228" s="313" t="s">
        <v>650</v>
      </c>
      <c r="I228" s="313" t="s">
        <v>843</v>
      </c>
      <c r="K228" s="314">
        <f t="shared" si="19"/>
        <v>2469.0795299678753</v>
      </c>
      <c r="M228" s="314">
        <v>2400</v>
      </c>
      <c r="R228" s="313" t="str">
        <f>IF(AND((J228="This"),(L228="Only")),VLOOKUP(G228,#REF!,7,FALSE),"")</f>
        <v/>
      </c>
      <c r="U228" s="313">
        <v>2469.0795299678753</v>
      </c>
    </row>
    <row r="229" spans="1:23" x14ac:dyDescent="0.25">
      <c r="A229" s="313">
        <v>1</v>
      </c>
      <c r="C229" s="313">
        <f t="shared" si="15"/>
        <v>16</v>
      </c>
      <c r="D229" s="313">
        <f t="shared" si="16"/>
        <v>3</v>
      </c>
      <c r="E229" s="313">
        <f t="shared" si="17"/>
        <v>15</v>
      </c>
      <c r="F229" s="313" t="str">
        <f t="shared" si="18"/>
        <v>pmx</v>
      </c>
      <c r="G229" s="313" t="s">
        <v>844</v>
      </c>
      <c r="H229" s="313" t="s">
        <v>650</v>
      </c>
      <c r="I229" s="313" t="s">
        <v>845</v>
      </c>
      <c r="K229" s="314">
        <f t="shared" si="19"/>
        <v>2406.1102551230915</v>
      </c>
      <c r="M229" s="314">
        <v>2400</v>
      </c>
      <c r="R229" s="313" t="str">
        <f>IF(AND((J229="This"),(L229="Only")),VLOOKUP(G229,#REF!,7,FALSE),"")</f>
        <v/>
      </c>
      <c r="U229" s="313">
        <v>2406.1102551230915</v>
      </c>
    </row>
    <row r="230" spans="1:23" x14ac:dyDescent="0.25">
      <c r="A230" s="313">
        <v>1</v>
      </c>
      <c r="C230" s="313">
        <f t="shared" si="15"/>
        <v>17</v>
      </c>
      <c r="D230" s="313">
        <f t="shared" si="16"/>
        <v>3</v>
      </c>
      <c r="E230" s="313">
        <f t="shared" si="17"/>
        <v>15</v>
      </c>
      <c r="F230" s="313" t="str">
        <f t="shared" si="18"/>
        <v>crx</v>
      </c>
      <c r="G230" s="313" t="s">
        <v>846</v>
      </c>
      <c r="H230" s="313" t="s">
        <v>283</v>
      </c>
      <c r="I230" s="313" t="s">
        <v>847</v>
      </c>
      <c r="K230" s="314">
        <f t="shared" si="19"/>
        <v>2400</v>
      </c>
      <c r="M230" s="314">
        <v>2400</v>
      </c>
      <c r="R230" s="313" t="str">
        <f>IF(AND((J230="This"),(L230="Only")),VLOOKUP(G230,#REF!,7,FALSE),"")</f>
        <v/>
      </c>
    </row>
    <row r="231" spans="1:23" x14ac:dyDescent="0.25">
      <c r="A231" s="313">
        <v>4</v>
      </c>
      <c r="C231" s="313">
        <f t="shared" si="15"/>
        <v>18</v>
      </c>
      <c r="D231" s="313">
        <f t="shared" si="16"/>
        <v>3</v>
      </c>
      <c r="E231" s="313">
        <f t="shared" si="17"/>
        <v>15</v>
      </c>
      <c r="F231" s="313" t="str">
        <f t="shared" si="18"/>
        <v>pm</v>
      </c>
      <c r="G231" s="313" t="s">
        <v>848</v>
      </c>
      <c r="H231" s="313" t="s">
        <v>340</v>
      </c>
      <c r="I231" s="313" t="s">
        <v>849</v>
      </c>
      <c r="K231" s="314">
        <f t="shared" si="19"/>
        <v>2250.9325524591632</v>
      </c>
      <c r="M231" s="314">
        <v>2400</v>
      </c>
      <c r="N231" s="313">
        <v>2325.0939181579406</v>
      </c>
      <c r="R231" s="313" t="str">
        <f>IF(AND((J231="This"),(L231="Only")),VLOOKUP(G231,#REF!,7,FALSE),"")</f>
        <v/>
      </c>
      <c r="U231" s="313">
        <v>2279.8314254027905</v>
      </c>
      <c r="W231" s="313">
        <v>2250.9325524591632</v>
      </c>
    </row>
    <row r="232" spans="1:23" x14ac:dyDescent="0.25">
      <c r="A232" s="313">
        <v>6</v>
      </c>
      <c r="C232" s="313">
        <f t="shared" si="15"/>
        <v>19</v>
      </c>
      <c r="D232" s="313">
        <f t="shared" si="16"/>
        <v>3</v>
      </c>
      <c r="E232" s="313">
        <f t="shared" si="17"/>
        <v>15</v>
      </c>
      <c r="F232" s="313" t="str">
        <f t="shared" si="18"/>
        <v>pm</v>
      </c>
      <c r="G232" s="313" t="s">
        <v>850</v>
      </c>
      <c r="H232" s="313" t="s">
        <v>411</v>
      </c>
      <c r="I232" s="313" t="s">
        <v>851</v>
      </c>
      <c r="K232" s="314">
        <f t="shared" si="19"/>
        <v>2257.6030539481549</v>
      </c>
      <c r="M232" s="314">
        <v>2400</v>
      </c>
      <c r="P232" s="313">
        <v>2340.2463122800505</v>
      </c>
      <c r="R232" s="313" t="str">
        <f>IF(AND((J232="This"),(L232="Only")),VLOOKUP(G232,#REF!,7,FALSE),"")</f>
        <v/>
      </c>
      <c r="S232" s="313">
        <v>2305.7293444688644</v>
      </c>
      <c r="U232" s="313">
        <v>2253.4757114355407</v>
      </c>
      <c r="W232" s="313">
        <v>2257.6030539481549</v>
      </c>
    </row>
    <row r="233" spans="1:23" x14ac:dyDescent="0.25">
      <c r="A233" s="313">
        <v>6</v>
      </c>
      <c r="C233" s="313">
        <f t="shared" si="15"/>
        <v>20</v>
      </c>
      <c r="D233" s="313">
        <f t="shared" si="16"/>
        <v>3</v>
      </c>
      <c r="E233" s="313">
        <f t="shared" si="17"/>
        <v>15</v>
      </c>
      <c r="F233" s="313" t="str">
        <f t="shared" si="18"/>
        <v>pm</v>
      </c>
      <c r="G233" s="313" t="s">
        <v>238</v>
      </c>
      <c r="H233" s="313" t="s">
        <v>216</v>
      </c>
      <c r="I233" s="313" t="s">
        <v>852</v>
      </c>
      <c r="K233" s="314">
        <f t="shared" si="19"/>
        <v>2548.4329966769378</v>
      </c>
      <c r="M233" s="314">
        <v>2400</v>
      </c>
      <c r="N233" s="313">
        <v>2344.1797285208422</v>
      </c>
      <c r="P233" s="313">
        <v>2457.0746858546781</v>
      </c>
      <c r="R233" s="313" t="str">
        <f>IF(AND((J233="This"),(L233="Only")),VLOOKUP(G233,#REF!,7,FALSE),"")</f>
        <v/>
      </c>
      <c r="S233" s="313">
        <v>2512.3609527359577</v>
      </c>
      <c r="U233" s="313">
        <v>2524.4972498882348</v>
      </c>
      <c r="W233" s="313">
        <v>2548.4329966769378</v>
      </c>
    </row>
    <row r="234" spans="1:23" x14ac:dyDescent="0.25">
      <c r="A234" s="313">
        <v>1</v>
      </c>
      <c r="C234" s="313">
        <f t="shared" si="15"/>
        <v>21</v>
      </c>
      <c r="D234" s="313">
        <f t="shared" si="16"/>
        <v>3</v>
      </c>
      <c r="E234" s="313">
        <f t="shared" si="17"/>
        <v>15</v>
      </c>
      <c r="F234" s="313" t="str">
        <f t="shared" si="18"/>
        <v>crx</v>
      </c>
      <c r="G234" s="313" t="s">
        <v>853</v>
      </c>
      <c r="H234" s="313" t="s">
        <v>854</v>
      </c>
      <c r="I234" s="313" t="s">
        <v>855</v>
      </c>
      <c r="K234" s="314">
        <f t="shared" si="19"/>
        <v>2428.7307347628353</v>
      </c>
      <c r="M234" s="314">
        <v>2400</v>
      </c>
      <c r="N234" s="313">
        <v>2428.7307347628353</v>
      </c>
      <c r="R234" s="313" t="str">
        <f>IF(AND((J234="This"),(L234="Only")),VLOOKUP(G234,#REF!,7,FALSE),"")</f>
        <v/>
      </c>
    </row>
    <row r="235" spans="1:23" x14ac:dyDescent="0.25">
      <c r="A235" s="313">
        <v>3</v>
      </c>
      <c r="C235" s="313">
        <f t="shared" si="15"/>
        <v>22</v>
      </c>
      <c r="D235" s="313">
        <f t="shared" si="16"/>
        <v>3</v>
      </c>
      <c r="E235" s="313">
        <f t="shared" si="17"/>
        <v>15</v>
      </c>
      <c r="F235" s="313" t="str">
        <f t="shared" si="18"/>
        <v>pm</v>
      </c>
      <c r="G235" s="313" t="s">
        <v>856</v>
      </c>
      <c r="H235" s="313" t="s">
        <v>282</v>
      </c>
      <c r="I235" s="313" t="s">
        <v>857</v>
      </c>
      <c r="K235" s="314">
        <f t="shared" si="19"/>
        <v>2541.0917656759971</v>
      </c>
      <c r="M235" s="314">
        <v>2400</v>
      </c>
      <c r="N235" s="313">
        <v>2470.4562959885634</v>
      </c>
      <c r="R235" s="313" t="str">
        <f>IF(AND((J235="This"),(L235="Only")),VLOOKUP(G235,#REF!,7,FALSE),"")</f>
        <v/>
      </c>
      <c r="U235" s="313">
        <v>2541.0917656759971</v>
      </c>
    </row>
    <row r="236" spans="1:23" x14ac:dyDescent="0.25">
      <c r="A236" s="313">
        <v>1</v>
      </c>
      <c r="C236" s="313">
        <f t="shared" si="15"/>
        <v>23</v>
      </c>
      <c r="D236" s="313">
        <f t="shared" si="16"/>
        <v>3</v>
      </c>
      <c r="E236" s="313">
        <f t="shared" si="17"/>
        <v>15</v>
      </c>
      <c r="F236" s="313" t="str">
        <f t="shared" si="18"/>
        <v>odx</v>
      </c>
      <c r="G236" s="313" t="s">
        <v>858</v>
      </c>
      <c r="H236" s="313" t="s">
        <v>859</v>
      </c>
      <c r="I236" s="313" t="s">
        <v>860</v>
      </c>
      <c r="K236" s="314">
        <f t="shared" si="19"/>
        <v>2461.2633560320755</v>
      </c>
      <c r="M236" s="314">
        <v>2400</v>
      </c>
      <c r="N236" s="313">
        <v>2461.2633560320755</v>
      </c>
      <c r="R236" s="313" t="str">
        <f>IF(AND((J236="This"),(L236="Only")),VLOOKUP(G236,#REF!,7,FALSE),"")</f>
        <v/>
      </c>
    </row>
    <row r="237" spans="1:23" x14ac:dyDescent="0.25">
      <c r="A237" s="313">
        <v>2</v>
      </c>
      <c r="C237" s="313">
        <f t="shared" si="15"/>
        <v>24</v>
      </c>
      <c r="D237" s="313">
        <f t="shared" si="16"/>
        <v>3</v>
      </c>
      <c r="E237" s="313">
        <f t="shared" si="17"/>
        <v>15</v>
      </c>
      <c r="F237" s="313" t="str">
        <f t="shared" si="18"/>
        <v>pm</v>
      </c>
      <c r="G237" s="313" t="s">
        <v>861</v>
      </c>
      <c r="H237" s="313" t="s">
        <v>559</v>
      </c>
      <c r="I237" s="313" t="s">
        <v>862</v>
      </c>
      <c r="K237" s="314">
        <f t="shared" si="19"/>
        <v>2514.1564186642386</v>
      </c>
      <c r="M237" s="314">
        <v>2400</v>
      </c>
      <c r="R237" s="313" t="str">
        <f>IF(AND((J237="This"),(L237="Only")),VLOOKUP(G237,#REF!,7,FALSE),"")</f>
        <v/>
      </c>
      <c r="S237" s="313">
        <v>2514.1564186642386</v>
      </c>
    </row>
    <row r="238" spans="1:23" x14ac:dyDescent="0.25">
      <c r="A238" s="313">
        <v>2</v>
      </c>
      <c r="C238" s="313">
        <f t="shared" si="15"/>
        <v>25</v>
      </c>
      <c r="D238" s="313">
        <f t="shared" si="16"/>
        <v>3</v>
      </c>
      <c r="E238" s="313">
        <f t="shared" si="17"/>
        <v>15</v>
      </c>
      <c r="F238" s="313" t="str">
        <f t="shared" si="18"/>
        <v>pm</v>
      </c>
      <c r="G238" s="313" t="s">
        <v>863</v>
      </c>
      <c r="H238" s="313" t="s">
        <v>559</v>
      </c>
      <c r="I238" s="313" t="s">
        <v>864</v>
      </c>
      <c r="K238" s="314">
        <f t="shared" si="19"/>
        <v>2414.849046848939</v>
      </c>
      <c r="M238" s="314">
        <v>2400</v>
      </c>
      <c r="R238" s="313" t="str">
        <f>IF(AND((J238="This"),(L238="Only")),VLOOKUP(G238,#REF!,7,FALSE),"")</f>
        <v/>
      </c>
      <c r="S238" s="313">
        <v>2414.849046848939</v>
      </c>
    </row>
    <row r="239" spans="1:23" x14ac:dyDescent="0.25">
      <c r="A239" s="313">
        <v>2</v>
      </c>
      <c r="C239" s="313">
        <f t="shared" si="15"/>
        <v>26</v>
      </c>
      <c r="D239" s="313">
        <f t="shared" si="16"/>
        <v>3</v>
      </c>
      <c r="E239" s="313">
        <f t="shared" si="17"/>
        <v>15</v>
      </c>
      <c r="F239" s="313" t="str">
        <f t="shared" si="18"/>
        <v>pm</v>
      </c>
      <c r="G239" s="313" t="s">
        <v>865</v>
      </c>
      <c r="H239" s="313" t="s">
        <v>559</v>
      </c>
      <c r="I239" s="313" t="s">
        <v>866</v>
      </c>
      <c r="K239" s="314">
        <f t="shared" si="19"/>
        <v>2480.088068538058</v>
      </c>
      <c r="M239" s="314">
        <v>2400</v>
      </c>
      <c r="R239" s="313" t="str">
        <f>IF(AND((J239="This"),(L239="Only")),VLOOKUP(G239,#REF!,7,FALSE),"")</f>
        <v/>
      </c>
      <c r="W239" s="313">
        <v>2480.088068538058</v>
      </c>
    </row>
    <row r="240" spans="1:23" x14ac:dyDescent="0.25">
      <c r="A240" s="313">
        <v>2</v>
      </c>
      <c r="C240" s="313">
        <f t="shared" si="15"/>
        <v>27</v>
      </c>
      <c r="D240" s="313">
        <f t="shared" si="16"/>
        <v>3</v>
      </c>
      <c r="E240" s="313">
        <f t="shared" si="17"/>
        <v>15</v>
      </c>
      <c r="F240" s="313" t="str">
        <f t="shared" si="18"/>
        <v>pm</v>
      </c>
      <c r="G240" s="313" t="s">
        <v>867</v>
      </c>
      <c r="H240" s="313" t="s">
        <v>559</v>
      </c>
      <c r="I240" s="313" t="s">
        <v>868</v>
      </c>
      <c r="K240" s="314">
        <f t="shared" si="19"/>
        <v>2458.095796529813</v>
      </c>
      <c r="M240" s="314">
        <v>2400</v>
      </c>
      <c r="R240" s="313" t="str">
        <f>IF(AND((J240="This"),(L240="Only")),VLOOKUP(G240,#REF!,7,FALSE),"")</f>
        <v/>
      </c>
      <c r="S240" s="313">
        <v>2458.095796529813</v>
      </c>
    </row>
    <row r="241" spans="1:23" x14ac:dyDescent="0.25">
      <c r="A241" s="313">
        <v>1</v>
      </c>
      <c r="C241" s="313">
        <f t="shared" si="15"/>
        <v>28</v>
      </c>
      <c r="D241" s="313">
        <f t="shared" si="16"/>
        <v>3</v>
      </c>
      <c r="E241" s="313">
        <f t="shared" si="17"/>
        <v>15</v>
      </c>
      <c r="F241" s="313" t="str">
        <f t="shared" si="18"/>
        <v>sox</v>
      </c>
      <c r="G241" s="313" t="s">
        <v>869</v>
      </c>
      <c r="H241" s="313" t="s">
        <v>285</v>
      </c>
      <c r="I241" s="313" t="s">
        <v>870</v>
      </c>
      <c r="K241" s="314">
        <f t="shared" si="19"/>
        <v>2458.2149339259508</v>
      </c>
      <c r="M241" s="314">
        <v>2400</v>
      </c>
      <c r="R241" s="313" t="str">
        <f>IF(AND((J241="This"),(L241="Only")),VLOOKUP(G241,#REF!,7,FALSE),"")</f>
        <v/>
      </c>
      <c r="U241" s="313">
        <v>2458.2149339259508</v>
      </c>
    </row>
    <row r="242" spans="1:23" x14ac:dyDescent="0.25">
      <c r="A242" s="313">
        <v>2</v>
      </c>
      <c r="C242" s="313">
        <f t="shared" si="15"/>
        <v>29</v>
      </c>
      <c r="D242" s="313">
        <f t="shared" si="16"/>
        <v>3</v>
      </c>
      <c r="E242" s="313">
        <f t="shared" si="17"/>
        <v>15</v>
      </c>
      <c r="F242" s="313" t="str">
        <f t="shared" si="18"/>
        <v>pm</v>
      </c>
      <c r="G242" s="313" t="s">
        <v>532</v>
      </c>
      <c r="H242" s="313" t="s">
        <v>510</v>
      </c>
      <c r="I242" s="313" t="s">
        <v>531</v>
      </c>
      <c r="K242" s="314">
        <f t="shared" si="19"/>
        <v>2418.9011539857738</v>
      </c>
      <c r="M242" s="314">
        <v>2400</v>
      </c>
      <c r="N242" s="313">
        <v>2412.4969665615304</v>
      </c>
      <c r="R242" s="313" t="str">
        <f>IF(AND((J242="This"),(L242="Only")),VLOOKUP(G242,#REF!,7,FALSE),"")</f>
        <v/>
      </c>
      <c r="U242" s="313">
        <v>2418.9011539857738</v>
      </c>
    </row>
    <row r="243" spans="1:23" x14ac:dyDescent="0.25">
      <c r="A243" s="313">
        <v>2</v>
      </c>
      <c r="C243" s="313">
        <f t="shared" si="15"/>
        <v>30</v>
      </c>
      <c r="D243" s="313">
        <f t="shared" si="16"/>
        <v>3</v>
      </c>
      <c r="E243" s="313">
        <f t="shared" si="17"/>
        <v>15</v>
      </c>
      <c r="F243" s="313" t="str">
        <f t="shared" si="18"/>
        <v>pm</v>
      </c>
      <c r="G243" s="313" t="s">
        <v>871</v>
      </c>
      <c r="H243" s="313" t="s">
        <v>510</v>
      </c>
      <c r="I243" s="313" t="s">
        <v>872</v>
      </c>
      <c r="K243" s="314">
        <f t="shared" si="19"/>
        <v>2453.9766858733506</v>
      </c>
      <c r="M243" s="314">
        <v>2400</v>
      </c>
      <c r="N243" s="313">
        <v>2461.8822259540248</v>
      </c>
      <c r="R243" s="313" t="str">
        <f>IF(AND((J243="This"),(L243="Only")),VLOOKUP(G243,#REF!,7,FALSE),"")</f>
        <v/>
      </c>
      <c r="U243" s="313">
        <v>2453.9766858733506</v>
      </c>
    </row>
    <row r="244" spans="1:23" x14ac:dyDescent="0.25">
      <c r="A244" s="313">
        <v>3</v>
      </c>
      <c r="C244" s="313">
        <f t="shared" si="15"/>
        <v>31</v>
      </c>
      <c r="D244" s="313">
        <f t="shared" si="16"/>
        <v>3</v>
      </c>
      <c r="E244" s="313">
        <f t="shared" si="17"/>
        <v>15</v>
      </c>
      <c r="F244" s="313" t="str">
        <f t="shared" si="18"/>
        <v>pm</v>
      </c>
      <c r="G244" s="313" t="s">
        <v>873</v>
      </c>
      <c r="H244" s="313" t="s">
        <v>505</v>
      </c>
      <c r="I244" s="313" t="s">
        <v>874</v>
      </c>
      <c r="K244" s="314">
        <f t="shared" si="19"/>
        <v>2467.9060079680885</v>
      </c>
      <c r="M244" s="314">
        <v>2400</v>
      </c>
      <c r="R244" s="313" t="str">
        <f>IF(AND((J244="This"),(L244="Only")),VLOOKUP(G244,#REF!,7,FALSE),"")</f>
        <v/>
      </c>
      <c r="S244" s="313">
        <v>2394.2141481145313</v>
      </c>
      <c r="W244" s="313">
        <v>2467.9060079680885</v>
      </c>
    </row>
    <row r="245" spans="1:23" x14ac:dyDescent="0.25">
      <c r="A245" s="313">
        <v>5</v>
      </c>
      <c r="C245" s="313">
        <f t="shared" si="15"/>
        <v>32</v>
      </c>
      <c r="D245" s="313">
        <f t="shared" si="16"/>
        <v>3</v>
      </c>
      <c r="E245" s="313">
        <f t="shared" si="17"/>
        <v>15</v>
      </c>
      <c r="F245" s="313" t="str">
        <f t="shared" si="18"/>
        <v>pm</v>
      </c>
      <c r="G245" s="313" t="s">
        <v>875</v>
      </c>
      <c r="H245" s="313" t="s">
        <v>211</v>
      </c>
      <c r="I245" s="313" t="s">
        <v>876</v>
      </c>
      <c r="K245" s="314">
        <f t="shared" si="19"/>
        <v>2264.2546620581129</v>
      </c>
      <c r="M245" s="314">
        <v>2400</v>
      </c>
      <c r="N245" s="313">
        <v>2341.1233483976916</v>
      </c>
      <c r="R245" s="313" t="str">
        <f>IF(AND((J245="This"),(L245="Only")),VLOOKUP(G245,#REF!,7,FALSE),"")</f>
        <v/>
      </c>
      <c r="U245" s="313">
        <v>2334.3319188437576</v>
      </c>
      <c r="W245" s="313">
        <v>2264.2546620581129</v>
      </c>
    </row>
    <row r="246" spans="1:23" x14ac:dyDescent="0.25">
      <c r="A246" s="313">
        <v>7</v>
      </c>
      <c r="C246" s="313">
        <f t="shared" si="15"/>
        <v>33</v>
      </c>
      <c r="D246" s="313">
        <f t="shared" si="16"/>
        <v>3</v>
      </c>
      <c r="E246" s="313">
        <f t="shared" si="17"/>
        <v>15</v>
      </c>
      <c r="F246" s="313" t="str">
        <f t="shared" si="18"/>
        <v>pm</v>
      </c>
      <c r="G246" s="313" t="s">
        <v>246</v>
      </c>
      <c r="H246" s="313" t="s">
        <v>211</v>
      </c>
      <c r="I246" s="313" t="s">
        <v>877</v>
      </c>
      <c r="K246" s="314">
        <f t="shared" si="19"/>
        <v>2226.1594037410746</v>
      </c>
      <c r="M246" s="314">
        <v>2400</v>
      </c>
      <c r="N246" s="313">
        <v>2326.8645461765414</v>
      </c>
      <c r="P246" s="313">
        <v>2292.9055328887944</v>
      </c>
      <c r="R246" s="313" t="str">
        <f>IF(AND((J246="This"),(L246="Only")),VLOOKUP(G246,#REF!,7,FALSE),"")</f>
        <v/>
      </c>
      <c r="S246" s="313">
        <v>2267.6844132740748</v>
      </c>
      <c r="U246" s="313">
        <v>2265.9230295280654</v>
      </c>
      <c r="W246" s="313">
        <v>2226.1594037410746</v>
      </c>
    </row>
    <row r="247" spans="1:23" x14ac:dyDescent="0.25">
      <c r="A247" s="313">
        <v>4</v>
      </c>
      <c r="C247" s="313">
        <f t="shared" si="15"/>
        <v>34</v>
      </c>
      <c r="D247" s="313">
        <f t="shared" si="16"/>
        <v>3</v>
      </c>
      <c r="E247" s="313">
        <f t="shared" si="17"/>
        <v>15</v>
      </c>
      <c r="F247" s="313" t="str">
        <f t="shared" si="18"/>
        <v>pm</v>
      </c>
      <c r="G247" s="313" t="s">
        <v>878</v>
      </c>
      <c r="H247" s="313" t="s">
        <v>201</v>
      </c>
      <c r="I247" s="313" t="s">
        <v>879</v>
      </c>
      <c r="K247" s="314">
        <f t="shared" si="19"/>
        <v>2450.8368742871326</v>
      </c>
      <c r="M247" s="314">
        <v>2400</v>
      </c>
      <c r="P247" s="313">
        <v>2461.3928319711385</v>
      </c>
      <c r="R247" s="313" t="str">
        <f>IF(AND((J247="This"),(L247="Only")),VLOOKUP(G247,#REF!,7,FALSE),"")</f>
        <v/>
      </c>
      <c r="U247" s="313">
        <v>2476.8536481597189</v>
      </c>
      <c r="W247" s="313">
        <v>2450.8368742871326</v>
      </c>
    </row>
    <row r="248" spans="1:23" x14ac:dyDescent="0.25">
      <c r="A248" s="313">
        <v>1</v>
      </c>
      <c r="C248" s="313">
        <f t="shared" si="15"/>
        <v>35</v>
      </c>
      <c r="D248" s="313">
        <f t="shared" si="16"/>
        <v>3</v>
      </c>
      <c r="E248" s="313">
        <f t="shared" si="17"/>
        <v>15</v>
      </c>
      <c r="F248" s="313" t="str">
        <f t="shared" si="18"/>
        <v>crx</v>
      </c>
      <c r="G248" s="313" t="s">
        <v>880</v>
      </c>
      <c r="H248" s="313" t="s">
        <v>881</v>
      </c>
      <c r="I248" s="313" t="s">
        <v>882</v>
      </c>
      <c r="K248" s="314">
        <f t="shared" si="19"/>
        <v>2333.9496057080305</v>
      </c>
      <c r="M248" s="314">
        <v>2400</v>
      </c>
      <c r="R248" s="313" t="str">
        <f>IF(AND((J248="This"),(L248="Only")),VLOOKUP(G248,#REF!,7,FALSE),"")</f>
        <v/>
      </c>
      <c r="U248" s="313">
        <v>2333.9496057080305</v>
      </c>
    </row>
    <row r="249" spans="1:23" x14ac:dyDescent="0.25">
      <c r="A249" s="313">
        <v>1</v>
      </c>
      <c r="C249" s="313">
        <f t="shared" si="15"/>
        <v>36</v>
      </c>
      <c r="D249" s="313">
        <f t="shared" si="16"/>
        <v>3</v>
      </c>
      <c r="E249" s="313">
        <f t="shared" si="17"/>
        <v>15</v>
      </c>
      <c r="F249" s="313" t="str">
        <f t="shared" si="18"/>
        <v>crx</v>
      </c>
      <c r="G249" s="313" t="s">
        <v>883</v>
      </c>
      <c r="H249" s="313" t="s">
        <v>881</v>
      </c>
      <c r="I249" s="313" t="s">
        <v>884</v>
      </c>
      <c r="K249" s="314">
        <f t="shared" si="19"/>
        <v>2288.0945712632765</v>
      </c>
      <c r="M249" s="314">
        <v>2400</v>
      </c>
      <c r="R249" s="313" t="str">
        <f>IF(AND((J249="This"),(L249="Only")),VLOOKUP(G249,#REF!,7,FALSE),"")</f>
        <v/>
      </c>
      <c r="U249" s="313">
        <v>2288.0945712632765</v>
      </c>
    </row>
    <row r="250" spans="1:23" x14ac:dyDescent="0.25">
      <c r="A250" s="313">
        <v>1</v>
      </c>
      <c r="C250" s="313">
        <f t="shared" si="15"/>
        <v>37</v>
      </c>
      <c r="D250" s="313">
        <f t="shared" si="16"/>
        <v>3</v>
      </c>
      <c r="E250" s="313">
        <f t="shared" si="17"/>
        <v>15</v>
      </c>
      <c r="F250" s="313" t="str">
        <f t="shared" si="18"/>
        <v>crx</v>
      </c>
      <c r="G250" s="313" t="s">
        <v>885</v>
      </c>
      <c r="H250" s="313" t="s">
        <v>670</v>
      </c>
      <c r="I250" s="313" t="s">
        <v>886</v>
      </c>
      <c r="K250" s="314">
        <f t="shared" si="19"/>
        <v>2326.9108028137098</v>
      </c>
      <c r="M250" s="314">
        <v>2400</v>
      </c>
      <c r="R250" s="313" t="str">
        <f>IF(AND((J250="This"),(L250="Only")),VLOOKUP(G250,#REF!,7,FALSE),"")</f>
        <v/>
      </c>
      <c r="U250" s="313">
        <v>2326.9108028137098</v>
      </c>
    </row>
    <row r="251" spans="1:23" x14ac:dyDescent="0.25">
      <c r="A251" s="313">
        <v>2</v>
      </c>
      <c r="C251" s="313">
        <f t="shared" si="15"/>
        <v>38</v>
      </c>
      <c r="D251" s="313">
        <f t="shared" si="16"/>
        <v>3</v>
      </c>
      <c r="E251" s="313">
        <f t="shared" si="17"/>
        <v>15</v>
      </c>
      <c r="F251" s="313" t="str">
        <f t="shared" si="18"/>
        <v>cr</v>
      </c>
      <c r="G251" s="313" t="s">
        <v>887</v>
      </c>
      <c r="H251" s="313" t="s">
        <v>342</v>
      </c>
      <c r="I251" s="313" t="s">
        <v>888</v>
      </c>
      <c r="K251" s="314">
        <f t="shared" si="19"/>
        <v>2413.6581331682801</v>
      </c>
      <c r="M251" s="314">
        <v>2400</v>
      </c>
      <c r="N251" s="313">
        <v>2413.6581331682801</v>
      </c>
      <c r="R251" s="313" t="str">
        <f>IF(AND((J251="This"),(L251="Only")),VLOOKUP(G251,#REF!,7,FALSE),"")</f>
        <v/>
      </c>
    </row>
    <row r="252" spans="1:23" x14ac:dyDescent="0.25">
      <c r="A252" s="313">
        <v>1</v>
      </c>
      <c r="C252" s="313">
        <f t="shared" si="15"/>
        <v>39</v>
      </c>
      <c r="D252" s="313">
        <f t="shared" si="16"/>
        <v>3</v>
      </c>
      <c r="E252" s="313">
        <f t="shared" si="17"/>
        <v>15</v>
      </c>
      <c r="F252" s="313" t="str">
        <f t="shared" si="18"/>
        <v>crx</v>
      </c>
      <c r="G252" s="313" t="s">
        <v>889</v>
      </c>
      <c r="H252" s="313" t="s">
        <v>284</v>
      </c>
      <c r="I252" s="313" t="s">
        <v>890</v>
      </c>
      <c r="K252" s="314">
        <f t="shared" si="19"/>
        <v>2400</v>
      </c>
      <c r="M252" s="314">
        <v>2400</v>
      </c>
      <c r="R252" s="313" t="str">
        <f>IF(AND((J252="This"),(L252="Only")),VLOOKUP(G252,#REF!,7,FALSE),"")</f>
        <v/>
      </c>
    </row>
    <row r="253" spans="1:23" x14ac:dyDescent="0.25">
      <c r="A253" s="313">
        <v>3</v>
      </c>
      <c r="C253" s="313">
        <f t="shared" si="15"/>
        <v>40</v>
      </c>
      <c r="D253" s="313">
        <f t="shared" si="16"/>
        <v>3</v>
      </c>
      <c r="E253" s="313">
        <f t="shared" si="17"/>
        <v>15</v>
      </c>
      <c r="F253" s="313" t="str">
        <f t="shared" si="18"/>
        <v>pm</v>
      </c>
      <c r="G253" s="313" t="s">
        <v>891</v>
      </c>
      <c r="H253" s="313" t="s">
        <v>240</v>
      </c>
      <c r="I253" s="313" t="s">
        <v>892</v>
      </c>
      <c r="K253" s="314">
        <f t="shared" si="19"/>
        <v>2468.389371241949</v>
      </c>
      <c r="M253" s="314">
        <v>2400</v>
      </c>
      <c r="N253" s="313">
        <v>2445.1848084913613</v>
      </c>
      <c r="O253" s="313">
        <v>2480.5194251854841</v>
      </c>
      <c r="R253" s="313" t="str">
        <f>IF(AND((J253="This"),(L253="Only")),VLOOKUP(G253,#REF!,7,FALSE),"")</f>
        <v/>
      </c>
      <c r="U253" s="313">
        <v>2468.389371241949</v>
      </c>
    </row>
    <row r="254" spans="1:23" x14ac:dyDescent="0.25">
      <c r="A254" s="313">
        <v>4</v>
      </c>
      <c r="C254" s="313">
        <f t="shared" si="15"/>
        <v>41</v>
      </c>
      <c r="D254" s="313">
        <f t="shared" si="16"/>
        <v>3</v>
      </c>
      <c r="E254" s="313">
        <f t="shared" si="17"/>
        <v>15</v>
      </c>
      <c r="F254" s="313" t="str">
        <f t="shared" si="18"/>
        <v>pm</v>
      </c>
      <c r="G254" s="313" t="s">
        <v>893</v>
      </c>
      <c r="H254" s="313" t="s">
        <v>240</v>
      </c>
      <c r="I254" s="313" t="s">
        <v>894</v>
      </c>
      <c r="K254" s="314">
        <f t="shared" si="19"/>
        <v>2207.770555540747</v>
      </c>
      <c r="M254" s="314">
        <v>2400</v>
      </c>
      <c r="N254" s="313">
        <v>2300.028797134582</v>
      </c>
      <c r="R254" s="313" t="str">
        <f>IF(AND((J254="This"),(L254="Only")),VLOOKUP(G254,#REF!,7,FALSE),"")</f>
        <v/>
      </c>
      <c r="S254" s="313">
        <v>2238.8392128568562</v>
      </c>
      <c r="U254" s="313">
        <v>2207.770555540747</v>
      </c>
    </row>
    <row r="255" spans="1:23" x14ac:dyDescent="0.25">
      <c r="A255" s="313">
        <v>1</v>
      </c>
      <c r="C255" s="313">
        <f t="shared" si="15"/>
        <v>42</v>
      </c>
      <c r="D255" s="313">
        <f t="shared" si="16"/>
        <v>3</v>
      </c>
      <c r="E255" s="313">
        <f t="shared" si="17"/>
        <v>15</v>
      </c>
      <c r="F255" s="313" t="str">
        <f t="shared" si="18"/>
        <v>pmx</v>
      </c>
      <c r="G255" s="313" t="s">
        <v>895</v>
      </c>
      <c r="H255" s="313" t="s">
        <v>570</v>
      </c>
      <c r="I255" s="313" t="s">
        <v>896</v>
      </c>
      <c r="K255" s="314">
        <f t="shared" si="19"/>
        <v>2400</v>
      </c>
      <c r="M255" s="314">
        <v>2400</v>
      </c>
      <c r="R255" s="313" t="str">
        <f>IF(AND((J255="This"),(L255="Only")),VLOOKUP(G255,#REF!,7,FALSE),"")</f>
        <v/>
      </c>
    </row>
    <row r="256" spans="1:23" x14ac:dyDescent="0.25">
      <c r="A256" s="313">
        <v>1</v>
      </c>
      <c r="C256" s="313">
        <f t="shared" si="15"/>
        <v>43</v>
      </c>
      <c r="D256" s="313">
        <f t="shared" si="16"/>
        <v>3</v>
      </c>
      <c r="E256" s="313">
        <f t="shared" si="17"/>
        <v>15</v>
      </c>
      <c r="F256" s="313" t="str">
        <f t="shared" si="18"/>
        <v>pmx</v>
      </c>
      <c r="G256" s="313" t="s">
        <v>897</v>
      </c>
      <c r="H256" s="313" t="s">
        <v>570</v>
      </c>
      <c r="I256" s="313" t="s">
        <v>898</v>
      </c>
      <c r="K256" s="314">
        <f t="shared" si="19"/>
        <v>2400</v>
      </c>
      <c r="M256" s="314">
        <v>2400</v>
      </c>
      <c r="R256" s="313" t="str">
        <f>IF(AND((J256="This"),(L256="Only")),VLOOKUP(G256,#REF!,7,FALSE),"")</f>
        <v/>
      </c>
    </row>
    <row r="257" spans="1:24" x14ac:dyDescent="0.25">
      <c r="A257" s="313">
        <v>3</v>
      </c>
      <c r="C257" s="313">
        <f t="shared" si="15"/>
        <v>44</v>
      </c>
      <c r="D257" s="313">
        <f t="shared" si="16"/>
        <v>3</v>
      </c>
      <c r="E257" s="313">
        <f t="shared" si="17"/>
        <v>15</v>
      </c>
      <c r="F257" s="313" t="str">
        <f t="shared" si="18"/>
        <v>pm</v>
      </c>
      <c r="G257" s="313" t="s">
        <v>899</v>
      </c>
      <c r="H257" s="313" t="s">
        <v>494</v>
      </c>
      <c r="I257" s="313" t="s">
        <v>900</v>
      </c>
      <c r="K257" s="314">
        <f t="shared" si="19"/>
        <v>2538.5012185809142</v>
      </c>
      <c r="M257" s="314">
        <v>2400</v>
      </c>
      <c r="P257" s="313">
        <v>2452.7285452877954</v>
      </c>
      <c r="R257" s="313" t="str">
        <f>IF(AND((J257="This"),(L257="Only")),VLOOKUP(G257,#REF!,7,FALSE),"")</f>
        <v/>
      </c>
      <c r="W257" s="313">
        <v>2538.5012185809142</v>
      </c>
    </row>
    <row r="258" spans="1:24" x14ac:dyDescent="0.25">
      <c r="A258" s="313">
        <v>6</v>
      </c>
      <c r="C258" s="313">
        <f t="shared" ref="C258:C321" si="20">IF(E258=E257,C257+1,1)</f>
        <v>45</v>
      </c>
      <c r="D258" s="313">
        <f t="shared" ref="D258:D321" si="21">IF(M258=M257,D257,C258)</f>
        <v>45</v>
      </c>
      <c r="E258" s="313">
        <f t="shared" ref="E258:E321" si="22">10+VALUE(RIGHT(LEFT(G258,3),1))</f>
        <v>15</v>
      </c>
      <c r="F258" s="313" t="str">
        <f t="shared" ref="F258:F321" si="23">RIGHT(G258,2) &amp; IF(A258&lt;2,"x","")</f>
        <v>pm</v>
      </c>
      <c r="G258" s="313" t="s">
        <v>901</v>
      </c>
      <c r="H258" s="313" t="s">
        <v>204</v>
      </c>
      <c r="I258" s="313" t="s">
        <v>902</v>
      </c>
      <c r="K258" s="314">
        <f t="shared" ref="K258:K321" si="24">LOOKUP(1E+100,M258:AC258)</f>
        <v>2084.9367855589994</v>
      </c>
      <c r="M258" s="314">
        <v>2333.3333333333335</v>
      </c>
      <c r="O258" s="313">
        <v>2181.068342313471</v>
      </c>
      <c r="P258" s="313">
        <v>2153.6879824326447</v>
      </c>
      <c r="R258" s="313" t="str">
        <f>IF(AND((J258="This"),(L258="Only")),VLOOKUP(G258,#REF!,7,FALSE),"")</f>
        <v/>
      </c>
      <c r="S258" s="313">
        <v>2100.6667024320777</v>
      </c>
      <c r="U258" s="313">
        <v>2102.2891877313273</v>
      </c>
      <c r="W258" s="313">
        <v>2084.9367855589994</v>
      </c>
    </row>
    <row r="259" spans="1:24" x14ac:dyDescent="0.25">
      <c r="A259" s="313">
        <v>4</v>
      </c>
      <c r="C259" s="313">
        <f t="shared" si="20"/>
        <v>46</v>
      </c>
      <c r="D259" s="313">
        <f t="shared" si="21"/>
        <v>46</v>
      </c>
      <c r="E259" s="313">
        <f t="shared" si="22"/>
        <v>15</v>
      </c>
      <c r="F259" s="313" t="str">
        <f t="shared" si="23"/>
        <v>pm</v>
      </c>
      <c r="G259" s="313" t="s">
        <v>903</v>
      </c>
      <c r="H259" s="313" t="s">
        <v>281</v>
      </c>
      <c r="I259" s="313" t="s">
        <v>904</v>
      </c>
      <c r="K259" s="314">
        <f t="shared" si="24"/>
        <v>2437.7295748950783</v>
      </c>
      <c r="M259" s="314">
        <v>2300</v>
      </c>
      <c r="R259" s="313" t="str">
        <f>IF(AND((J259="This"),(L259="Only")),VLOOKUP(G259,#REF!,7,FALSE),"")</f>
        <v/>
      </c>
      <c r="S259" s="313">
        <v>2376.6455222724007</v>
      </c>
      <c r="W259" s="313">
        <v>2437.7295748950783</v>
      </c>
    </row>
    <row r="260" spans="1:24" x14ac:dyDescent="0.25">
      <c r="A260" s="313">
        <v>4</v>
      </c>
      <c r="C260" s="313">
        <f t="shared" si="20"/>
        <v>47</v>
      </c>
      <c r="D260" s="313">
        <f t="shared" si="21"/>
        <v>46</v>
      </c>
      <c r="E260" s="313">
        <f t="shared" si="22"/>
        <v>15</v>
      </c>
      <c r="F260" s="313" t="str">
        <f t="shared" si="23"/>
        <v>pm</v>
      </c>
      <c r="G260" s="313" t="s">
        <v>905</v>
      </c>
      <c r="H260" s="313" t="s">
        <v>505</v>
      </c>
      <c r="I260" s="313" t="s">
        <v>906</v>
      </c>
      <c r="K260" s="314">
        <f t="shared" si="24"/>
        <v>2207.6571694003314</v>
      </c>
      <c r="M260" s="314">
        <v>2300</v>
      </c>
      <c r="O260" s="313">
        <v>2235.0356284950308</v>
      </c>
      <c r="P260" s="313">
        <v>2322.1303862295704</v>
      </c>
      <c r="R260" s="313" t="str">
        <f>IF(AND((J260="This"),(L260="Only")),VLOOKUP(G260,#REF!,7,FALSE),"")</f>
        <v/>
      </c>
      <c r="S260" s="313">
        <v>2268.3854422372378</v>
      </c>
      <c r="W260" s="313">
        <v>2207.6571694003314</v>
      </c>
    </row>
    <row r="261" spans="1:24" x14ac:dyDescent="0.25">
      <c r="A261" s="313">
        <v>5</v>
      </c>
      <c r="C261" s="313">
        <f t="shared" si="20"/>
        <v>48</v>
      </c>
      <c r="D261" s="313">
        <f t="shared" si="21"/>
        <v>48</v>
      </c>
      <c r="E261" s="313">
        <f t="shared" si="22"/>
        <v>15</v>
      </c>
      <c r="F261" s="313" t="str">
        <f t="shared" si="23"/>
        <v>pm</v>
      </c>
      <c r="G261" s="313" t="s">
        <v>325</v>
      </c>
      <c r="H261" s="313" t="s">
        <v>219</v>
      </c>
      <c r="I261" s="313" t="s">
        <v>324</v>
      </c>
      <c r="K261" s="314">
        <f t="shared" si="24"/>
        <v>2070.0219407095829</v>
      </c>
      <c r="M261" s="314">
        <v>2160</v>
      </c>
      <c r="O261" s="313">
        <v>2166.7401209474078</v>
      </c>
      <c r="R261" s="313" t="str">
        <f>IF(AND((J261="This"),(L261="Only")),VLOOKUP(G261,#REF!,7,FALSE),"")</f>
        <v/>
      </c>
      <c r="S261" s="313">
        <v>2137.7943142165154</v>
      </c>
      <c r="W261" s="313">
        <v>2098.0659243278974</v>
      </c>
      <c r="X261" s="313">
        <v>2070.0219407095829</v>
      </c>
    </row>
    <row r="262" spans="1:24" x14ac:dyDescent="0.25">
      <c r="A262" s="313">
        <v>6</v>
      </c>
      <c r="C262" s="313">
        <f t="shared" si="20"/>
        <v>49</v>
      </c>
      <c r="D262" s="313">
        <f t="shared" si="21"/>
        <v>49</v>
      </c>
      <c r="E262" s="313">
        <f t="shared" si="22"/>
        <v>15</v>
      </c>
      <c r="F262" s="313" t="str">
        <f t="shared" si="23"/>
        <v>pm</v>
      </c>
      <c r="G262" s="313" t="s">
        <v>907</v>
      </c>
      <c r="H262" s="313" t="s">
        <v>230</v>
      </c>
      <c r="I262" s="313" t="s">
        <v>908</v>
      </c>
      <c r="K262" s="314">
        <f t="shared" si="24"/>
        <v>2261.5141533158635</v>
      </c>
      <c r="M262" s="314">
        <v>2066.6666666666665</v>
      </c>
      <c r="O262" s="313">
        <v>2144.1217834697964</v>
      </c>
      <c r="R262" s="313" t="str">
        <f>IF(AND((J262="This"),(L262="Only")),VLOOKUP(G262,#REF!,7,FALSE),"")</f>
        <v/>
      </c>
      <c r="T262" s="313">
        <v>2212.9846052971011</v>
      </c>
      <c r="V262" s="313">
        <v>2261.5141533158635</v>
      </c>
    </row>
    <row r="263" spans="1:24" x14ac:dyDescent="0.25">
      <c r="A263" s="313">
        <v>3</v>
      </c>
      <c r="C263" s="313">
        <f t="shared" si="20"/>
        <v>50</v>
      </c>
      <c r="D263" s="313">
        <f t="shared" si="21"/>
        <v>49</v>
      </c>
      <c r="E263" s="313">
        <f t="shared" si="22"/>
        <v>15</v>
      </c>
      <c r="F263" s="313" t="str">
        <f t="shared" si="23"/>
        <v>so</v>
      </c>
      <c r="G263" s="313" t="s">
        <v>909</v>
      </c>
      <c r="H263" s="313" t="s">
        <v>910</v>
      </c>
      <c r="I263" s="313" t="s">
        <v>911</v>
      </c>
      <c r="K263" s="314">
        <f t="shared" si="24"/>
        <v>2058.9575360453096</v>
      </c>
      <c r="M263" s="314">
        <v>2066.6666666666665</v>
      </c>
      <c r="R263" s="313" t="str">
        <f>IF(AND((J263="This"),(L263="Only")),VLOOKUP(G263,#REF!,7,FALSE),"")</f>
        <v/>
      </c>
      <c r="T263" s="313">
        <v>2068.7013691027805</v>
      </c>
      <c r="V263" s="313">
        <v>2058.9575360453096</v>
      </c>
    </row>
    <row r="264" spans="1:24" x14ac:dyDescent="0.25">
      <c r="A264" s="313">
        <v>5</v>
      </c>
      <c r="C264" s="313">
        <f t="shared" si="20"/>
        <v>51</v>
      </c>
      <c r="D264" s="313">
        <f t="shared" si="21"/>
        <v>51</v>
      </c>
      <c r="E264" s="313">
        <f t="shared" si="22"/>
        <v>15</v>
      </c>
      <c r="F264" s="313" t="str">
        <f t="shared" si="23"/>
        <v>pm</v>
      </c>
      <c r="G264" s="313" t="s">
        <v>443</v>
      </c>
      <c r="H264" s="313" t="s">
        <v>444</v>
      </c>
      <c r="I264" s="313" t="s">
        <v>442</v>
      </c>
      <c r="K264" s="314">
        <f t="shared" si="24"/>
        <v>1920.8120770077032</v>
      </c>
      <c r="M264" s="314">
        <v>2000</v>
      </c>
      <c r="O264" s="313">
        <v>1945.5835796928918</v>
      </c>
      <c r="R264" s="313" t="str">
        <f>IF(AND((J264="This"),(L264="Only")),VLOOKUP(G264,#REF!,7,FALSE),"")</f>
        <v/>
      </c>
      <c r="S264" s="313">
        <v>1904.1046446104472</v>
      </c>
      <c r="T264" s="313">
        <v>1881.9594079860281</v>
      </c>
      <c r="V264" s="313">
        <v>1934.5993580275974</v>
      </c>
      <c r="X264" s="313">
        <v>1920.8120770077032</v>
      </c>
    </row>
    <row r="265" spans="1:24" x14ac:dyDescent="0.25">
      <c r="A265" s="313">
        <v>1</v>
      </c>
      <c r="C265" s="313">
        <f t="shared" si="20"/>
        <v>52</v>
      </c>
      <c r="D265" s="313">
        <f t="shared" si="21"/>
        <v>51</v>
      </c>
      <c r="E265" s="313">
        <f t="shared" si="22"/>
        <v>15</v>
      </c>
      <c r="F265" s="313" t="str">
        <f t="shared" si="23"/>
        <v>crx</v>
      </c>
      <c r="G265" s="313" t="s">
        <v>912</v>
      </c>
      <c r="H265" s="313" t="s">
        <v>913</v>
      </c>
      <c r="I265" s="313" t="s">
        <v>914</v>
      </c>
      <c r="K265" s="314">
        <f t="shared" si="24"/>
        <v>2067.7629540639618</v>
      </c>
      <c r="M265" s="314">
        <v>2000</v>
      </c>
      <c r="O265" s="313">
        <v>2067.7629540639618</v>
      </c>
      <c r="R265" s="313" t="str">
        <f>IF(AND((J265="This"),(L265="Only")),VLOOKUP(G265,#REF!,7,FALSE),"")</f>
        <v/>
      </c>
    </row>
    <row r="266" spans="1:24" x14ac:dyDescent="0.25">
      <c r="A266" s="313">
        <v>3</v>
      </c>
      <c r="C266" s="313">
        <f t="shared" si="20"/>
        <v>53</v>
      </c>
      <c r="D266" s="313">
        <f t="shared" si="21"/>
        <v>51</v>
      </c>
      <c r="E266" s="313">
        <f t="shared" si="22"/>
        <v>15</v>
      </c>
      <c r="F266" s="313" t="str">
        <f t="shared" si="23"/>
        <v>pm</v>
      </c>
      <c r="G266" s="1032" t="s">
        <v>915</v>
      </c>
      <c r="H266" s="313" t="s">
        <v>916</v>
      </c>
      <c r="I266" s="313" t="s">
        <v>917</v>
      </c>
      <c r="K266" s="314">
        <f t="shared" si="24"/>
        <v>2151.1670311235207</v>
      </c>
      <c r="M266" s="314">
        <v>2000</v>
      </c>
      <c r="R266" s="313" t="str">
        <f>IF(AND((J266="This"),(L266="Only")),VLOOKUP(G266,#REF!,7,FALSE),"")</f>
        <v/>
      </c>
      <c r="S266" s="313">
        <v>2125.6672368874802</v>
      </c>
      <c r="V266" s="313">
        <v>2151.1670311235207</v>
      </c>
    </row>
    <row r="267" spans="1:24" x14ac:dyDescent="0.25">
      <c r="A267" s="313">
        <v>2</v>
      </c>
      <c r="C267" s="313">
        <f t="shared" si="20"/>
        <v>54</v>
      </c>
      <c r="D267" s="313">
        <f t="shared" si="21"/>
        <v>51</v>
      </c>
      <c r="E267" s="313">
        <f t="shared" si="22"/>
        <v>15</v>
      </c>
      <c r="F267" s="313" t="str">
        <f t="shared" si="23"/>
        <v>cr</v>
      </c>
      <c r="G267" s="313" t="s">
        <v>461</v>
      </c>
      <c r="H267" s="313" t="s">
        <v>209</v>
      </c>
      <c r="I267" s="313" t="s">
        <v>460</v>
      </c>
      <c r="K267" s="314">
        <f t="shared" si="24"/>
        <v>1939.0389096090223</v>
      </c>
      <c r="M267" s="314">
        <v>2000</v>
      </c>
      <c r="R267" s="313" t="str">
        <f>IF(AND((J267="This"),(L267="Only")),VLOOKUP(G267,#REF!,7,FALSE),"")</f>
        <v/>
      </c>
      <c r="X267" s="313">
        <v>1939.0389096090223</v>
      </c>
    </row>
    <row r="268" spans="1:24" x14ac:dyDescent="0.25">
      <c r="A268" s="313">
        <v>1</v>
      </c>
      <c r="C268" s="313">
        <f t="shared" si="20"/>
        <v>55</v>
      </c>
      <c r="D268" s="313">
        <f t="shared" si="21"/>
        <v>51</v>
      </c>
      <c r="E268" s="313">
        <f t="shared" si="22"/>
        <v>15</v>
      </c>
      <c r="F268" s="313" t="str">
        <f t="shared" si="23"/>
        <v>pmx</v>
      </c>
      <c r="G268" s="313" t="s">
        <v>918</v>
      </c>
      <c r="H268" s="313" t="s">
        <v>578</v>
      </c>
      <c r="I268" s="313" t="s">
        <v>919</v>
      </c>
      <c r="K268" s="314">
        <f t="shared" si="24"/>
        <v>1956.945013216829</v>
      </c>
      <c r="M268" s="314">
        <v>2000</v>
      </c>
      <c r="O268" s="313">
        <v>1956.945013216829</v>
      </c>
      <c r="R268" s="313" t="str">
        <f>IF(AND((J268="This"),(L268="Only")),VLOOKUP(G268,#REF!,7,FALSE),"")</f>
        <v/>
      </c>
    </row>
    <row r="269" spans="1:24" x14ac:dyDescent="0.25">
      <c r="A269" s="313">
        <v>2</v>
      </c>
      <c r="C269" s="313">
        <f t="shared" si="20"/>
        <v>56</v>
      </c>
      <c r="D269" s="313">
        <f t="shared" si="21"/>
        <v>51</v>
      </c>
      <c r="E269" s="313">
        <f t="shared" si="22"/>
        <v>15</v>
      </c>
      <c r="F269" s="313" t="str">
        <f t="shared" si="23"/>
        <v>pm</v>
      </c>
      <c r="G269" s="313" t="s">
        <v>920</v>
      </c>
      <c r="H269" s="313" t="s">
        <v>213</v>
      </c>
      <c r="I269" s="313" t="s">
        <v>921</v>
      </c>
      <c r="K269" s="314">
        <f t="shared" si="24"/>
        <v>2016.1001377438922</v>
      </c>
      <c r="M269" s="314">
        <v>2000</v>
      </c>
      <c r="O269" s="313">
        <v>2026.0099610120353</v>
      </c>
      <c r="R269" s="313" t="str">
        <f>IF(AND((J269="This"),(L269="Only")),VLOOKUP(G269,#REF!,7,FALSE),"")</f>
        <v/>
      </c>
      <c r="V269" s="313">
        <v>2016.1001377438922</v>
      </c>
    </row>
    <row r="270" spans="1:24" x14ac:dyDescent="0.25">
      <c r="A270" s="313">
        <v>1</v>
      </c>
      <c r="C270" s="313">
        <f t="shared" si="20"/>
        <v>57</v>
      </c>
      <c r="D270" s="313">
        <f t="shared" si="21"/>
        <v>51</v>
      </c>
      <c r="E270" s="313">
        <f t="shared" si="22"/>
        <v>15</v>
      </c>
      <c r="F270" s="313" t="str">
        <f t="shared" si="23"/>
        <v>crx</v>
      </c>
      <c r="G270" s="313" t="s">
        <v>922</v>
      </c>
      <c r="H270" s="313" t="s">
        <v>643</v>
      </c>
      <c r="I270" s="313" t="s">
        <v>923</v>
      </c>
      <c r="K270" s="314">
        <f t="shared" si="24"/>
        <v>2186.2537904112141</v>
      </c>
      <c r="M270" s="314">
        <v>2000</v>
      </c>
      <c r="O270" s="313">
        <v>2186.2537904112141</v>
      </c>
      <c r="R270" s="313" t="str">
        <f>IF(AND((J270="This"),(L270="Only")),VLOOKUP(G270,#REF!,7,FALSE),"")</f>
        <v/>
      </c>
    </row>
    <row r="271" spans="1:24" x14ac:dyDescent="0.25">
      <c r="A271" s="313">
        <v>3</v>
      </c>
      <c r="C271" s="313">
        <f t="shared" si="20"/>
        <v>58</v>
      </c>
      <c r="D271" s="313">
        <f t="shared" si="21"/>
        <v>51</v>
      </c>
      <c r="E271" s="313">
        <f t="shared" si="22"/>
        <v>15</v>
      </c>
      <c r="F271" s="313" t="str">
        <f t="shared" si="23"/>
        <v>pm</v>
      </c>
      <c r="G271" s="313" t="s">
        <v>252</v>
      </c>
      <c r="H271" s="313" t="s">
        <v>207</v>
      </c>
      <c r="I271" s="313" t="s">
        <v>194</v>
      </c>
      <c r="K271" s="314">
        <f t="shared" si="24"/>
        <v>1961.3145016263318</v>
      </c>
      <c r="M271" s="314">
        <v>2000</v>
      </c>
      <c r="O271" s="313">
        <v>1946.6508848780252</v>
      </c>
      <c r="R271" s="313" t="str">
        <f>IF(AND((J271="This"),(L271="Only")),VLOOKUP(G271,#REF!,7,FALSE),"")</f>
        <v/>
      </c>
      <c r="X271" s="313">
        <v>1961.3145016263318</v>
      </c>
    </row>
    <row r="272" spans="1:24" x14ac:dyDescent="0.25">
      <c r="A272" s="313">
        <v>6</v>
      </c>
      <c r="C272" s="313">
        <f t="shared" si="20"/>
        <v>59</v>
      </c>
      <c r="D272" s="313">
        <f t="shared" si="21"/>
        <v>51</v>
      </c>
      <c r="E272" s="313">
        <f t="shared" si="22"/>
        <v>15</v>
      </c>
      <c r="F272" s="313" t="str">
        <f t="shared" si="23"/>
        <v>pm</v>
      </c>
      <c r="G272" s="313" t="s">
        <v>244</v>
      </c>
      <c r="H272" s="313" t="s">
        <v>204</v>
      </c>
      <c r="I272" s="313" t="s">
        <v>192</v>
      </c>
      <c r="K272" s="314">
        <f t="shared" si="24"/>
        <v>1761.0677131131711</v>
      </c>
      <c r="M272" s="314">
        <v>2000</v>
      </c>
      <c r="O272" s="313">
        <v>1899.8845696374212</v>
      </c>
      <c r="R272" s="313" t="str">
        <f>IF(AND((J272="This"),(L272="Only")),VLOOKUP(G272,#REF!,7,FALSE),"")</f>
        <v/>
      </c>
      <c r="S272" s="313">
        <v>1879.5086780308623</v>
      </c>
      <c r="T272" s="313">
        <v>1815.1405956068922</v>
      </c>
      <c r="V272" s="313">
        <v>1769.7324273066286</v>
      </c>
      <c r="X272" s="313">
        <v>1761.0677131131711</v>
      </c>
    </row>
    <row r="273" spans="1:24" x14ac:dyDescent="0.25">
      <c r="A273" s="313">
        <v>5</v>
      </c>
      <c r="C273" s="313">
        <f t="shared" si="20"/>
        <v>60</v>
      </c>
      <c r="D273" s="313">
        <f t="shared" si="21"/>
        <v>51</v>
      </c>
      <c r="E273" s="313">
        <f t="shared" si="22"/>
        <v>15</v>
      </c>
      <c r="F273" s="313" t="str">
        <f t="shared" si="23"/>
        <v>pm</v>
      </c>
      <c r="G273" s="313" t="s">
        <v>326</v>
      </c>
      <c r="H273" s="313" t="s">
        <v>199</v>
      </c>
      <c r="I273" s="313" t="s">
        <v>368</v>
      </c>
      <c r="K273" s="314">
        <f t="shared" si="24"/>
        <v>2044.6070675484093</v>
      </c>
      <c r="M273" s="314">
        <v>2000</v>
      </c>
      <c r="O273" s="313">
        <v>2082.3894703533642</v>
      </c>
      <c r="R273" s="313" t="str">
        <f>IF(AND((J273="This"),(L273="Only")),VLOOKUP(G273,#REF!,7,FALSE),"")</f>
        <v/>
      </c>
      <c r="S273" s="313">
        <v>1985.4963518902775</v>
      </c>
      <c r="V273" s="313">
        <v>2037.3311358334597</v>
      </c>
      <c r="X273" s="313">
        <v>2044.6070675484093</v>
      </c>
    </row>
    <row r="274" spans="1:24" x14ac:dyDescent="0.25">
      <c r="A274" s="313">
        <v>2</v>
      </c>
      <c r="C274" s="313">
        <f t="shared" si="20"/>
        <v>61</v>
      </c>
      <c r="D274" s="313">
        <f t="shared" si="21"/>
        <v>51</v>
      </c>
      <c r="E274" s="313">
        <f t="shared" si="22"/>
        <v>15</v>
      </c>
      <c r="F274" s="313" t="str">
        <f t="shared" si="23"/>
        <v>pm</v>
      </c>
      <c r="G274" s="313" t="s">
        <v>924</v>
      </c>
      <c r="H274" s="313" t="s">
        <v>281</v>
      </c>
      <c r="I274" s="313" t="s">
        <v>925</v>
      </c>
      <c r="K274" s="314">
        <f t="shared" si="24"/>
        <v>2009.442133194488</v>
      </c>
      <c r="M274" s="314">
        <v>2000</v>
      </c>
      <c r="R274" s="313" t="str">
        <f>IF(AND((J274="This"),(L274="Only")),VLOOKUP(G274,#REF!,7,FALSE),"")</f>
        <v/>
      </c>
      <c r="S274" s="313">
        <v>2019.4002681448881</v>
      </c>
      <c r="T274" s="313">
        <v>1937.3837972359004</v>
      </c>
      <c r="V274" s="313">
        <v>2009.442133194488</v>
      </c>
    </row>
    <row r="275" spans="1:24" x14ac:dyDescent="0.25">
      <c r="A275" s="313">
        <v>4</v>
      </c>
      <c r="C275" s="313">
        <f t="shared" si="20"/>
        <v>62</v>
      </c>
      <c r="D275" s="313">
        <f t="shared" si="21"/>
        <v>51</v>
      </c>
      <c r="E275" s="313">
        <f t="shared" si="22"/>
        <v>15</v>
      </c>
      <c r="F275" s="313" t="str">
        <f t="shared" si="23"/>
        <v>pm</v>
      </c>
      <c r="G275" s="313" t="s">
        <v>406</v>
      </c>
      <c r="H275" s="313" t="s">
        <v>198</v>
      </c>
      <c r="I275" s="313" t="s">
        <v>405</v>
      </c>
      <c r="K275" s="314">
        <f t="shared" si="24"/>
        <v>2064.4159578940285</v>
      </c>
      <c r="M275" s="314">
        <v>2000</v>
      </c>
      <c r="R275" s="313" t="str">
        <f>IF(AND((J275="This"),(L275="Only")),VLOOKUP(G275,#REF!,7,FALSE),"")</f>
        <v/>
      </c>
      <c r="T275" s="313">
        <v>1962.7309363652487</v>
      </c>
      <c r="V275" s="313">
        <v>1968.6719369166094</v>
      </c>
      <c r="X275" s="313">
        <v>2064.4159578940285</v>
      </c>
    </row>
    <row r="276" spans="1:24" x14ac:dyDescent="0.25">
      <c r="A276" s="313">
        <v>5</v>
      </c>
      <c r="C276" s="313">
        <f t="shared" si="20"/>
        <v>63</v>
      </c>
      <c r="D276" s="313">
        <f t="shared" si="21"/>
        <v>51</v>
      </c>
      <c r="E276" s="313">
        <f t="shared" si="22"/>
        <v>15</v>
      </c>
      <c r="F276" s="313" t="str">
        <f t="shared" si="23"/>
        <v>pm</v>
      </c>
      <c r="G276" s="313" t="s">
        <v>424</v>
      </c>
      <c r="H276" s="313" t="s">
        <v>235</v>
      </c>
      <c r="I276" s="313" t="s">
        <v>423</v>
      </c>
      <c r="K276" s="314">
        <f t="shared" si="24"/>
        <v>1908.7373121074302</v>
      </c>
      <c r="M276" s="314">
        <v>2000</v>
      </c>
      <c r="R276" s="313" t="str">
        <f>IF(AND((J276="This"),(L276="Only")),VLOOKUP(G276,#REF!,7,FALSE),"")</f>
        <v/>
      </c>
      <c r="S276" s="313">
        <v>1951.6936515310344</v>
      </c>
      <c r="T276" s="313">
        <v>1967.5899225540977</v>
      </c>
      <c r="V276" s="313">
        <v>1882.3588043028437</v>
      </c>
      <c r="X276" s="313">
        <v>1908.7373121074302</v>
      </c>
    </row>
    <row r="277" spans="1:24" x14ac:dyDescent="0.25">
      <c r="A277" s="313">
        <v>5</v>
      </c>
      <c r="C277" s="313">
        <f t="shared" si="20"/>
        <v>64</v>
      </c>
      <c r="D277" s="313">
        <f t="shared" si="21"/>
        <v>51</v>
      </c>
      <c r="E277" s="313">
        <f t="shared" si="22"/>
        <v>15</v>
      </c>
      <c r="F277" s="313" t="str">
        <f t="shared" si="23"/>
        <v>pm</v>
      </c>
      <c r="G277" s="313" t="s">
        <v>926</v>
      </c>
      <c r="H277" s="313" t="s">
        <v>235</v>
      </c>
      <c r="I277" s="313" t="s">
        <v>927</v>
      </c>
      <c r="K277" s="314">
        <f t="shared" si="24"/>
        <v>2000</v>
      </c>
      <c r="M277" s="314">
        <v>2000</v>
      </c>
      <c r="R277" s="313" t="str">
        <f>IF(AND((J277="This"),(L277="Only")),VLOOKUP(G277,#REF!,7,FALSE),"")</f>
        <v/>
      </c>
    </row>
    <row r="278" spans="1:24" x14ac:dyDescent="0.25">
      <c r="A278" s="313">
        <v>6</v>
      </c>
      <c r="C278" s="313">
        <f t="shared" si="20"/>
        <v>65</v>
      </c>
      <c r="D278" s="313">
        <f t="shared" si="21"/>
        <v>51</v>
      </c>
      <c r="E278" s="313">
        <f t="shared" si="22"/>
        <v>15</v>
      </c>
      <c r="F278" s="313" t="str">
        <f t="shared" si="23"/>
        <v>pm</v>
      </c>
      <c r="G278" s="313" t="s">
        <v>516</v>
      </c>
      <c r="H278" s="313" t="s">
        <v>216</v>
      </c>
      <c r="I278" s="313" t="s">
        <v>193</v>
      </c>
      <c r="K278" s="314">
        <f t="shared" si="24"/>
        <v>2111.1120209801334</v>
      </c>
      <c r="M278" s="314">
        <v>2000</v>
      </c>
      <c r="O278" s="313">
        <v>2021.5539015085499</v>
      </c>
      <c r="R278" s="313" t="str">
        <f>IF(AND((J278="This"),(L278="Only")),VLOOKUP(G278,#REF!,7,FALSE),"")</f>
        <v/>
      </c>
      <c r="S278" s="313">
        <v>2077.8601411897835</v>
      </c>
      <c r="T278" s="313">
        <v>2066.7296561866906</v>
      </c>
      <c r="V278" s="313">
        <v>2075.6557959024376</v>
      </c>
      <c r="X278" s="313">
        <v>2111.1120209801334</v>
      </c>
    </row>
    <row r="279" spans="1:24" x14ac:dyDescent="0.25">
      <c r="A279" s="313">
        <v>2</v>
      </c>
      <c r="C279" s="313">
        <f t="shared" si="20"/>
        <v>66</v>
      </c>
      <c r="D279" s="313">
        <f t="shared" si="21"/>
        <v>51</v>
      </c>
      <c r="E279" s="313">
        <f t="shared" si="22"/>
        <v>15</v>
      </c>
      <c r="F279" s="313" t="str">
        <f t="shared" si="23"/>
        <v>cr</v>
      </c>
      <c r="G279" s="313" t="s">
        <v>928</v>
      </c>
      <c r="H279" s="313" t="s">
        <v>593</v>
      </c>
      <c r="I279" s="313" t="s">
        <v>929</v>
      </c>
      <c r="K279" s="314">
        <f t="shared" si="24"/>
        <v>2092.5746381180716</v>
      </c>
      <c r="M279" s="314">
        <v>2000</v>
      </c>
      <c r="R279" s="313" t="str">
        <f>IF(AND((J279="This"),(L279="Only")),VLOOKUP(G279,#REF!,7,FALSE),"")</f>
        <v/>
      </c>
      <c r="T279" s="313">
        <v>2092.5746381180716</v>
      </c>
    </row>
    <row r="280" spans="1:24" x14ac:dyDescent="0.25">
      <c r="A280" s="313">
        <v>2</v>
      </c>
      <c r="C280" s="313">
        <f t="shared" si="20"/>
        <v>67</v>
      </c>
      <c r="D280" s="313">
        <f t="shared" si="21"/>
        <v>51</v>
      </c>
      <c r="E280" s="313">
        <f t="shared" si="22"/>
        <v>15</v>
      </c>
      <c r="F280" s="313" t="str">
        <f t="shared" si="23"/>
        <v>pm</v>
      </c>
      <c r="G280" s="313" t="s">
        <v>930</v>
      </c>
      <c r="H280" s="313" t="s">
        <v>559</v>
      </c>
      <c r="I280" s="313" t="s">
        <v>931</v>
      </c>
      <c r="K280" s="314">
        <f t="shared" si="24"/>
        <v>2045.640941405906</v>
      </c>
      <c r="M280" s="314">
        <v>2000</v>
      </c>
      <c r="R280" s="313" t="str">
        <f>IF(AND((J280="This"),(L280="Only")),VLOOKUP(G280,#REF!,7,FALSE),"")</f>
        <v/>
      </c>
      <c r="V280" s="313">
        <v>2045.640941405906</v>
      </c>
    </row>
    <row r="281" spans="1:24" x14ac:dyDescent="0.25">
      <c r="A281" s="313">
        <v>1</v>
      </c>
      <c r="C281" s="313">
        <f t="shared" si="20"/>
        <v>68</v>
      </c>
      <c r="D281" s="313">
        <f t="shared" si="21"/>
        <v>51</v>
      </c>
      <c r="E281" s="313">
        <f t="shared" si="22"/>
        <v>15</v>
      </c>
      <c r="F281" s="313" t="str">
        <f t="shared" si="23"/>
        <v>pmx</v>
      </c>
      <c r="G281" s="313" t="s">
        <v>932</v>
      </c>
      <c r="H281" s="313" t="s">
        <v>559</v>
      </c>
      <c r="I281" s="313" t="s">
        <v>933</v>
      </c>
      <c r="K281" s="314">
        <f t="shared" si="24"/>
        <v>2000</v>
      </c>
      <c r="M281" s="314">
        <v>2000</v>
      </c>
      <c r="R281" s="313" t="str">
        <f>IF(AND((J281="This"),(L281="Only")),VLOOKUP(G281,#REF!,7,FALSE),"")</f>
        <v/>
      </c>
    </row>
    <row r="282" spans="1:24" x14ac:dyDescent="0.25">
      <c r="A282" s="313">
        <v>5</v>
      </c>
      <c r="C282" s="313">
        <f t="shared" si="20"/>
        <v>69</v>
      </c>
      <c r="D282" s="313">
        <f t="shared" si="21"/>
        <v>51</v>
      </c>
      <c r="E282" s="313">
        <f t="shared" si="22"/>
        <v>15</v>
      </c>
      <c r="F282" s="313" t="str">
        <f t="shared" si="23"/>
        <v>pm</v>
      </c>
      <c r="G282" s="313" t="s">
        <v>200</v>
      </c>
      <c r="H282" s="313" t="s">
        <v>201</v>
      </c>
      <c r="I282" s="313" t="s">
        <v>191</v>
      </c>
      <c r="K282" s="314">
        <f t="shared" si="24"/>
        <v>1927.6269084243409</v>
      </c>
      <c r="M282" s="314">
        <v>2000</v>
      </c>
      <c r="R282" s="313" t="str">
        <f>IF(AND((J282="This"),(L282="Only")),VLOOKUP(G282,#REF!,7,FALSE),"")</f>
        <v/>
      </c>
      <c r="S282" s="313">
        <v>2021.1114002752317</v>
      </c>
      <c r="T282" s="313">
        <v>2058.6723054658987</v>
      </c>
      <c r="V282" s="313">
        <v>1954.3026425151425</v>
      </c>
      <c r="X282" s="313">
        <v>1927.6269084243409</v>
      </c>
    </row>
    <row r="283" spans="1:24" x14ac:dyDescent="0.25">
      <c r="A283" s="313">
        <v>1</v>
      </c>
      <c r="C283" s="313">
        <f t="shared" si="20"/>
        <v>70</v>
      </c>
      <c r="D283" s="313">
        <f t="shared" si="21"/>
        <v>51</v>
      </c>
      <c r="E283" s="313">
        <f t="shared" si="22"/>
        <v>15</v>
      </c>
      <c r="F283" s="313" t="str">
        <f t="shared" si="23"/>
        <v>sox</v>
      </c>
      <c r="G283" s="313" t="s">
        <v>372</v>
      </c>
      <c r="H283" s="313" t="s">
        <v>212</v>
      </c>
      <c r="I283" s="313" t="s">
        <v>371</v>
      </c>
      <c r="K283" s="314">
        <f t="shared" si="24"/>
        <v>2087.2291739947027</v>
      </c>
      <c r="M283" s="314">
        <v>2000</v>
      </c>
      <c r="R283" s="313" t="str">
        <f>IF(AND((J283="This"),(L283="Only")),VLOOKUP(G283,#REF!,7,FALSE),"")</f>
        <v/>
      </c>
      <c r="X283" s="313">
        <v>2087.2291739947027</v>
      </c>
    </row>
    <row r="284" spans="1:24" x14ac:dyDescent="0.25">
      <c r="A284" s="313">
        <v>1</v>
      </c>
      <c r="C284" s="313">
        <f t="shared" si="20"/>
        <v>1</v>
      </c>
      <c r="D284" s="313">
        <f t="shared" si="21"/>
        <v>1</v>
      </c>
      <c r="E284" s="313">
        <f t="shared" si="22"/>
        <v>16</v>
      </c>
      <c r="F284" s="313" t="str">
        <f t="shared" si="23"/>
        <v>sox</v>
      </c>
      <c r="G284" s="313" t="s">
        <v>934</v>
      </c>
      <c r="H284" s="313" t="s">
        <v>575</v>
      </c>
      <c r="I284" s="313" t="s">
        <v>935</v>
      </c>
      <c r="K284" s="314">
        <f t="shared" si="24"/>
        <v>2504.0110612829112</v>
      </c>
      <c r="M284" s="314">
        <v>2600</v>
      </c>
      <c r="R284" s="313" t="str">
        <f>IF(AND((J284="This"),(L284="Only")),VLOOKUP(G284,#REF!,7,FALSE),"")</f>
        <v/>
      </c>
      <c r="U284" s="313">
        <v>2504.0110612829112</v>
      </c>
    </row>
    <row r="285" spans="1:24" x14ac:dyDescent="0.25">
      <c r="A285" s="313">
        <v>1</v>
      </c>
      <c r="C285" s="313">
        <f t="shared" si="20"/>
        <v>2</v>
      </c>
      <c r="D285" s="313">
        <f t="shared" si="21"/>
        <v>1</v>
      </c>
      <c r="E285" s="313">
        <f t="shared" si="22"/>
        <v>16</v>
      </c>
      <c r="F285" s="313" t="str">
        <f t="shared" si="23"/>
        <v>crx</v>
      </c>
      <c r="G285" s="313" t="s">
        <v>327</v>
      </c>
      <c r="H285" s="313" t="s">
        <v>209</v>
      </c>
      <c r="I285" s="313" t="s">
        <v>936</v>
      </c>
      <c r="K285" s="314">
        <f t="shared" si="24"/>
        <v>2600</v>
      </c>
      <c r="M285" s="314">
        <v>2600</v>
      </c>
      <c r="R285" s="313" t="str">
        <f>IF(AND((J285="This"),(L285="Only")),VLOOKUP(G285,#REF!,7,FALSE),"")</f>
        <v/>
      </c>
    </row>
    <row r="286" spans="1:24" x14ac:dyDescent="0.25">
      <c r="A286" s="313">
        <v>1</v>
      </c>
      <c r="C286" s="313">
        <f t="shared" si="20"/>
        <v>3</v>
      </c>
      <c r="D286" s="313">
        <f t="shared" si="21"/>
        <v>1</v>
      </c>
      <c r="E286" s="313">
        <f t="shared" si="22"/>
        <v>16</v>
      </c>
      <c r="F286" s="313" t="str">
        <f t="shared" si="23"/>
        <v>crx</v>
      </c>
      <c r="G286" s="313" t="s">
        <v>227</v>
      </c>
      <c r="H286" s="313" t="s">
        <v>209</v>
      </c>
      <c r="I286" s="313" t="s">
        <v>937</v>
      </c>
      <c r="K286" s="314">
        <f t="shared" si="24"/>
        <v>2600</v>
      </c>
      <c r="M286" s="314">
        <v>2600</v>
      </c>
      <c r="R286" s="313" t="str">
        <f>IF(AND((J286="This"),(L286="Only")),VLOOKUP(G286,#REF!,7,FALSE),"")</f>
        <v/>
      </c>
    </row>
    <row r="287" spans="1:24" x14ac:dyDescent="0.25">
      <c r="A287" s="313">
        <v>2</v>
      </c>
      <c r="C287" s="313">
        <f t="shared" si="20"/>
        <v>4</v>
      </c>
      <c r="D287" s="313">
        <f t="shared" si="21"/>
        <v>1</v>
      </c>
      <c r="E287" s="313">
        <f t="shared" si="22"/>
        <v>16</v>
      </c>
      <c r="F287" s="313" t="str">
        <f t="shared" si="23"/>
        <v>pm</v>
      </c>
      <c r="G287" s="313" t="s">
        <v>938</v>
      </c>
      <c r="H287" s="313" t="s">
        <v>213</v>
      </c>
      <c r="I287" s="313" t="s">
        <v>939</v>
      </c>
      <c r="K287" s="314">
        <f t="shared" si="24"/>
        <v>2733.3498205891706</v>
      </c>
      <c r="M287" s="314">
        <v>2600</v>
      </c>
      <c r="N287" s="313">
        <v>2733.3498205891706</v>
      </c>
      <c r="R287" s="313" t="str">
        <f>IF(AND((J287="This"),(L287="Only")),VLOOKUP(G287,#REF!,7,FALSE),"")</f>
        <v/>
      </c>
    </row>
    <row r="288" spans="1:24" x14ac:dyDescent="0.25">
      <c r="A288" s="313">
        <v>1</v>
      </c>
      <c r="C288" s="313">
        <f t="shared" si="20"/>
        <v>5</v>
      </c>
      <c r="D288" s="313">
        <f t="shared" si="21"/>
        <v>1</v>
      </c>
      <c r="E288" s="313">
        <f t="shared" si="22"/>
        <v>16</v>
      </c>
      <c r="F288" s="313" t="str">
        <f t="shared" si="23"/>
        <v>crx</v>
      </c>
      <c r="G288" s="313" t="s">
        <v>940</v>
      </c>
      <c r="H288" s="313" t="s">
        <v>828</v>
      </c>
      <c r="I288" s="313" t="s">
        <v>941</v>
      </c>
      <c r="K288" s="314">
        <f t="shared" si="24"/>
        <v>2632.2998562242606</v>
      </c>
      <c r="M288" s="314">
        <v>2600</v>
      </c>
      <c r="R288" s="313" t="str">
        <f>IF(AND((J288="This"),(L288="Only")),VLOOKUP(G288,#REF!,7,FALSE),"")</f>
        <v/>
      </c>
      <c r="U288" s="313">
        <v>2632.2998562242606</v>
      </c>
    </row>
    <row r="289" spans="1:23" x14ac:dyDescent="0.25">
      <c r="A289" s="313">
        <v>4</v>
      </c>
      <c r="C289" s="313">
        <f t="shared" si="20"/>
        <v>6</v>
      </c>
      <c r="D289" s="313">
        <f t="shared" si="21"/>
        <v>1</v>
      </c>
      <c r="E289" s="313">
        <f t="shared" si="22"/>
        <v>16</v>
      </c>
      <c r="F289" s="313" t="str">
        <f t="shared" si="23"/>
        <v>pm</v>
      </c>
      <c r="G289" s="313" t="s">
        <v>942</v>
      </c>
      <c r="H289" s="313" t="s">
        <v>207</v>
      </c>
      <c r="I289" s="313" t="s">
        <v>943</v>
      </c>
      <c r="K289" s="314">
        <f t="shared" si="24"/>
        <v>2471.7631622918839</v>
      </c>
      <c r="M289" s="314">
        <v>2600</v>
      </c>
      <c r="N289" s="313">
        <v>2526.5055164901037</v>
      </c>
      <c r="R289" s="313" t="str">
        <f>IF(AND((J289="This"),(L289="Only")),VLOOKUP(G289,#REF!,7,FALSE),"")</f>
        <v/>
      </c>
      <c r="U289" s="313">
        <v>2486.488090625131</v>
      </c>
      <c r="W289" s="313">
        <v>2471.7631622918839</v>
      </c>
    </row>
    <row r="290" spans="1:23" x14ac:dyDescent="0.25">
      <c r="A290" s="313">
        <v>4</v>
      </c>
      <c r="C290" s="313">
        <f t="shared" si="20"/>
        <v>7</v>
      </c>
      <c r="D290" s="313">
        <f t="shared" si="21"/>
        <v>1</v>
      </c>
      <c r="E290" s="313">
        <f t="shared" si="22"/>
        <v>16</v>
      </c>
      <c r="F290" s="313" t="str">
        <f t="shared" si="23"/>
        <v>pm</v>
      </c>
      <c r="G290" s="313" t="s">
        <v>944</v>
      </c>
      <c r="H290" s="313" t="s">
        <v>286</v>
      </c>
      <c r="I290" s="313" t="s">
        <v>945</v>
      </c>
      <c r="K290" s="314">
        <f t="shared" si="24"/>
        <v>2583.8657437465972</v>
      </c>
      <c r="M290" s="314">
        <v>2600</v>
      </c>
      <c r="N290" s="313">
        <v>2579.117618958388</v>
      </c>
      <c r="R290" s="313" t="str">
        <f>IF(AND((J290="This"),(L290="Only")),VLOOKUP(G290,#REF!,7,FALSE),"")</f>
        <v/>
      </c>
      <c r="U290" s="313">
        <v>2535.9077333062396</v>
      </c>
      <c r="W290" s="313">
        <v>2583.8657437465972</v>
      </c>
    </row>
    <row r="291" spans="1:23" x14ac:dyDescent="0.25">
      <c r="A291" s="313">
        <v>6</v>
      </c>
      <c r="C291" s="313">
        <f t="shared" si="20"/>
        <v>8</v>
      </c>
      <c r="D291" s="313">
        <f t="shared" si="21"/>
        <v>1</v>
      </c>
      <c r="E291" s="313">
        <f t="shared" si="22"/>
        <v>16</v>
      </c>
      <c r="F291" s="313" t="str">
        <f t="shared" si="23"/>
        <v>pm</v>
      </c>
      <c r="G291" s="313" t="s">
        <v>946</v>
      </c>
      <c r="H291" s="313" t="s">
        <v>204</v>
      </c>
      <c r="I291" s="313" t="s">
        <v>947</v>
      </c>
      <c r="K291" s="314">
        <f t="shared" si="24"/>
        <v>2635.4074828200592</v>
      </c>
      <c r="M291" s="314">
        <v>2600</v>
      </c>
      <c r="N291" s="313">
        <v>2557.2067071974066</v>
      </c>
      <c r="P291" s="313">
        <v>2579.1687371210223</v>
      </c>
      <c r="R291" s="313" t="str">
        <f>IF(AND((J291="This"),(L291="Only")),VLOOKUP(G291,#REF!,7,FALSE),"")</f>
        <v/>
      </c>
      <c r="S291" s="313">
        <v>2569.3380197886345</v>
      </c>
      <c r="U291" s="313">
        <v>2565.5592008458225</v>
      </c>
      <c r="W291" s="313">
        <v>2635.4074828200592</v>
      </c>
    </row>
    <row r="292" spans="1:23" x14ac:dyDescent="0.25">
      <c r="A292" s="313">
        <v>4</v>
      </c>
      <c r="C292" s="313">
        <f t="shared" si="20"/>
        <v>9</v>
      </c>
      <c r="D292" s="313">
        <f t="shared" si="21"/>
        <v>1</v>
      </c>
      <c r="E292" s="313">
        <f t="shared" si="22"/>
        <v>16</v>
      </c>
      <c r="F292" s="313" t="str">
        <f t="shared" si="23"/>
        <v>pm</v>
      </c>
      <c r="G292" s="313" t="s">
        <v>948</v>
      </c>
      <c r="H292" s="313" t="s">
        <v>393</v>
      </c>
      <c r="I292" s="313" t="s">
        <v>949</v>
      </c>
      <c r="K292" s="314">
        <f t="shared" si="24"/>
        <v>2525.0778087923932</v>
      </c>
      <c r="M292" s="314">
        <v>2600</v>
      </c>
      <c r="N292" s="313">
        <v>2541.6561802258602</v>
      </c>
      <c r="R292" s="313" t="str">
        <f>IF(AND((J292="This"),(L292="Only")),VLOOKUP(G292,#REF!,7,FALSE),"")</f>
        <v/>
      </c>
      <c r="S292" s="313">
        <v>2507.3814986686125</v>
      </c>
      <c r="U292" s="313">
        <v>2525.0778087923932</v>
      </c>
    </row>
    <row r="293" spans="1:23" x14ac:dyDescent="0.25">
      <c r="A293" s="313">
        <v>2</v>
      </c>
      <c r="C293" s="313">
        <f t="shared" si="20"/>
        <v>10</v>
      </c>
      <c r="D293" s="313">
        <f t="shared" si="21"/>
        <v>1</v>
      </c>
      <c r="E293" s="313">
        <f t="shared" si="22"/>
        <v>16</v>
      </c>
      <c r="F293" s="313" t="str">
        <f t="shared" si="23"/>
        <v>pm</v>
      </c>
      <c r="G293" s="313" t="s">
        <v>950</v>
      </c>
      <c r="H293" s="313" t="s">
        <v>473</v>
      </c>
      <c r="I293" s="313" t="s">
        <v>951</v>
      </c>
      <c r="K293" s="314">
        <f t="shared" si="24"/>
        <v>2547.1639555804077</v>
      </c>
      <c r="M293" s="314">
        <v>2600</v>
      </c>
      <c r="N293" s="313">
        <v>2547.1639555804077</v>
      </c>
      <c r="R293" s="313" t="str">
        <f>IF(AND((J293="This"),(L293="Only")),VLOOKUP(G293,#REF!,7,FALSE),"")</f>
        <v/>
      </c>
    </row>
    <row r="294" spans="1:23" x14ac:dyDescent="0.25">
      <c r="A294" s="313">
        <v>1</v>
      </c>
      <c r="C294" s="313">
        <f t="shared" si="20"/>
        <v>11</v>
      </c>
      <c r="D294" s="313">
        <f t="shared" si="21"/>
        <v>1</v>
      </c>
      <c r="E294" s="313">
        <f t="shared" si="22"/>
        <v>16</v>
      </c>
      <c r="F294" s="313" t="str">
        <f t="shared" si="23"/>
        <v>pmx</v>
      </c>
      <c r="G294" s="313" t="s">
        <v>952</v>
      </c>
      <c r="H294" s="313" t="s">
        <v>650</v>
      </c>
      <c r="I294" s="313" t="s">
        <v>953</v>
      </c>
      <c r="K294" s="314">
        <f t="shared" si="24"/>
        <v>2717.5008086986541</v>
      </c>
      <c r="M294" s="314">
        <v>2600</v>
      </c>
      <c r="R294" s="313" t="str">
        <f>IF(AND((J294="This"),(L294="Only")),VLOOKUP(G294,#REF!,7,FALSE),"")</f>
        <v/>
      </c>
      <c r="U294" s="313">
        <v>2717.5008086986541</v>
      </c>
    </row>
    <row r="295" spans="1:23" x14ac:dyDescent="0.25">
      <c r="A295" s="313">
        <v>1</v>
      </c>
      <c r="C295" s="313">
        <f t="shared" si="20"/>
        <v>12</v>
      </c>
      <c r="D295" s="313">
        <f t="shared" si="21"/>
        <v>1</v>
      </c>
      <c r="E295" s="313">
        <f t="shared" si="22"/>
        <v>16</v>
      </c>
      <c r="F295" s="313" t="str">
        <f t="shared" si="23"/>
        <v>pmx</v>
      </c>
      <c r="G295" s="313" t="s">
        <v>954</v>
      </c>
      <c r="H295" s="313" t="s">
        <v>650</v>
      </c>
      <c r="I295" s="313" t="s">
        <v>955</v>
      </c>
      <c r="K295" s="314">
        <f t="shared" si="24"/>
        <v>2566.401891014063</v>
      </c>
      <c r="M295" s="314">
        <v>2600</v>
      </c>
      <c r="R295" s="313" t="str">
        <f>IF(AND((J295="This"),(L295="Only")),VLOOKUP(G295,#REF!,7,FALSE),"")</f>
        <v/>
      </c>
      <c r="U295" s="313">
        <v>2566.401891014063</v>
      </c>
    </row>
    <row r="296" spans="1:23" x14ac:dyDescent="0.25">
      <c r="A296" s="313">
        <v>4</v>
      </c>
      <c r="C296" s="313">
        <f t="shared" si="20"/>
        <v>13</v>
      </c>
      <c r="D296" s="313">
        <f t="shared" si="21"/>
        <v>1</v>
      </c>
      <c r="E296" s="313">
        <f t="shared" si="22"/>
        <v>16</v>
      </c>
      <c r="F296" s="313" t="str">
        <f t="shared" si="23"/>
        <v>pm</v>
      </c>
      <c r="G296" s="313" t="s">
        <v>956</v>
      </c>
      <c r="H296" s="313" t="s">
        <v>340</v>
      </c>
      <c r="I296" s="313" t="s">
        <v>957</v>
      </c>
      <c r="K296" s="314">
        <f t="shared" si="24"/>
        <v>2741.3310165652988</v>
      </c>
      <c r="M296" s="314">
        <v>2600</v>
      </c>
      <c r="N296" s="313">
        <v>2611.2686468297929</v>
      </c>
      <c r="R296" s="313" t="str">
        <f>IF(AND((J296="This"),(L296="Only")),VLOOKUP(G296,#REF!,7,FALSE),"")</f>
        <v/>
      </c>
      <c r="U296" s="313">
        <v>2660.4071416594661</v>
      </c>
      <c r="W296" s="313">
        <v>2741.3310165652988</v>
      </c>
    </row>
    <row r="297" spans="1:23" x14ac:dyDescent="0.25">
      <c r="A297" s="313">
        <v>1</v>
      </c>
      <c r="C297" s="313">
        <f t="shared" si="20"/>
        <v>14</v>
      </c>
      <c r="D297" s="313">
        <f t="shared" si="21"/>
        <v>1</v>
      </c>
      <c r="E297" s="313">
        <f t="shared" si="22"/>
        <v>16</v>
      </c>
      <c r="F297" s="313" t="str">
        <f t="shared" si="23"/>
        <v>pmx</v>
      </c>
      <c r="G297" s="313" t="s">
        <v>958</v>
      </c>
      <c r="H297" s="313" t="s">
        <v>411</v>
      </c>
      <c r="I297" s="313" t="s">
        <v>959</v>
      </c>
      <c r="K297" s="314">
        <f t="shared" si="24"/>
        <v>2600</v>
      </c>
      <c r="M297" s="314">
        <v>2600</v>
      </c>
      <c r="R297" s="313" t="str">
        <f>IF(AND((J297="This"),(L297="Only")),VLOOKUP(G297,#REF!,7,FALSE),"")</f>
        <v/>
      </c>
    </row>
    <row r="298" spans="1:23" x14ac:dyDescent="0.25">
      <c r="A298" s="313">
        <v>1</v>
      </c>
      <c r="C298" s="313">
        <f t="shared" si="20"/>
        <v>15</v>
      </c>
      <c r="D298" s="313">
        <f t="shared" si="21"/>
        <v>1</v>
      </c>
      <c r="E298" s="313">
        <f t="shared" si="22"/>
        <v>16</v>
      </c>
      <c r="F298" s="313" t="str">
        <f t="shared" si="23"/>
        <v>pmx</v>
      </c>
      <c r="G298" s="313" t="s">
        <v>960</v>
      </c>
      <c r="H298" s="313" t="s">
        <v>216</v>
      </c>
      <c r="I298" s="313" t="s">
        <v>961</v>
      </c>
      <c r="K298" s="314">
        <f t="shared" si="24"/>
        <v>2600</v>
      </c>
      <c r="M298" s="314">
        <v>2600</v>
      </c>
      <c r="R298" s="313" t="str">
        <f>IF(AND((J298="This"),(L298="Only")),VLOOKUP(G298,#REF!,7,FALSE),"")</f>
        <v/>
      </c>
    </row>
    <row r="299" spans="1:23" x14ac:dyDescent="0.25">
      <c r="A299" s="313">
        <v>2</v>
      </c>
      <c r="C299" s="313">
        <f t="shared" si="20"/>
        <v>16</v>
      </c>
      <c r="D299" s="313">
        <f t="shared" si="21"/>
        <v>1</v>
      </c>
      <c r="E299" s="313">
        <f t="shared" si="22"/>
        <v>16</v>
      </c>
      <c r="F299" s="313" t="str">
        <f t="shared" si="23"/>
        <v>pm</v>
      </c>
      <c r="G299" s="313" t="s">
        <v>962</v>
      </c>
      <c r="H299" s="313" t="s">
        <v>559</v>
      </c>
      <c r="I299" s="313" t="s">
        <v>963</v>
      </c>
      <c r="K299" s="314">
        <f t="shared" si="24"/>
        <v>2685.0676164369856</v>
      </c>
      <c r="M299" s="314">
        <v>2600</v>
      </c>
      <c r="R299" s="313" t="str">
        <f>IF(AND((J299="This"),(L299="Only")),VLOOKUP(G299,#REF!,7,FALSE),"")</f>
        <v/>
      </c>
      <c r="S299" s="313">
        <v>2685.0676164369856</v>
      </c>
    </row>
    <row r="300" spans="1:23" x14ac:dyDescent="0.25">
      <c r="A300" s="313">
        <v>2</v>
      </c>
      <c r="C300" s="313">
        <f t="shared" si="20"/>
        <v>17</v>
      </c>
      <c r="D300" s="313">
        <f t="shared" si="21"/>
        <v>1</v>
      </c>
      <c r="E300" s="313">
        <f t="shared" si="22"/>
        <v>16</v>
      </c>
      <c r="F300" s="313" t="str">
        <f t="shared" si="23"/>
        <v>pm</v>
      </c>
      <c r="G300" s="313" t="s">
        <v>964</v>
      </c>
      <c r="H300" s="313" t="s">
        <v>559</v>
      </c>
      <c r="I300" s="313" t="s">
        <v>965</v>
      </c>
      <c r="K300" s="314">
        <f t="shared" si="24"/>
        <v>2627.4206739162182</v>
      </c>
      <c r="M300" s="314">
        <v>2600</v>
      </c>
      <c r="R300" s="313" t="str">
        <f>IF(AND((J300="This"),(L300="Only")),VLOOKUP(G300,#REF!,7,FALSE),"")</f>
        <v/>
      </c>
      <c r="S300" s="313">
        <v>2627.4206739162182</v>
      </c>
    </row>
    <row r="301" spans="1:23" x14ac:dyDescent="0.25">
      <c r="A301" s="313">
        <v>2</v>
      </c>
      <c r="C301" s="313">
        <f t="shared" si="20"/>
        <v>18</v>
      </c>
      <c r="D301" s="313">
        <f t="shared" si="21"/>
        <v>1</v>
      </c>
      <c r="E301" s="313">
        <f t="shared" si="22"/>
        <v>16</v>
      </c>
      <c r="F301" s="313" t="str">
        <f t="shared" si="23"/>
        <v>pm</v>
      </c>
      <c r="G301" s="313" t="s">
        <v>966</v>
      </c>
      <c r="H301" s="313" t="s">
        <v>559</v>
      </c>
      <c r="I301" s="313" t="s">
        <v>967</v>
      </c>
      <c r="K301" s="314">
        <f t="shared" si="24"/>
        <v>2600</v>
      </c>
      <c r="M301" s="314">
        <v>2600</v>
      </c>
      <c r="R301" s="313" t="str">
        <f>IF(AND((J301="This"),(L301="Only")),VLOOKUP(G301,#REF!,7,FALSE),"")</f>
        <v/>
      </c>
    </row>
    <row r="302" spans="1:23" x14ac:dyDescent="0.25">
      <c r="A302" s="313">
        <v>1</v>
      </c>
      <c r="C302" s="313">
        <f t="shared" si="20"/>
        <v>19</v>
      </c>
      <c r="D302" s="313">
        <f t="shared" si="21"/>
        <v>1</v>
      </c>
      <c r="E302" s="313">
        <f t="shared" si="22"/>
        <v>16</v>
      </c>
      <c r="F302" s="313" t="str">
        <f t="shared" si="23"/>
        <v>sox</v>
      </c>
      <c r="G302" s="313" t="s">
        <v>968</v>
      </c>
      <c r="H302" s="313" t="s">
        <v>285</v>
      </c>
      <c r="I302" s="313" t="s">
        <v>969</v>
      </c>
      <c r="K302" s="314">
        <f t="shared" si="24"/>
        <v>2603.1194892032831</v>
      </c>
      <c r="M302" s="314">
        <v>2600</v>
      </c>
      <c r="R302" s="313" t="str">
        <f>IF(AND((J302="This"),(L302="Only")),VLOOKUP(G302,#REF!,7,FALSE),"")</f>
        <v/>
      </c>
      <c r="U302" s="313">
        <v>2603.1194892032831</v>
      </c>
    </row>
    <row r="303" spans="1:23" x14ac:dyDescent="0.25">
      <c r="A303" s="313">
        <v>2</v>
      </c>
      <c r="C303" s="313">
        <f t="shared" si="20"/>
        <v>20</v>
      </c>
      <c r="D303" s="313">
        <f t="shared" si="21"/>
        <v>1</v>
      </c>
      <c r="E303" s="313">
        <f t="shared" si="22"/>
        <v>16</v>
      </c>
      <c r="F303" s="313" t="str">
        <f t="shared" si="23"/>
        <v>pm</v>
      </c>
      <c r="G303" s="313" t="s">
        <v>970</v>
      </c>
      <c r="H303" s="313" t="s">
        <v>510</v>
      </c>
      <c r="I303" s="313" t="s">
        <v>971</v>
      </c>
      <c r="K303" s="314">
        <f t="shared" si="24"/>
        <v>2715.2091329888212</v>
      </c>
      <c r="M303" s="314">
        <v>2600</v>
      </c>
      <c r="N303" s="313">
        <v>2693.2412396436735</v>
      </c>
      <c r="R303" s="313" t="str">
        <f>IF(AND((J303="This"),(L303="Only")),VLOOKUP(G303,#REF!,7,FALSE),"")</f>
        <v/>
      </c>
      <c r="U303" s="313">
        <v>2715.2091329888212</v>
      </c>
    </row>
    <row r="304" spans="1:23" x14ac:dyDescent="0.25">
      <c r="A304" s="313">
        <v>2</v>
      </c>
      <c r="C304" s="313">
        <f t="shared" si="20"/>
        <v>21</v>
      </c>
      <c r="D304" s="313">
        <f t="shared" si="21"/>
        <v>1</v>
      </c>
      <c r="E304" s="313">
        <f t="shared" si="22"/>
        <v>16</v>
      </c>
      <c r="F304" s="313" t="str">
        <f t="shared" si="23"/>
        <v>pm</v>
      </c>
      <c r="G304" s="313" t="s">
        <v>972</v>
      </c>
      <c r="H304" s="313" t="s">
        <v>201</v>
      </c>
      <c r="I304" s="313" t="s">
        <v>973</v>
      </c>
      <c r="K304" s="314">
        <f t="shared" si="24"/>
        <v>2659.338415507671</v>
      </c>
      <c r="M304" s="314">
        <v>2600</v>
      </c>
      <c r="R304" s="313" t="str">
        <f>IF(AND((J304="This"),(L304="Only")),VLOOKUP(G304,#REF!,7,FALSE),"")</f>
        <v/>
      </c>
      <c r="U304" s="313">
        <v>2652.1918561210637</v>
      </c>
      <c r="W304" s="313">
        <v>2659.338415507671</v>
      </c>
    </row>
    <row r="305" spans="1:24" x14ac:dyDescent="0.25">
      <c r="A305" s="313">
        <v>4</v>
      </c>
      <c r="C305" s="313">
        <f t="shared" si="20"/>
        <v>22</v>
      </c>
      <c r="D305" s="313">
        <f t="shared" si="21"/>
        <v>1</v>
      </c>
      <c r="E305" s="313">
        <f t="shared" si="22"/>
        <v>16</v>
      </c>
      <c r="F305" s="313" t="str">
        <f t="shared" si="23"/>
        <v>pm</v>
      </c>
      <c r="G305" s="313" t="s">
        <v>974</v>
      </c>
      <c r="H305" s="313" t="s">
        <v>201</v>
      </c>
      <c r="I305" s="313" t="s">
        <v>975</v>
      </c>
      <c r="K305" s="314">
        <f t="shared" si="24"/>
        <v>2510.5849564303303</v>
      </c>
      <c r="M305" s="314">
        <v>2600</v>
      </c>
      <c r="P305" s="313">
        <v>2584.0507775096944</v>
      </c>
      <c r="R305" s="313" t="str">
        <f>IF(AND((J305="This"),(L305="Only")),VLOOKUP(G305,#REF!,7,FALSE),"")</f>
        <v/>
      </c>
      <c r="U305" s="313">
        <v>2570.7662317811009</v>
      </c>
      <c r="W305" s="313">
        <v>2510.5849564303303</v>
      </c>
    </row>
    <row r="306" spans="1:24" x14ac:dyDescent="0.25">
      <c r="A306" s="313">
        <v>1</v>
      </c>
      <c r="C306" s="313">
        <f t="shared" si="20"/>
        <v>23</v>
      </c>
      <c r="D306" s="313">
        <f t="shared" si="21"/>
        <v>1</v>
      </c>
      <c r="E306" s="313">
        <f t="shared" si="22"/>
        <v>16</v>
      </c>
      <c r="F306" s="313" t="str">
        <f t="shared" si="23"/>
        <v>crx</v>
      </c>
      <c r="G306" s="313" t="s">
        <v>976</v>
      </c>
      <c r="H306" s="313" t="s">
        <v>670</v>
      </c>
      <c r="I306" s="313" t="s">
        <v>977</v>
      </c>
      <c r="K306" s="314">
        <f t="shared" si="24"/>
        <v>2562.0457631733834</v>
      </c>
      <c r="M306" s="314">
        <v>2600</v>
      </c>
      <c r="R306" s="313" t="str">
        <f>IF(AND((J306="This"),(L306="Only")),VLOOKUP(G306,#REF!,7,FALSE),"")</f>
        <v/>
      </c>
      <c r="U306" s="313">
        <v>2562.0457631733834</v>
      </c>
    </row>
    <row r="307" spans="1:24" x14ac:dyDescent="0.25">
      <c r="A307" s="313">
        <v>2</v>
      </c>
      <c r="C307" s="313">
        <f t="shared" si="20"/>
        <v>24</v>
      </c>
      <c r="D307" s="313">
        <f t="shared" si="21"/>
        <v>1</v>
      </c>
      <c r="E307" s="313">
        <f t="shared" si="22"/>
        <v>16</v>
      </c>
      <c r="F307" s="313" t="str">
        <f t="shared" si="23"/>
        <v>pm</v>
      </c>
      <c r="G307" s="313" t="s">
        <v>978</v>
      </c>
      <c r="H307" s="313" t="s">
        <v>182</v>
      </c>
      <c r="I307" s="313" t="s">
        <v>979</v>
      </c>
      <c r="K307" s="314">
        <f t="shared" si="24"/>
        <v>2489.5912453307851</v>
      </c>
      <c r="M307" s="314">
        <v>2600</v>
      </c>
      <c r="R307" s="313" t="str">
        <f>IF(AND((J307="This"),(L307="Only")),VLOOKUP(G307,#REF!,7,FALSE),"")</f>
        <v/>
      </c>
      <c r="W307" s="313">
        <v>2489.5912453307851</v>
      </c>
    </row>
    <row r="308" spans="1:24" x14ac:dyDescent="0.25">
      <c r="A308" s="313">
        <v>1</v>
      </c>
      <c r="C308" s="313">
        <f t="shared" si="20"/>
        <v>25</v>
      </c>
      <c r="D308" s="313">
        <f t="shared" si="21"/>
        <v>1</v>
      </c>
      <c r="E308" s="313">
        <f t="shared" si="22"/>
        <v>16</v>
      </c>
      <c r="F308" s="313" t="str">
        <f t="shared" si="23"/>
        <v>crx</v>
      </c>
      <c r="G308" s="313" t="s">
        <v>980</v>
      </c>
      <c r="H308" s="313" t="s">
        <v>981</v>
      </c>
      <c r="I308" s="313" t="s">
        <v>982</v>
      </c>
      <c r="K308" s="314">
        <f t="shared" si="24"/>
        <v>2667.5713055232259</v>
      </c>
      <c r="M308" s="314">
        <v>2600</v>
      </c>
      <c r="R308" s="313" t="str">
        <f>IF(AND((J308="This"),(L308="Only")),VLOOKUP(G308,#REF!,7,FALSE),"")</f>
        <v/>
      </c>
      <c r="U308" s="313">
        <v>2667.5713055232259</v>
      </c>
    </row>
    <row r="309" spans="1:24" x14ac:dyDescent="0.25">
      <c r="A309" s="313">
        <v>2</v>
      </c>
      <c r="C309" s="313">
        <f t="shared" si="20"/>
        <v>26</v>
      </c>
      <c r="D309" s="313">
        <f t="shared" si="21"/>
        <v>1</v>
      </c>
      <c r="E309" s="313">
        <f t="shared" si="22"/>
        <v>16</v>
      </c>
      <c r="F309" s="313" t="str">
        <f t="shared" si="23"/>
        <v>cr</v>
      </c>
      <c r="G309" s="313" t="s">
        <v>983</v>
      </c>
      <c r="H309" s="313" t="s">
        <v>342</v>
      </c>
      <c r="I309" s="313" t="s">
        <v>984</v>
      </c>
      <c r="K309" s="314">
        <f t="shared" si="24"/>
        <v>2619.6780129509293</v>
      </c>
      <c r="M309" s="314">
        <v>2600</v>
      </c>
      <c r="N309" s="313">
        <v>2619.6780129509293</v>
      </c>
      <c r="R309" s="313" t="str">
        <f>IF(AND((J309="This"),(L309="Only")),VLOOKUP(G309,#REF!,7,FALSE),"")</f>
        <v/>
      </c>
    </row>
    <row r="310" spans="1:24" x14ac:dyDescent="0.25">
      <c r="A310" s="313">
        <v>1</v>
      </c>
      <c r="C310" s="313">
        <f t="shared" si="20"/>
        <v>27</v>
      </c>
      <c r="D310" s="313">
        <f t="shared" si="21"/>
        <v>1</v>
      </c>
      <c r="E310" s="313">
        <f t="shared" si="22"/>
        <v>16</v>
      </c>
      <c r="F310" s="313" t="str">
        <f t="shared" si="23"/>
        <v>sox</v>
      </c>
      <c r="G310" s="313" t="s">
        <v>332</v>
      </c>
      <c r="H310" s="313" t="s">
        <v>212</v>
      </c>
      <c r="I310" s="313" t="s">
        <v>985</v>
      </c>
      <c r="K310" s="314">
        <f t="shared" si="24"/>
        <v>2600</v>
      </c>
      <c r="M310" s="314">
        <v>2600</v>
      </c>
      <c r="R310" s="313" t="str">
        <f>IF(AND((J310="This"),(L310="Only")),VLOOKUP(G310,#REF!,7,FALSE),"")</f>
        <v/>
      </c>
    </row>
    <row r="311" spans="1:24" x14ac:dyDescent="0.25">
      <c r="A311" s="313">
        <v>3</v>
      </c>
      <c r="C311" s="313">
        <f t="shared" si="20"/>
        <v>28</v>
      </c>
      <c r="D311" s="313">
        <f t="shared" si="21"/>
        <v>1</v>
      </c>
      <c r="E311" s="313">
        <f t="shared" si="22"/>
        <v>16</v>
      </c>
      <c r="F311" s="313" t="str">
        <f t="shared" si="23"/>
        <v>pm</v>
      </c>
      <c r="G311" s="313" t="s">
        <v>986</v>
      </c>
      <c r="H311" s="313" t="s">
        <v>240</v>
      </c>
      <c r="I311" s="313" t="s">
        <v>987</v>
      </c>
      <c r="K311" s="314">
        <f t="shared" si="24"/>
        <v>2724.8437248403648</v>
      </c>
      <c r="M311" s="314">
        <v>2600</v>
      </c>
      <c r="N311" s="313">
        <v>2622.9233566152002</v>
      </c>
      <c r="O311" s="313">
        <v>2722.5538572122728</v>
      </c>
      <c r="R311" s="313" t="str">
        <f>IF(AND((J311="This"),(L311="Only")),VLOOKUP(G311,#REF!,7,FALSE),"")</f>
        <v/>
      </c>
      <c r="U311" s="313">
        <v>2724.8437248403648</v>
      </c>
    </row>
    <row r="312" spans="1:24" x14ac:dyDescent="0.25">
      <c r="A312" s="313">
        <v>4</v>
      </c>
      <c r="C312" s="313">
        <f t="shared" si="20"/>
        <v>29</v>
      </c>
      <c r="D312" s="313">
        <f t="shared" si="21"/>
        <v>1</v>
      </c>
      <c r="E312" s="313">
        <f t="shared" si="22"/>
        <v>16</v>
      </c>
      <c r="F312" s="313" t="str">
        <f t="shared" si="23"/>
        <v>pm</v>
      </c>
      <c r="G312" s="313" t="s">
        <v>988</v>
      </c>
      <c r="H312" s="313" t="s">
        <v>240</v>
      </c>
      <c r="I312" s="313" t="s">
        <v>989</v>
      </c>
      <c r="K312" s="314">
        <f t="shared" si="24"/>
        <v>2391.9418446324321</v>
      </c>
      <c r="M312" s="314">
        <v>2600</v>
      </c>
      <c r="N312" s="313">
        <v>2519.373311515817</v>
      </c>
      <c r="R312" s="313" t="str">
        <f>IF(AND((J312="This"),(L312="Only")),VLOOKUP(G312,#REF!,7,FALSE),"")</f>
        <v/>
      </c>
      <c r="S312" s="313">
        <v>2440.4365770006116</v>
      </c>
      <c r="U312" s="313">
        <v>2391.9418446324321</v>
      </c>
    </row>
    <row r="313" spans="1:24" x14ac:dyDescent="0.25">
      <c r="A313" s="313">
        <v>1</v>
      </c>
      <c r="C313" s="313">
        <f t="shared" si="20"/>
        <v>30</v>
      </c>
      <c r="D313" s="313">
        <f t="shared" si="21"/>
        <v>1</v>
      </c>
      <c r="E313" s="313">
        <f t="shared" si="22"/>
        <v>16</v>
      </c>
      <c r="F313" s="313" t="str">
        <f t="shared" si="23"/>
        <v>pmx</v>
      </c>
      <c r="G313" s="313" t="s">
        <v>990</v>
      </c>
      <c r="H313" s="313" t="s">
        <v>570</v>
      </c>
      <c r="I313" s="313" t="s">
        <v>991</v>
      </c>
      <c r="K313" s="314">
        <f t="shared" si="24"/>
        <v>2600</v>
      </c>
      <c r="M313" s="314">
        <v>2600</v>
      </c>
      <c r="R313" s="313" t="str">
        <f>IF(AND((J313="This"),(L313="Only")),VLOOKUP(G313,#REF!,7,FALSE),"")</f>
        <v/>
      </c>
    </row>
    <row r="314" spans="1:24" x14ac:dyDescent="0.25">
      <c r="A314" s="313">
        <v>1</v>
      </c>
      <c r="C314" s="313">
        <f t="shared" si="20"/>
        <v>31</v>
      </c>
      <c r="D314" s="313">
        <f t="shared" si="21"/>
        <v>1</v>
      </c>
      <c r="E314" s="313">
        <f t="shared" si="22"/>
        <v>16</v>
      </c>
      <c r="F314" s="313" t="str">
        <f t="shared" si="23"/>
        <v>pmx</v>
      </c>
      <c r="G314" s="313" t="s">
        <v>992</v>
      </c>
      <c r="H314" s="313" t="s">
        <v>570</v>
      </c>
      <c r="I314" s="313" t="s">
        <v>993</v>
      </c>
      <c r="K314" s="314">
        <f t="shared" si="24"/>
        <v>2600</v>
      </c>
      <c r="M314" s="314">
        <v>2600</v>
      </c>
      <c r="R314" s="313" t="str">
        <f>IF(AND((J314="This"),(L314="Only")),VLOOKUP(G314,#REF!,7,FALSE),"")</f>
        <v/>
      </c>
    </row>
    <row r="315" spans="1:24" x14ac:dyDescent="0.25">
      <c r="A315" s="313">
        <v>1</v>
      </c>
      <c r="C315" s="313">
        <f t="shared" si="20"/>
        <v>32</v>
      </c>
      <c r="D315" s="313">
        <f t="shared" si="21"/>
        <v>1</v>
      </c>
      <c r="E315" s="313">
        <f t="shared" si="22"/>
        <v>16</v>
      </c>
      <c r="F315" s="313" t="str">
        <f t="shared" si="23"/>
        <v>pmx</v>
      </c>
      <c r="G315" s="313" t="s">
        <v>994</v>
      </c>
      <c r="H315" s="313" t="s">
        <v>570</v>
      </c>
      <c r="I315" s="313" t="s">
        <v>995</v>
      </c>
      <c r="K315" s="314">
        <f t="shared" si="24"/>
        <v>2600</v>
      </c>
      <c r="M315" s="314">
        <v>2600</v>
      </c>
      <c r="R315" s="313" t="str">
        <f>IF(AND((J315="This"),(L315="Only")),VLOOKUP(G315,#REF!,7,FALSE),"")</f>
        <v/>
      </c>
    </row>
    <row r="316" spans="1:24" x14ac:dyDescent="0.25">
      <c r="A316" s="313">
        <v>3</v>
      </c>
      <c r="C316" s="313">
        <f t="shared" si="20"/>
        <v>33</v>
      </c>
      <c r="D316" s="313">
        <f t="shared" si="21"/>
        <v>1</v>
      </c>
      <c r="E316" s="313">
        <f t="shared" si="22"/>
        <v>16</v>
      </c>
      <c r="F316" s="313" t="str">
        <f t="shared" si="23"/>
        <v>pm</v>
      </c>
      <c r="G316" s="313" t="s">
        <v>996</v>
      </c>
      <c r="H316" s="313" t="s">
        <v>494</v>
      </c>
      <c r="I316" s="313" t="s">
        <v>997</v>
      </c>
      <c r="K316" s="314">
        <f t="shared" si="24"/>
        <v>2600.8428892750512</v>
      </c>
      <c r="M316" s="314">
        <v>2600</v>
      </c>
      <c r="P316" s="313">
        <v>2522.8051516700616</v>
      </c>
      <c r="R316" s="313" t="str">
        <f>IF(AND((J316="This"),(L316="Only")),VLOOKUP(G316,#REF!,7,FALSE),"")</f>
        <v/>
      </c>
      <c r="W316" s="313">
        <v>2600.8428892750512</v>
      </c>
    </row>
    <row r="317" spans="1:24" x14ac:dyDescent="0.25">
      <c r="A317" s="313">
        <v>7</v>
      </c>
      <c r="C317" s="313">
        <f t="shared" si="20"/>
        <v>34</v>
      </c>
      <c r="D317" s="313">
        <f t="shared" si="21"/>
        <v>34</v>
      </c>
      <c r="E317" s="313">
        <f t="shared" si="22"/>
        <v>16</v>
      </c>
      <c r="F317" s="313" t="str">
        <f t="shared" si="23"/>
        <v>pm</v>
      </c>
      <c r="G317" s="313" t="s">
        <v>998</v>
      </c>
      <c r="H317" s="313" t="s">
        <v>697</v>
      </c>
      <c r="I317" s="313" t="s">
        <v>999</v>
      </c>
      <c r="K317" s="314">
        <f t="shared" si="24"/>
        <v>2378.1574226998227</v>
      </c>
      <c r="M317" s="314">
        <v>2571.4285714285716</v>
      </c>
      <c r="N317" s="313">
        <v>2493.8050892225788</v>
      </c>
      <c r="P317" s="313">
        <v>2448.3002595797084</v>
      </c>
      <c r="R317" s="313" t="str">
        <f>IF(AND((J317="This"),(L317="Only")),VLOOKUP(G317,#REF!,7,FALSE),"")</f>
        <v/>
      </c>
      <c r="S317" s="313">
        <v>2384.9147310838553</v>
      </c>
      <c r="U317" s="313">
        <v>2373.9518684217605</v>
      </c>
      <c r="W317" s="313">
        <v>2378.1574226998227</v>
      </c>
    </row>
    <row r="318" spans="1:24" x14ac:dyDescent="0.25">
      <c r="A318" s="313">
        <v>6</v>
      </c>
      <c r="C318" s="313">
        <f t="shared" si="20"/>
        <v>35</v>
      </c>
      <c r="D318" s="313">
        <f t="shared" si="21"/>
        <v>35</v>
      </c>
      <c r="E318" s="313">
        <f t="shared" si="22"/>
        <v>16</v>
      </c>
      <c r="F318" s="313" t="str">
        <f t="shared" si="23"/>
        <v>pm</v>
      </c>
      <c r="G318" s="313" t="s">
        <v>535</v>
      </c>
      <c r="H318" s="313" t="s">
        <v>204</v>
      </c>
      <c r="I318" s="313" t="s">
        <v>534</v>
      </c>
      <c r="K318" s="314">
        <f t="shared" si="24"/>
        <v>2256.3277050759757</v>
      </c>
      <c r="M318" s="314">
        <v>2533.3333333333335</v>
      </c>
      <c r="O318" s="313">
        <v>2410.6103701813759</v>
      </c>
      <c r="P318" s="313">
        <v>2349.8800367613849</v>
      </c>
      <c r="R318" s="313" t="str">
        <f>IF(AND((J318="This"),(L318="Only")),VLOOKUP(G318,#REF!,7,FALSE),"")</f>
        <v/>
      </c>
      <c r="S318" s="313">
        <v>2315.1460222697501</v>
      </c>
      <c r="U318" s="313">
        <v>2308.3203044824509</v>
      </c>
      <c r="V318" s="313">
        <v>2284.2292031823108</v>
      </c>
      <c r="W318" s="313">
        <v>2278.9436446962341</v>
      </c>
      <c r="X318" s="313">
        <v>2256.3277050759757</v>
      </c>
    </row>
    <row r="319" spans="1:24" x14ac:dyDescent="0.25">
      <c r="A319" s="313">
        <v>4</v>
      </c>
      <c r="C319" s="313">
        <f t="shared" si="20"/>
        <v>36</v>
      </c>
      <c r="D319" s="313">
        <f t="shared" si="21"/>
        <v>36</v>
      </c>
      <c r="E319" s="313">
        <f t="shared" si="22"/>
        <v>16</v>
      </c>
      <c r="F319" s="313" t="str">
        <f t="shared" si="23"/>
        <v>pm</v>
      </c>
      <c r="G319" s="313" t="s">
        <v>1000</v>
      </c>
      <c r="H319" s="313" t="s">
        <v>235</v>
      </c>
      <c r="I319" s="313" t="s">
        <v>1001</v>
      </c>
      <c r="K319" s="314">
        <f t="shared" si="24"/>
        <v>2353.5467439155041</v>
      </c>
      <c r="M319" s="314">
        <v>2500</v>
      </c>
      <c r="O319" s="313">
        <v>2435.8191331501785</v>
      </c>
      <c r="R319" s="313" t="str">
        <f>IF(AND((J319="This"),(L319="Only")),VLOOKUP(G319,#REF!,7,FALSE),"")</f>
        <v/>
      </c>
      <c r="S319" s="313">
        <v>2375.2466911492552</v>
      </c>
      <c r="U319" s="313">
        <v>2355.6429300299578</v>
      </c>
      <c r="V319" s="313">
        <v>2353.5467439155041</v>
      </c>
    </row>
    <row r="320" spans="1:24" x14ac:dyDescent="0.25">
      <c r="A320" s="313">
        <v>3</v>
      </c>
      <c r="C320" s="313">
        <f t="shared" si="20"/>
        <v>37</v>
      </c>
      <c r="D320" s="313">
        <f t="shared" si="21"/>
        <v>37</v>
      </c>
      <c r="E320" s="313">
        <f t="shared" si="22"/>
        <v>16</v>
      </c>
      <c r="F320" s="313" t="str">
        <f t="shared" si="23"/>
        <v>pm</v>
      </c>
      <c r="G320" s="313" t="s">
        <v>1002</v>
      </c>
      <c r="H320" s="313" t="s">
        <v>505</v>
      </c>
      <c r="I320" s="313" t="s">
        <v>1003</v>
      </c>
      <c r="K320" s="314">
        <f t="shared" si="24"/>
        <v>2561.7466774171721</v>
      </c>
      <c r="M320" s="314">
        <v>2466.6666666666665</v>
      </c>
      <c r="O320" s="313">
        <v>2434.9110744308509</v>
      </c>
      <c r="R320" s="313" t="str">
        <f>IF(AND((J320="This"),(L320="Only")),VLOOKUP(G320,#REF!,7,FALSE),"")</f>
        <v/>
      </c>
      <c r="S320" s="313">
        <v>2508.4044143259307</v>
      </c>
      <c r="W320" s="313">
        <v>2561.7466774171721</v>
      </c>
    </row>
    <row r="321" spans="1:24" x14ac:dyDescent="0.25">
      <c r="A321" s="313">
        <v>5</v>
      </c>
      <c r="C321" s="313">
        <f t="shared" si="20"/>
        <v>38</v>
      </c>
      <c r="D321" s="313">
        <f t="shared" si="21"/>
        <v>38</v>
      </c>
      <c r="E321" s="313">
        <f t="shared" si="22"/>
        <v>16</v>
      </c>
      <c r="F321" s="313" t="str">
        <f t="shared" si="23"/>
        <v>pm</v>
      </c>
      <c r="G321" s="313" t="s">
        <v>1004</v>
      </c>
      <c r="H321" s="313" t="s">
        <v>219</v>
      </c>
      <c r="I321" s="313" t="s">
        <v>1005</v>
      </c>
      <c r="K321" s="314">
        <f t="shared" si="24"/>
        <v>2576.5480409302609</v>
      </c>
      <c r="M321" s="314">
        <v>2360</v>
      </c>
      <c r="O321" s="313">
        <v>2441.456768791053</v>
      </c>
      <c r="R321" s="313" t="str">
        <f>IF(AND((J321="This"),(L321="Only")),VLOOKUP(G321,#REF!,7,FALSE),"")</f>
        <v/>
      </c>
      <c r="S321" s="313">
        <v>2517.2017509538255</v>
      </c>
      <c r="W321" s="313">
        <v>2576.5480409302609</v>
      </c>
    </row>
    <row r="322" spans="1:24" x14ac:dyDescent="0.25">
      <c r="A322" s="313">
        <v>5</v>
      </c>
      <c r="C322" s="313">
        <f t="shared" ref="C322:C385" si="25">IF(E322=E321,C321+1,1)</f>
        <v>39</v>
      </c>
      <c r="D322" s="313">
        <f t="shared" ref="D322:D385" si="26">IF(M322=M321,D321,C322)</f>
        <v>39</v>
      </c>
      <c r="E322" s="313">
        <f t="shared" ref="E322:E385" si="27">10+VALUE(RIGHT(LEFT(G322,3),1))</f>
        <v>16</v>
      </c>
      <c r="F322" s="313" t="str">
        <f t="shared" ref="F322:F385" si="28">RIGHT(G322,2) &amp; IF(A322&lt;2,"x","")</f>
        <v>pm</v>
      </c>
      <c r="G322" s="313" t="s">
        <v>1006</v>
      </c>
      <c r="H322" s="313" t="s">
        <v>288</v>
      </c>
      <c r="I322" s="313" t="s">
        <v>1007</v>
      </c>
      <c r="K322" s="314">
        <f t="shared" ref="K322:K385" si="29">LOOKUP(1E+100,M322:AC322)</f>
        <v>2312.0153805811506</v>
      </c>
      <c r="M322" s="314">
        <v>2200</v>
      </c>
      <c r="O322" s="313">
        <v>2205.5690555416468</v>
      </c>
      <c r="P322" s="313">
        <v>2197.157441880373</v>
      </c>
      <c r="R322" s="313" t="str">
        <f>IF(AND((J322="This"),(L322="Only")),VLOOKUP(G322,#REF!,7,FALSE),"")</f>
        <v/>
      </c>
      <c r="S322" s="313">
        <v>2197.2479555669461</v>
      </c>
      <c r="T322" s="313">
        <v>2276.1308192442684</v>
      </c>
      <c r="V322" s="313">
        <v>2278.1955182796933</v>
      </c>
      <c r="X322" s="313">
        <v>2312.0153805811506</v>
      </c>
    </row>
    <row r="323" spans="1:24" x14ac:dyDescent="0.25">
      <c r="A323" s="313">
        <v>5</v>
      </c>
      <c r="C323" s="313">
        <f t="shared" si="25"/>
        <v>40</v>
      </c>
      <c r="D323" s="313">
        <f t="shared" si="26"/>
        <v>39</v>
      </c>
      <c r="E323" s="313">
        <f t="shared" si="27"/>
        <v>16</v>
      </c>
      <c r="F323" s="313" t="str">
        <f t="shared" si="28"/>
        <v>pm</v>
      </c>
      <c r="G323" s="313" t="s">
        <v>1008</v>
      </c>
      <c r="H323" s="313" t="s">
        <v>230</v>
      </c>
      <c r="I323" s="313" t="s">
        <v>1009</v>
      </c>
      <c r="K323" s="314">
        <f t="shared" si="29"/>
        <v>2266.7639928315944</v>
      </c>
      <c r="M323" s="314">
        <v>2200</v>
      </c>
      <c r="O323" s="313">
        <v>2247.1528827365905</v>
      </c>
      <c r="R323" s="313" t="str">
        <f>IF(AND((J323="This"),(L323="Only")),VLOOKUP(G323,#REF!,7,FALSE),"")</f>
        <v/>
      </c>
      <c r="S323" s="313">
        <v>2248.5740109483663</v>
      </c>
      <c r="T323" s="313">
        <v>2239.1016155301213</v>
      </c>
      <c r="V323" s="313">
        <v>2266.7639928315944</v>
      </c>
    </row>
    <row r="324" spans="1:24" x14ac:dyDescent="0.25">
      <c r="A324" s="313">
        <v>1</v>
      </c>
      <c r="C324" s="313">
        <f t="shared" si="25"/>
        <v>41</v>
      </c>
      <c r="D324" s="313">
        <f t="shared" si="26"/>
        <v>39</v>
      </c>
      <c r="E324" s="313">
        <f t="shared" si="27"/>
        <v>16</v>
      </c>
      <c r="F324" s="313" t="str">
        <f t="shared" si="28"/>
        <v>pmx</v>
      </c>
      <c r="G324" s="313" t="s">
        <v>1010</v>
      </c>
      <c r="H324" s="313" t="s">
        <v>578</v>
      </c>
      <c r="I324" s="313" t="s">
        <v>1011</v>
      </c>
      <c r="K324" s="314">
        <f t="shared" si="29"/>
        <v>2313.1203040298365</v>
      </c>
      <c r="M324" s="314">
        <v>2200</v>
      </c>
      <c r="O324" s="313">
        <v>2313.1203040298365</v>
      </c>
      <c r="R324" s="313" t="str">
        <f>IF(AND((J324="This"),(L324="Only")),VLOOKUP(G324,#REF!,7,FALSE),"")</f>
        <v/>
      </c>
    </row>
    <row r="325" spans="1:24" x14ac:dyDescent="0.25">
      <c r="A325" s="313">
        <v>6</v>
      </c>
      <c r="C325" s="313">
        <f t="shared" si="25"/>
        <v>42</v>
      </c>
      <c r="D325" s="313">
        <f t="shared" si="26"/>
        <v>39</v>
      </c>
      <c r="E325" s="313">
        <f t="shared" si="27"/>
        <v>16</v>
      </c>
      <c r="F325" s="313" t="str">
        <f t="shared" si="28"/>
        <v>pm</v>
      </c>
      <c r="G325" s="313" t="s">
        <v>231</v>
      </c>
      <c r="H325" s="313" t="s">
        <v>204</v>
      </c>
      <c r="I325" s="313" t="s">
        <v>196</v>
      </c>
      <c r="K325" s="314">
        <f t="shared" si="29"/>
        <v>2120.4596707246342</v>
      </c>
      <c r="M325" s="314">
        <v>2200</v>
      </c>
      <c r="O325" s="313">
        <v>2147.6804939990402</v>
      </c>
      <c r="R325" s="313" t="str">
        <f>IF(AND((J325="This"),(L325="Only")),VLOOKUP(G325,#REF!,7,FALSE),"")</f>
        <v/>
      </c>
      <c r="S325" s="313">
        <v>2152.6230640752033</v>
      </c>
      <c r="T325" s="313">
        <v>2122.4112829190817</v>
      </c>
      <c r="V325" s="313">
        <v>2167.0306689877511</v>
      </c>
      <c r="W325" s="313">
        <v>2162.1770239839025</v>
      </c>
      <c r="X325" s="313">
        <v>2120.4596707246342</v>
      </c>
    </row>
    <row r="326" spans="1:24" x14ac:dyDescent="0.25">
      <c r="A326" s="313">
        <v>1</v>
      </c>
      <c r="C326" s="313">
        <f t="shared" si="25"/>
        <v>43</v>
      </c>
      <c r="D326" s="313">
        <f t="shared" si="26"/>
        <v>39</v>
      </c>
      <c r="E326" s="313">
        <f t="shared" si="27"/>
        <v>16</v>
      </c>
      <c r="F326" s="313" t="str">
        <f t="shared" si="28"/>
        <v>sox</v>
      </c>
      <c r="G326" s="313" t="s">
        <v>331</v>
      </c>
      <c r="H326" s="313" t="s">
        <v>229</v>
      </c>
      <c r="I326" s="313" t="s">
        <v>449</v>
      </c>
      <c r="K326" s="314">
        <f t="shared" si="29"/>
        <v>2643.0336908916624</v>
      </c>
      <c r="M326" s="314">
        <v>2200</v>
      </c>
      <c r="R326" s="313" t="str">
        <f>IF(AND((J326="This"),(L326="Only")),VLOOKUP(G326,#REF!,7,FALSE),"")</f>
        <v/>
      </c>
      <c r="X326" s="313">
        <v>2643.0336908916624</v>
      </c>
    </row>
    <row r="327" spans="1:24" x14ac:dyDescent="0.25">
      <c r="A327" s="313">
        <v>1</v>
      </c>
      <c r="C327" s="313">
        <f t="shared" si="25"/>
        <v>44</v>
      </c>
      <c r="D327" s="313">
        <f t="shared" si="26"/>
        <v>39</v>
      </c>
      <c r="E327" s="313">
        <f t="shared" si="27"/>
        <v>16</v>
      </c>
      <c r="F327" s="313" t="str">
        <f t="shared" si="28"/>
        <v>sox</v>
      </c>
      <c r="G327" s="313" t="s">
        <v>345</v>
      </c>
      <c r="H327" s="313" t="s">
        <v>229</v>
      </c>
      <c r="I327" s="313" t="s">
        <v>450</v>
      </c>
      <c r="K327" s="314">
        <f t="shared" si="29"/>
        <v>2493.3903387088394</v>
      </c>
      <c r="M327" s="314">
        <v>2200</v>
      </c>
      <c r="R327" s="313" t="str">
        <f>IF(AND((J327="This"),(L327="Only")),VLOOKUP(G327,#REF!,7,FALSE),"")</f>
        <v/>
      </c>
      <c r="X327" s="313">
        <v>2493.3903387088394</v>
      </c>
    </row>
    <row r="328" spans="1:24" x14ac:dyDescent="0.25">
      <c r="A328" s="313">
        <v>2</v>
      </c>
      <c r="C328" s="313">
        <f t="shared" si="25"/>
        <v>45</v>
      </c>
      <c r="D328" s="313">
        <f t="shared" si="26"/>
        <v>39</v>
      </c>
      <c r="E328" s="313">
        <f t="shared" si="27"/>
        <v>16</v>
      </c>
      <c r="F328" s="313" t="str">
        <f t="shared" si="28"/>
        <v>cr</v>
      </c>
      <c r="G328" s="313" t="s">
        <v>1012</v>
      </c>
      <c r="H328" s="313" t="s">
        <v>593</v>
      </c>
      <c r="I328" s="313" t="s">
        <v>1013</v>
      </c>
      <c r="K328" s="314">
        <f t="shared" si="29"/>
        <v>2241.532594208044</v>
      </c>
      <c r="M328" s="314">
        <v>2200</v>
      </c>
      <c r="R328" s="313" t="str">
        <f>IF(AND((J328="This"),(L328="Only")),VLOOKUP(G328,#REF!,7,FALSE),"")</f>
        <v/>
      </c>
      <c r="T328" s="313">
        <v>2241.532594208044</v>
      </c>
    </row>
    <row r="329" spans="1:24" x14ac:dyDescent="0.25">
      <c r="A329" s="313">
        <v>2</v>
      </c>
      <c r="C329" s="313">
        <f t="shared" si="25"/>
        <v>46</v>
      </c>
      <c r="D329" s="313">
        <f t="shared" si="26"/>
        <v>39</v>
      </c>
      <c r="E329" s="313">
        <f t="shared" si="27"/>
        <v>16</v>
      </c>
      <c r="F329" s="313" t="str">
        <f t="shared" si="28"/>
        <v>cr</v>
      </c>
      <c r="G329" s="313" t="s">
        <v>1014</v>
      </c>
      <c r="H329" s="313" t="s">
        <v>593</v>
      </c>
      <c r="I329" s="313" t="s">
        <v>1015</v>
      </c>
      <c r="K329" s="314">
        <f t="shared" si="29"/>
        <v>2164.167983712247</v>
      </c>
      <c r="M329" s="314">
        <v>2200</v>
      </c>
      <c r="R329" s="313" t="str">
        <f>IF(AND((J329="This"),(L329="Only")),VLOOKUP(G329,#REF!,7,FALSE),"")</f>
        <v/>
      </c>
      <c r="T329" s="313">
        <v>2164.167983712247</v>
      </c>
    </row>
    <row r="330" spans="1:24" x14ac:dyDescent="0.25">
      <c r="A330" s="313">
        <v>1</v>
      </c>
      <c r="C330" s="313">
        <f t="shared" si="25"/>
        <v>47</v>
      </c>
      <c r="D330" s="313">
        <f t="shared" si="26"/>
        <v>39</v>
      </c>
      <c r="E330" s="313">
        <f t="shared" si="27"/>
        <v>16</v>
      </c>
      <c r="F330" s="313" t="str">
        <f t="shared" si="28"/>
        <v>crx</v>
      </c>
      <c r="G330" s="313" t="s">
        <v>1016</v>
      </c>
      <c r="H330" s="313" t="s">
        <v>346</v>
      </c>
      <c r="I330" s="313" t="s">
        <v>347</v>
      </c>
      <c r="K330" s="314">
        <f t="shared" si="29"/>
        <v>2269.0539542014076</v>
      </c>
      <c r="M330" s="314">
        <v>2200</v>
      </c>
      <c r="O330" s="313">
        <v>2269.0539542014076</v>
      </c>
      <c r="R330" s="313" t="str">
        <f>IF(AND((J330="This"),(L330="Only")),VLOOKUP(G330,#REF!,7,FALSE),"")</f>
        <v/>
      </c>
    </row>
    <row r="331" spans="1:24" x14ac:dyDescent="0.25">
      <c r="A331" s="313">
        <v>1</v>
      </c>
      <c r="C331" s="313">
        <f t="shared" si="25"/>
        <v>48</v>
      </c>
      <c r="D331" s="313">
        <f t="shared" si="26"/>
        <v>39</v>
      </c>
      <c r="E331" s="313">
        <f t="shared" si="27"/>
        <v>16</v>
      </c>
      <c r="F331" s="313" t="str">
        <f t="shared" si="28"/>
        <v>sox</v>
      </c>
      <c r="G331" s="313" t="s">
        <v>458</v>
      </c>
      <c r="H331" s="313" t="s">
        <v>222</v>
      </c>
      <c r="I331" s="313" t="s">
        <v>457</v>
      </c>
      <c r="K331" s="314">
        <f t="shared" si="29"/>
        <v>2403.1121289103962</v>
      </c>
      <c r="M331" s="314">
        <v>2200</v>
      </c>
      <c r="R331" s="313" t="str">
        <f>IF(AND((J331="This"),(L331="Only")),VLOOKUP(G331,#REF!,7,FALSE),"")</f>
        <v/>
      </c>
      <c r="X331" s="313">
        <v>2403.1121289103962</v>
      </c>
    </row>
    <row r="332" spans="1:24" x14ac:dyDescent="0.25">
      <c r="A332" s="313">
        <v>1</v>
      </c>
      <c r="C332" s="313">
        <f t="shared" si="25"/>
        <v>49</v>
      </c>
      <c r="D332" s="313">
        <f t="shared" si="26"/>
        <v>39</v>
      </c>
      <c r="E332" s="313">
        <f t="shared" si="27"/>
        <v>16</v>
      </c>
      <c r="F332" s="313" t="str">
        <f t="shared" si="28"/>
        <v>crx</v>
      </c>
      <c r="G332" s="313" t="s">
        <v>1017</v>
      </c>
      <c r="H332" s="313" t="s">
        <v>470</v>
      </c>
      <c r="I332" s="313" t="s">
        <v>1018</v>
      </c>
      <c r="K332" s="314">
        <f t="shared" si="29"/>
        <v>2250.2338938234179</v>
      </c>
      <c r="M332" s="314">
        <v>2200</v>
      </c>
      <c r="O332" s="313">
        <v>2250.2338938234179</v>
      </c>
      <c r="R332" s="313" t="str">
        <f>IF(AND((J332="This"),(L332="Only")),VLOOKUP(G332,#REF!,7,FALSE),"")</f>
        <v/>
      </c>
    </row>
    <row r="333" spans="1:24" x14ac:dyDescent="0.25">
      <c r="A333" s="313">
        <v>5</v>
      </c>
      <c r="C333" s="313">
        <f t="shared" si="25"/>
        <v>50</v>
      </c>
      <c r="D333" s="313">
        <f t="shared" si="26"/>
        <v>39</v>
      </c>
      <c r="E333" s="313">
        <f t="shared" si="27"/>
        <v>16</v>
      </c>
      <c r="F333" s="313" t="str">
        <f t="shared" si="28"/>
        <v>pm</v>
      </c>
      <c r="G333" s="313" t="s">
        <v>242</v>
      </c>
      <c r="H333" s="313" t="s">
        <v>201</v>
      </c>
      <c r="I333" s="313" t="s">
        <v>195</v>
      </c>
      <c r="K333" s="314">
        <f t="shared" si="29"/>
        <v>2237.1722859639631</v>
      </c>
      <c r="M333" s="314">
        <v>2200</v>
      </c>
      <c r="R333" s="313" t="str">
        <f>IF(AND((J333="This"),(L333="Only")),VLOOKUP(G333,#REF!,7,FALSE),"")</f>
        <v/>
      </c>
      <c r="T333" s="313">
        <v>2222.3068225794136</v>
      </c>
      <c r="V333" s="313">
        <v>2218.4199647772912</v>
      </c>
      <c r="X333" s="313">
        <v>2237.1722859639631</v>
      </c>
    </row>
    <row r="334" spans="1:24" x14ac:dyDescent="0.25">
      <c r="A334" s="313">
        <v>5</v>
      </c>
      <c r="C334" s="313">
        <f t="shared" si="25"/>
        <v>51</v>
      </c>
      <c r="D334" s="313">
        <f t="shared" si="26"/>
        <v>39</v>
      </c>
      <c r="E334" s="313">
        <f t="shared" si="27"/>
        <v>16</v>
      </c>
      <c r="F334" s="313" t="str">
        <f t="shared" si="28"/>
        <v>pm</v>
      </c>
      <c r="G334" s="313" t="s">
        <v>202</v>
      </c>
      <c r="H334" s="313" t="s">
        <v>201</v>
      </c>
      <c r="I334" s="313" t="s">
        <v>328</v>
      </c>
      <c r="K334" s="314">
        <f t="shared" si="29"/>
        <v>2121.5089713346406</v>
      </c>
      <c r="M334" s="314">
        <v>2200</v>
      </c>
      <c r="R334" s="313" t="str">
        <f>IF(AND((J334="This"),(L334="Only")),VLOOKUP(G334,#REF!,7,FALSE),"")</f>
        <v/>
      </c>
      <c r="S334" s="313">
        <v>2137.2978832051181</v>
      </c>
      <c r="T334" s="313">
        <v>2138.5872760572856</v>
      </c>
      <c r="V334" s="313">
        <v>2099.9123103292327</v>
      </c>
      <c r="X334" s="313">
        <v>2121.5089713346406</v>
      </c>
    </row>
    <row r="335" spans="1:24" x14ac:dyDescent="0.25">
      <c r="A335" s="313">
        <v>3</v>
      </c>
      <c r="C335" s="313">
        <f t="shared" si="25"/>
        <v>52</v>
      </c>
      <c r="D335" s="313">
        <f t="shared" si="26"/>
        <v>39</v>
      </c>
      <c r="E335" s="313">
        <f t="shared" si="27"/>
        <v>16</v>
      </c>
      <c r="F335" s="313" t="str">
        <f t="shared" si="28"/>
        <v>pm</v>
      </c>
      <c r="G335" s="313" t="s">
        <v>330</v>
      </c>
      <c r="H335" s="313" t="s">
        <v>287</v>
      </c>
      <c r="I335" s="313" t="s">
        <v>329</v>
      </c>
      <c r="K335" s="314">
        <f t="shared" si="29"/>
        <v>2160.7120222216377</v>
      </c>
      <c r="M335" s="314">
        <v>2200</v>
      </c>
      <c r="R335" s="313" t="str">
        <f>IF(AND((J335="This"),(L335="Only")),VLOOKUP(G335,#REF!,7,FALSE),"")</f>
        <v/>
      </c>
      <c r="S335" s="313">
        <v>2160.7120222216377</v>
      </c>
    </row>
    <row r="336" spans="1:24" x14ac:dyDescent="0.25">
      <c r="A336" s="313">
        <v>1</v>
      </c>
      <c r="C336" s="313">
        <f t="shared" si="25"/>
        <v>53</v>
      </c>
      <c r="D336" s="313">
        <f t="shared" si="26"/>
        <v>39</v>
      </c>
      <c r="E336" s="313">
        <f t="shared" si="27"/>
        <v>16</v>
      </c>
      <c r="F336" s="313" t="str">
        <f t="shared" si="28"/>
        <v>crx</v>
      </c>
      <c r="G336" s="313" t="s">
        <v>1019</v>
      </c>
      <c r="H336" s="313" t="s">
        <v>1020</v>
      </c>
      <c r="I336" s="313" t="s">
        <v>1021</v>
      </c>
      <c r="K336" s="314">
        <f t="shared" si="29"/>
        <v>2200</v>
      </c>
      <c r="M336" s="314">
        <v>2200</v>
      </c>
      <c r="R336" s="313" t="str">
        <f>IF(AND((J336="This"),(L336="Only")),VLOOKUP(G336,#REF!,7,FALSE),"")</f>
        <v/>
      </c>
    </row>
    <row r="337" spans="1:24" x14ac:dyDescent="0.25">
      <c r="A337" s="313">
        <v>5</v>
      </c>
      <c r="C337" s="313">
        <f t="shared" si="25"/>
        <v>54</v>
      </c>
      <c r="D337" s="313">
        <f t="shared" si="26"/>
        <v>39</v>
      </c>
      <c r="E337" s="313">
        <f t="shared" si="27"/>
        <v>16</v>
      </c>
      <c r="F337" s="313" t="str">
        <f t="shared" si="28"/>
        <v>pm</v>
      </c>
      <c r="G337" s="313" t="s">
        <v>228</v>
      </c>
      <c r="H337" s="313" t="s">
        <v>205</v>
      </c>
      <c r="I337" s="313" t="s">
        <v>384</v>
      </c>
      <c r="K337" s="314">
        <f t="shared" si="29"/>
        <v>2439.2272007225151</v>
      </c>
      <c r="M337" s="314">
        <v>2200</v>
      </c>
      <c r="R337" s="313" t="str">
        <f>IF(AND((J337="This"),(L337="Only")),VLOOKUP(G337,#REF!,7,FALSE),"")</f>
        <v/>
      </c>
      <c r="S337" s="313">
        <v>2312.7657415470694</v>
      </c>
      <c r="T337" s="313">
        <v>2310.9610496243463</v>
      </c>
      <c r="V337" s="313">
        <v>2402.3375292126752</v>
      </c>
      <c r="X337" s="313">
        <v>2439.2272007225151</v>
      </c>
    </row>
    <row r="338" spans="1:24" x14ac:dyDescent="0.25">
      <c r="A338" s="313">
        <v>5</v>
      </c>
      <c r="C338" s="313">
        <f t="shared" si="25"/>
        <v>55</v>
      </c>
      <c r="D338" s="313">
        <f t="shared" si="26"/>
        <v>39</v>
      </c>
      <c r="E338" s="313">
        <f t="shared" si="27"/>
        <v>16</v>
      </c>
      <c r="F338" s="313" t="str">
        <f t="shared" si="28"/>
        <v>pm</v>
      </c>
      <c r="G338" s="313" t="s">
        <v>386</v>
      </c>
      <c r="H338" s="313" t="s">
        <v>205</v>
      </c>
      <c r="I338" s="313" t="s">
        <v>385</v>
      </c>
      <c r="K338" s="314">
        <f t="shared" si="29"/>
        <v>2088.7469132562519</v>
      </c>
      <c r="M338" s="314">
        <v>2200</v>
      </c>
      <c r="R338" s="313" t="str">
        <f>IF(AND((J338="This"),(L338="Only")),VLOOKUP(G338,#REF!,7,FALSE),"")</f>
        <v/>
      </c>
      <c r="S338" s="313">
        <v>2179.626578556059</v>
      </c>
      <c r="T338" s="313">
        <v>2098.9025643154096</v>
      </c>
      <c r="V338" s="313">
        <v>2106.3788912330715</v>
      </c>
      <c r="X338" s="313">
        <v>2088.7469132562519</v>
      </c>
    </row>
    <row r="339" spans="1:24" x14ac:dyDescent="0.25">
      <c r="A339" s="313">
        <v>1</v>
      </c>
      <c r="C339" s="313">
        <f t="shared" si="25"/>
        <v>56</v>
      </c>
      <c r="D339" s="313">
        <f t="shared" si="26"/>
        <v>39</v>
      </c>
      <c r="E339" s="313">
        <f t="shared" si="27"/>
        <v>16</v>
      </c>
      <c r="F339" s="313" t="str">
        <f t="shared" si="28"/>
        <v>sox</v>
      </c>
      <c r="G339" s="313" t="s">
        <v>1022</v>
      </c>
      <c r="H339" s="313" t="s">
        <v>212</v>
      </c>
      <c r="I339" s="313" t="s">
        <v>1023</v>
      </c>
      <c r="K339" s="314">
        <f t="shared" si="29"/>
        <v>2289.6533608633817</v>
      </c>
      <c r="M339" s="314">
        <v>2200</v>
      </c>
      <c r="R339" s="313" t="str">
        <f>IF(AND((J339="This"),(L339="Only")),VLOOKUP(G339,#REF!,7,FALSE),"")</f>
        <v/>
      </c>
      <c r="T339" s="313">
        <v>2289.6533608633817</v>
      </c>
    </row>
    <row r="340" spans="1:24" x14ac:dyDescent="0.25">
      <c r="A340" s="313">
        <v>1</v>
      </c>
      <c r="C340" s="313">
        <f t="shared" si="25"/>
        <v>57</v>
      </c>
      <c r="D340" s="313">
        <f t="shared" si="26"/>
        <v>39</v>
      </c>
      <c r="E340" s="313">
        <f t="shared" si="27"/>
        <v>16</v>
      </c>
      <c r="F340" s="313" t="str">
        <f t="shared" si="28"/>
        <v>sox</v>
      </c>
      <c r="G340" s="313" t="s">
        <v>1024</v>
      </c>
      <c r="H340" s="313" t="s">
        <v>212</v>
      </c>
      <c r="I340" s="313" t="s">
        <v>1025</v>
      </c>
      <c r="K340" s="314">
        <f t="shared" si="29"/>
        <v>2244.8703924043102</v>
      </c>
      <c r="M340" s="314">
        <v>2200</v>
      </c>
      <c r="R340" s="313" t="str">
        <f>IF(AND((J340="This"),(L340="Only")),VLOOKUP(G340,#REF!,7,FALSE),"")</f>
        <v/>
      </c>
      <c r="T340" s="313">
        <v>2244.8703924043102</v>
      </c>
    </row>
    <row r="341" spans="1:24" x14ac:dyDescent="0.25">
      <c r="A341" s="313">
        <v>1</v>
      </c>
      <c r="C341" s="313">
        <f t="shared" si="25"/>
        <v>58</v>
      </c>
      <c r="D341" s="313">
        <f t="shared" si="26"/>
        <v>39</v>
      </c>
      <c r="E341" s="313">
        <f t="shared" si="27"/>
        <v>16</v>
      </c>
      <c r="F341" s="313" t="str">
        <f t="shared" si="28"/>
        <v>sox</v>
      </c>
      <c r="G341" s="313" t="s">
        <v>441</v>
      </c>
      <c r="H341" s="313" t="s">
        <v>212</v>
      </c>
      <c r="I341" s="313" t="s">
        <v>440</v>
      </c>
      <c r="K341" s="314">
        <f t="shared" si="29"/>
        <v>2206.3465706580109</v>
      </c>
      <c r="M341" s="314">
        <v>2200</v>
      </c>
      <c r="R341" s="313" t="str">
        <f>IF(AND((J341="This"),(L341="Only")),VLOOKUP(G341,#REF!,7,FALSE),"")</f>
        <v/>
      </c>
      <c r="X341" s="313">
        <v>2206.3465706580109</v>
      </c>
    </row>
    <row r="342" spans="1:24" x14ac:dyDescent="0.25">
      <c r="A342" s="313">
        <v>4</v>
      </c>
      <c r="C342" s="313">
        <f t="shared" si="25"/>
        <v>59</v>
      </c>
      <c r="D342" s="313">
        <f t="shared" si="26"/>
        <v>39</v>
      </c>
      <c r="E342" s="313">
        <f t="shared" si="27"/>
        <v>16</v>
      </c>
      <c r="F342" s="313" t="str">
        <f t="shared" si="28"/>
        <v>pm</v>
      </c>
      <c r="G342" s="313" t="s">
        <v>500</v>
      </c>
      <c r="H342" s="313" t="s">
        <v>494</v>
      </c>
      <c r="I342" s="313" t="s">
        <v>499</v>
      </c>
      <c r="K342" s="314">
        <f t="shared" si="29"/>
        <v>2128.9839191079691</v>
      </c>
      <c r="M342" s="314">
        <v>2200</v>
      </c>
      <c r="R342" s="313" t="str">
        <f>IF(AND((J342="This"),(L342="Only")),VLOOKUP(G342,#REF!,7,FALSE),"")</f>
        <v/>
      </c>
      <c r="S342" s="313">
        <v>2148.4247333494636</v>
      </c>
      <c r="V342" s="313">
        <v>2139.4047424288392</v>
      </c>
      <c r="X342" s="313">
        <v>2128.9839191079691</v>
      </c>
    </row>
    <row r="343" spans="1:24" x14ac:dyDescent="0.25">
      <c r="A343" s="313">
        <v>1</v>
      </c>
      <c r="C343" s="313">
        <f t="shared" si="25"/>
        <v>1</v>
      </c>
      <c r="D343" s="313">
        <f t="shared" si="26"/>
        <v>1</v>
      </c>
      <c r="E343" s="313">
        <f t="shared" si="27"/>
        <v>17</v>
      </c>
      <c r="F343" s="313" t="str">
        <f t="shared" si="28"/>
        <v>crx</v>
      </c>
      <c r="G343" s="313" t="s">
        <v>1026</v>
      </c>
      <c r="H343" s="313" t="s">
        <v>1027</v>
      </c>
      <c r="I343" s="313" t="s">
        <v>1028</v>
      </c>
      <c r="K343" s="314">
        <f t="shared" si="29"/>
        <v>2698.2829531711172</v>
      </c>
      <c r="M343" s="314">
        <v>2800</v>
      </c>
      <c r="R343" s="313" t="str">
        <f>IF(AND((J343="This"),(L343="Only")),VLOOKUP(G343,#REF!,7,FALSE),"")</f>
        <v/>
      </c>
      <c r="U343" s="313">
        <v>2698.2829531711172</v>
      </c>
    </row>
    <row r="344" spans="1:24" x14ac:dyDescent="0.25">
      <c r="A344" s="313">
        <v>2</v>
      </c>
      <c r="C344" s="313">
        <f t="shared" si="25"/>
        <v>2</v>
      </c>
      <c r="D344" s="313">
        <f t="shared" si="26"/>
        <v>1</v>
      </c>
      <c r="E344" s="313">
        <f t="shared" si="27"/>
        <v>17</v>
      </c>
      <c r="F344" s="313" t="str">
        <f t="shared" si="28"/>
        <v>cr</v>
      </c>
      <c r="G344" s="313" t="s">
        <v>1029</v>
      </c>
      <c r="H344" s="313" t="s">
        <v>209</v>
      </c>
      <c r="I344" s="313" t="s">
        <v>1030</v>
      </c>
      <c r="K344" s="314">
        <f t="shared" si="29"/>
        <v>2758.8844484783435</v>
      </c>
      <c r="M344" s="314">
        <v>2800</v>
      </c>
      <c r="P344" s="313">
        <v>2758.8844484783435</v>
      </c>
      <c r="R344" s="313" t="str">
        <f>IF(AND((J344="This"),(L344="Only")),VLOOKUP(G344,#REF!,7,FALSE),"")</f>
        <v/>
      </c>
    </row>
    <row r="345" spans="1:24" x14ac:dyDescent="0.25">
      <c r="A345" s="313">
        <v>1</v>
      </c>
      <c r="C345" s="313">
        <f t="shared" si="25"/>
        <v>3</v>
      </c>
      <c r="D345" s="313">
        <f t="shared" si="26"/>
        <v>1</v>
      </c>
      <c r="E345" s="313">
        <f t="shared" si="27"/>
        <v>17</v>
      </c>
      <c r="F345" s="313" t="str">
        <f t="shared" si="28"/>
        <v>crx</v>
      </c>
      <c r="G345" s="313" t="s">
        <v>1031</v>
      </c>
      <c r="H345" s="313" t="s">
        <v>1032</v>
      </c>
      <c r="I345" s="313" t="s">
        <v>1033</v>
      </c>
      <c r="K345" s="314">
        <f t="shared" si="29"/>
        <v>2750.4570583228733</v>
      </c>
      <c r="M345" s="314">
        <v>2800</v>
      </c>
      <c r="N345" s="313">
        <v>2750.4570583228733</v>
      </c>
      <c r="R345" s="313" t="str">
        <f>IF(AND((J345="This"),(L345="Only")),VLOOKUP(G345,#REF!,7,FALSE),"")</f>
        <v/>
      </c>
    </row>
    <row r="346" spans="1:24" x14ac:dyDescent="0.25">
      <c r="A346" s="313">
        <v>1</v>
      </c>
      <c r="C346" s="313">
        <f t="shared" si="25"/>
        <v>4</v>
      </c>
      <c r="D346" s="313">
        <f t="shared" si="26"/>
        <v>1</v>
      </c>
      <c r="E346" s="313">
        <f t="shared" si="27"/>
        <v>17</v>
      </c>
      <c r="F346" s="313" t="str">
        <f t="shared" si="28"/>
        <v>crx</v>
      </c>
      <c r="G346" s="313" t="s">
        <v>1034</v>
      </c>
      <c r="H346" s="313" t="s">
        <v>828</v>
      </c>
      <c r="I346" s="313" t="s">
        <v>1035</v>
      </c>
      <c r="K346" s="314">
        <f t="shared" si="29"/>
        <v>2908.7460051891831</v>
      </c>
      <c r="M346" s="314">
        <v>2800</v>
      </c>
      <c r="R346" s="313" t="str">
        <f>IF(AND((J346="This"),(L346="Only")),VLOOKUP(G346,#REF!,7,FALSE),"")</f>
        <v/>
      </c>
      <c r="U346" s="313">
        <v>2908.7460051891831</v>
      </c>
    </row>
    <row r="347" spans="1:24" x14ac:dyDescent="0.25">
      <c r="A347" s="313">
        <v>1</v>
      </c>
      <c r="C347" s="313">
        <f t="shared" si="25"/>
        <v>5</v>
      </c>
      <c r="D347" s="313">
        <f t="shared" si="26"/>
        <v>1</v>
      </c>
      <c r="E347" s="313">
        <f t="shared" si="27"/>
        <v>17</v>
      </c>
      <c r="F347" s="313" t="str">
        <f t="shared" si="28"/>
        <v>crx</v>
      </c>
      <c r="G347" s="313" t="s">
        <v>1036</v>
      </c>
      <c r="H347" s="313" t="s">
        <v>1037</v>
      </c>
      <c r="I347" s="313" t="s">
        <v>1038</v>
      </c>
      <c r="K347" s="314">
        <f t="shared" si="29"/>
        <v>2729.1332215711891</v>
      </c>
      <c r="M347" s="314">
        <v>2800</v>
      </c>
      <c r="R347" s="313" t="str">
        <f>IF(AND((J347="This"),(L347="Only")),VLOOKUP(G347,#REF!,7,FALSE),"")</f>
        <v/>
      </c>
      <c r="S347" s="313">
        <v>2729.1332215711891</v>
      </c>
    </row>
    <row r="348" spans="1:24" x14ac:dyDescent="0.25">
      <c r="A348" s="313">
        <v>4</v>
      </c>
      <c r="C348" s="313">
        <f t="shared" si="25"/>
        <v>6</v>
      </c>
      <c r="D348" s="313">
        <f t="shared" si="26"/>
        <v>1</v>
      </c>
      <c r="E348" s="313">
        <f t="shared" si="27"/>
        <v>17</v>
      </c>
      <c r="F348" s="313" t="str">
        <f t="shared" si="28"/>
        <v>pm</v>
      </c>
      <c r="G348" s="313" t="s">
        <v>1039</v>
      </c>
      <c r="H348" s="313" t="s">
        <v>207</v>
      </c>
      <c r="I348" s="313" t="s">
        <v>1040</v>
      </c>
      <c r="K348" s="314">
        <f t="shared" si="29"/>
        <v>2783.5541479237368</v>
      </c>
      <c r="M348" s="314">
        <v>2800</v>
      </c>
      <c r="N348" s="313">
        <v>2833.6024184475791</v>
      </c>
      <c r="R348" s="313" t="str">
        <f>IF(AND((J348="This"),(L348="Only")),VLOOKUP(G348,#REF!,7,FALSE),"")</f>
        <v/>
      </c>
      <c r="U348" s="313">
        <v>2842.9172020109409</v>
      </c>
      <c r="W348" s="313">
        <v>2783.5541479237368</v>
      </c>
    </row>
    <row r="349" spans="1:24" x14ac:dyDescent="0.25">
      <c r="A349" s="313">
        <v>4</v>
      </c>
      <c r="C349" s="313">
        <f t="shared" si="25"/>
        <v>7</v>
      </c>
      <c r="D349" s="313">
        <f t="shared" si="26"/>
        <v>1</v>
      </c>
      <c r="E349" s="313">
        <f t="shared" si="27"/>
        <v>17</v>
      </c>
      <c r="F349" s="313" t="str">
        <f t="shared" si="28"/>
        <v>pm</v>
      </c>
      <c r="G349" s="313" t="s">
        <v>1041</v>
      </c>
      <c r="H349" s="313" t="s">
        <v>207</v>
      </c>
      <c r="I349" s="313" t="s">
        <v>1042</v>
      </c>
      <c r="K349" s="314">
        <f t="shared" si="29"/>
        <v>2816.5378582032677</v>
      </c>
      <c r="M349" s="314">
        <v>2800</v>
      </c>
      <c r="N349" s="313">
        <v>2871.6284059333157</v>
      </c>
      <c r="R349" s="313" t="str">
        <f>IF(AND((J349="This"),(L349="Only")),VLOOKUP(G349,#REF!,7,FALSE),"")</f>
        <v/>
      </c>
      <c r="U349" s="313">
        <v>2869.0678291595218</v>
      </c>
      <c r="W349" s="313">
        <v>2816.5378582032677</v>
      </c>
    </row>
    <row r="350" spans="1:24" x14ac:dyDescent="0.25">
      <c r="A350" s="313">
        <v>1</v>
      </c>
      <c r="C350" s="313">
        <f t="shared" si="25"/>
        <v>8</v>
      </c>
      <c r="D350" s="313">
        <f t="shared" si="26"/>
        <v>1</v>
      </c>
      <c r="E350" s="313">
        <f t="shared" si="27"/>
        <v>17</v>
      </c>
      <c r="F350" s="313" t="str">
        <f t="shared" si="28"/>
        <v>crx</v>
      </c>
      <c r="G350" s="313" t="s">
        <v>1043</v>
      </c>
      <c r="H350" s="313" t="s">
        <v>1044</v>
      </c>
      <c r="I350" s="313" t="s">
        <v>1045</v>
      </c>
      <c r="K350" s="314">
        <f t="shared" si="29"/>
        <v>2719.3450087203364</v>
      </c>
      <c r="M350" s="314">
        <v>2800</v>
      </c>
      <c r="R350" s="313" t="str">
        <f>IF(AND((J350="This"),(L350="Only")),VLOOKUP(G350,#REF!,7,FALSE),"")</f>
        <v/>
      </c>
      <c r="U350" s="313">
        <v>2719.3450087203364</v>
      </c>
    </row>
    <row r="351" spans="1:24" x14ac:dyDescent="0.25">
      <c r="A351" s="313">
        <v>1</v>
      </c>
      <c r="C351" s="313">
        <f t="shared" si="25"/>
        <v>9</v>
      </c>
      <c r="D351" s="313">
        <f t="shared" si="26"/>
        <v>1</v>
      </c>
      <c r="E351" s="313">
        <f t="shared" si="27"/>
        <v>17</v>
      </c>
      <c r="F351" s="313" t="str">
        <f t="shared" si="28"/>
        <v>pmx</v>
      </c>
      <c r="G351" s="313" t="s">
        <v>1046</v>
      </c>
      <c r="H351" s="313" t="s">
        <v>650</v>
      </c>
      <c r="I351" s="313" t="s">
        <v>1047</v>
      </c>
      <c r="K351" s="314">
        <f t="shared" si="29"/>
        <v>2855.3863886111262</v>
      </c>
      <c r="M351" s="314">
        <v>2800</v>
      </c>
      <c r="R351" s="313" t="str">
        <f>IF(AND((J351="This"),(L351="Only")),VLOOKUP(G351,#REF!,7,FALSE),"")</f>
        <v/>
      </c>
      <c r="U351" s="313">
        <v>2855.3863886111262</v>
      </c>
    </row>
    <row r="352" spans="1:24" x14ac:dyDescent="0.25">
      <c r="A352" s="313">
        <v>4</v>
      </c>
      <c r="C352" s="313">
        <f t="shared" si="25"/>
        <v>10</v>
      </c>
      <c r="D352" s="313">
        <f t="shared" si="26"/>
        <v>1</v>
      </c>
      <c r="E352" s="313">
        <f t="shared" si="27"/>
        <v>17</v>
      </c>
      <c r="F352" s="313" t="str">
        <f t="shared" si="28"/>
        <v>pm</v>
      </c>
      <c r="G352" s="313" t="s">
        <v>1048</v>
      </c>
      <c r="H352" s="313" t="s">
        <v>340</v>
      </c>
      <c r="I352" s="313" t="s">
        <v>1049</v>
      </c>
      <c r="K352" s="314">
        <f t="shared" si="29"/>
        <v>2644.4503319334203</v>
      </c>
      <c r="M352" s="314">
        <v>2800</v>
      </c>
      <c r="N352" s="313">
        <v>2752.6182883776373</v>
      </c>
      <c r="R352" s="313" t="str">
        <f>IF(AND((J352="This"),(L352="Only")),VLOOKUP(G352,#REF!,7,FALSE),"")</f>
        <v/>
      </c>
      <c r="U352" s="313">
        <v>2683.7023578396006</v>
      </c>
      <c r="W352" s="313">
        <v>2644.4503319334203</v>
      </c>
    </row>
    <row r="353" spans="1:24" x14ac:dyDescent="0.25">
      <c r="A353" s="313">
        <v>5</v>
      </c>
      <c r="C353" s="313">
        <f t="shared" si="25"/>
        <v>11</v>
      </c>
      <c r="D353" s="313">
        <f t="shared" si="26"/>
        <v>1</v>
      </c>
      <c r="E353" s="313">
        <f t="shared" si="27"/>
        <v>17</v>
      </c>
      <c r="F353" s="313" t="str">
        <f t="shared" si="28"/>
        <v>pm</v>
      </c>
      <c r="G353" s="313" t="s">
        <v>1050</v>
      </c>
      <c r="H353" s="313" t="s">
        <v>1051</v>
      </c>
      <c r="I353" s="313" t="s">
        <v>1052</v>
      </c>
      <c r="K353" s="314">
        <f t="shared" si="29"/>
        <v>2905.4623849496193</v>
      </c>
      <c r="M353" s="314">
        <v>2800</v>
      </c>
      <c r="P353" s="313">
        <v>2898.4548657689761</v>
      </c>
      <c r="R353" s="313" t="str">
        <f>IF(AND((J353="This"),(L353="Only")),VLOOKUP(G353,#REF!,7,FALSE),"")</f>
        <v/>
      </c>
      <c r="S353" s="313">
        <v>2936.9880533615292</v>
      </c>
      <c r="U353" s="313">
        <v>2905.4623849496193</v>
      </c>
    </row>
    <row r="354" spans="1:24" x14ac:dyDescent="0.25">
      <c r="A354" s="313">
        <v>4</v>
      </c>
      <c r="C354" s="313">
        <f t="shared" si="25"/>
        <v>12</v>
      </c>
      <c r="D354" s="313">
        <f t="shared" si="26"/>
        <v>1</v>
      </c>
      <c r="E354" s="313">
        <f t="shared" si="27"/>
        <v>17</v>
      </c>
      <c r="F354" s="313" t="str">
        <f t="shared" si="28"/>
        <v>pm</v>
      </c>
      <c r="G354" s="313" t="s">
        <v>1053</v>
      </c>
      <c r="H354" s="313" t="s">
        <v>198</v>
      </c>
      <c r="I354" s="313" t="s">
        <v>1054</v>
      </c>
      <c r="K354" s="314">
        <f t="shared" si="29"/>
        <v>2898.4661809305749</v>
      </c>
      <c r="M354" s="314">
        <v>2800</v>
      </c>
      <c r="P354" s="313">
        <v>2840.4219447808714</v>
      </c>
      <c r="R354" s="313" t="str">
        <f>IF(AND((J354="This"),(L354="Only")),VLOOKUP(G354,#REF!,7,FALSE),"")</f>
        <v/>
      </c>
      <c r="S354" s="313">
        <v>2907.017912342078</v>
      </c>
      <c r="U354" s="313">
        <v>2898.4661809305749</v>
      </c>
    </row>
    <row r="355" spans="1:24" x14ac:dyDescent="0.25">
      <c r="A355" s="313">
        <v>6</v>
      </c>
      <c r="C355" s="313">
        <f t="shared" si="25"/>
        <v>13</v>
      </c>
      <c r="D355" s="313">
        <f t="shared" si="26"/>
        <v>1</v>
      </c>
      <c r="E355" s="313">
        <f t="shared" si="27"/>
        <v>17</v>
      </c>
      <c r="F355" s="313" t="str">
        <f t="shared" si="28"/>
        <v>pm</v>
      </c>
      <c r="G355" s="313" t="s">
        <v>1055</v>
      </c>
      <c r="H355" s="313" t="s">
        <v>216</v>
      </c>
      <c r="I355" s="313" t="s">
        <v>1056</v>
      </c>
      <c r="K355" s="314">
        <f t="shared" si="29"/>
        <v>2529.7913484695341</v>
      </c>
      <c r="M355" s="314">
        <v>2800</v>
      </c>
      <c r="N355" s="313">
        <v>2726.4435267606004</v>
      </c>
      <c r="P355" s="313">
        <v>2667.1192641229122</v>
      </c>
      <c r="R355" s="313" t="str">
        <f>IF(AND((J355="This"),(L355="Only")),VLOOKUP(G355,#REF!,7,FALSE),"")</f>
        <v/>
      </c>
      <c r="S355" s="313">
        <v>2635.254000507688</v>
      </c>
      <c r="U355" s="313">
        <v>2571.5237468395812</v>
      </c>
      <c r="W355" s="313">
        <v>2529.7913484695341</v>
      </c>
    </row>
    <row r="356" spans="1:24" x14ac:dyDescent="0.25">
      <c r="A356" s="313">
        <v>1</v>
      </c>
      <c r="C356" s="313">
        <f t="shared" si="25"/>
        <v>14</v>
      </c>
      <c r="D356" s="313">
        <f t="shared" si="26"/>
        <v>1</v>
      </c>
      <c r="E356" s="313">
        <f t="shared" si="27"/>
        <v>17</v>
      </c>
      <c r="F356" s="313" t="str">
        <f t="shared" si="28"/>
        <v>crx</v>
      </c>
      <c r="G356" s="313" t="s">
        <v>1057</v>
      </c>
      <c r="H356" s="313" t="s">
        <v>854</v>
      </c>
      <c r="I356" s="313" t="s">
        <v>1058</v>
      </c>
      <c r="K356" s="314">
        <f t="shared" si="29"/>
        <v>2812.0624491162876</v>
      </c>
      <c r="M356" s="314">
        <v>2800</v>
      </c>
      <c r="N356" s="313">
        <v>2812.0624491162876</v>
      </c>
      <c r="R356" s="313" t="str">
        <f>IF(AND((J356="This"),(L356="Only")),VLOOKUP(G356,#REF!,7,FALSE),"")</f>
        <v/>
      </c>
    </row>
    <row r="357" spans="1:24" x14ac:dyDescent="0.25">
      <c r="A357" s="313">
        <v>3</v>
      </c>
      <c r="C357" s="313">
        <f t="shared" si="25"/>
        <v>15</v>
      </c>
      <c r="D357" s="313">
        <f t="shared" si="26"/>
        <v>1</v>
      </c>
      <c r="E357" s="313">
        <f t="shared" si="27"/>
        <v>17</v>
      </c>
      <c r="F357" s="313" t="str">
        <f t="shared" si="28"/>
        <v>pm</v>
      </c>
      <c r="G357" s="313" t="s">
        <v>1059</v>
      </c>
      <c r="H357" s="313" t="s">
        <v>282</v>
      </c>
      <c r="I357" s="313" t="s">
        <v>1060</v>
      </c>
      <c r="K357" s="314">
        <f t="shared" si="29"/>
        <v>2867.0704945911393</v>
      </c>
      <c r="M357" s="314">
        <v>2800</v>
      </c>
      <c r="N357" s="313">
        <v>2874.5669843189626</v>
      </c>
      <c r="R357" s="313" t="str">
        <f>IF(AND((J357="This"),(L357="Only")),VLOOKUP(G357,#REF!,7,FALSE),"")</f>
        <v/>
      </c>
      <c r="U357" s="313">
        <v>2867.0704945911393</v>
      </c>
    </row>
    <row r="358" spans="1:24" x14ac:dyDescent="0.25">
      <c r="A358" s="313">
        <v>2</v>
      </c>
      <c r="C358" s="313">
        <f t="shared" si="25"/>
        <v>16</v>
      </c>
      <c r="D358" s="313">
        <f t="shared" si="26"/>
        <v>1</v>
      </c>
      <c r="E358" s="313">
        <f t="shared" si="27"/>
        <v>17</v>
      </c>
      <c r="F358" s="313" t="str">
        <f t="shared" si="28"/>
        <v>pm</v>
      </c>
      <c r="G358" s="313" t="s">
        <v>1061</v>
      </c>
      <c r="H358" s="313" t="s">
        <v>559</v>
      </c>
      <c r="I358" s="313" t="s">
        <v>1062</v>
      </c>
      <c r="K358" s="314">
        <f t="shared" si="29"/>
        <v>2901.4124452884193</v>
      </c>
      <c r="M358" s="314">
        <v>2800</v>
      </c>
      <c r="R358" s="313" t="str">
        <f>IF(AND((J358="This"),(L358="Only")),VLOOKUP(G358,#REF!,7,FALSE),"")</f>
        <v/>
      </c>
      <c r="S358" s="313">
        <v>2901.4124452884193</v>
      </c>
    </row>
    <row r="359" spans="1:24" x14ac:dyDescent="0.25">
      <c r="A359" s="313">
        <v>2</v>
      </c>
      <c r="C359" s="313">
        <f t="shared" si="25"/>
        <v>17</v>
      </c>
      <c r="D359" s="313">
        <f t="shared" si="26"/>
        <v>1</v>
      </c>
      <c r="E359" s="313">
        <f t="shared" si="27"/>
        <v>17</v>
      </c>
      <c r="F359" s="313" t="str">
        <f t="shared" si="28"/>
        <v>pm</v>
      </c>
      <c r="G359" s="313" t="s">
        <v>1063</v>
      </c>
      <c r="H359" s="313" t="s">
        <v>559</v>
      </c>
      <c r="I359" s="313" t="s">
        <v>1064</v>
      </c>
      <c r="K359" s="314">
        <f t="shared" si="29"/>
        <v>2764.8764653951607</v>
      </c>
      <c r="M359" s="314">
        <v>2800</v>
      </c>
      <c r="R359" s="313" t="str">
        <f>IF(AND((J359="This"),(L359="Only")),VLOOKUP(G359,#REF!,7,FALSE),"")</f>
        <v/>
      </c>
      <c r="S359" s="313">
        <v>2764.8764653951607</v>
      </c>
    </row>
    <row r="360" spans="1:24" x14ac:dyDescent="0.25">
      <c r="A360" s="313">
        <v>1</v>
      </c>
      <c r="C360" s="313">
        <f t="shared" si="25"/>
        <v>18</v>
      </c>
      <c r="D360" s="313">
        <f t="shared" si="26"/>
        <v>1</v>
      </c>
      <c r="E360" s="313">
        <f t="shared" si="27"/>
        <v>17</v>
      </c>
      <c r="F360" s="313" t="str">
        <f t="shared" si="28"/>
        <v>sox</v>
      </c>
      <c r="G360" s="313" t="s">
        <v>1065</v>
      </c>
      <c r="H360" s="313" t="s">
        <v>285</v>
      </c>
      <c r="I360" s="313" t="s">
        <v>1066</v>
      </c>
      <c r="K360" s="314">
        <f t="shared" si="29"/>
        <v>2811.6944287257743</v>
      </c>
      <c r="M360" s="314">
        <v>2800</v>
      </c>
      <c r="R360" s="313" t="str">
        <f>IF(AND((J360="This"),(L360="Only")),VLOOKUP(G360,#REF!,7,FALSE),"")</f>
        <v/>
      </c>
      <c r="U360" s="313">
        <v>2811.6944287257743</v>
      </c>
    </row>
    <row r="361" spans="1:24" x14ac:dyDescent="0.25">
      <c r="A361" s="313">
        <v>3</v>
      </c>
      <c r="C361" s="313">
        <f t="shared" si="25"/>
        <v>19</v>
      </c>
      <c r="D361" s="313">
        <f t="shared" si="26"/>
        <v>1</v>
      </c>
      <c r="E361" s="313">
        <f t="shared" si="27"/>
        <v>17</v>
      </c>
      <c r="F361" s="313" t="str">
        <f t="shared" si="28"/>
        <v>pm</v>
      </c>
      <c r="G361" s="313" t="s">
        <v>1067</v>
      </c>
      <c r="H361" s="313" t="s">
        <v>254</v>
      </c>
      <c r="I361" s="313" t="s">
        <v>1068</v>
      </c>
      <c r="K361" s="314">
        <f t="shared" si="29"/>
        <v>2756.5442705995047</v>
      </c>
      <c r="M361" s="314">
        <v>2800</v>
      </c>
      <c r="N361" s="313">
        <v>2797.8823937745101</v>
      </c>
      <c r="R361" s="313" t="str">
        <f>IF(AND((J361="This"),(L361="Only")),VLOOKUP(G361,#REF!,7,FALSE),"")</f>
        <v/>
      </c>
      <c r="X361" s="313">
        <v>2756.5442705995047</v>
      </c>
    </row>
    <row r="362" spans="1:24" x14ac:dyDescent="0.25">
      <c r="A362" s="313">
        <v>1</v>
      </c>
      <c r="C362" s="313">
        <f t="shared" si="25"/>
        <v>20</v>
      </c>
      <c r="D362" s="313">
        <f t="shared" si="26"/>
        <v>1</v>
      </c>
      <c r="E362" s="313">
        <f t="shared" si="27"/>
        <v>17</v>
      </c>
      <c r="F362" s="313" t="str">
        <f t="shared" si="28"/>
        <v>odx</v>
      </c>
      <c r="G362" s="313" t="s">
        <v>1069</v>
      </c>
      <c r="H362" s="313" t="s">
        <v>756</v>
      </c>
      <c r="I362" s="313" t="s">
        <v>1070</v>
      </c>
      <c r="K362" s="314">
        <f t="shared" si="29"/>
        <v>2761.3037377004575</v>
      </c>
      <c r="M362" s="314">
        <v>2800</v>
      </c>
      <c r="R362" s="313" t="str">
        <f>IF(AND((J362="This"),(L362="Only")),VLOOKUP(G362,#REF!,7,FALSE),"")</f>
        <v/>
      </c>
      <c r="U362" s="313">
        <v>2761.3037377004575</v>
      </c>
    </row>
    <row r="363" spans="1:24" x14ac:dyDescent="0.25">
      <c r="A363" s="313">
        <v>3</v>
      </c>
      <c r="C363" s="313">
        <f t="shared" si="25"/>
        <v>21</v>
      </c>
      <c r="D363" s="313">
        <f t="shared" si="26"/>
        <v>1</v>
      </c>
      <c r="E363" s="313">
        <f t="shared" si="27"/>
        <v>17</v>
      </c>
      <c r="F363" s="313" t="str">
        <f t="shared" si="28"/>
        <v>pm</v>
      </c>
      <c r="G363" s="313" t="s">
        <v>1071</v>
      </c>
      <c r="H363" s="313" t="s">
        <v>510</v>
      </c>
      <c r="I363" s="313" t="s">
        <v>1072</v>
      </c>
      <c r="K363" s="314">
        <f t="shared" si="29"/>
        <v>2801.5686837922772</v>
      </c>
      <c r="M363" s="314">
        <v>2800</v>
      </c>
      <c r="N363" s="313">
        <v>2817.626099057934</v>
      </c>
      <c r="P363" s="313">
        <v>2800.0897910250219</v>
      </c>
      <c r="R363" s="313" t="str">
        <f>IF(AND((J363="This"),(L363="Only")),VLOOKUP(G363,#REF!,7,FALSE),"")</f>
        <v/>
      </c>
      <c r="U363" s="313">
        <v>2801.5686837922772</v>
      </c>
    </row>
    <row r="364" spans="1:24" x14ac:dyDescent="0.25">
      <c r="A364" s="313">
        <v>5</v>
      </c>
      <c r="C364" s="313">
        <f t="shared" si="25"/>
        <v>22</v>
      </c>
      <c r="D364" s="313">
        <f t="shared" si="26"/>
        <v>1</v>
      </c>
      <c r="E364" s="313">
        <f t="shared" si="27"/>
        <v>17</v>
      </c>
      <c r="F364" s="313" t="str">
        <f t="shared" si="28"/>
        <v>pm</v>
      </c>
      <c r="G364" s="313" t="s">
        <v>336</v>
      </c>
      <c r="H364" s="313" t="s">
        <v>211</v>
      </c>
      <c r="I364" s="313" t="s">
        <v>1073</v>
      </c>
      <c r="K364" s="314">
        <f t="shared" si="29"/>
        <v>2685.7664812997232</v>
      </c>
      <c r="M364" s="314">
        <v>2800</v>
      </c>
      <c r="N364" s="313">
        <v>2765.4519842745844</v>
      </c>
      <c r="P364" s="313">
        <v>2747.2792108998428</v>
      </c>
      <c r="R364" s="313" t="str">
        <f>IF(AND((J364="This"),(L364="Only")),VLOOKUP(G364,#REF!,7,FALSE),"")</f>
        <v/>
      </c>
      <c r="U364" s="313">
        <v>2715.1945084168383</v>
      </c>
      <c r="W364" s="313">
        <v>2685.7664812997232</v>
      </c>
    </row>
    <row r="365" spans="1:24" x14ac:dyDescent="0.25">
      <c r="A365" s="313">
        <v>6</v>
      </c>
      <c r="C365" s="313">
        <f t="shared" si="25"/>
        <v>23</v>
      </c>
      <c r="D365" s="313">
        <f t="shared" si="26"/>
        <v>1</v>
      </c>
      <c r="E365" s="313">
        <f t="shared" si="27"/>
        <v>17</v>
      </c>
      <c r="F365" s="313" t="str">
        <f t="shared" si="28"/>
        <v>pm</v>
      </c>
      <c r="G365" s="313" t="s">
        <v>1074</v>
      </c>
      <c r="H365" s="313" t="s">
        <v>211</v>
      </c>
      <c r="I365" s="313" t="s">
        <v>1075</v>
      </c>
      <c r="K365" s="314">
        <f t="shared" si="29"/>
        <v>2403.2374854041041</v>
      </c>
      <c r="M365" s="314">
        <v>2800</v>
      </c>
      <c r="N365" s="313">
        <v>2671.4711193477101</v>
      </c>
      <c r="P365" s="313">
        <v>2618.8887478463598</v>
      </c>
      <c r="R365" s="313" t="str">
        <f>IF(AND((J365="This"),(L365="Only")),VLOOKUP(G365,#REF!,7,FALSE),"")</f>
        <v/>
      </c>
      <c r="U365" s="313">
        <v>2508.6951160240778</v>
      </c>
      <c r="W365" s="313">
        <v>2403.2374854041041</v>
      </c>
    </row>
    <row r="366" spans="1:24" x14ac:dyDescent="0.25">
      <c r="A366" s="313">
        <v>2</v>
      </c>
      <c r="C366" s="313">
        <f t="shared" si="25"/>
        <v>24</v>
      </c>
      <c r="D366" s="313">
        <f t="shared" si="26"/>
        <v>1</v>
      </c>
      <c r="E366" s="313">
        <f t="shared" si="27"/>
        <v>17</v>
      </c>
      <c r="F366" s="313" t="str">
        <f t="shared" si="28"/>
        <v>pm</v>
      </c>
      <c r="G366" s="313" t="s">
        <v>1076</v>
      </c>
      <c r="H366" s="313" t="s">
        <v>240</v>
      </c>
      <c r="I366" s="313" t="s">
        <v>1077</v>
      </c>
      <c r="K366" s="314">
        <f t="shared" si="29"/>
        <v>2934.3283800734494</v>
      </c>
      <c r="M366" s="314">
        <v>2800</v>
      </c>
      <c r="N366" s="313">
        <v>2922.5577973738191</v>
      </c>
      <c r="R366" s="313" t="str">
        <f>IF(AND((J366="This"),(L366="Only")),VLOOKUP(G366,#REF!,7,FALSE),"")</f>
        <v/>
      </c>
      <c r="U366" s="313">
        <v>2934.3283800734494</v>
      </c>
    </row>
    <row r="367" spans="1:24" x14ac:dyDescent="0.25">
      <c r="A367" s="313">
        <v>1</v>
      </c>
      <c r="C367" s="313">
        <f t="shared" si="25"/>
        <v>25</v>
      </c>
      <c r="D367" s="313">
        <f t="shared" si="26"/>
        <v>1</v>
      </c>
      <c r="E367" s="313">
        <f t="shared" si="27"/>
        <v>17</v>
      </c>
      <c r="F367" s="313" t="str">
        <f t="shared" si="28"/>
        <v>pmx</v>
      </c>
      <c r="G367" s="313" t="s">
        <v>1078</v>
      </c>
      <c r="H367" s="313" t="s">
        <v>570</v>
      </c>
      <c r="I367" s="313" t="s">
        <v>1079</v>
      </c>
      <c r="K367" s="314">
        <f t="shared" si="29"/>
        <v>2800</v>
      </c>
      <c r="M367" s="314">
        <v>2800</v>
      </c>
      <c r="R367" s="313" t="str">
        <f>IF(AND((J367="This"),(L367="Only")),VLOOKUP(G367,#REF!,7,FALSE),"")</f>
        <v/>
      </c>
    </row>
    <row r="368" spans="1:24" x14ac:dyDescent="0.25">
      <c r="A368" s="313">
        <v>4</v>
      </c>
      <c r="C368" s="313">
        <f t="shared" si="25"/>
        <v>26</v>
      </c>
      <c r="D368" s="313">
        <f t="shared" si="26"/>
        <v>26</v>
      </c>
      <c r="E368" s="313">
        <f t="shared" si="27"/>
        <v>17</v>
      </c>
      <c r="F368" s="313" t="str">
        <f t="shared" si="28"/>
        <v>pm</v>
      </c>
      <c r="G368" s="313" t="s">
        <v>1080</v>
      </c>
      <c r="H368" s="313" t="s">
        <v>281</v>
      </c>
      <c r="I368" s="313" t="s">
        <v>1081</v>
      </c>
      <c r="K368" s="314">
        <f t="shared" si="29"/>
        <v>2806.0043200734549</v>
      </c>
      <c r="M368" s="314">
        <v>2750</v>
      </c>
      <c r="R368" s="313" t="str">
        <f>IF(AND((J368="This"),(L368="Only")),VLOOKUP(G368,#REF!,7,FALSE),"")</f>
        <v/>
      </c>
      <c r="S368" s="313">
        <v>2737.0667429308878</v>
      </c>
      <c r="W368" s="313">
        <v>2806.0043200734549</v>
      </c>
    </row>
    <row r="369" spans="1:24" x14ac:dyDescent="0.25">
      <c r="A369" s="313">
        <v>3</v>
      </c>
      <c r="C369" s="313">
        <f t="shared" si="25"/>
        <v>27</v>
      </c>
      <c r="D369" s="313">
        <f t="shared" si="26"/>
        <v>27</v>
      </c>
      <c r="E369" s="313">
        <f t="shared" si="27"/>
        <v>17</v>
      </c>
      <c r="F369" s="313" t="str">
        <f t="shared" si="28"/>
        <v>pm</v>
      </c>
      <c r="G369" s="313" t="s">
        <v>1082</v>
      </c>
      <c r="H369" s="313" t="s">
        <v>201</v>
      </c>
      <c r="I369" s="313" t="s">
        <v>1083</v>
      </c>
      <c r="K369" s="314">
        <f t="shared" si="29"/>
        <v>2901.4817872939348</v>
      </c>
      <c r="M369" s="314">
        <v>2800</v>
      </c>
      <c r="R369" s="313" t="str">
        <f>IF(AND((J369="This"),(L369="Only")),VLOOKUP(G369,#REF!,7,FALSE),"")</f>
        <v/>
      </c>
      <c r="U369" s="313">
        <v>2877.9167206621883</v>
      </c>
      <c r="W369" s="313">
        <v>2901.4817872939348</v>
      </c>
    </row>
    <row r="370" spans="1:24" x14ac:dyDescent="0.25">
      <c r="A370" s="313">
        <v>6</v>
      </c>
      <c r="C370" s="313">
        <f t="shared" si="25"/>
        <v>28</v>
      </c>
      <c r="D370" s="313">
        <f t="shared" si="26"/>
        <v>28</v>
      </c>
      <c r="E370" s="313">
        <f t="shared" si="27"/>
        <v>17</v>
      </c>
      <c r="F370" s="313" t="str">
        <f t="shared" si="28"/>
        <v>pm</v>
      </c>
      <c r="G370" s="313" t="s">
        <v>1084</v>
      </c>
      <c r="H370" s="313" t="s">
        <v>697</v>
      </c>
      <c r="I370" s="313" t="s">
        <v>1085</v>
      </c>
      <c r="K370" s="314">
        <f t="shared" si="29"/>
        <v>2461.1682047986947</v>
      </c>
      <c r="M370" s="314">
        <v>2600</v>
      </c>
      <c r="O370" s="313">
        <v>2533.6041340909615</v>
      </c>
      <c r="R370" s="313" t="str">
        <f>IF(AND((J370="This"),(L370="Only")),VLOOKUP(G370,#REF!,7,FALSE),"")</f>
        <v/>
      </c>
      <c r="S370" s="313">
        <v>2561.5348410704928</v>
      </c>
      <c r="U370" s="313">
        <v>2503.2179928017745</v>
      </c>
      <c r="V370" s="313">
        <v>2461.1682047986947</v>
      </c>
    </row>
    <row r="371" spans="1:24" x14ac:dyDescent="0.25">
      <c r="A371" s="313">
        <v>6</v>
      </c>
      <c r="C371" s="313">
        <f t="shared" si="25"/>
        <v>29</v>
      </c>
      <c r="D371" s="313">
        <f t="shared" si="26"/>
        <v>28</v>
      </c>
      <c r="E371" s="313">
        <f t="shared" si="27"/>
        <v>17</v>
      </c>
      <c r="F371" s="313" t="str">
        <f t="shared" si="28"/>
        <v>pm</v>
      </c>
      <c r="G371" s="313" t="s">
        <v>395</v>
      </c>
      <c r="H371" s="313" t="s">
        <v>204</v>
      </c>
      <c r="I371" s="313" t="s">
        <v>394</v>
      </c>
      <c r="K371" s="314">
        <f t="shared" si="29"/>
        <v>2410.9866305444343</v>
      </c>
      <c r="M371" s="314">
        <v>2600</v>
      </c>
      <c r="O371" s="313">
        <v>2571.5996209638265</v>
      </c>
      <c r="P371" s="313">
        <v>2520.9451500265227</v>
      </c>
      <c r="R371" s="313" t="str">
        <f>IF(AND((J371="This"),(L371="Only")),VLOOKUP(G371,#REF!,7,FALSE),"")</f>
        <v/>
      </c>
      <c r="T371" s="313">
        <v>2402.5111436308193</v>
      </c>
      <c r="U371" s="313">
        <v>2452.0796475240045</v>
      </c>
      <c r="X371" s="313">
        <v>2410.9866305444343</v>
      </c>
    </row>
    <row r="372" spans="1:24" x14ac:dyDescent="0.25">
      <c r="A372" s="313">
        <v>3</v>
      </c>
      <c r="C372" s="313">
        <f t="shared" si="25"/>
        <v>30</v>
      </c>
      <c r="D372" s="313">
        <f t="shared" si="26"/>
        <v>28</v>
      </c>
      <c r="E372" s="313">
        <f t="shared" si="27"/>
        <v>17</v>
      </c>
      <c r="F372" s="313" t="str">
        <f t="shared" si="28"/>
        <v>pm</v>
      </c>
      <c r="G372" s="313" t="s">
        <v>1086</v>
      </c>
      <c r="H372" s="313" t="s">
        <v>1087</v>
      </c>
      <c r="I372" s="313" t="s">
        <v>1088</v>
      </c>
      <c r="K372" s="314">
        <f t="shared" si="29"/>
        <v>2582.5446895021764</v>
      </c>
      <c r="M372" s="314">
        <v>2600</v>
      </c>
      <c r="O372" s="313">
        <v>2588.7054530220494</v>
      </c>
      <c r="R372" s="313" t="str">
        <f>IF(AND((J372="This"),(L372="Only")),VLOOKUP(G372,#REF!,7,FALSE),"")</f>
        <v/>
      </c>
      <c r="W372" s="313">
        <v>2582.5446895021764</v>
      </c>
    </row>
    <row r="373" spans="1:24" x14ac:dyDescent="0.25">
      <c r="A373" s="313">
        <v>4</v>
      </c>
      <c r="C373" s="313">
        <f t="shared" si="25"/>
        <v>31</v>
      </c>
      <c r="D373" s="313">
        <f t="shared" si="26"/>
        <v>28</v>
      </c>
      <c r="E373" s="313">
        <f t="shared" si="27"/>
        <v>17</v>
      </c>
      <c r="F373" s="313" t="str">
        <f t="shared" si="28"/>
        <v>pm</v>
      </c>
      <c r="G373" s="313" t="s">
        <v>1089</v>
      </c>
      <c r="H373" s="313" t="s">
        <v>281</v>
      </c>
      <c r="I373" s="313" t="s">
        <v>1090</v>
      </c>
      <c r="K373" s="314">
        <f t="shared" si="29"/>
        <v>2525.4338041158107</v>
      </c>
      <c r="M373" s="314">
        <v>2600</v>
      </c>
      <c r="R373" s="313" t="str">
        <f>IF(AND((J373="This"),(L373="Only")),VLOOKUP(G373,#REF!,7,FALSE),"")</f>
        <v/>
      </c>
      <c r="S373" s="313">
        <v>2562.1409322019244</v>
      </c>
      <c r="W373" s="313">
        <v>2525.4338041158107</v>
      </c>
    </row>
    <row r="374" spans="1:24" x14ac:dyDescent="0.25">
      <c r="A374" s="313">
        <v>4</v>
      </c>
      <c r="C374" s="313">
        <f t="shared" si="25"/>
        <v>32</v>
      </c>
      <c r="D374" s="313">
        <f t="shared" si="26"/>
        <v>28</v>
      </c>
      <c r="E374" s="313">
        <f t="shared" si="27"/>
        <v>17</v>
      </c>
      <c r="F374" s="313" t="str">
        <f t="shared" si="28"/>
        <v>pm</v>
      </c>
      <c r="G374" s="313" t="s">
        <v>1091</v>
      </c>
      <c r="H374" s="313" t="s">
        <v>700</v>
      </c>
      <c r="I374" s="313" t="s">
        <v>1092</v>
      </c>
      <c r="K374" s="314">
        <f t="shared" si="29"/>
        <v>2729.9711784317674</v>
      </c>
      <c r="M374" s="314">
        <v>2600</v>
      </c>
      <c r="P374" s="313">
        <v>2708.9205411170788</v>
      </c>
      <c r="R374" s="313" t="str">
        <f>IF(AND((J374="This"),(L374="Only")),VLOOKUP(G374,#REF!,7,FALSE),"")</f>
        <v/>
      </c>
      <c r="S374" s="313">
        <v>2695.9097757652876</v>
      </c>
      <c r="T374" s="313">
        <v>2695.8819375084886</v>
      </c>
      <c r="V374" s="313">
        <v>2729.9711784317674</v>
      </c>
    </row>
    <row r="375" spans="1:24" x14ac:dyDescent="0.25">
      <c r="A375" s="313">
        <v>2</v>
      </c>
      <c r="C375" s="313">
        <f t="shared" si="25"/>
        <v>33</v>
      </c>
      <c r="D375" s="313">
        <f t="shared" si="26"/>
        <v>28</v>
      </c>
      <c r="E375" s="313">
        <f t="shared" si="27"/>
        <v>17</v>
      </c>
      <c r="F375" s="313" t="str">
        <f t="shared" si="28"/>
        <v>so</v>
      </c>
      <c r="G375" s="313" t="s">
        <v>225</v>
      </c>
      <c r="H375" s="313" t="s">
        <v>212</v>
      </c>
      <c r="I375" s="313" t="s">
        <v>365</v>
      </c>
      <c r="K375" s="314">
        <f t="shared" si="29"/>
        <v>2751.898412095823</v>
      </c>
      <c r="M375" s="314">
        <v>2600</v>
      </c>
      <c r="R375" s="313" t="str">
        <f>IF(AND((J375="This"),(L375="Only")),VLOOKUP(G375,#REF!,7,FALSE),"")</f>
        <v/>
      </c>
      <c r="S375" s="313">
        <v>2668.5988047345622</v>
      </c>
      <c r="X375" s="313">
        <v>2751.898412095823</v>
      </c>
    </row>
    <row r="376" spans="1:24" x14ac:dyDescent="0.25">
      <c r="A376" s="313">
        <v>3</v>
      </c>
      <c r="C376" s="313">
        <f t="shared" si="25"/>
        <v>34</v>
      </c>
      <c r="D376" s="313">
        <f t="shared" si="26"/>
        <v>34</v>
      </c>
      <c r="E376" s="313">
        <f t="shared" si="27"/>
        <v>17</v>
      </c>
      <c r="F376" s="313" t="str">
        <f t="shared" si="28"/>
        <v>pm</v>
      </c>
      <c r="G376" s="313" t="s">
        <v>1093</v>
      </c>
      <c r="H376" s="313" t="s">
        <v>287</v>
      </c>
      <c r="I376" s="313" t="s">
        <v>1094</v>
      </c>
      <c r="K376" s="314">
        <f t="shared" si="29"/>
        <v>2448.5829328502982</v>
      </c>
      <c r="M376" s="314">
        <v>2533.3333333333335</v>
      </c>
      <c r="R376" s="313" t="str">
        <f>IF(AND((J376="This"),(L376="Only")),VLOOKUP(G376,#REF!,7,FALSE),"")</f>
        <v/>
      </c>
      <c r="T376" s="313">
        <v>2448.5829328502982</v>
      </c>
    </row>
    <row r="377" spans="1:24" x14ac:dyDescent="0.25">
      <c r="A377" s="313">
        <v>4</v>
      </c>
      <c r="C377" s="313">
        <f t="shared" si="25"/>
        <v>35</v>
      </c>
      <c r="D377" s="313">
        <f t="shared" si="26"/>
        <v>35</v>
      </c>
      <c r="E377" s="313">
        <f t="shared" si="27"/>
        <v>17</v>
      </c>
      <c r="F377" s="313" t="str">
        <f t="shared" si="28"/>
        <v>pm</v>
      </c>
      <c r="G377" s="313" t="s">
        <v>1095</v>
      </c>
      <c r="H377" s="313" t="s">
        <v>526</v>
      </c>
      <c r="I377" s="313" t="s">
        <v>1096</v>
      </c>
      <c r="K377" s="314">
        <f t="shared" si="29"/>
        <v>2294.9565143634281</v>
      </c>
      <c r="M377" s="314">
        <v>2500</v>
      </c>
      <c r="O377" s="313">
        <v>2418.1090459560842</v>
      </c>
      <c r="R377" s="313" t="str">
        <f>IF(AND((J377="This"),(L377="Only")),VLOOKUP(G377,#REF!,7,FALSE),"")</f>
        <v/>
      </c>
      <c r="T377" s="313">
        <v>2297.6185183969365</v>
      </c>
      <c r="U377" s="313">
        <v>2294.9565143634281</v>
      </c>
    </row>
    <row r="378" spans="1:24" x14ac:dyDescent="0.25">
      <c r="A378" s="313">
        <v>5</v>
      </c>
      <c r="C378" s="313">
        <f t="shared" si="25"/>
        <v>36</v>
      </c>
      <c r="D378" s="313">
        <f t="shared" si="26"/>
        <v>36</v>
      </c>
      <c r="E378" s="313">
        <f t="shared" si="27"/>
        <v>17</v>
      </c>
      <c r="F378" s="313" t="str">
        <f t="shared" si="28"/>
        <v>pm</v>
      </c>
      <c r="G378" s="313" t="s">
        <v>370</v>
      </c>
      <c r="H378" s="313" t="s">
        <v>199</v>
      </c>
      <c r="I378" s="313" t="s">
        <v>369</v>
      </c>
      <c r="K378" s="314">
        <f t="shared" si="29"/>
        <v>2445.8716574009577</v>
      </c>
      <c r="M378" s="314">
        <v>2440</v>
      </c>
      <c r="O378" s="313">
        <v>2486.7710445931716</v>
      </c>
      <c r="R378" s="313" t="str">
        <f>IF(AND((J378="This"),(L378="Only")),VLOOKUP(G378,#REF!,7,FALSE),"")</f>
        <v/>
      </c>
      <c r="S378" s="313">
        <v>2462.5038673672475</v>
      </c>
      <c r="V378" s="313">
        <v>2470.5768512788477</v>
      </c>
      <c r="X378" s="313">
        <v>2445.8716574009577</v>
      </c>
    </row>
    <row r="379" spans="1:24" x14ac:dyDescent="0.25">
      <c r="A379" s="313">
        <v>5</v>
      </c>
      <c r="C379" s="313">
        <f t="shared" si="25"/>
        <v>37</v>
      </c>
      <c r="D379" s="313">
        <f t="shared" si="26"/>
        <v>37</v>
      </c>
      <c r="E379" s="313">
        <f t="shared" si="27"/>
        <v>17</v>
      </c>
      <c r="F379" s="313" t="str">
        <f t="shared" si="28"/>
        <v>pm</v>
      </c>
      <c r="G379" s="313" t="s">
        <v>446</v>
      </c>
      <c r="H379" s="313" t="s">
        <v>444</v>
      </c>
      <c r="I379" s="313" t="s">
        <v>445</v>
      </c>
      <c r="K379" s="314">
        <f t="shared" si="29"/>
        <v>2522.9578399868501</v>
      </c>
      <c r="M379" s="314">
        <v>2400</v>
      </c>
      <c r="O379" s="313">
        <v>2391.3097924964568</v>
      </c>
      <c r="R379" s="313" t="str">
        <f>IF(AND((J379="This"),(L379="Only")),VLOOKUP(G379,#REF!,7,FALSE),"")</f>
        <v/>
      </c>
      <c r="S379" s="313">
        <v>2478.0997606551555</v>
      </c>
      <c r="T379" s="313">
        <v>2562.1064003900715</v>
      </c>
      <c r="V379" s="313">
        <v>2490.7546597563824</v>
      </c>
      <c r="X379" s="313">
        <v>2522.9578399868501</v>
      </c>
    </row>
    <row r="380" spans="1:24" x14ac:dyDescent="0.25">
      <c r="A380" s="313">
        <v>1</v>
      </c>
      <c r="C380" s="313">
        <f t="shared" si="25"/>
        <v>38</v>
      </c>
      <c r="D380" s="313">
        <f t="shared" si="26"/>
        <v>37</v>
      </c>
      <c r="E380" s="313">
        <f t="shared" si="27"/>
        <v>17</v>
      </c>
      <c r="F380" s="313" t="str">
        <f t="shared" si="28"/>
        <v>crx</v>
      </c>
      <c r="G380" s="313" t="s">
        <v>463</v>
      </c>
      <c r="H380" s="313" t="s">
        <v>209</v>
      </c>
      <c r="I380" s="313" t="s">
        <v>462</v>
      </c>
      <c r="K380" s="314">
        <f t="shared" si="29"/>
        <v>2357.647542906569</v>
      </c>
      <c r="M380" s="314">
        <v>2400</v>
      </c>
      <c r="R380" s="313" t="str">
        <f>IF(AND((J380="This"),(L380="Only")),VLOOKUP(G380,#REF!,7,FALSE),"")</f>
        <v/>
      </c>
      <c r="X380" s="313">
        <v>2357.647542906569</v>
      </c>
    </row>
    <row r="381" spans="1:24" x14ac:dyDescent="0.25">
      <c r="A381" s="313">
        <v>4</v>
      </c>
      <c r="C381" s="313">
        <f t="shared" si="25"/>
        <v>39</v>
      </c>
      <c r="D381" s="313">
        <f t="shared" si="26"/>
        <v>37</v>
      </c>
      <c r="E381" s="313">
        <f t="shared" si="27"/>
        <v>17</v>
      </c>
      <c r="F381" s="313" t="str">
        <f t="shared" si="28"/>
        <v>pm</v>
      </c>
      <c r="G381" s="313" t="s">
        <v>408</v>
      </c>
      <c r="H381" s="313" t="s">
        <v>198</v>
      </c>
      <c r="I381" s="313" t="s">
        <v>407</v>
      </c>
      <c r="K381" s="314">
        <f t="shared" si="29"/>
        <v>2475.4846792924523</v>
      </c>
      <c r="M381" s="314">
        <v>2400</v>
      </c>
      <c r="R381" s="313" t="str">
        <f>IF(AND((J381="This"),(L381="Only")),VLOOKUP(G381,#REF!,7,FALSE),"")</f>
        <v/>
      </c>
      <c r="S381" s="313">
        <v>2469.0671056915025</v>
      </c>
      <c r="T381" s="313">
        <v>2431.5669234490088</v>
      </c>
      <c r="X381" s="313">
        <v>2475.4846792924523</v>
      </c>
    </row>
    <row r="382" spans="1:24" x14ac:dyDescent="0.25">
      <c r="A382" s="313">
        <v>1</v>
      </c>
      <c r="C382" s="313">
        <f t="shared" si="25"/>
        <v>40</v>
      </c>
      <c r="D382" s="313">
        <f t="shared" si="26"/>
        <v>37</v>
      </c>
      <c r="E382" s="313">
        <f t="shared" si="27"/>
        <v>17</v>
      </c>
      <c r="F382" s="313" t="str">
        <f t="shared" si="28"/>
        <v>sox</v>
      </c>
      <c r="G382" s="313" t="s">
        <v>337</v>
      </c>
      <c r="H382" s="313" t="s">
        <v>229</v>
      </c>
      <c r="I382" s="313" t="s">
        <v>451</v>
      </c>
      <c r="K382" s="314">
        <f t="shared" si="29"/>
        <v>2956.5091739262753</v>
      </c>
      <c r="M382" s="314">
        <v>2400</v>
      </c>
      <c r="R382" s="313" t="str">
        <f>IF(AND((J382="This"),(L382="Only")),VLOOKUP(G382,#REF!,7,FALSE),"")</f>
        <v/>
      </c>
      <c r="X382" s="313">
        <v>2956.5091739262753</v>
      </c>
    </row>
    <row r="383" spans="1:24" x14ac:dyDescent="0.25">
      <c r="A383" s="313">
        <v>2</v>
      </c>
      <c r="C383" s="313">
        <f t="shared" si="25"/>
        <v>41</v>
      </c>
      <c r="D383" s="313">
        <f t="shared" si="26"/>
        <v>37</v>
      </c>
      <c r="E383" s="313">
        <f t="shared" si="27"/>
        <v>17</v>
      </c>
      <c r="F383" s="313" t="str">
        <f t="shared" si="28"/>
        <v>pm</v>
      </c>
      <c r="G383" s="313" t="s">
        <v>1097</v>
      </c>
      <c r="H383" s="313" t="s">
        <v>559</v>
      </c>
      <c r="I383" s="313" t="s">
        <v>1098</v>
      </c>
      <c r="K383" s="314">
        <f t="shared" si="29"/>
        <v>2357.6436227783074</v>
      </c>
      <c r="M383" s="314">
        <v>2400</v>
      </c>
      <c r="R383" s="313" t="str">
        <f>IF(AND((J383="This"),(L383="Only")),VLOOKUP(G383,#REF!,7,FALSE),"")</f>
        <v/>
      </c>
      <c r="V383" s="313">
        <v>2357.6436227783074</v>
      </c>
    </row>
    <row r="384" spans="1:24" x14ac:dyDescent="0.25">
      <c r="A384" s="313">
        <v>1</v>
      </c>
      <c r="C384" s="313">
        <f t="shared" si="25"/>
        <v>42</v>
      </c>
      <c r="D384" s="313">
        <f t="shared" si="26"/>
        <v>37</v>
      </c>
      <c r="E384" s="313">
        <f t="shared" si="27"/>
        <v>17</v>
      </c>
      <c r="F384" s="313" t="str">
        <f t="shared" si="28"/>
        <v>pmx</v>
      </c>
      <c r="G384" s="313" t="s">
        <v>1099</v>
      </c>
      <c r="H384" s="313" t="s">
        <v>559</v>
      </c>
      <c r="I384" s="313" t="s">
        <v>1100</v>
      </c>
      <c r="K384" s="314">
        <f t="shared" si="29"/>
        <v>2408.4097346410776</v>
      </c>
      <c r="M384" s="314">
        <v>2400</v>
      </c>
      <c r="R384" s="313" t="str">
        <f>IF(AND((J384="This"),(L384="Only")),VLOOKUP(G384,#REF!,7,FALSE),"")</f>
        <v/>
      </c>
      <c r="V384" s="313">
        <v>2408.4097346410776</v>
      </c>
    </row>
    <row r="385" spans="1:24" x14ac:dyDescent="0.25">
      <c r="A385" s="313">
        <v>1</v>
      </c>
      <c r="C385" s="313">
        <f t="shared" si="25"/>
        <v>43</v>
      </c>
      <c r="D385" s="313">
        <f t="shared" si="26"/>
        <v>37</v>
      </c>
      <c r="E385" s="313">
        <f t="shared" si="27"/>
        <v>17</v>
      </c>
      <c r="F385" s="313" t="str">
        <f t="shared" si="28"/>
        <v>sox</v>
      </c>
      <c r="G385" s="313" t="s">
        <v>256</v>
      </c>
      <c r="H385" s="313" t="s">
        <v>222</v>
      </c>
      <c r="I385" s="313" t="s">
        <v>459</v>
      </c>
      <c r="K385" s="314">
        <f t="shared" si="29"/>
        <v>2585.9189645999631</v>
      </c>
      <c r="M385" s="314">
        <v>2400</v>
      </c>
      <c r="R385" s="313" t="str">
        <f>IF(AND((J385="This"),(L385="Only")),VLOOKUP(G385,#REF!,7,FALSE),"")</f>
        <v/>
      </c>
      <c r="X385" s="313">
        <v>2585.9189645999631</v>
      </c>
    </row>
    <row r="386" spans="1:24" x14ac:dyDescent="0.25">
      <c r="A386" s="313">
        <v>4</v>
      </c>
      <c r="C386" s="313">
        <f t="shared" ref="C386:C427" si="30">IF(E386=E385,C385+1,1)</f>
        <v>44</v>
      </c>
      <c r="D386" s="313">
        <f t="shared" ref="D386:D427" si="31">IF(M386=M385,D385,C386)</f>
        <v>37</v>
      </c>
      <c r="E386" s="313">
        <f t="shared" ref="E386:E427" si="32">10+VALUE(RIGHT(LEFT(G386,3),1))</f>
        <v>17</v>
      </c>
      <c r="F386" s="313" t="str">
        <f t="shared" ref="F386:F427" si="33">RIGHT(G386,2) &amp; IF(A386&lt;2,"x","")</f>
        <v>pm</v>
      </c>
      <c r="G386" s="313" t="s">
        <v>335</v>
      </c>
      <c r="H386" s="313" t="s">
        <v>201</v>
      </c>
      <c r="I386" s="313" t="s">
        <v>467</v>
      </c>
      <c r="K386" s="314">
        <f t="shared" ref="K386:K427" si="34">LOOKUP(1E+100,M386:AC386)</f>
        <v>2346.1947066340813</v>
      </c>
      <c r="M386" s="314">
        <v>2400</v>
      </c>
      <c r="R386" s="313" t="str">
        <f>IF(AND((J386="This"),(L386="Only")),VLOOKUP(G386,#REF!,7,FALSE),"")</f>
        <v/>
      </c>
      <c r="S386" s="313">
        <v>2343.6691822827524</v>
      </c>
      <c r="T386" s="313">
        <v>2355.4932684736682</v>
      </c>
      <c r="V386" s="313">
        <v>2329.7910227662092</v>
      </c>
      <c r="X386" s="313">
        <v>2346.1947066340813</v>
      </c>
    </row>
    <row r="387" spans="1:24" x14ac:dyDescent="0.25">
      <c r="A387" s="313">
        <v>1</v>
      </c>
      <c r="C387" s="313">
        <f t="shared" si="30"/>
        <v>45</v>
      </c>
      <c r="D387" s="313">
        <f t="shared" si="31"/>
        <v>37</v>
      </c>
      <c r="E387" s="313">
        <f t="shared" si="32"/>
        <v>17</v>
      </c>
      <c r="F387" s="313" t="str">
        <f t="shared" si="33"/>
        <v>crx</v>
      </c>
      <c r="G387" s="313" t="s">
        <v>404</v>
      </c>
      <c r="H387" s="313" t="s">
        <v>402</v>
      </c>
      <c r="I387" s="313" t="s">
        <v>403</v>
      </c>
      <c r="K387" s="314">
        <f t="shared" si="34"/>
        <v>2469.4475599928201</v>
      </c>
      <c r="M387" s="314">
        <v>2400</v>
      </c>
      <c r="R387" s="313" t="str">
        <f>IF(AND((J387="This"),(L387="Only")),VLOOKUP(G387,#REF!,7,FALSE),"")</f>
        <v/>
      </c>
      <c r="X387" s="313">
        <v>2469.4475599928201</v>
      </c>
    </row>
    <row r="388" spans="1:24" x14ac:dyDescent="0.25">
      <c r="A388" s="313">
        <v>5</v>
      </c>
      <c r="C388" s="313">
        <f t="shared" si="30"/>
        <v>46</v>
      </c>
      <c r="D388" s="313">
        <f t="shared" si="31"/>
        <v>37</v>
      </c>
      <c r="E388" s="313">
        <f t="shared" si="32"/>
        <v>17</v>
      </c>
      <c r="F388" s="313" t="str">
        <f t="shared" si="33"/>
        <v>pm</v>
      </c>
      <c r="G388" s="313" t="s">
        <v>247</v>
      </c>
      <c r="H388" s="313" t="s">
        <v>205</v>
      </c>
      <c r="I388" s="313" t="s">
        <v>387</v>
      </c>
      <c r="K388" s="314">
        <f t="shared" si="34"/>
        <v>2370.9248166756943</v>
      </c>
      <c r="M388" s="314">
        <v>2400</v>
      </c>
      <c r="R388" s="313" t="str">
        <f>IF(AND((J388="This"),(L388="Only")),VLOOKUP(G388,#REF!,7,FALSE),"")</f>
        <v/>
      </c>
      <c r="S388" s="313">
        <v>2385.4093469267709</v>
      </c>
      <c r="T388" s="313">
        <v>2357.2024717461968</v>
      </c>
      <c r="V388" s="313">
        <v>2405.2146345930723</v>
      </c>
      <c r="X388" s="313">
        <v>2370.9248166756943</v>
      </c>
    </row>
    <row r="389" spans="1:24" x14ac:dyDescent="0.25">
      <c r="A389" s="313">
        <v>4</v>
      </c>
      <c r="C389" s="313">
        <f t="shared" si="30"/>
        <v>47</v>
      </c>
      <c r="D389" s="313">
        <f t="shared" si="31"/>
        <v>37</v>
      </c>
      <c r="E389" s="313">
        <f t="shared" si="32"/>
        <v>17</v>
      </c>
      <c r="F389" s="313" t="str">
        <f t="shared" si="33"/>
        <v>pm</v>
      </c>
      <c r="G389" s="313" t="s">
        <v>334</v>
      </c>
      <c r="H389" s="313" t="s">
        <v>237</v>
      </c>
      <c r="I389" s="313" t="s">
        <v>333</v>
      </c>
      <c r="K389" s="314">
        <f t="shared" si="34"/>
        <v>2439.2132348910172</v>
      </c>
      <c r="M389" s="314">
        <v>2400</v>
      </c>
      <c r="R389" s="313" t="str">
        <f>IF(AND((J389="This"),(L389="Only")),VLOOKUP(G389,#REF!,7,FALSE),"")</f>
        <v/>
      </c>
      <c r="T389" s="313">
        <v>2456.2391071311727</v>
      </c>
      <c r="X389" s="313">
        <v>2439.2132348910172</v>
      </c>
    </row>
    <row r="390" spans="1:24" x14ac:dyDescent="0.25">
      <c r="A390" s="313">
        <v>4</v>
      </c>
      <c r="C390" s="313">
        <f t="shared" si="30"/>
        <v>48</v>
      </c>
      <c r="D390" s="313">
        <f t="shared" si="31"/>
        <v>37</v>
      </c>
      <c r="E390" s="313">
        <f t="shared" si="32"/>
        <v>17</v>
      </c>
      <c r="F390" s="313" t="str">
        <f t="shared" si="33"/>
        <v>pm</v>
      </c>
      <c r="G390" s="313" t="s">
        <v>502</v>
      </c>
      <c r="H390" s="313" t="s">
        <v>494</v>
      </c>
      <c r="I390" s="313" t="s">
        <v>501</v>
      </c>
      <c r="K390" s="314">
        <f t="shared" si="34"/>
        <v>2608.2421877492102</v>
      </c>
      <c r="M390" s="314">
        <v>2400</v>
      </c>
      <c r="R390" s="313" t="str">
        <f>IF(AND((J390="This"),(L390="Only")),VLOOKUP(G390,#REF!,7,FALSE),"")</f>
        <v/>
      </c>
      <c r="S390" s="313">
        <v>2418.2277960489441</v>
      </c>
      <c r="V390" s="313">
        <v>2486.9719356907308</v>
      </c>
      <c r="X390" s="313">
        <v>2608.2421877492102</v>
      </c>
    </row>
    <row r="391" spans="1:24" x14ac:dyDescent="0.25">
      <c r="A391" s="313">
        <v>3</v>
      </c>
      <c r="C391" s="313">
        <f t="shared" si="30"/>
        <v>49</v>
      </c>
      <c r="D391" s="313">
        <f t="shared" si="31"/>
        <v>37</v>
      </c>
      <c r="E391" s="313">
        <f t="shared" si="32"/>
        <v>17</v>
      </c>
      <c r="F391" s="313" t="str">
        <f t="shared" si="33"/>
        <v>so</v>
      </c>
      <c r="G391" s="313" t="s">
        <v>1101</v>
      </c>
      <c r="H391" s="313" t="s">
        <v>910</v>
      </c>
      <c r="I391" s="313" t="s">
        <v>1102</v>
      </c>
      <c r="K391" s="314">
        <f t="shared" si="34"/>
        <v>2534.2184179573715</v>
      </c>
      <c r="M391" s="314">
        <v>2400</v>
      </c>
      <c r="R391" s="313" t="str">
        <f>IF(AND((J391="This"),(L391="Only")),VLOOKUP(G391,#REF!,7,FALSE),"")</f>
        <v/>
      </c>
      <c r="T391" s="313">
        <v>2483.9011013183376</v>
      </c>
      <c r="V391" s="313">
        <v>2534.2184179573715</v>
      </c>
    </row>
    <row r="392" spans="1:24" x14ac:dyDescent="0.25">
      <c r="A392" s="313">
        <v>1</v>
      </c>
      <c r="C392" s="313">
        <f t="shared" si="30"/>
        <v>1</v>
      </c>
      <c r="D392" s="313">
        <f t="shared" si="31"/>
        <v>1</v>
      </c>
      <c r="E392" s="313">
        <f t="shared" si="32"/>
        <v>18</v>
      </c>
      <c r="F392" s="313" t="str">
        <f t="shared" si="33"/>
        <v>sox</v>
      </c>
      <c r="G392" s="313" t="s">
        <v>1103</v>
      </c>
      <c r="H392" s="313" t="s">
        <v>575</v>
      </c>
      <c r="I392" s="313" t="s">
        <v>1104</v>
      </c>
      <c r="K392" s="314">
        <f t="shared" si="34"/>
        <v>2978.3004702389408</v>
      </c>
      <c r="M392" s="314">
        <v>3000</v>
      </c>
      <c r="R392" s="313" t="str">
        <f>IF(AND((J392="This"),(L392="Only")),VLOOKUP(G392,#REF!,7,FALSE),"")</f>
        <v/>
      </c>
      <c r="U392" s="313">
        <v>2978.3004702389408</v>
      </c>
    </row>
    <row r="393" spans="1:24" x14ac:dyDescent="0.25">
      <c r="A393" s="313">
        <v>1</v>
      </c>
      <c r="C393" s="313">
        <f t="shared" si="30"/>
        <v>2</v>
      </c>
      <c r="D393" s="313">
        <f t="shared" si="31"/>
        <v>1</v>
      </c>
      <c r="E393" s="313">
        <f t="shared" si="32"/>
        <v>18</v>
      </c>
      <c r="F393" s="313" t="str">
        <f t="shared" si="33"/>
        <v>sox</v>
      </c>
      <c r="G393" s="313" t="s">
        <v>1105</v>
      </c>
      <c r="H393" s="313" t="s">
        <v>575</v>
      </c>
      <c r="I393" s="313" t="s">
        <v>1106</v>
      </c>
      <c r="K393" s="314">
        <f t="shared" si="34"/>
        <v>2897.9846514222299</v>
      </c>
      <c r="M393" s="314">
        <v>3000</v>
      </c>
      <c r="R393" s="313" t="str">
        <f>IF(AND((J393="This"),(L393="Only")),VLOOKUP(G393,#REF!,7,FALSE),"")</f>
        <v/>
      </c>
      <c r="U393" s="313">
        <v>2897.9846514222299</v>
      </c>
    </row>
    <row r="394" spans="1:24" x14ac:dyDescent="0.25">
      <c r="A394" s="313">
        <v>3</v>
      </c>
      <c r="C394" s="313">
        <f t="shared" si="30"/>
        <v>3</v>
      </c>
      <c r="D394" s="313">
        <f t="shared" si="31"/>
        <v>1</v>
      </c>
      <c r="E394" s="313">
        <f t="shared" si="32"/>
        <v>18</v>
      </c>
      <c r="F394" s="313" t="str">
        <f t="shared" si="33"/>
        <v>pm</v>
      </c>
      <c r="G394" s="313" t="s">
        <v>1107</v>
      </c>
      <c r="H394" s="313" t="s">
        <v>213</v>
      </c>
      <c r="I394" s="313" t="s">
        <v>1108</v>
      </c>
      <c r="K394" s="314">
        <f t="shared" si="34"/>
        <v>2924.5527645061525</v>
      </c>
      <c r="M394" s="314">
        <v>3000</v>
      </c>
      <c r="N394" s="313">
        <v>2913.866898564183</v>
      </c>
      <c r="R394" s="313" t="str">
        <f>IF(AND((J394="This"),(L394="Only")),VLOOKUP(G394,#REF!,7,FALSE),"")</f>
        <v/>
      </c>
      <c r="W394" s="313">
        <v>2924.5527645061525</v>
      </c>
    </row>
    <row r="395" spans="1:24" x14ac:dyDescent="0.25">
      <c r="A395" s="313">
        <v>1</v>
      </c>
      <c r="C395" s="313">
        <f t="shared" si="30"/>
        <v>4</v>
      </c>
      <c r="D395" s="313">
        <f t="shared" si="31"/>
        <v>1</v>
      </c>
      <c r="E395" s="313">
        <f t="shared" si="32"/>
        <v>18</v>
      </c>
      <c r="F395" s="313" t="str">
        <f t="shared" si="33"/>
        <v>crx</v>
      </c>
      <c r="G395" s="313" t="s">
        <v>1109</v>
      </c>
      <c r="H395" s="313" t="s">
        <v>1037</v>
      </c>
      <c r="I395" s="313" t="s">
        <v>1110</v>
      </c>
      <c r="K395" s="314">
        <f t="shared" si="34"/>
        <v>2998.007856763068</v>
      </c>
      <c r="M395" s="314">
        <v>3000</v>
      </c>
      <c r="R395" s="313" t="str">
        <f>IF(AND((J395="This"),(L395="Only")),VLOOKUP(G395,#REF!,7,FALSE),"")</f>
        <v/>
      </c>
      <c r="S395" s="313">
        <v>2998.007856763068</v>
      </c>
    </row>
    <row r="396" spans="1:24" x14ac:dyDescent="0.25">
      <c r="A396" s="313">
        <v>3</v>
      </c>
      <c r="C396" s="313">
        <f t="shared" si="30"/>
        <v>5</v>
      </c>
      <c r="D396" s="313">
        <f t="shared" si="31"/>
        <v>1</v>
      </c>
      <c r="E396" s="313">
        <f t="shared" si="32"/>
        <v>18</v>
      </c>
      <c r="F396" s="313" t="str">
        <f t="shared" si="33"/>
        <v>pm</v>
      </c>
      <c r="G396" s="313" t="s">
        <v>1111</v>
      </c>
      <c r="H396" s="313" t="s">
        <v>207</v>
      </c>
      <c r="I396" s="313" t="s">
        <v>1112</v>
      </c>
      <c r="K396" s="314">
        <f t="shared" si="34"/>
        <v>3067.1173150491368</v>
      </c>
      <c r="M396" s="314">
        <v>3000</v>
      </c>
      <c r="N396" s="313">
        <v>3042.4287957562287</v>
      </c>
      <c r="R396" s="313" t="str">
        <f>IF(AND((J396="This"),(L396="Only")),VLOOKUP(G396,#REF!,7,FALSE),"")</f>
        <v/>
      </c>
      <c r="U396" s="313">
        <v>3102.9189764040821</v>
      </c>
      <c r="W396" s="313">
        <v>3067.1173150491368</v>
      </c>
    </row>
    <row r="397" spans="1:24" x14ac:dyDescent="0.25">
      <c r="A397" s="313">
        <v>2</v>
      </c>
      <c r="C397" s="313">
        <f t="shared" si="30"/>
        <v>6</v>
      </c>
      <c r="D397" s="313">
        <f t="shared" si="31"/>
        <v>1</v>
      </c>
      <c r="E397" s="313">
        <f t="shared" si="32"/>
        <v>18</v>
      </c>
      <c r="F397" s="313" t="str">
        <f t="shared" si="33"/>
        <v>pm</v>
      </c>
      <c r="G397" s="313" t="s">
        <v>1113</v>
      </c>
      <c r="H397" s="313" t="s">
        <v>393</v>
      </c>
      <c r="I397" s="313" t="s">
        <v>1114</v>
      </c>
      <c r="K397" s="314">
        <f t="shared" si="34"/>
        <v>3013.3111133784737</v>
      </c>
      <c r="M397" s="314">
        <v>3000</v>
      </c>
      <c r="N397" s="313">
        <v>3013.3111133784737</v>
      </c>
      <c r="R397" s="313" t="str">
        <f>IF(AND((J397="This"),(L397="Only")),VLOOKUP(G397,#REF!,7,FALSE),"")</f>
        <v/>
      </c>
    </row>
    <row r="398" spans="1:24" x14ac:dyDescent="0.25">
      <c r="A398" s="313">
        <v>1</v>
      </c>
      <c r="C398" s="313">
        <f t="shared" si="30"/>
        <v>7</v>
      </c>
      <c r="D398" s="313">
        <f t="shared" si="31"/>
        <v>1</v>
      </c>
      <c r="E398" s="313">
        <f t="shared" si="32"/>
        <v>18</v>
      </c>
      <c r="F398" s="313" t="str">
        <f t="shared" si="33"/>
        <v>sox</v>
      </c>
      <c r="G398" s="313" t="s">
        <v>1115</v>
      </c>
      <c r="H398" s="313" t="s">
        <v>295</v>
      </c>
      <c r="I398" s="313" t="s">
        <v>1116</v>
      </c>
      <c r="K398" s="314">
        <f t="shared" si="34"/>
        <v>3000</v>
      </c>
      <c r="M398" s="314">
        <v>3000</v>
      </c>
      <c r="R398" s="313" t="str">
        <f>IF(AND((J398="This"),(L398="Only")),VLOOKUP(G398,#REF!,7,FALSE),"")</f>
        <v/>
      </c>
    </row>
    <row r="399" spans="1:24" x14ac:dyDescent="0.25">
      <c r="A399" s="313">
        <v>1</v>
      </c>
      <c r="C399" s="313">
        <f t="shared" si="30"/>
        <v>8</v>
      </c>
      <c r="D399" s="313">
        <f t="shared" si="31"/>
        <v>1</v>
      </c>
      <c r="E399" s="313">
        <f t="shared" si="32"/>
        <v>18</v>
      </c>
      <c r="F399" s="313" t="str">
        <f t="shared" si="33"/>
        <v>pmx</v>
      </c>
      <c r="G399" s="313" t="s">
        <v>1117</v>
      </c>
      <c r="H399" s="313" t="s">
        <v>650</v>
      </c>
      <c r="I399" s="313" t="s">
        <v>1118</v>
      </c>
      <c r="K399" s="314">
        <f t="shared" si="34"/>
        <v>3035.9476832433411</v>
      </c>
      <c r="M399" s="314">
        <v>3000</v>
      </c>
      <c r="R399" s="313" t="str">
        <f>IF(AND((J399="This"),(L399="Only")),VLOOKUP(G399,#REF!,7,FALSE),"")</f>
        <v/>
      </c>
      <c r="U399" s="313">
        <v>3035.9476832433411</v>
      </c>
    </row>
    <row r="400" spans="1:24" x14ac:dyDescent="0.25">
      <c r="A400" s="313">
        <v>4</v>
      </c>
      <c r="C400" s="313">
        <f t="shared" si="30"/>
        <v>9</v>
      </c>
      <c r="D400" s="313">
        <f t="shared" si="31"/>
        <v>1</v>
      </c>
      <c r="E400" s="313">
        <f t="shared" si="32"/>
        <v>18</v>
      </c>
      <c r="F400" s="313" t="str">
        <f t="shared" si="33"/>
        <v>pm</v>
      </c>
      <c r="G400" s="313" t="s">
        <v>339</v>
      </c>
      <c r="H400" s="313" t="s">
        <v>340</v>
      </c>
      <c r="I400" s="313" t="s">
        <v>338</v>
      </c>
      <c r="K400" s="314">
        <f t="shared" si="34"/>
        <v>2987.6119148963471</v>
      </c>
      <c r="M400" s="314">
        <v>3000</v>
      </c>
      <c r="N400" s="313">
        <v>2980.2992862947854</v>
      </c>
      <c r="R400" s="313" t="str">
        <f>IF(AND((J400="This"),(L400="Only")),VLOOKUP(G400,#REF!,7,FALSE),"")</f>
        <v/>
      </c>
      <c r="U400" s="313">
        <v>3026.1359908797672</v>
      </c>
      <c r="W400" s="313">
        <v>2987.6119148963471</v>
      </c>
    </row>
    <row r="401" spans="1:23" x14ac:dyDescent="0.25">
      <c r="A401" s="313">
        <v>6</v>
      </c>
      <c r="C401" s="313">
        <f t="shared" si="30"/>
        <v>10</v>
      </c>
      <c r="D401" s="313">
        <f t="shared" si="31"/>
        <v>1</v>
      </c>
      <c r="E401" s="313">
        <f t="shared" si="32"/>
        <v>18</v>
      </c>
      <c r="F401" s="313" t="str">
        <f t="shared" si="33"/>
        <v>pm</v>
      </c>
      <c r="G401" s="313" t="s">
        <v>1119</v>
      </c>
      <c r="H401" s="313" t="s">
        <v>411</v>
      </c>
      <c r="I401" s="313" t="s">
        <v>1120</v>
      </c>
      <c r="K401" s="314">
        <f t="shared" si="34"/>
        <v>2826.5429016799544</v>
      </c>
      <c r="M401" s="314">
        <v>3000</v>
      </c>
      <c r="P401" s="313">
        <v>3018.0395256703673</v>
      </c>
      <c r="R401" s="313" t="str">
        <f>IF(AND((J401="This"),(L401="Only")),VLOOKUP(G401,#REF!,7,FALSE),"")</f>
        <v/>
      </c>
      <c r="S401" s="313">
        <v>2936.7667185645291</v>
      </c>
      <c r="U401" s="313">
        <v>2875.3494936020707</v>
      </c>
      <c r="W401" s="313">
        <v>2826.5429016799544</v>
      </c>
    </row>
    <row r="402" spans="1:23" x14ac:dyDescent="0.25">
      <c r="A402" s="313">
        <v>6</v>
      </c>
      <c r="C402" s="313">
        <f t="shared" si="30"/>
        <v>11</v>
      </c>
      <c r="D402" s="313">
        <f t="shared" si="31"/>
        <v>1</v>
      </c>
      <c r="E402" s="313">
        <f t="shared" si="32"/>
        <v>18</v>
      </c>
      <c r="F402" s="313" t="str">
        <f t="shared" si="33"/>
        <v>pm</v>
      </c>
      <c r="G402" s="313" t="s">
        <v>1121</v>
      </c>
      <c r="H402" s="313" t="s">
        <v>216</v>
      </c>
      <c r="I402" s="313" t="s">
        <v>1122</v>
      </c>
      <c r="K402" s="314">
        <f t="shared" si="34"/>
        <v>3018.9530721179772</v>
      </c>
      <c r="M402" s="314">
        <v>3000</v>
      </c>
      <c r="N402" s="313">
        <v>2917.3787570454606</v>
      </c>
      <c r="P402" s="313">
        <v>2966.1072131875057</v>
      </c>
      <c r="R402" s="313" t="str">
        <f>IF(AND((J402="This"),(L402="Only")),VLOOKUP(G402,#REF!,7,FALSE),"")</f>
        <v/>
      </c>
      <c r="S402" s="313">
        <v>2924.8856891760802</v>
      </c>
      <c r="U402" s="313">
        <v>2929.4323751758852</v>
      </c>
      <c r="W402" s="313">
        <v>3018.9530721179772</v>
      </c>
    </row>
    <row r="403" spans="1:23" x14ac:dyDescent="0.25">
      <c r="A403" s="313">
        <v>1</v>
      </c>
      <c r="C403" s="313">
        <f t="shared" si="30"/>
        <v>12</v>
      </c>
      <c r="D403" s="313">
        <f t="shared" si="31"/>
        <v>1</v>
      </c>
      <c r="E403" s="313">
        <f t="shared" si="32"/>
        <v>18</v>
      </c>
      <c r="F403" s="313" t="str">
        <f t="shared" si="33"/>
        <v>odx</v>
      </c>
      <c r="G403" s="313" t="s">
        <v>1123</v>
      </c>
      <c r="H403" s="313" t="s">
        <v>859</v>
      </c>
      <c r="I403" s="313" t="s">
        <v>860</v>
      </c>
      <c r="K403" s="314">
        <f t="shared" si="34"/>
        <v>3096.2801230484952</v>
      </c>
      <c r="M403" s="314">
        <v>3000</v>
      </c>
      <c r="N403" s="313">
        <v>3096.2801230484952</v>
      </c>
      <c r="R403" s="313" t="str">
        <f>IF(AND((J403="This"),(L403="Only")),VLOOKUP(G403,#REF!,7,FALSE),"")</f>
        <v/>
      </c>
    </row>
    <row r="404" spans="1:23" x14ac:dyDescent="0.25">
      <c r="A404" s="313">
        <v>2</v>
      </c>
      <c r="C404" s="313">
        <f t="shared" si="30"/>
        <v>13</v>
      </c>
      <c r="D404" s="313">
        <f t="shared" si="31"/>
        <v>1</v>
      </c>
      <c r="E404" s="313">
        <f t="shared" si="32"/>
        <v>18</v>
      </c>
      <c r="F404" s="313" t="str">
        <f t="shared" si="33"/>
        <v>pm</v>
      </c>
      <c r="G404" s="313" t="s">
        <v>1124</v>
      </c>
      <c r="H404" s="313" t="s">
        <v>559</v>
      </c>
      <c r="I404" s="313" t="s">
        <v>1125</v>
      </c>
      <c r="K404" s="314">
        <f t="shared" si="34"/>
        <v>3106.1013274780757</v>
      </c>
      <c r="M404" s="314">
        <v>3000</v>
      </c>
      <c r="R404" s="313" t="str">
        <f>IF(AND((J404="This"),(L404="Only")),VLOOKUP(G404,#REF!,7,FALSE),"")</f>
        <v/>
      </c>
      <c r="S404" s="313">
        <v>3106.1013274780757</v>
      </c>
    </row>
    <row r="405" spans="1:23" x14ac:dyDescent="0.25">
      <c r="A405" s="313">
        <v>2</v>
      </c>
      <c r="C405" s="313">
        <f t="shared" si="30"/>
        <v>14</v>
      </c>
      <c r="D405" s="313">
        <f t="shared" si="31"/>
        <v>1</v>
      </c>
      <c r="E405" s="313">
        <f t="shared" si="32"/>
        <v>18</v>
      </c>
      <c r="F405" s="313" t="str">
        <f t="shared" si="33"/>
        <v>pm</v>
      </c>
      <c r="G405" s="313" t="s">
        <v>1126</v>
      </c>
      <c r="H405" s="313" t="s">
        <v>559</v>
      </c>
      <c r="I405" s="313" t="s">
        <v>1127</v>
      </c>
      <c r="K405" s="314">
        <f t="shared" si="34"/>
        <v>2950.854734176065</v>
      </c>
      <c r="M405" s="314">
        <v>3000</v>
      </c>
      <c r="R405" s="313" t="str">
        <f>IF(AND((J405="This"),(L405="Only")),VLOOKUP(G405,#REF!,7,FALSE),"")</f>
        <v/>
      </c>
      <c r="W405" s="313">
        <v>2950.854734176065</v>
      </c>
    </row>
    <row r="406" spans="1:23" x14ac:dyDescent="0.25">
      <c r="A406" s="313">
        <v>1</v>
      </c>
      <c r="C406" s="313">
        <f t="shared" si="30"/>
        <v>15</v>
      </c>
      <c r="D406" s="313">
        <f t="shared" si="31"/>
        <v>1</v>
      </c>
      <c r="E406" s="313">
        <f t="shared" si="32"/>
        <v>18</v>
      </c>
      <c r="F406" s="313" t="str">
        <f t="shared" si="33"/>
        <v>sox</v>
      </c>
      <c r="G406" s="313" t="s">
        <v>1128</v>
      </c>
      <c r="H406" s="313" t="s">
        <v>285</v>
      </c>
      <c r="I406" s="313" t="s">
        <v>1129</v>
      </c>
      <c r="K406" s="314">
        <f t="shared" si="34"/>
        <v>2888.086160745449</v>
      </c>
      <c r="M406" s="314">
        <v>3000</v>
      </c>
      <c r="R406" s="313" t="str">
        <f>IF(AND((J406="This"),(L406="Only")),VLOOKUP(G406,#REF!,7,FALSE),"")</f>
        <v/>
      </c>
      <c r="U406" s="313">
        <v>2888.086160745449</v>
      </c>
    </row>
    <row r="407" spans="1:23" x14ac:dyDescent="0.25">
      <c r="A407" s="313">
        <v>1</v>
      </c>
      <c r="C407" s="313">
        <f t="shared" si="30"/>
        <v>16</v>
      </c>
      <c r="D407" s="313">
        <f t="shared" si="31"/>
        <v>1</v>
      </c>
      <c r="E407" s="313">
        <f t="shared" si="32"/>
        <v>18</v>
      </c>
      <c r="F407" s="313" t="str">
        <f t="shared" si="33"/>
        <v>odx</v>
      </c>
      <c r="G407" s="313" t="s">
        <v>1130</v>
      </c>
      <c r="H407" s="313" t="s">
        <v>756</v>
      </c>
      <c r="I407" s="313" t="s">
        <v>1131</v>
      </c>
      <c r="K407" s="314">
        <f t="shared" si="34"/>
        <v>3000</v>
      </c>
      <c r="M407" s="314">
        <v>3000</v>
      </c>
      <c r="R407" s="313" t="str">
        <f>IF(AND((J407="This"),(L407="Only")),VLOOKUP(G407,#REF!,7,FALSE),"")</f>
        <v/>
      </c>
    </row>
    <row r="408" spans="1:23" x14ac:dyDescent="0.25">
      <c r="A408" s="313">
        <v>1</v>
      </c>
      <c r="C408" s="313">
        <f t="shared" si="30"/>
        <v>17</v>
      </c>
      <c r="D408" s="313">
        <f t="shared" si="31"/>
        <v>1</v>
      </c>
      <c r="E408" s="313">
        <f t="shared" si="32"/>
        <v>18</v>
      </c>
      <c r="F408" s="313" t="str">
        <f t="shared" si="33"/>
        <v>sox</v>
      </c>
      <c r="G408" s="313" t="s">
        <v>1132</v>
      </c>
      <c r="H408" s="313" t="s">
        <v>1133</v>
      </c>
      <c r="I408" s="313" t="s">
        <v>1134</v>
      </c>
      <c r="K408" s="314">
        <f t="shared" si="34"/>
        <v>3111.1252320123399</v>
      </c>
      <c r="M408" s="314">
        <v>3000</v>
      </c>
      <c r="R408" s="313" t="str">
        <f>IF(AND((J408="This"),(L408="Only")),VLOOKUP(G408,#REF!,7,FALSE),"")</f>
        <v/>
      </c>
      <c r="U408" s="313">
        <v>3111.1252320123399</v>
      </c>
    </row>
    <row r="409" spans="1:23" x14ac:dyDescent="0.25">
      <c r="A409" s="313">
        <v>2</v>
      </c>
      <c r="C409" s="313">
        <f t="shared" si="30"/>
        <v>18</v>
      </c>
      <c r="D409" s="313">
        <f t="shared" si="31"/>
        <v>1</v>
      </c>
      <c r="E409" s="313">
        <f t="shared" si="32"/>
        <v>18</v>
      </c>
      <c r="F409" s="313" t="str">
        <f t="shared" si="33"/>
        <v>pm</v>
      </c>
      <c r="G409" s="313" t="s">
        <v>1135</v>
      </c>
      <c r="H409" s="313" t="s">
        <v>201</v>
      </c>
      <c r="I409" s="313" t="s">
        <v>1136</v>
      </c>
      <c r="K409" s="314">
        <f t="shared" si="34"/>
        <v>3108.3510027587017</v>
      </c>
      <c r="M409" s="314">
        <v>3000</v>
      </c>
      <c r="R409" s="313" t="str">
        <f>IF(AND((J409="This"),(L409="Only")),VLOOKUP(G409,#REF!,7,FALSE),"")</f>
        <v/>
      </c>
      <c r="U409" s="313">
        <v>3033.6021688753772</v>
      </c>
      <c r="W409" s="313">
        <v>3108.3510027587017</v>
      </c>
    </row>
    <row r="410" spans="1:23" x14ac:dyDescent="0.25">
      <c r="A410" s="313">
        <v>1</v>
      </c>
      <c r="C410" s="313">
        <f t="shared" si="30"/>
        <v>19</v>
      </c>
      <c r="D410" s="313">
        <f t="shared" si="31"/>
        <v>1</v>
      </c>
      <c r="E410" s="313">
        <f t="shared" si="32"/>
        <v>18</v>
      </c>
      <c r="F410" s="313" t="str">
        <f t="shared" si="33"/>
        <v>crx</v>
      </c>
      <c r="G410" s="313" t="s">
        <v>1137</v>
      </c>
      <c r="H410" s="313" t="s">
        <v>881</v>
      </c>
      <c r="I410" s="313" t="s">
        <v>1138</v>
      </c>
      <c r="K410" s="314">
        <f t="shared" si="34"/>
        <v>2979.4736760168794</v>
      </c>
      <c r="M410" s="314">
        <v>3000</v>
      </c>
      <c r="R410" s="313" t="str">
        <f>IF(AND((J410="This"),(L410="Only")),VLOOKUP(G410,#REF!,7,FALSE),"")</f>
        <v/>
      </c>
      <c r="U410" s="313">
        <v>2979.4736760168794</v>
      </c>
    </row>
    <row r="411" spans="1:23" x14ac:dyDescent="0.25">
      <c r="A411" s="313">
        <v>1</v>
      </c>
      <c r="C411" s="313">
        <f t="shared" si="30"/>
        <v>20</v>
      </c>
      <c r="D411" s="313">
        <f t="shared" si="31"/>
        <v>1</v>
      </c>
      <c r="E411" s="313">
        <f t="shared" si="32"/>
        <v>18</v>
      </c>
      <c r="F411" s="313" t="str">
        <f t="shared" si="33"/>
        <v>crx</v>
      </c>
      <c r="G411" s="313" t="s">
        <v>1139</v>
      </c>
      <c r="H411" s="313" t="s">
        <v>881</v>
      </c>
      <c r="I411" s="313" t="s">
        <v>1140</v>
      </c>
      <c r="K411" s="314">
        <f t="shared" si="34"/>
        <v>2880.8602942634225</v>
      </c>
      <c r="M411" s="314">
        <v>3000</v>
      </c>
      <c r="R411" s="313" t="str">
        <f>IF(AND((J411="This"),(L411="Only")),VLOOKUP(G411,#REF!,7,FALSE),"")</f>
        <v/>
      </c>
      <c r="U411" s="313">
        <v>2880.8602942634225</v>
      </c>
    </row>
    <row r="412" spans="1:23" x14ac:dyDescent="0.25">
      <c r="A412" s="313">
        <v>1</v>
      </c>
      <c r="C412" s="313">
        <f t="shared" si="30"/>
        <v>21</v>
      </c>
      <c r="D412" s="313">
        <f t="shared" si="31"/>
        <v>1</v>
      </c>
      <c r="E412" s="313">
        <f t="shared" si="32"/>
        <v>18</v>
      </c>
      <c r="F412" s="313" t="str">
        <f t="shared" si="33"/>
        <v>crx</v>
      </c>
      <c r="G412" s="313" t="s">
        <v>341</v>
      </c>
      <c r="H412" s="313" t="s">
        <v>342</v>
      </c>
      <c r="I412" s="313" t="s">
        <v>1141</v>
      </c>
      <c r="K412" s="314">
        <f t="shared" si="34"/>
        <v>2937.5737782198325</v>
      </c>
      <c r="M412" s="314">
        <v>3000</v>
      </c>
      <c r="N412" s="313">
        <v>2937.5737782198325</v>
      </c>
      <c r="R412" s="313" t="str">
        <f>IF(AND((J412="This"),(L412="Only")),VLOOKUP(G412,#REF!,7,FALSE),"")</f>
        <v/>
      </c>
    </row>
    <row r="413" spans="1:23" x14ac:dyDescent="0.25">
      <c r="A413" s="313">
        <v>5</v>
      </c>
      <c r="C413" s="313">
        <f t="shared" si="30"/>
        <v>22</v>
      </c>
      <c r="D413" s="313">
        <f t="shared" si="31"/>
        <v>1</v>
      </c>
      <c r="E413" s="313">
        <f t="shared" si="32"/>
        <v>18</v>
      </c>
      <c r="F413" s="313" t="str">
        <f t="shared" si="33"/>
        <v>pm</v>
      </c>
      <c r="G413" s="313" t="s">
        <v>1142</v>
      </c>
      <c r="H413" s="313" t="s">
        <v>240</v>
      </c>
      <c r="I413" s="313" t="s">
        <v>1143</v>
      </c>
      <c r="K413" s="314">
        <f t="shared" si="34"/>
        <v>3097.2487743814136</v>
      </c>
      <c r="M413" s="314">
        <v>3000</v>
      </c>
      <c r="N413" s="313">
        <v>3009.2514829430538</v>
      </c>
      <c r="R413" s="313" t="str">
        <f>IF(AND((J413="This"),(L413="Only")),VLOOKUP(G413,#REF!,7,FALSE),"")</f>
        <v/>
      </c>
      <c r="S413" s="313">
        <v>2963.2964479003485</v>
      </c>
      <c r="U413" s="313">
        <v>3029.7830029113002</v>
      </c>
      <c r="W413" s="313">
        <v>3097.2487743814136</v>
      </c>
    </row>
    <row r="414" spans="1:23" x14ac:dyDescent="0.25">
      <c r="A414" s="313">
        <v>1</v>
      </c>
      <c r="C414" s="313">
        <f t="shared" si="30"/>
        <v>23</v>
      </c>
      <c r="D414" s="313">
        <f t="shared" si="31"/>
        <v>1</v>
      </c>
      <c r="E414" s="313">
        <f t="shared" si="32"/>
        <v>18</v>
      </c>
      <c r="F414" s="313" t="str">
        <f t="shared" si="33"/>
        <v>pmx</v>
      </c>
      <c r="G414" s="313" t="s">
        <v>1144</v>
      </c>
      <c r="H414" s="313" t="s">
        <v>570</v>
      </c>
      <c r="I414" s="313" t="s">
        <v>1145</v>
      </c>
      <c r="K414" s="314">
        <f t="shared" si="34"/>
        <v>3000</v>
      </c>
      <c r="M414" s="314">
        <v>3000</v>
      </c>
      <c r="R414" s="313" t="str">
        <f>IF(AND((J414="This"),(L414="Only")),VLOOKUP(G414,#REF!,7,FALSE),"")</f>
        <v/>
      </c>
    </row>
    <row r="415" spans="1:23" x14ac:dyDescent="0.25">
      <c r="A415" s="313">
        <v>1</v>
      </c>
      <c r="C415" s="313">
        <f t="shared" si="30"/>
        <v>24</v>
      </c>
      <c r="D415" s="313">
        <f t="shared" si="31"/>
        <v>1</v>
      </c>
      <c r="E415" s="313">
        <f t="shared" si="32"/>
        <v>18</v>
      </c>
      <c r="F415" s="313" t="str">
        <f t="shared" si="33"/>
        <v>pmx</v>
      </c>
      <c r="G415" s="313" t="s">
        <v>1146</v>
      </c>
      <c r="H415" s="313" t="s">
        <v>570</v>
      </c>
      <c r="I415" s="313" t="s">
        <v>1147</v>
      </c>
      <c r="K415" s="314">
        <f t="shared" si="34"/>
        <v>3000</v>
      </c>
      <c r="M415" s="314">
        <v>3000</v>
      </c>
      <c r="R415" s="313" t="str">
        <f>IF(AND((J415="This"),(L415="Only")),VLOOKUP(G415,#REF!,7,FALSE),"")</f>
        <v/>
      </c>
    </row>
    <row r="416" spans="1:23" x14ac:dyDescent="0.25">
      <c r="A416" s="313">
        <v>1</v>
      </c>
      <c r="C416" s="313">
        <f t="shared" si="30"/>
        <v>25</v>
      </c>
      <c r="D416" s="313">
        <f t="shared" si="31"/>
        <v>1</v>
      </c>
      <c r="E416" s="313">
        <f t="shared" si="32"/>
        <v>18</v>
      </c>
      <c r="F416" s="313" t="str">
        <f t="shared" si="33"/>
        <v>pmx</v>
      </c>
      <c r="G416" s="313" t="s">
        <v>1148</v>
      </c>
      <c r="H416" s="313" t="s">
        <v>570</v>
      </c>
      <c r="I416" s="313" t="s">
        <v>1149</v>
      </c>
      <c r="K416" s="314">
        <f t="shared" si="34"/>
        <v>3000</v>
      </c>
      <c r="M416" s="314">
        <v>3000</v>
      </c>
      <c r="R416" s="313" t="str">
        <f>IF(AND((J416="This"),(L416="Only")),VLOOKUP(G416,#REF!,7,FALSE),"")</f>
        <v/>
      </c>
    </row>
    <row r="417" spans="1:24" x14ac:dyDescent="0.25">
      <c r="A417" s="313">
        <v>4</v>
      </c>
      <c r="C417" s="313">
        <f t="shared" si="30"/>
        <v>26</v>
      </c>
      <c r="D417" s="313">
        <f t="shared" si="31"/>
        <v>26</v>
      </c>
      <c r="E417" s="313">
        <f t="shared" si="32"/>
        <v>18</v>
      </c>
      <c r="F417" s="313" t="str">
        <f t="shared" si="33"/>
        <v>pm</v>
      </c>
      <c r="G417" s="313" t="s">
        <v>1150</v>
      </c>
      <c r="H417" s="313" t="s">
        <v>1151</v>
      </c>
      <c r="I417" s="313" t="s">
        <v>1152</v>
      </c>
      <c r="K417" s="314">
        <f t="shared" si="34"/>
        <v>2738.8655374245086</v>
      </c>
      <c r="M417" s="314">
        <v>2900</v>
      </c>
      <c r="P417" s="313">
        <v>2825.7321255667107</v>
      </c>
      <c r="R417" s="313" t="str">
        <f>IF(AND((J417="This"),(L417="Only")),VLOOKUP(G417,#REF!,7,FALSE),"")</f>
        <v/>
      </c>
      <c r="S417" s="313">
        <v>2756.6598634333782</v>
      </c>
      <c r="U417" s="313">
        <v>2778.8957456721564</v>
      </c>
      <c r="W417" s="313">
        <v>2738.8655374245086</v>
      </c>
    </row>
    <row r="418" spans="1:24" x14ac:dyDescent="0.25">
      <c r="A418" s="313">
        <v>4</v>
      </c>
      <c r="C418" s="313">
        <f t="shared" si="30"/>
        <v>27</v>
      </c>
      <c r="D418" s="313">
        <f t="shared" si="31"/>
        <v>26</v>
      </c>
      <c r="E418" s="313">
        <f t="shared" si="32"/>
        <v>18</v>
      </c>
      <c r="F418" s="313" t="str">
        <f t="shared" si="33"/>
        <v>pm</v>
      </c>
      <c r="G418" s="313" t="s">
        <v>1153</v>
      </c>
      <c r="H418" s="313" t="s">
        <v>199</v>
      </c>
      <c r="I418" s="313" t="s">
        <v>1154</v>
      </c>
      <c r="K418" s="314">
        <f t="shared" si="34"/>
        <v>2863.8315277287957</v>
      </c>
      <c r="M418" s="314">
        <v>2900</v>
      </c>
      <c r="O418" s="313">
        <v>2844.5131492724072</v>
      </c>
      <c r="P418" s="313">
        <v>2852.013041893284</v>
      </c>
      <c r="R418" s="313" t="str">
        <f>IF(AND((J418="This"),(L418="Only")),VLOOKUP(G418,#REF!,7,FALSE),"")</f>
        <v/>
      </c>
      <c r="U418" s="313">
        <v>2863.8315277287957</v>
      </c>
    </row>
    <row r="419" spans="1:24" x14ac:dyDescent="0.25">
      <c r="A419" s="313">
        <v>4</v>
      </c>
      <c r="C419" s="313">
        <f t="shared" si="30"/>
        <v>28</v>
      </c>
      <c r="D419" s="313">
        <f t="shared" si="31"/>
        <v>28</v>
      </c>
      <c r="E419" s="313">
        <f t="shared" si="32"/>
        <v>18</v>
      </c>
      <c r="F419" s="313" t="str">
        <f t="shared" si="33"/>
        <v>pm</v>
      </c>
      <c r="G419" s="313" t="s">
        <v>1155</v>
      </c>
      <c r="H419" s="313" t="s">
        <v>235</v>
      </c>
      <c r="I419" s="313" t="s">
        <v>1156</v>
      </c>
      <c r="K419" s="314">
        <f t="shared" si="34"/>
        <v>2890.9544526692098</v>
      </c>
      <c r="M419" s="314">
        <v>2700</v>
      </c>
      <c r="O419" s="313">
        <v>2776.0452308811364</v>
      </c>
      <c r="R419" s="313" t="str">
        <f>IF(AND((J419="This"),(L419="Only")),VLOOKUP(G419,#REF!,7,FALSE),"")</f>
        <v/>
      </c>
      <c r="S419" s="313">
        <v>2783.0988267322386</v>
      </c>
      <c r="U419" s="313">
        <v>2827.7212205588357</v>
      </c>
      <c r="W419" s="313">
        <v>2890.9544526692098</v>
      </c>
    </row>
    <row r="420" spans="1:24" x14ac:dyDescent="0.25">
      <c r="A420" s="313">
        <v>6</v>
      </c>
      <c r="C420" s="313">
        <f t="shared" si="30"/>
        <v>29</v>
      </c>
      <c r="D420" s="313">
        <f t="shared" si="31"/>
        <v>29</v>
      </c>
      <c r="E420" s="313">
        <f t="shared" si="32"/>
        <v>18</v>
      </c>
      <c r="F420" s="313" t="str">
        <f t="shared" si="33"/>
        <v>pm</v>
      </c>
      <c r="G420" s="313" t="s">
        <v>1157</v>
      </c>
      <c r="H420" s="313" t="s">
        <v>230</v>
      </c>
      <c r="I420" s="313" t="s">
        <v>1158</v>
      </c>
      <c r="K420" s="314">
        <f t="shared" si="34"/>
        <v>2478.8272462330083</v>
      </c>
      <c r="M420" s="314">
        <v>2666.6666666666665</v>
      </c>
      <c r="O420" s="313">
        <v>2606.2172201158401</v>
      </c>
      <c r="R420" s="313" t="str">
        <f>IF(AND((J420="This"),(L420="Only")),VLOOKUP(G420,#REF!,7,FALSE),"")</f>
        <v/>
      </c>
      <c r="S420" s="313">
        <v>2533.5380243836562</v>
      </c>
      <c r="V420" s="313">
        <v>2478.8272462330083</v>
      </c>
    </row>
    <row r="421" spans="1:24" x14ac:dyDescent="0.25">
      <c r="A421" s="313">
        <v>6</v>
      </c>
      <c r="C421" s="313">
        <f t="shared" si="30"/>
        <v>30</v>
      </c>
      <c r="D421" s="313">
        <f t="shared" si="31"/>
        <v>30</v>
      </c>
      <c r="E421" s="313">
        <f t="shared" si="32"/>
        <v>18</v>
      </c>
      <c r="F421" s="313" t="str">
        <f t="shared" si="33"/>
        <v>pm</v>
      </c>
      <c r="G421" s="313" t="s">
        <v>447</v>
      </c>
      <c r="H421" s="313" t="s">
        <v>217</v>
      </c>
      <c r="I421" s="313" t="s">
        <v>197</v>
      </c>
      <c r="K421" s="314">
        <f t="shared" si="34"/>
        <v>2525.9864157239717</v>
      </c>
      <c r="M421" s="314">
        <v>2600</v>
      </c>
      <c r="O421" s="313">
        <v>2566.197479933051</v>
      </c>
      <c r="R421" s="313" t="str">
        <f>IF(AND((J421="This"),(L421="Only")),VLOOKUP(G421,#REF!,7,FALSE),"")</f>
        <v/>
      </c>
      <c r="S421" s="313">
        <v>2571.5829841924087</v>
      </c>
      <c r="T421" s="313">
        <v>2604.5313523756722</v>
      </c>
      <c r="V421" s="313">
        <v>2574.5716672740141</v>
      </c>
      <c r="X421" s="313">
        <v>2525.9864157239717</v>
      </c>
    </row>
    <row r="422" spans="1:24" x14ac:dyDescent="0.25">
      <c r="A422" s="313">
        <v>2</v>
      </c>
      <c r="C422" s="313">
        <f t="shared" si="30"/>
        <v>31</v>
      </c>
      <c r="D422" s="313">
        <f t="shared" si="31"/>
        <v>30</v>
      </c>
      <c r="E422" s="313">
        <f t="shared" si="32"/>
        <v>18</v>
      </c>
      <c r="F422" s="313" t="str">
        <f t="shared" si="33"/>
        <v>cr</v>
      </c>
      <c r="G422" s="313" t="s">
        <v>1159</v>
      </c>
      <c r="H422" s="313" t="s">
        <v>593</v>
      </c>
      <c r="I422" s="313" t="s">
        <v>1160</v>
      </c>
      <c r="K422" s="314">
        <f t="shared" si="34"/>
        <v>2632.6008182864525</v>
      </c>
      <c r="M422" s="314">
        <v>2600</v>
      </c>
      <c r="R422" s="313" t="str">
        <f>IF(AND((J422="This"),(L422="Only")),VLOOKUP(G422,#REF!,7,FALSE),"")</f>
        <v/>
      </c>
      <c r="T422" s="313">
        <v>2632.6008182864525</v>
      </c>
    </row>
    <row r="423" spans="1:24" x14ac:dyDescent="0.25">
      <c r="A423" s="313">
        <v>1</v>
      </c>
      <c r="C423" s="313">
        <f t="shared" si="30"/>
        <v>32</v>
      </c>
      <c r="D423" s="313">
        <f t="shared" si="31"/>
        <v>30</v>
      </c>
      <c r="E423" s="313">
        <f t="shared" si="32"/>
        <v>18</v>
      </c>
      <c r="F423" s="313" t="str">
        <f t="shared" si="33"/>
        <v>sox</v>
      </c>
      <c r="G423" s="313" t="s">
        <v>344</v>
      </c>
      <c r="H423" s="313" t="s">
        <v>222</v>
      </c>
      <c r="I423" s="313" t="s">
        <v>343</v>
      </c>
      <c r="K423" s="314">
        <f t="shared" si="34"/>
        <v>2584.553110549688</v>
      </c>
      <c r="M423" s="314">
        <v>2600</v>
      </c>
      <c r="R423" s="313" t="str">
        <f>IF(AND((J423="This"),(L423="Only")),VLOOKUP(G423,#REF!,7,FALSE),"")</f>
        <v/>
      </c>
      <c r="T423" s="313">
        <v>2584.553110549688</v>
      </c>
    </row>
    <row r="424" spans="1:24" x14ac:dyDescent="0.25">
      <c r="A424" s="313">
        <v>1</v>
      </c>
      <c r="C424" s="313">
        <f t="shared" si="30"/>
        <v>33</v>
      </c>
      <c r="D424" s="313">
        <f t="shared" si="31"/>
        <v>30</v>
      </c>
      <c r="E424" s="313">
        <f t="shared" si="32"/>
        <v>18</v>
      </c>
      <c r="F424" s="313" t="str">
        <f t="shared" si="33"/>
        <v>crx</v>
      </c>
      <c r="G424" s="313" t="s">
        <v>1161</v>
      </c>
      <c r="H424" s="313" t="s">
        <v>470</v>
      </c>
      <c r="I424" s="313" t="s">
        <v>1162</v>
      </c>
      <c r="K424" s="314">
        <f t="shared" si="34"/>
        <v>2637.1727206454916</v>
      </c>
      <c r="M424" s="314">
        <v>2600</v>
      </c>
      <c r="O424" s="313">
        <v>2637.1727206454916</v>
      </c>
      <c r="R424" s="313" t="str">
        <f>IF(AND((J424="This"),(L424="Only")),VLOOKUP(G424,#REF!,7,FALSE),"")</f>
        <v/>
      </c>
    </row>
    <row r="425" spans="1:24" x14ac:dyDescent="0.25">
      <c r="A425" s="313">
        <v>7</v>
      </c>
      <c r="C425" s="313">
        <f t="shared" si="30"/>
        <v>34</v>
      </c>
      <c r="D425" s="313">
        <f t="shared" si="31"/>
        <v>30</v>
      </c>
      <c r="E425" s="313">
        <f t="shared" si="32"/>
        <v>18</v>
      </c>
      <c r="F425" s="313" t="str">
        <f t="shared" si="33"/>
        <v>pm</v>
      </c>
      <c r="G425" s="313" t="s">
        <v>469</v>
      </c>
      <c r="H425" s="313" t="s">
        <v>470</v>
      </c>
      <c r="I425" s="313" t="s">
        <v>468</v>
      </c>
      <c r="K425" s="314">
        <f t="shared" si="34"/>
        <v>2657.5586247368501</v>
      </c>
      <c r="M425" s="314">
        <v>2600</v>
      </c>
      <c r="O425" s="313">
        <v>2635.3110386339977</v>
      </c>
      <c r="R425" s="313" t="str">
        <f>IF(AND((J425="This"),(L425="Only")),VLOOKUP(G425,#REF!,7,FALSE),"")</f>
        <v/>
      </c>
      <c r="S425" s="313">
        <v>2679.1300397754653</v>
      </c>
      <c r="T425" s="313">
        <v>2607.9641530366357</v>
      </c>
      <c r="V425" s="313">
        <v>2679.7684181029094</v>
      </c>
      <c r="X425" s="313">
        <v>2657.5586247368501</v>
      </c>
    </row>
    <row r="426" spans="1:24" x14ac:dyDescent="0.25">
      <c r="A426" s="313">
        <v>5</v>
      </c>
      <c r="C426" s="313">
        <f t="shared" si="30"/>
        <v>35</v>
      </c>
      <c r="D426" s="313">
        <f t="shared" si="31"/>
        <v>30</v>
      </c>
      <c r="E426" s="313">
        <f t="shared" si="32"/>
        <v>18</v>
      </c>
      <c r="F426" s="313" t="str">
        <f t="shared" si="33"/>
        <v>pm</v>
      </c>
      <c r="G426" s="313" t="s">
        <v>223</v>
      </c>
      <c r="H426" s="313" t="s">
        <v>205</v>
      </c>
      <c r="I426" s="313" t="s">
        <v>388</v>
      </c>
      <c r="K426" s="314">
        <f t="shared" si="34"/>
        <v>2494.8114327205249</v>
      </c>
      <c r="M426" s="314">
        <v>2600</v>
      </c>
      <c r="R426" s="313" t="str">
        <f>IF(AND((J426="This"),(L426="Only")),VLOOKUP(G426,#REF!,7,FALSE),"")</f>
        <v/>
      </c>
      <c r="S426" s="313">
        <v>2637.3852923767972</v>
      </c>
      <c r="T426" s="313">
        <v>2601.7693263635874</v>
      </c>
      <c r="V426" s="313">
        <v>2580.5462836263409</v>
      </c>
      <c r="X426" s="313">
        <v>2494.8114327205249</v>
      </c>
    </row>
    <row r="427" spans="1:24" x14ac:dyDescent="0.25">
      <c r="A427" s="313">
        <v>4</v>
      </c>
      <c r="C427" s="313">
        <f t="shared" si="30"/>
        <v>36</v>
      </c>
      <c r="D427" s="313">
        <f t="shared" si="31"/>
        <v>30</v>
      </c>
      <c r="E427" s="313">
        <f t="shared" si="32"/>
        <v>18</v>
      </c>
      <c r="F427" s="313" t="str">
        <f t="shared" si="33"/>
        <v>pm</v>
      </c>
      <c r="G427" s="313" t="s">
        <v>1163</v>
      </c>
      <c r="H427" s="313" t="s">
        <v>1164</v>
      </c>
      <c r="I427" s="313" t="s">
        <v>1165</v>
      </c>
      <c r="K427" s="314">
        <f t="shared" si="34"/>
        <v>2769.9544095367178</v>
      </c>
      <c r="M427" s="314">
        <v>2600</v>
      </c>
      <c r="O427" s="313">
        <v>2680.3264856208189</v>
      </c>
      <c r="R427" s="313" t="str">
        <f>IF(AND((J427="This"),(L427="Only")),VLOOKUP(G427,#REF!,7,FALSE),"")</f>
        <v/>
      </c>
      <c r="T427" s="313">
        <v>2769.9544095367178</v>
      </c>
    </row>
    <row r="428" spans="1:24" x14ac:dyDescent="0.25">
      <c r="R428" s="313" t="str">
        <f>IF(AND((J428="This"),(L428="Only")),VLOOKUP(G428,#REF!,7,FALSE),"")</f>
        <v/>
      </c>
    </row>
    <row r="429" spans="1:24" x14ac:dyDescent="0.25">
      <c r="A429" s="313">
        <v>1</v>
      </c>
      <c r="C429" s="313">
        <f t="shared" ref="C429:C433" si="35">IF(E429=E428,C428+1,1)</f>
        <v>1</v>
      </c>
      <c r="D429" s="313">
        <f t="shared" ref="D429:D433" si="36">IF(M429=M428,D428,C429)</f>
        <v>1</v>
      </c>
      <c r="E429" s="313">
        <f t="shared" ref="E429:E433" si="37">10+VALUE(RIGHT(LEFT(G429,3),1))</f>
        <v>16</v>
      </c>
      <c r="F429" s="313" t="str">
        <f t="shared" ref="F429:F433" si="38">RIGHT(G429,2) &amp; IF(A429&lt;2,"x","")</f>
        <v>crx</v>
      </c>
      <c r="G429" s="1034" t="s">
        <v>1191</v>
      </c>
      <c r="H429" s="1032" t="s">
        <v>1192</v>
      </c>
      <c r="I429" s="313" t="s">
        <v>1192</v>
      </c>
      <c r="K429" s="314">
        <f t="shared" ref="K429:K433" si="39">LOOKUP(1E+100,M429:AC429)</f>
        <v>2224.9357527398279</v>
      </c>
      <c r="M429" s="314">
        <v>2200</v>
      </c>
      <c r="R429" s="313" t="str">
        <f>IF(AND((J429="This"),(L429="Only")),VLOOKUP(G429,#REF!,7,FALSE),"")</f>
        <v/>
      </c>
      <c r="U429" s="313">
        <v>2224.9357527398279</v>
      </c>
    </row>
    <row r="430" spans="1:24" x14ac:dyDescent="0.25">
      <c r="A430" s="313">
        <v>1</v>
      </c>
      <c r="C430" s="313">
        <f t="shared" si="35"/>
        <v>2</v>
      </c>
      <c r="D430" s="313">
        <f t="shared" si="36"/>
        <v>1</v>
      </c>
      <c r="E430" s="313">
        <f t="shared" si="37"/>
        <v>16</v>
      </c>
      <c r="F430" s="313" t="str">
        <f t="shared" si="38"/>
        <v>crx</v>
      </c>
      <c r="G430" s="1034" t="s">
        <v>1193</v>
      </c>
      <c r="H430" s="1032" t="s">
        <v>1194</v>
      </c>
      <c r="I430" s="1032" t="s">
        <v>1195</v>
      </c>
      <c r="K430" s="314">
        <f t="shared" si="39"/>
        <v>2312.3805436980424</v>
      </c>
      <c r="M430" s="314">
        <v>2200</v>
      </c>
      <c r="R430" s="313" t="str">
        <f>IF(AND((J430="This"),(L430="Only")),VLOOKUP(G430,#REF!,7,FALSE),"")</f>
        <v/>
      </c>
      <c r="U430" s="313">
        <v>2312.3805436980424</v>
      </c>
    </row>
    <row r="431" spans="1:24" x14ac:dyDescent="0.25">
      <c r="A431" s="313">
        <v>1</v>
      </c>
      <c r="C431" s="313">
        <f t="shared" si="35"/>
        <v>1</v>
      </c>
      <c r="D431" s="313">
        <f t="shared" si="36"/>
        <v>1</v>
      </c>
      <c r="E431" s="313">
        <f t="shared" si="37"/>
        <v>17</v>
      </c>
      <c r="F431" s="313" t="str">
        <f t="shared" si="38"/>
        <v>crx</v>
      </c>
      <c r="G431" s="1034" t="s">
        <v>1196</v>
      </c>
      <c r="H431" s="1032" t="s">
        <v>1197</v>
      </c>
      <c r="I431" s="1032" t="s">
        <v>1198</v>
      </c>
      <c r="K431" s="314">
        <f t="shared" si="39"/>
        <v>2588.4530488563269</v>
      </c>
      <c r="M431" s="314">
        <v>2400</v>
      </c>
      <c r="R431" s="313" t="str">
        <f>IF(AND((J431="This"),(L431="Only")),VLOOKUP(G431,#REF!,7,FALSE),"")</f>
        <v/>
      </c>
      <c r="U431" s="313">
        <v>2588.4530488563269</v>
      </c>
    </row>
    <row r="432" spans="1:24" x14ac:dyDescent="0.25">
      <c r="A432" s="313">
        <v>1</v>
      </c>
      <c r="C432" s="313">
        <f t="shared" si="35"/>
        <v>1</v>
      </c>
      <c r="D432" s="313">
        <f t="shared" si="36"/>
        <v>1</v>
      </c>
      <c r="E432" s="313">
        <f t="shared" si="37"/>
        <v>14</v>
      </c>
      <c r="F432" s="313" t="str">
        <f t="shared" si="38"/>
        <v>crx</v>
      </c>
      <c r="G432" s="313" t="s">
        <v>1199</v>
      </c>
      <c r="H432" s="313" t="s">
        <v>1200</v>
      </c>
      <c r="I432" s="313" t="s">
        <v>1201</v>
      </c>
      <c r="K432" s="314">
        <f t="shared" si="39"/>
        <v>1879.1516419632358</v>
      </c>
      <c r="M432" s="314">
        <v>1800</v>
      </c>
      <c r="V432" s="313">
        <v>1879.1516419632358</v>
      </c>
    </row>
    <row r="433" spans="1:24" x14ac:dyDescent="0.25">
      <c r="A433" s="313">
        <v>1</v>
      </c>
      <c r="C433" s="313">
        <f t="shared" si="35"/>
        <v>1</v>
      </c>
      <c r="D433" s="313">
        <f t="shared" si="36"/>
        <v>1</v>
      </c>
      <c r="E433" s="313">
        <f t="shared" si="37"/>
        <v>15</v>
      </c>
      <c r="F433" s="313" t="str">
        <f t="shared" si="38"/>
        <v>sox</v>
      </c>
      <c r="G433" s="313" t="s">
        <v>1202</v>
      </c>
      <c r="H433" s="313" t="s">
        <v>1203</v>
      </c>
      <c r="I433" s="313" t="s">
        <v>1204</v>
      </c>
      <c r="K433" s="314">
        <f t="shared" si="39"/>
        <v>1914.6799595739319</v>
      </c>
      <c r="M433" s="314">
        <v>2000</v>
      </c>
      <c r="V433" s="313">
        <v>1914.6799595739319</v>
      </c>
    </row>
    <row r="436" spans="1:24" x14ac:dyDescent="0.25">
      <c r="A436" s="313">
        <v>1</v>
      </c>
      <c r="C436" s="313">
        <f t="shared" ref="C436:C437" si="40">IF(E436=E435,C435+1,1)</f>
        <v>1</v>
      </c>
      <c r="D436" s="313">
        <f t="shared" ref="D436:D437" si="41">IF(M436=M435,D435,C436)</f>
        <v>1</v>
      </c>
      <c r="E436" s="313">
        <f t="shared" ref="E436:E437" si="42">10+VALUE(RIGHT(LEFT(G436,3),1))</f>
        <v>12</v>
      </c>
      <c r="F436" s="313" t="str">
        <f t="shared" ref="F436:F437" si="43">RIGHT(G436,2) &amp; IF(A436&lt;2,"x","")</f>
        <v>sox</v>
      </c>
      <c r="G436" s="313" t="s">
        <v>419</v>
      </c>
      <c r="H436" s="313" t="s">
        <v>420</v>
      </c>
      <c r="I436" s="313" t="s">
        <v>418</v>
      </c>
      <c r="K436" s="314">
        <f t="shared" ref="K436:K437" si="44">LOOKUP(1E+100,M436:AC436)</f>
        <v>1349.1705702720267</v>
      </c>
      <c r="M436" s="314">
        <v>1400</v>
      </c>
      <c r="X436" s="313">
        <v>1349.1705702720267</v>
      </c>
    </row>
    <row r="437" spans="1:24" x14ac:dyDescent="0.25">
      <c r="A437" s="313">
        <v>1</v>
      </c>
      <c r="C437" s="313">
        <f t="shared" si="40"/>
        <v>1</v>
      </c>
      <c r="D437" s="313">
        <f t="shared" si="41"/>
        <v>1</v>
      </c>
      <c r="E437" s="313">
        <f t="shared" si="42"/>
        <v>13</v>
      </c>
      <c r="F437" s="313" t="str">
        <f t="shared" si="43"/>
        <v>pmx</v>
      </c>
      <c r="G437" s="313" t="s">
        <v>525</v>
      </c>
      <c r="H437" s="313" t="s">
        <v>526</v>
      </c>
      <c r="I437" s="313" t="s">
        <v>524</v>
      </c>
      <c r="K437" s="314">
        <f t="shared" si="44"/>
        <v>1544.6766769581895</v>
      </c>
      <c r="M437" s="314">
        <v>1600</v>
      </c>
      <c r="X437" s="313">
        <v>1544.6766769581895</v>
      </c>
    </row>
    <row r="440" spans="1:24" x14ac:dyDescent="0.25">
      <c r="A440" s="313">
        <v>1</v>
      </c>
      <c r="C440" s="313">
        <f t="shared" ref="C440:C441" si="45">IF(E440=E439,C439+1,1)</f>
        <v>1</v>
      </c>
      <c r="D440" s="313">
        <f t="shared" ref="D440:D441" si="46">IF(M440=M439,D439,C440)</f>
        <v>1</v>
      </c>
      <c r="E440" s="313">
        <f t="shared" ref="E440:E441" si="47">10+VALUE(RIGHT(LEFT(G440,3),1))</f>
        <v>14</v>
      </c>
      <c r="F440" s="313" t="str">
        <f t="shared" ref="F440:F441" si="48">RIGHT(G440,2) &amp; IF(A440&lt;2,"x","")</f>
        <v>sox</v>
      </c>
      <c r="G440" s="313" t="s">
        <v>322</v>
      </c>
      <c r="H440" s="313" t="s">
        <v>1218</v>
      </c>
      <c r="I440" s="313" t="s">
        <v>452</v>
      </c>
      <c r="K440" s="314">
        <f t="shared" ref="K440:K441" si="49">LOOKUP(1E+100,M440:AC440)</f>
        <v>1642.8084649465441</v>
      </c>
      <c r="M440" s="314">
        <v>1800</v>
      </c>
      <c r="X440" s="313">
        <v>1642.8084649465441</v>
      </c>
    </row>
    <row r="441" spans="1:24" x14ac:dyDescent="0.25">
      <c r="A441" s="313">
        <v>1</v>
      </c>
      <c r="C441" s="313">
        <f t="shared" si="45"/>
        <v>1</v>
      </c>
      <c r="D441" s="313">
        <f t="shared" si="46"/>
        <v>1</v>
      </c>
      <c r="E441" s="313">
        <f t="shared" si="47"/>
        <v>16</v>
      </c>
      <c r="F441" s="313" t="str">
        <f t="shared" si="48"/>
        <v>pmx</v>
      </c>
      <c r="G441" s="313" t="s">
        <v>533</v>
      </c>
      <c r="H441" s="313" t="s">
        <v>526</v>
      </c>
      <c r="I441" s="313" t="s">
        <v>1176</v>
      </c>
      <c r="K441" s="314">
        <f t="shared" si="49"/>
        <v>2149.7718337099891</v>
      </c>
      <c r="M441" s="314">
        <v>2200</v>
      </c>
      <c r="X441" s="313">
        <v>2149.7718337099891</v>
      </c>
    </row>
    <row r="443" spans="1:24" x14ac:dyDescent="0.25">
      <c r="A443" s="313">
        <v>2</v>
      </c>
      <c r="C443" s="313">
        <f t="shared" ref="C443:C445" si="50">IF(E443=E442,C442+1,1)</f>
        <v>1</v>
      </c>
      <c r="D443" s="313">
        <f t="shared" ref="D443:D445" si="51">IF(M443=M442,D442,C443)</f>
        <v>1</v>
      </c>
      <c r="E443" s="313">
        <f t="shared" ref="E443:E445" si="52">10+VALUE(RIGHT(LEFT(G443,3),1))</f>
        <v>15</v>
      </c>
      <c r="F443" s="313" t="str">
        <f t="shared" ref="F443:F445" si="53">RIGHT(G443,2) &amp; IF(A443&lt;2,"x","")</f>
        <v>pm</v>
      </c>
      <c r="G443" s="313" t="s">
        <v>1232</v>
      </c>
      <c r="H443" s="313" t="s">
        <v>1234</v>
      </c>
      <c r="I443" s="313" t="s">
        <v>1185</v>
      </c>
      <c r="K443" s="314">
        <f t="shared" ref="K443:K445" si="54">LOOKUP(1E+100,M443:AC443)</f>
        <v>1888.423651073929</v>
      </c>
      <c r="M443" s="314">
        <v>2000</v>
      </c>
      <c r="X443" s="313">
        <v>1888.423651073929</v>
      </c>
    </row>
    <row r="444" spans="1:24" x14ac:dyDescent="0.25">
      <c r="A444" s="313">
        <v>2</v>
      </c>
      <c r="C444" s="313">
        <f t="shared" si="50"/>
        <v>2</v>
      </c>
      <c r="D444" s="313">
        <f t="shared" si="51"/>
        <v>1</v>
      </c>
      <c r="E444" s="313">
        <f t="shared" si="52"/>
        <v>15</v>
      </c>
      <c r="F444" s="313" t="str">
        <f t="shared" si="53"/>
        <v>pm</v>
      </c>
      <c r="G444" s="313" t="s">
        <v>1233</v>
      </c>
      <c r="H444" s="313" t="s">
        <v>1234</v>
      </c>
      <c r="I444" s="313" t="s">
        <v>1186</v>
      </c>
      <c r="K444" s="314">
        <f t="shared" si="54"/>
        <v>1881.3457717019537</v>
      </c>
      <c r="M444" s="314">
        <v>2000</v>
      </c>
      <c r="X444" s="313">
        <v>1881.3457717019537</v>
      </c>
    </row>
    <row r="445" spans="1:24" x14ac:dyDescent="0.25">
      <c r="A445" s="313">
        <v>1</v>
      </c>
      <c r="C445" s="313">
        <f t="shared" si="50"/>
        <v>3</v>
      </c>
      <c r="D445" s="313">
        <f t="shared" si="51"/>
        <v>1</v>
      </c>
      <c r="E445" s="313">
        <f t="shared" si="52"/>
        <v>15</v>
      </c>
      <c r="F445" s="313" t="str">
        <f t="shared" si="53"/>
        <v>sox</v>
      </c>
      <c r="G445" s="313" t="s">
        <v>530</v>
      </c>
      <c r="H445" s="313" t="s">
        <v>1235</v>
      </c>
      <c r="I445" s="313" t="s">
        <v>529</v>
      </c>
      <c r="K445" s="314">
        <f t="shared" si="54"/>
        <v>2122.1118164907834</v>
      </c>
      <c r="M445" s="314">
        <v>2000</v>
      </c>
      <c r="X445" s="313">
        <v>2122.1118164907834</v>
      </c>
    </row>
  </sheetData>
  <conditionalFormatting sqref="C264:F264 AJ428:IV431 A428:AG431 A434:AG435 AJ434:IV435 A442:AG442 AJ442:IV442 A446:AG65536 AJ446:IV65536">
    <cfRule type="expression" dxfId="585" priority="186">
      <formula>$E264=10</formula>
    </cfRule>
    <cfRule type="expression" dxfId="584" priority="187">
      <formula>$E264=11</formula>
    </cfRule>
    <cfRule type="expression" dxfId="583" priority="188">
      <formula>$E264=18</formula>
    </cfRule>
    <cfRule type="expression" dxfId="582" priority="189">
      <formula>$E264=17</formula>
    </cfRule>
    <cfRule type="expression" dxfId="581" priority="190">
      <formula>$E264=16</formula>
    </cfRule>
    <cfRule type="expression" dxfId="580" priority="191">
      <formula>$E264=15</formula>
    </cfRule>
    <cfRule type="expression" dxfId="579" priority="192">
      <formula>$E264=14</formula>
    </cfRule>
    <cfRule type="expression" dxfId="578" priority="193">
      <formula>$E264=13</formula>
    </cfRule>
    <cfRule type="expression" dxfId="577" priority="194">
      <formula>$E264=12</formula>
    </cfRule>
  </conditionalFormatting>
  <conditionalFormatting sqref="K2:K427">
    <cfRule type="expression" dxfId="576" priority="177">
      <formula>$E2=10</formula>
    </cfRule>
    <cfRule type="expression" dxfId="575" priority="178">
      <formula>$E2=11</formula>
    </cfRule>
    <cfRule type="expression" dxfId="574" priority="179">
      <formula>$E2=18</formula>
    </cfRule>
    <cfRule type="expression" dxfId="573" priority="180">
      <formula>$E2=17</formula>
    </cfRule>
    <cfRule type="expression" dxfId="572" priority="181">
      <formula>$E2=16</formula>
    </cfRule>
    <cfRule type="expression" dxfId="571" priority="182">
      <formula>$E2=15</formula>
    </cfRule>
    <cfRule type="expression" dxfId="570" priority="183">
      <formula>$E2=14</formula>
    </cfRule>
    <cfRule type="expression" dxfId="569" priority="184">
      <formula>$E2=13</formula>
    </cfRule>
    <cfRule type="expression" dxfId="568" priority="185">
      <formula>$E2=12</formula>
    </cfRule>
  </conditionalFormatting>
  <conditionalFormatting sqref="G1:I1">
    <cfRule type="containsText" dxfId="567" priority="293" operator="containsText" text="CSRA">
      <formula>NOT(ISERROR(SEARCH("CSRA",G1)))</formula>
    </cfRule>
  </conditionalFormatting>
  <conditionalFormatting sqref="AJ1:IV431 A1:AG431 A434:AG435 AJ434:IV435 A442:AG442 AJ442:IV442 A446:AG65536 AJ446:IV65536">
    <cfRule type="expression" dxfId="566" priority="285">
      <formula>$E1&lt;12</formula>
    </cfRule>
    <cfRule type="expression" dxfId="565" priority="286">
      <formula>$E1=18</formula>
    </cfRule>
    <cfRule type="expression" dxfId="564" priority="287">
      <formula>$E1=17</formula>
    </cfRule>
    <cfRule type="expression" dxfId="563" priority="288">
      <formula>$E1=16</formula>
    </cfRule>
    <cfRule type="expression" dxfId="562" priority="289">
      <formula>$E1=15</formula>
    </cfRule>
    <cfRule type="expression" dxfId="561" priority="290">
      <formula>$E1=14</formula>
    </cfRule>
    <cfRule type="expression" dxfId="560" priority="291">
      <formula>$E1=13</formula>
    </cfRule>
    <cfRule type="expression" dxfId="559" priority="292">
      <formula>$E1=12</formula>
    </cfRule>
  </conditionalFormatting>
  <conditionalFormatting sqref="AJ1:IV427 A1:AG427 R428:R431">
    <cfRule type="expression" dxfId="558" priority="276">
      <formula>$E1=10</formula>
    </cfRule>
    <cfRule type="expression" dxfId="557" priority="277">
      <formula>$E1=11</formula>
    </cfRule>
    <cfRule type="expression" dxfId="556" priority="278">
      <formula>$E1=18</formula>
    </cfRule>
    <cfRule type="expression" dxfId="555" priority="279">
      <formula>$E1=17</formula>
    </cfRule>
    <cfRule type="expression" dxfId="554" priority="280">
      <formula>$E1=16</formula>
    </cfRule>
    <cfRule type="expression" dxfId="553" priority="281">
      <formula>$E1=15</formula>
    </cfRule>
    <cfRule type="expression" dxfId="552" priority="282">
      <formula>$E1=14</formula>
    </cfRule>
    <cfRule type="expression" dxfId="551" priority="283">
      <formula>$E1=13</formula>
    </cfRule>
    <cfRule type="expression" dxfId="550" priority="284">
      <formula>$E1=12</formula>
    </cfRule>
  </conditionalFormatting>
  <conditionalFormatting sqref="A255:AG255 AK255:IV255">
    <cfRule type="expression" dxfId="549" priority="267">
      <formula>$E255=10</formula>
    </cfRule>
    <cfRule type="expression" dxfId="548" priority="268">
      <formula>$E255=11</formula>
    </cfRule>
    <cfRule type="expression" dxfId="547" priority="269">
      <formula>$E255=18</formula>
    </cfRule>
    <cfRule type="expression" dxfId="546" priority="270">
      <formula>$E255=17</formula>
    </cfRule>
    <cfRule type="expression" dxfId="545" priority="271">
      <formula>$E255=16</formula>
    </cfRule>
    <cfRule type="expression" dxfId="544" priority="272">
      <formula>$E255=15</formula>
    </cfRule>
    <cfRule type="expression" dxfId="543" priority="273">
      <formula>$E255=14</formula>
    </cfRule>
    <cfRule type="expression" dxfId="542" priority="274">
      <formula>$E255=13</formula>
    </cfRule>
    <cfRule type="expression" dxfId="541" priority="275">
      <formula>$E255=12</formula>
    </cfRule>
  </conditionalFormatting>
  <conditionalFormatting sqref="AK265:IV268 A265:AG268">
    <cfRule type="expression" dxfId="540" priority="258">
      <formula>$E265=10</formula>
    </cfRule>
    <cfRule type="expression" dxfId="539" priority="259">
      <formula>$E265=11</formula>
    </cfRule>
    <cfRule type="expression" dxfId="538" priority="260">
      <formula>$E265=18</formula>
    </cfRule>
    <cfRule type="expression" dxfId="537" priority="261">
      <formula>$E265=17</formula>
    </cfRule>
    <cfRule type="expression" dxfId="536" priority="262">
      <formula>$E265=16</formula>
    </cfRule>
    <cfRule type="expression" dxfId="535" priority="263">
      <formula>$E265=15</formula>
    </cfRule>
    <cfRule type="expression" dxfId="534" priority="264">
      <formula>$E265=14</formula>
    </cfRule>
    <cfRule type="expression" dxfId="533" priority="265">
      <formula>$E265=13</formula>
    </cfRule>
    <cfRule type="expression" dxfId="532" priority="266">
      <formula>$E265=12</formula>
    </cfRule>
  </conditionalFormatting>
  <conditionalFormatting sqref="A262:AG262 A261:F261 J261:AG261 H263 K263:AG263 A263:F263 AJ261:IV263">
    <cfRule type="expression" dxfId="531" priority="249">
      <formula>$E261=10</formula>
    </cfRule>
    <cfRule type="expression" dxfId="530" priority="250">
      <formula>$E261=11</formula>
    </cfRule>
    <cfRule type="expression" dxfId="529" priority="251">
      <formula>$E261=18</formula>
    </cfRule>
    <cfRule type="expression" dxfId="528" priority="252">
      <formula>$E261=17</formula>
    </cfRule>
    <cfRule type="expression" dxfId="527" priority="253">
      <formula>$E261=16</formula>
    </cfRule>
    <cfRule type="expression" dxfId="526" priority="254">
      <formula>$E261=15</formula>
    </cfRule>
    <cfRule type="expression" dxfId="525" priority="255">
      <formula>$E261=14</formula>
    </cfRule>
    <cfRule type="expression" dxfId="524" priority="256">
      <formula>$E261=13</formula>
    </cfRule>
    <cfRule type="expression" dxfId="523" priority="257">
      <formula>$E261=12</formula>
    </cfRule>
  </conditionalFormatting>
  <conditionalFormatting sqref="H261">
    <cfRule type="expression" dxfId="522" priority="240">
      <formula>$E261=10</formula>
    </cfRule>
    <cfRule type="expression" dxfId="521" priority="241">
      <formula>$E261=11</formula>
    </cfRule>
    <cfRule type="expression" dxfId="520" priority="242">
      <formula>$E261=18</formula>
    </cfRule>
    <cfRule type="expression" dxfId="519" priority="243">
      <formula>$E261=17</formula>
    </cfRule>
    <cfRule type="expression" dxfId="518" priority="244">
      <formula>$E261=16</formula>
    </cfRule>
    <cfRule type="expression" dxfId="517" priority="245">
      <formula>$E261=15</formula>
    </cfRule>
    <cfRule type="expression" dxfId="516" priority="246">
      <formula>$E261=14</formula>
    </cfRule>
    <cfRule type="expression" dxfId="515" priority="247">
      <formula>$E261=13</formula>
    </cfRule>
    <cfRule type="expression" dxfId="514" priority="248">
      <formula>$E261=12</formula>
    </cfRule>
  </conditionalFormatting>
  <conditionalFormatting sqref="A258:AG260 C261:F427 AJ258:IV260">
    <cfRule type="expression" dxfId="513" priority="231">
      <formula>$E258=10</formula>
    </cfRule>
    <cfRule type="expression" dxfId="512" priority="232">
      <formula>$E258=11</formula>
    </cfRule>
    <cfRule type="expression" dxfId="511" priority="233">
      <formula>$E258=18</formula>
    </cfRule>
    <cfRule type="expression" dxfId="510" priority="234">
      <formula>$E258=17</formula>
    </cfRule>
    <cfRule type="expression" dxfId="509" priority="235">
      <formula>$E258=16</formula>
    </cfRule>
    <cfRule type="expression" dxfId="508" priority="236">
      <formula>$E258=15</formula>
    </cfRule>
    <cfRule type="expression" dxfId="507" priority="237">
      <formula>$E258=14</formula>
    </cfRule>
    <cfRule type="expression" dxfId="506" priority="238">
      <formula>$E258=13</formula>
    </cfRule>
    <cfRule type="expression" dxfId="505" priority="239">
      <formula>$E258=12</formula>
    </cfRule>
  </conditionalFormatting>
  <conditionalFormatting sqref="A264:B264 J264 N264:AG264 L264 H264 AJ264:IV264">
    <cfRule type="expression" dxfId="504" priority="222">
      <formula>$E264=10</formula>
    </cfRule>
    <cfRule type="expression" dxfId="503" priority="223">
      <formula>$E264=11</formula>
    </cfRule>
    <cfRule type="expression" dxfId="502" priority="224">
      <formula>$E264=18</formula>
    </cfRule>
    <cfRule type="expression" dxfId="501" priority="225">
      <formula>$E264=17</formula>
    </cfRule>
    <cfRule type="expression" dxfId="500" priority="226">
      <formula>$E264=16</formula>
    </cfRule>
    <cfRule type="expression" dxfId="499" priority="227">
      <formula>$E264=15</formula>
    </cfRule>
    <cfRule type="expression" dxfId="498" priority="228">
      <formula>$E264=14</formula>
    </cfRule>
    <cfRule type="expression" dxfId="497" priority="229">
      <formula>$E264=13</formula>
    </cfRule>
    <cfRule type="expression" dxfId="496" priority="230">
      <formula>$E264=12</formula>
    </cfRule>
  </conditionalFormatting>
  <conditionalFormatting sqref="M264">
    <cfRule type="expression" dxfId="495" priority="213">
      <formula>$E264=10</formula>
    </cfRule>
    <cfRule type="expression" dxfId="494" priority="214">
      <formula>$E264=11</formula>
    </cfRule>
    <cfRule type="expression" dxfId="493" priority="215">
      <formula>$E264=18</formula>
    </cfRule>
    <cfRule type="expression" dxfId="492" priority="216">
      <formula>$E264=17</formula>
    </cfRule>
    <cfRule type="expression" dxfId="491" priority="217">
      <formula>$E264=16</formula>
    </cfRule>
    <cfRule type="expression" dxfId="490" priority="218">
      <formula>$E264=15</formula>
    </cfRule>
    <cfRule type="expression" dxfId="489" priority="219">
      <formula>$E264=14</formula>
    </cfRule>
    <cfRule type="expression" dxfId="488" priority="220">
      <formula>$E264=13</formula>
    </cfRule>
    <cfRule type="expression" dxfId="487" priority="221">
      <formula>$E264=12</formula>
    </cfRule>
  </conditionalFormatting>
  <conditionalFormatting sqref="K264">
    <cfRule type="expression" dxfId="486" priority="204">
      <formula>$E264=10</formula>
    </cfRule>
    <cfRule type="expression" dxfId="485" priority="205">
      <formula>$E264=11</formula>
    </cfRule>
    <cfRule type="expression" dxfId="484" priority="206">
      <formula>$E264=18</formula>
    </cfRule>
    <cfRule type="expression" dxfId="483" priority="207">
      <formula>$E264=17</formula>
    </cfRule>
    <cfRule type="expression" dxfId="482" priority="208">
      <formula>$E264=16</formula>
    </cfRule>
    <cfRule type="expression" dxfId="481" priority="209">
      <formula>$E264=15</formula>
    </cfRule>
    <cfRule type="expression" dxfId="480" priority="210">
      <formula>$E264=14</formula>
    </cfRule>
    <cfRule type="expression" dxfId="479" priority="211">
      <formula>$E264=13</formula>
    </cfRule>
    <cfRule type="expression" dxfId="478" priority="212">
      <formula>$E264=12</formula>
    </cfRule>
  </conditionalFormatting>
  <conditionalFormatting sqref="G264">
    <cfRule type="expression" dxfId="477" priority="195">
      <formula>$E264=10</formula>
    </cfRule>
    <cfRule type="expression" dxfId="476" priority="196">
      <formula>$E264=11</formula>
    </cfRule>
    <cfRule type="expression" dxfId="475" priority="197">
      <formula>$E264=18</formula>
    </cfRule>
    <cfRule type="expression" dxfId="474" priority="198">
      <formula>$E264=17</formula>
    </cfRule>
    <cfRule type="expression" dxfId="473" priority="199">
      <formula>$E264=16</formula>
    </cfRule>
    <cfRule type="expression" dxfId="472" priority="200">
      <formula>$E264=15</formula>
    </cfRule>
    <cfRule type="expression" dxfId="471" priority="201">
      <formula>$E264=14</formula>
    </cfRule>
    <cfRule type="expression" dxfId="470" priority="202">
      <formula>$E264=13</formula>
    </cfRule>
    <cfRule type="expression" dxfId="469" priority="203">
      <formula>$E264=12</formula>
    </cfRule>
  </conditionalFormatting>
  <conditionalFormatting sqref="C429:F431">
    <cfRule type="expression" dxfId="468" priority="168">
      <formula>$E429=10</formula>
    </cfRule>
    <cfRule type="expression" dxfId="467" priority="169">
      <formula>$E429=11</formula>
    </cfRule>
    <cfRule type="expression" dxfId="466" priority="170">
      <formula>$E429=18</formula>
    </cfRule>
    <cfRule type="expression" dxfId="465" priority="171">
      <formula>$E429=17</formula>
    </cfRule>
    <cfRule type="expression" dxfId="464" priority="172">
      <formula>$E429=16</formula>
    </cfRule>
    <cfRule type="expression" dxfId="463" priority="173">
      <formula>$E429=15</formula>
    </cfRule>
    <cfRule type="expression" dxfId="462" priority="174">
      <formula>$E429=14</formula>
    </cfRule>
    <cfRule type="expression" dxfId="461" priority="175">
      <formula>$E429=13</formula>
    </cfRule>
    <cfRule type="expression" dxfId="460" priority="176">
      <formula>$E429=12</formula>
    </cfRule>
  </conditionalFormatting>
  <conditionalFormatting sqref="C429:F431">
    <cfRule type="expression" dxfId="459" priority="159">
      <formula>$E429=10</formula>
    </cfRule>
    <cfRule type="expression" dxfId="458" priority="160">
      <formula>$E429=11</formula>
    </cfRule>
    <cfRule type="expression" dxfId="457" priority="161">
      <formula>$E429=18</formula>
    </cfRule>
    <cfRule type="expression" dxfId="456" priority="162">
      <formula>$E429=17</formula>
    </cfRule>
    <cfRule type="expression" dxfId="455" priority="163">
      <formula>$E429=16</formula>
    </cfRule>
    <cfRule type="expression" dxfId="454" priority="164">
      <formula>$E429=15</formula>
    </cfRule>
    <cfRule type="expression" dxfId="453" priority="165">
      <formula>$E429=14</formula>
    </cfRule>
    <cfRule type="expression" dxfId="452" priority="166">
      <formula>$E429=13</formula>
    </cfRule>
    <cfRule type="expression" dxfId="451" priority="167">
      <formula>$E429=12</formula>
    </cfRule>
  </conditionalFormatting>
  <conditionalFormatting sqref="K429:K431">
    <cfRule type="expression" dxfId="450" priority="141">
      <formula>$E429=10</formula>
    </cfRule>
    <cfRule type="expression" dxfId="449" priority="142">
      <formula>$E429=11</formula>
    </cfRule>
    <cfRule type="expression" dxfId="448" priority="143">
      <formula>$E429=18</formula>
    </cfRule>
    <cfRule type="expression" dxfId="447" priority="144">
      <formula>$E429=17</formula>
    </cfRule>
    <cfRule type="expression" dxfId="446" priority="145">
      <formula>$E429=16</formula>
    </cfRule>
    <cfRule type="expression" dxfId="445" priority="146">
      <formula>$E429=15</formula>
    </cfRule>
    <cfRule type="expression" dxfId="444" priority="147">
      <formula>$E429=14</formula>
    </cfRule>
    <cfRule type="expression" dxfId="443" priority="148">
      <formula>$E429=13</formula>
    </cfRule>
    <cfRule type="expression" dxfId="442" priority="149">
      <formula>$E429=12</formula>
    </cfRule>
  </conditionalFormatting>
  <conditionalFormatting sqref="H429:M431">
    <cfRule type="expression" dxfId="441" priority="150">
      <formula>$E429=10</formula>
    </cfRule>
    <cfRule type="expression" dxfId="440" priority="151">
      <formula>$E429=11</formula>
    </cfRule>
    <cfRule type="expression" dxfId="439" priority="152">
      <formula>$E429=18</formula>
    </cfRule>
    <cfRule type="expression" dxfId="438" priority="153">
      <formula>$E429=17</formula>
    </cfRule>
    <cfRule type="expression" dxfId="437" priority="154">
      <formula>$E429=16</formula>
    </cfRule>
    <cfRule type="expression" dxfId="436" priority="155">
      <formula>$E429=15</formula>
    </cfRule>
    <cfRule type="expression" dxfId="435" priority="156">
      <formula>$E429=14</formula>
    </cfRule>
    <cfRule type="expression" dxfId="434" priority="157">
      <formula>$E429=13</formula>
    </cfRule>
    <cfRule type="expression" dxfId="433" priority="158">
      <formula>$E429=12</formula>
    </cfRule>
  </conditionalFormatting>
  <conditionalFormatting sqref="AJ432:IV432 A432:AG432">
    <cfRule type="expression" dxfId="432" priority="124">
      <formula>$E432=10</formula>
    </cfRule>
    <cfRule type="expression" dxfId="431" priority="125">
      <formula>$E432=11</formula>
    </cfRule>
    <cfRule type="expression" dxfId="430" priority="126">
      <formula>$E432=18</formula>
    </cfRule>
    <cfRule type="expression" dxfId="429" priority="127">
      <formula>$E432=17</formula>
    </cfRule>
    <cfRule type="expression" dxfId="428" priority="128">
      <formula>$E432=16</formula>
    </cfRule>
    <cfRule type="expression" dxfId="427" priority="129">
      <formula>$E432=15</formula>
    </cfRule>
    <cfRule type="expression" dxfId="426" priority="130">
      <formula>$E432=14</formula>
    </cfRule>
    <cfRule type="expression" dxfId="425" priority="131">
      <formula>$E432=13</formula>
    </cfRule>
    <cfRule type="expression" dxfId="424" priority="132">
      <formula>$E432=12</formula>
    </cfRule>
  </conditionalFormatting>
  <conditionalFormatting sqref="K432">
    <cfRule type="expression" dxfId="423" priority="106">
      <formula>$E432=10</formula>
    </cfRule>
    <cfRule type="expression" dxfId="422" priority="107">
      <formula>$E432=11</formula>
    </cfRule>
    <cfRule type="expression" dxfId="421" priority="108">
      <formula>$E432=18</formula>
    </cfRule>
    <cfRule type="expression" dxfId="420" priority="109">
      <formula>$E432=17</formula>
    </cfRule>
    <cfRule type="expression" dxfId="419" priority="110">
      <formula>$E432=16</formula>
    </cfRule>
    <cfRule type="expression" dxfId="418" priority="111">
      <formula>$E432=15</formula>
    </cfRule>
    <cfRule type="expression" dxfId="417" priority="112">
      <formula>$E432=14</formula>
    </cfRule>
    <cfRule type="expression" dxfId="416" priority="113">
      <formula>$E432=13</formula>
    </cfRule>
    <cfRule type="expression" dxfId="415" priority="114">
      <formula>$E432=12</formula>
    </cfRule>
  </conditionalFormatting>
  <conditionalFormatting sqref="C432:F432">
    <cfRule type="expression" dxfId="414" priority="115">
      <formula>$E432=10</formula>
    </cfRule>
    <cfRule type="expression" dxfId="413" priority="116">
      <formula>$E432=11</formula>
    </cfRule>
    <cfRule type="expression" dxfId="412" priority="117">
      <formula>$E432=18</formula>
    </cfRule>
    <cfRule type="expression" dxfId="411" priority="118">
      <formula>$E432=17</formula>
    </cfRule>
    <cfRule type="expression" dxfId="410" priority="119">
      <formula>$E432=16</formula>
    </cfRule>
    <cfRule type="expression" dxfId="409" priority="120">
      <formula>$E432=15</formula>
    </cfRule>
    <cfRule type="expression" dxfId="408" priority="121">
      <formula>$E432=14</formula>
    </cfRule>
    <cfRule type="expression" dxfId="407" priority="122">
      <formula>$E432=13</formula>
    </cfRule>
    <cfRule type="expression" dxfId="406" priority="123">
      <formula>$E432=12</formula>
    </cfRule>
  </conditionalFormatting>
  <conditionalFormatting sqref="AJ432:IV432 A432:AG432">
    <cfRule type="expression" dxfId="405" priority="133">
      <formula>$E432&lt;12</formula>
    </cfRule>
    <cfRule type="expression" dxfId="404" priority="134">
      <formula>$E432=18</formula>
    </cfRule>
    <cfRule type="expression" dxfId="403" priority="135">
      <formula>$E432=17</formula>
    </cfRule>
    <cfRule type="expression" dxfId="402" priority="136">
      <formula>$E432=16</formula>
    </cfRule>
    <cfRule type="expression" dxfId="401" priority="137">
      <formula>$E432=15</formula>
    </cfRule>
    <cfRule type="expression" dxfId="400" priority="138">
      <formula>$E432=14</formula>
    </cfRule>
    <cfRule type="expression" dxfId="399" priority="139">
      <formula>$E432=13</formula>
    </cfRule>
    <cfRule type="expression" dxfId="398" priority="140">
      <formula>$E432=12</formula>
    </cfRule>
  </conditionalFormatting>
  <conditionalFormatting sqref="C433:F433">
    <cfRule type="expression" dxfId="397" priority="80">
      <formula>$E433=10</formula>
    </cfRule>
    <cfRule type="expression" dxfId="396" priority="81">
      <formula>$E433=11</formula>
    </cfRule>
    <cfRule type="expression" dxfId="395" priority="82">
      <formula>$E433=18</formula>
    </cfRule>
    <cfRule type="expression" dxfId="394" priority="83">
      <formula>$E433=17</formula>
    </cfRule>
    <cfRule type="expression" dxfId="393" priority="84">
      <formula>$E433=16</formula>
    </cfRule>
    <cfRule type="expression" dxfId="392" priority="85">
      <formula>$E433=15</formula>
    </cfRule>
    <cfRule type="expression" dxfId="391" priority="86">
      <formula>$E433=14</formula>
    </cfRule>
    <cfRule type="expression" dxfId="390" priority="87">
      <formula>$E433=13</formula>
    </cfRule>
    <cfRule type="expression" dxfId="389" priority="88">
      <formula>$E433=12</formula>
    </cfRule>
  </conditionalFormatting>
  <conditionalFormatting sqref="K433">
    <cfRule type="expression" dxfId="388" priority="71">
      <formula>$E433=10</formula>
    </cfRule>
    <cfRule type="expression" dxfId="387" priority="72">
      <formula>$E433=11</formula>
    </cfRule>
    <cfRule type="expression" dxfId="386" priority="73">
      <formula>$E433=18</formula>
    </cfRule>
    <cfRule type="expression" dxfId="385" priority="74">
      <formula>$E433=17</formula>
    </cfRule>
    <cfRule type="expression" dxfId="384" priority="75">
      <formula>$E433=16</formula>
    </cfRule>
    <cfRule type="expression" dxfId="383" priority="76">
      <formula>$E433=15</formula>
    </cfRule>
    <cfRule type="expression" dxfId="382" priority="77">
      <formula>$E433=14</formula>
    </cfRule>
    <cfRule type="expression" dxfId="381" priority="78">
      <formula>$E433=13</formula>
    </cfRule>
    <cfRule type="expression" dxfId="380" priority="79">
      <formula>$E433=12</formula>
    </cfRule>
  </conditionalFormatting>
  <conditionalFormatting sqref="AJ433:IV433 A433:AG433">
    <cfRule type="expression" dxfId="379" priority="98">
      <formula>$E433&lt;12</formula>
    </cfRule>
    <cfRule type="expression" dxfId="378" priority="99">
      <formula>$E433=18</formula>
    </cfRule>
    <cfRule type="expression" dxfId="377" priority="100">
      <formula>$E433=17</formula>
    </cfRule>
    <cfRule type="expression" dxfId="376" priority="101">
      <formula>$E433=16</formula>
    </cfRule>
    <cfRule type="expression" dxfId="375" priority="102">
      <formula>$E433=15</formula>
    </cfRule>
    <cfRule type="expression" dxfId="374" priority="103">
      <formula>$E433=14</formula>
    </cfRule>
    <cfRule type="expression" dxfId="373" priority="104">
      <formula>$E433=13</formula>
    </cfRule>
    <cfRule type="expression" dxfId="372" priority="105">
      <formula>$E433=12</formula>
    </cfRule>
  </conditionalFormatting>
  <conditionalFormatting sqref="AJ433:IV433 A433:AG433">
    <cfRule type="expression" dxfId="371" priority="89">
      <formula>$E433=10</formula>
    </cfRule>
    <cfRule type="expression" dxfId="370" priority="90">
      <formula>$E433=11</formula>
    </cfRule>
    <cfRule type="expression" dxfId="369" priority="91">
      <formula>$E433=18</formula>
    </cfRule>
    <cfRule type="expression" dxfId="368" priority="92">
      <formula>$E433=17</formula>
    </cfRule>
    <cfRule type="expression" dxfId="367" priority="93">
      <formula>$E433=16</formula>
    </cfRule>
    <cfRule type="expression" dxfId="366" priority="94">
      <formula>$E433=15</formula>
    </cfRule>
    <cfRule type="expression" dxfId="365" priority="95">
      <formula>$E433=14</formula>
    </cfRule>
    <cfRule type="expression" dxfId="364" priority="96">
      <formula>$E433=13</formula>
    </cfRule>
    <cfRule type="expression" dxfId="363" priority="97">
      <formula>$E433=12</formula>
    </cfRule>
  </conditionalFormatting>
  <conditionalFormatting sqref="K436:K441">
    <cfRule type="expression" dxfId="362" priority="36">
      <formula>$E436=10</formula>
    </cfRule>
    <cfRule type="expression" dxfId="361" priority="37">
      <formula>$E436=11</formula>
    </cfRule>
    <cfRule type="expression" dxfId="360" priority="38">
      <formula>$E436=18</formula>
    </cfRule>
    <cfRule type="expression" dxfId="359" priority="39">
      <formula>$E436=17</formula>
    </cfRule>
    <cfRule type="expression" dxfId="358" priority="40">
      <formula>$E436=16</formula>
    </cfRule>
    <cfRule type="expression" dxfId="357" priority="41">
      <formula>$E436=15</formula>
    </cfRule>
    <cfRule type="expression" dxfId="356" priority="42">
      <formula>$E436=14</formula>
    </cfRule>
    <cfRule type="expression" dxfId="355" priority="43">
      <formula>$E436=13</formula>
    </cfRule>
    <cfRule type="expression" dxfId="354" priority="44">
      <formula>$E436=12</formula>
    </cfRule>
  </conditionalFormatting>
  <conditionalFormatting sqref="C436:F441">
    <cfRule type="expression" dxfId="353" priority="45">
      <formula>$E436=10</formula>
    </cfRule>
    <cfRule type="expression" dxfId="352" priority="46">
      <formula>$E436=11</formula>
    </cfRule>
    <cfRule type="expression" dxfId="351" priority="47">
      <formula>$E436=18</formula>
    </cfRule>
    <cfRule type="expression" dxfId="350" priority="48">
      <formula>$E436=17</formula>
    </cfRule>
    <cfRule type="expression" dxfId="349" priority="49">
      <formula>$E436=16</formula>
    </cfRule>
    <cfRule type="expression" dxfId="348" priority="50">
      <formula>$E436=15</formula>
    </cfRule>
    <cfRule type="expression" dxfId="347" priority="51">
      <formula>$E436=14</formula>
    </cfRule>
    <cfRule type="expression" dxfId="346" priority="52">
      <formula>$E436=13</formula>
    </cfRule>
    <cfRule type="expression" dxfId="345" priority="53">
      <formula>$E436=12</formula>
    </cfRule>
  </conditionalFormatting>
  <conditionalFormatting sqref="AJ436:IV441 A436:AG441">
    <cfRule type="expression" dxfId="344" priority="63">
      <formula>$E436&lt;12</formula>
    </cfRule>
    <cfRule type="expression" dxfId="343" priority="64">
      <formula>$E436=18</formula>
    </cfRule>
    <cfRule type="expression" dxfId="342" priority="65">
      <formula>$E436=17</formula>
    </cfRule>
    <cfRule type="expression" dxfId="341" priority="66">
      <formula>$E436=16</formula>
    </cfRule>
    <cfRule type="expression" dxfId="340" priority="67">
      <formula>$E436=15</formula>
    </cfRule>
    <cfRule type="expression" dxfId="339" priority="68">
      <formula>$E436=14</formula>
    </cfRule>
    <cfRule type="expression" dxfId="338" priority="69">
      <formula>$E436=13</formula>
    </cfRule>
    <cfRule type="expression" dxfId="337" priority="70">
      <formula>$E436=12</formula>
    </cfRule>
  </conditionalFormatting>
  <conditionalFormatting sqref="AJ436:IV441 A436:AG441">
    <cfRule type="expression" dxfId="336" priority="54">
      <formula>$E436=10</formula>
    </cfRule>
    <cfRule type="expression" dxfId="335" priority="55">
      <formula>$E436=11</formula>
    </cfRule>
    <cfRule type="expression" dxfId="334" priority="56">
      <formula>$E436=18</formula>
    </cfRule>
    <cfRule type="expression" dxfId="333" priority="57">
      <formula>$E436=17</formula>
    </cfRule>
    <cfRule type="expression" dxfId="332" priority="58">
      <formula>$E436=16</formula>
    </cfRule>
    <cfRule type="expression" dxfId="331" priority="59">
      <formula>$E436=15</formula>
    </cfRule>
    <cfRule type="expression" dxfId="330" priority="60">
      <formula>$E436=14</formula>
    </cfRule>
    <cfRule type="expression" dxfId="329" priority="61">
      <formula>$E436=13</formula>
    </cfRule>
    <cfRule type="expression" dxfId="328" priority="62">
      <formula>$E436=12</formula>
    </cfRule>
  </conditionalFormatting>
  <conditionalFormatting sqref="K443:K445">
    <cfRule type="expression" dxfId="327" priority="1">
      <formula>$E443=10</formula>
    </cfRule>
    <cfRule type="expression" dxfId="326" priority="2">
      <formula>$E443=11</formula>
    </cfRule>
    <cfRule type="expression" dxfId="325" priority="3">
      <formula>$E443=18</formula>
    </cfRule>
    <cfRule type="expression" dxfId="324" priority="4">
      <formula>$E443=17</formula>
    </cfRule>
    <cfRule type="expression" dxfId="323" priority="5">
      <formula>$E443=16</formula>
    </cfRule>
    <cfRule type="expression" dxfId="322" priority="6">
      <formula>$E443=15</formula>
    </cfRule>
    <cfRule type="expression" dxfId="321" priority="7">
      <formula>$E443=14</formula>
    </cfRule>
    <cfRule type="expression" dxfId="320" priority="8">
      <formula>$E443=13</formula>
    </cfRule>
    <cfRule type="expression" dxfId="319" priority="9">
      <formula>$E443=12</formula>
    </cfRule>
  </conditionalFormatting>
  <conditionalFormatting sqref="C443:F445">
    <cfRule type="expression" dxfId="318" priority="10">
      <formula>$E443=10</formula>
    </cfRule>
    <cfRule type="expression" dxfId="317" priority="11">
      <formula>$E443=11</formula>
    </cfRule>
    <cfRule type="expression" dxfId="316" priority="12">
      <formula>$E443=18</formula>
    </cfRule>
    <cfRule type="expression" dxfId="315" priority="13">
      <formula>$E443=17</formula>
    </cfRule>
    <cfRule type="expression" dxfId="314" priority="14">
      <formula>$E443=16</formula>
    </cfRule>
    <cfRule type="expression" dxfId="313" priority="15">
      <formula>$E443=15</formula>
    </cfRule>
    <cfRule type="expression" dxfId="312" priority="16">
      <formula>$E443=14</formula>
    </cfRule>
    <cfRule type="expression" dxfId="311" priority="17">
      <formula>$E443=13</formula>
    </cfRule>
    <cfRule type="expression" dxfId="310" priority="18">
      <formula>$E443=12</formula>
    </cfRule>
  </conditionalFormatting>
  <conditionalFormatting sqref="AJ443:IV445 A443:AG445">
    <cfRule type="expression" dxfId="309" priority="28">
      <formula>$E443&lt;12</formula>
    </cfRule>
    <cfRule type="expression" dxfId="308" priority="29">
      <formula>$E443=18</formula>
    </cfRule>
    <cfRule type="expression" dxfId="307" priority="30">
      <formula>$E443=17</formula>
    </cfRule>
    <cfRule type="expression" dxfId="306" priority="31">
      <formula>$E443=16</formula>
    </cfRule>
    <cfRule type="expression" dxfId="305" priority="32">
      <formula>$E443=15</formula>
    </cfRule>
    <cfRule type="expression" dxfId="304" priority="33">
      <formula>$E443=14</formula>
    </cfRule>
    <cfRule type="expression" dxfId="303" priority="34">
      <formula>$E443=13</formula>
    </cfRule>
    <cfRule type="expression" dxfId="302" priority="35">
      <formula>$E443=12</formula>
    </cfRule>
  </conditionalFormatting>
  <conditionalFormatting sqref="AJ443:IV445 A443:AG445">
    <cfRule type="expression" dxfId="301" priority="19">
      <formula>$E443=10</formula>
    </cfRule>
    <cfRule type="expression" dxfId="300" priority="20">
      <formula>$E443=11</formula>
    </cfRule>
    <cfRule type="expression" dxfId="299" priority="21">
      <formula>$E443=18</formula>
    </cfRule>
    <cfRule type="expression" dxfId="298" priority="22">
      <formula>$E443=17</formula>
    </cfRule>
    <cfRule type="expression" dxfId="297" priority="23">
      <formula>$E443=16</formula>
    </cfRule>
    <cfRule type="expression" dxfId="296" priority="24">
      <formula>$E443=15</formula>
    </cfRule>
    <cfRule type="expression" dxfId="295" priority="25">
      <formula>$E443=14</formula>
    </cfRule>
    <cfRule type="expression" dxfId="294" priority="26">
      <formula>$E443=13</formula>
    </cfRule>
    <cfRule type="expression" dxfId="293" priority="27">
      <formula>$E443=12</formula>
    </cfRule>
  </conditionalFormatting>
  <hyperlinks>
    <hyperlink ref="I152" r:id="rId1" display="https://aes1.advancedeventsystems.com/Event/Volleyball/EventTeamInfo.aspx?ZCruShzPjMGv6cuivzEZ3bdHnxan7utPe-38b2URl8mzU62jttSjG3kENzzLrFO5DJ2gC4tYCpITNOPe7kWQLp22OSbVlCGBuLUYcUJcvMs1mfXaIumiL4opmJlO0to20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33"/>
  <sheetViews>
    <sheetView workbookViewId="0">
      <pane ySplit="1" topLeftCell="A2" activePane="bottomLeft" state="frozen"/>
      <selection pane="bottomLeft" activeCell="G10" sqref="G10"/>
    </sheetView>
  </sheetViews>
  <sheetFormatPr defaultRowHeight="15" x14ac:dyDescent="0.25"/>
  <cols>
    <col min="1" max="2" width="2.42578125" style="313" customWidth="1"/>
    <col min="3" max="6" width="8.42578125" style="313" bestFit="1" customWidth="1"/>
    <col min="7" max="7" width="13.140625" style="313" bestFit="1" customWidth="1"/>
    <col min="8" max="8" width="28.85546875" style="313" bestFit="1" customWidth="1"/>
    <col min="9" max="9" width="25.85546875" style="313" bestFit="1" customWidth="1"/>
    <col min="10" max="10" width="6.140625" style="313" bestFit="1" customWidth="1"/>
    <col min="11" max="11" width="13.85546875" style="314" bestFit="1" customWidth="1"/>
    <col min="12" max="12" width="11.42578125" style="313" bestFit="1" customWidth="1"/>
    <col min="13" max="13" width="10" style="314" bestFit="1" customWidth="1"/>
    <col min="14" max="15" width="6.7109375" style="313" bestFit="1" customWidth="1"/>
    <col min="16" max="16" width="6.7109375" style="313" customWidth="1"/>
    <col min="17" max="17" width="7.7109375" style="313" bestFit="1" customWidth="1"/>
    <col min="18" max="18" width="8.42578125" style="313" bestFit="1" customWidth="1"/>
    <col min="19" max="19" width="7.7109375" style="313" bestFit="1" customWidth="1"/>
    <col min="20" max="20" width="6.7109375" style="313" bestFit="1" customWidth="1"/>
    <col min="21" max="23" width="7.7109375" style="313" bestFit="1" customWidth="1"/>
    <col min="24" max="24" width="6.7109375" style="313" bestFit="1" customWidth="1"/>
    <col min="25" max="27" width="7.7109375" style="313" bestFit="1" customWidth="1"/>
    <col min="28" max="33" width="9.140625" style="313"/>
    <col min="35" max="35" width="12" bestFit="1" customWidth="1"/>
    <col min="36" max="36" width="12" style="313" bestFit="1" customWidth="1"/>
    <col min="37" max="16384" width="9.140625" style="313"/>
  </cols>
  <sheetData>
    <row r="1" spans="1:35" s="1029" customFormat="1" ht="30" x14ac:dyDescent="0.25">
      <c r="A1" s="1029" t="s">
        <v>536</v>
      </c>
      <c r="C1" s="1029" t="s">
        <v>537</v>
      </c>
      <c r="D1" s="1029" t="s">
        <v>145</v>
      </c>
      <c r="E1" s="1029" t="s">
        <v>14</v>
      </c>
      <c r="F1" s="1029" t="s">
        <v>538</v>
      </c>
      <c r="G1" s="1029" t="s">
        <v>539</v>
      </c>
      <c r="H1" s="1029" t="s">
        <v>540</v>
      </c>
      <c r="I1" s="1029" t="s">
        <v>7</v>
      </c>
      <c r="K1" s="1030" t="s">
        <v>541</v>
      </c>
      <c r="M1" s="1030" t="s">
        <v>89</v>
      </c>
      <c r="N1" s="1031" t="s">
        <v>542</v>
      </c>
      <c r="O1" s="1031" t="s">
        <v>543</v>
      </c>
      <c r="P1" s="1031" t="s">
        <v>543</v>
      </c>
      <c r="Q1" s="1031" t="s">
        <v>544</v>
      </c>
      <c r="R1" s="1031"/>
      <c r="S1" s="1031" t="s">
        <v>545</v>
      </c>
      <c r="T1" s="1031" t="s">
        <v>546</v>
      </c>
      <c r="U1" s="1031" t="s">
        <v>547</v>
      </c>
      <c r="V1" s="1031" t="s">
        <v>548</v>
      </c>
      <c r="W1" s="1031" t="s">
        <v>549</v>
      </c>
      <c r="X1" s="1031" t="s">
        <v>550</v>
      </c>
      <c r="Y1" s="1031" t="s">
        <v>551</v>
      </c>
      <c r="Z1" s="1031" t="s">
        <v>552</v>
      </c>
      <c r="AA1" s="1031" t="s">
        <v>553</v>
      </c>
      <c r="AB1" s="1031" t="s">
        <v>554</v>
      </c>
      <c r="AH1"/>
      <c r="AI1"/>
    </row>
    <row r="2" spans="1:35" x14ac:dyDescent="0.25">
      <c r="A2" s="313">
        <v>3</v>
      </c>
      <c r="C2" s="313">
        <f>IF(E2=E1,C1+1,1)</f>
        <v>1</v>
      </c>
      <c r="D2" s="313">
        <f>IF(M2=M1,D1,C2)</f>
        <v>1</v>
      </c>
      <c r="E2" s="313">
        <f>10+VALUE(RIGHT(LEFT(G2,3),1))</f>
        <v>11</v>
      </c>
      <c r="F2" s="313" t="str">
        <f>RIGHT(G2,2) &amp; IF(A2&lt;2,"x","")</f>
        <v>pm</v>
      </c>
      <c r="G2" s="313" t="s">
        <v>290</v>
      </c>
      <c r="H2" s="313" t="s">
        <v>207</v>
      </c>
      <c r="I2" s="313" t="s">
        <v>476</v>
      </c>
      <c r="K2" s="314">
        <f>LOOKUP(1E+100,M2:AC2)</f>
        <v>1295.6142470840948</v>
      </c>
      <c r="M2" s="314">
        <v>1400</v>
      </c>
      <c r="R2" s="313" t="str">
        <f>IF(AND((J2="This"),(L2="Only")),VLOOKUP(G2,#REF!,7,FALSE),"")</f>
        <v/>
      </c>
      <c r="S2" s="313">
        <v>1437.9335235749238</v>
      </c>
      <c r="T2" s="313">
        <v>1369.8984600179906</v>
      </c>
      <c r="X2" s="313">
        <v>1295.6142470840948</v>
      </c>
    </row>
    <row r="3" spans="1:35" x14ac:dyDescent="0.25">
      <c r="A3" s="313">
        <v>3</v>
      </c>
      <c r="C3" s="313">
        <f>IF(E3=E2,C2+1,1)</f>
        <v>2</v>
      </c>
      <c r="D3" s="313">
        <f>IF(M3=M2,D2,C3)</f>
        <v>2</v>
      </c>
      <c r="E3" s="313">
        <f>10+VALUE(RIGHT(LEFT(G3,3),1))</f>
        <v>11</v>
      </c>
      <c r="F3" s="313" t="str">
        <f>RIGHT(G3,2) &amp; IF(A3&lt;2,"x","")</f>
        <v>pm</v>
      </c>
      <c r="G3" s="313" t="s">
        <v>558</v>
      </c>
      <c r="H3" s="313" t="s">
        <v>559</v>
      </c>
      <c r="I3" s="313" t="s">
        <v>560</v>
      </c>
      <c r="K3" s="314">
        <f>LOOKUP(1E+100,M3:AC3)</f>
        <v>1214.9940196953432</v>
      </c>
      <c r="M3" s="314">
        <v>1266.6666666666667</v>
      </c>
      <c r="R3" s="313" t="str">
        <f>IF(AND((J3="This"),(L3="Only")),VLOOKUP(G3,#REF!,7,FALSE),"")</f>
        <v/>
      </c>
      <c r="S3" s="313">
        <v>1214.9940196953432</v>
      </c>
    </row>
    <row r="4" spans="1:35" x14ac:dyDescent="0.25">
      <c r="A4" s="313">
        <v>4</v>
      </c>
      <c r="C4" s="313">
        <f>IF(E4=E3,C3+1,1)</f>
        <v>3</v>
      </c>
      <c r="D4" s="313">
        <f>IF(M4=M3,D3,C4)</f>
        <v>3</v>
      </c>
      <c r="E4" s="313">
        <f>10+VALUE(RIGHT(LEFT(G4,3),1))</f>
        <v>11</v>
      </c>
      <c r="F4" s="313" t="str">
        <f>RIGHT(G4,2) &amp; IF(A4&lt;2,"x","")</f>
        <v>pm</v>
      </c>
      <c r="G4" s="313" t="s">
        <v>567</v>
      </c>
      <c r="H4" s="313" t="s">
        <v>201</v>
      </c>
      <c r="I4" s="313" t="s">
        <v>568</v>
      </c>
      <c r="K4" s="314">
        <f>LOOKUP(1E+100,M4:AC4)</f>
        <v>1193.2734220466778</v>
      </c>
      <c r="M4" s="314">
        <v>1200</v>
      </c>
      <c r="R4" s="313" t="str">
        <f>IF(AND((J4="This"),(L4="Only")),VLOOKUP(G4,#REF!,7,FALSE),"")</f>
        <v/>
      </c>
      <c r="S4" s="313">
        <v>1226.8555378745032</v>
      </c>
      <c r="V4" s="313">
        <v>1230.6391901737691</v>
      </c>
      <c r="X4" s="313">
        <v>1193.2734220466778</v>
      </c>
    </row>
    <row r="5" spans="1:35" x14ac:dyDescent="0.25">
      <c r="A5" s="313">
        <v>4</v>
      </c>
      <c r="C5" s="313">
        <f>IF(E5=E4,C4+1,1)</f>
        <v>4</v>
      </c>
      <c r="D5" s="313">
        <f>IF(M5=M4,D4,C5)</f>
        <v>3</v>
      </c>
      <c r="E5" s="313">
        <f>10+VALUE(RIGHT(LEFT(G5,3),1))</f>
        <v>11</v>
      </c>
      <c r="F5" s="313" t="str">
        <f>RIGHT(G5,2) &amp; IF(A5&lt;2,"x","")</f>
        <v>pm</v>
      </c>
      <c r="G5" s="313" t="s">
        <v>563</v>
      </c>
      <c r="H5" s="313" t="s">
        <v>201</v>
      </c>
      <c r="I5" s="313" t="s">
        <v>564</v>
      </c>
      <c r="K5" s="314">
        <f>LOOKUP(1E+100,M5:AC5)</f>
        <v>1184.8124427571879</v>
      </c>
      <c r="M5" s="314">
        <v>1200</v>
      </c>
      <c r="R5" s="313" t="str">
        <f>IF(AND((J5="This"),(L5="Only")),VLOOKUP(G5,#REF!,7,FALSE),"")</f>
        <v/>
      </c>
      <c r="S5" s="313">
        <v>1165.8661889498064</v>
      </c>
      <c r="V5" s="313">
        <v>1199.3436780073632</v>
      </c>
      <c r="X5" s="313">
        <v>1184.8124427571879</v>
      </c>
    </row>
    <row r="6" spans="1:35" x14ac:dyDescent="0.25">
      <c r="A6" s="313">
        <v>4</v>
      </c>
      <c r="C6" s="313">
        <f>IF(E6=E5,C5+1,1)</f>
        <v>5</v>
      </c>
      <c r="D6" s="313">
        <f>IF(M6=M5,D5,C6)</f>
        <v>5</v>
      </c>
      <c r="E6" s="313">
        <f>10+VALUE(RIGHT(LEFT(G6,3),1))</f>
        <v>11</v>
      </c>
      <c r="F6" s="313" t="str">
        <f>RIGHT(G6,2) &amp; IF(A6&lt;2,"x","")</f>
        <v>pm</v>
      </c>
      <c r="G6" s="313" t="s">
        <v>374</v>
      </c>
      <c r="H6" s="313" t="s">
        <v>219</v>
      </c>
      <c r="I6" s="313" t="s">
        <v>373</v>
      </c>
      <c r="K6" s="314">
        <f>LOOKUP(1E+100,M6:AC6)</f>
        <v>1178.064106587741</v>
      </c>
      <c r="M6" s="314">
        <v>1300</v>
      </c>
      <c r="O6" s="313">
        <v>1220.3883471899449</v>
      </c>
      <c r="R6" s="313" t="str">
        <f>IF(AND((J6="This"),(L6="Only")),VLOOKUP(G6,#REF!,7,FALSE),"")</f>
        <v/>
      </c>
      <c r="S6" s="313">
        <v>1240.2255380634294</v>
      </c>
      <c r="V6" s="313">
        <v>1216.8565925282476</v>
      </c>
      <c r="X6" s="313">
        <v>1178.064106587741</v>
      </c>
    </row>
    <row r="7" spans="1:35" x14ac:dyDescent="0.25">
      <c r="A7" s="313">
        <v>4</v>
      </c>
      <c r="C7" s="313">
        <f>IF(E7=E6,C6+1,1)</f>
        <v>6</v>
      </c>
      <c r="D7" s="313">
        <f>IF(M7=M6,D6,C7)</f>
        <v>6</v>
      </c>
      <c r="E7" s="313">
        <f>10+VALUE(RIGHT(LEFT(G7,3),1))</f>
        <v>11</v>
      </c>
      <c r="F7" s="313" t="str">
        <f>RIGHT(G7,2) &amp; IF(A7&lt;2,"x","")</f>
        <v>pm</v>
      </c>
      <c r="G7" s="313" t="s">
        <v>565</v>
      </c>
      <c r="H7" s="313" t="s">
        <v>201</v>
      </c>
      <c r="I7" s="313" t="s">
        <v>566</v>
      </c>
      <c r="K7" s="314">
        <f>LOOKUP(1E+100,M7:AC7)</f>
        <v>1158.6168950584097</v>
      </c>
      <c r="M7" s="314">
        <v>1200</v>
      </c>
      <c r="R7" s="313" t="str">
        <f>IF(AND((J7="This"),(L7="Only")),VLOOKUP(G7,#REF!,7,FALSE),"")</f>
        <v/>
      </c>
      <c r="S7" s="313">
        <v>1176.0869382150693</v>
      </c>
      <c r="V7" s="313">
        <v>1233.3466974331975</v>
      </c>
      <c r="X7" s="313">
        <v>1158.6168950584097</v>
      </c>
    </row>
    <row r="8" spans="1:35" x14ac:dyDescent="0.25">
      <c r="A8" s="313">
        <v>3</v>
      </c>
      <c r="C8" s="313">
        <f>IF(E8=E7,C7+1,1)</f>
        <v>1</v>
      </c>
      <c r="D8" s="313">
        <f>IF(M8=M7,D7,C8)</f>
        <v>1</v>
      </c>
      <c r="E8" s="313">
        <f>10+VALUE(RIGHT(LEFT(G8,3),1))</f>
        <v>12</v>
      </c>
      <c r="F8" s="313" t="str">
        <f>RIGHT(G8,2) &amp; IF(A8&lt;2,"x","")</f>
        <v>pm</v>
      </c>
      <c r="G8" s="313" t="s">
        <v>479</v>
      </c>
      <c r="H8" s="313" t="s">
        <v>207</v>
      </c>
      <c r="I8" s="313" t="s">
        <v>478</v>
      </c>
      <c r="K8" s="314">
        <f>LOOKUP(1E+100,M8:AC8)</f>
        <v>1784.1908394018988</v>
      </c>
      <c r="M8" s="314">
        <v>1400</v>
      </c>
      <c r="O8" s="313">
        <v>1490.8936464090691</v>
      </c>
      <c r="R8" s="313" t="str">
        <f>IF(AND((J8="This"),(L8="Only")),VLOOKUP(G8,#REF!,7,FALSE),"")</f>
        <v/>
      </c>
      <c r="S8" s="313">
        <v>1597.0988941571195</v>
      </c>
      <c r="X8" s="313">
        <v>1784.1908394018988</v>
      </c>
    </row>
    <row r="9" spans="1:35" x14ac:dyDescent="0.25">
      <c r="A9" s="313">
        <v>3</v>
      </c>
      <c r="C9" s="313">
        <f>IF(E9=E8,C8+1,1)</f>
        <v>2</v>
      </c>
      <c r="D9" s="313">
        <f>IF(M9=M8,D8,C9)</f>
        <v>1</v>
      </c>
      <c r="E9" s="313">
        <f>10+VALUE(RIGHT(LEFT(G9,3),1))</f>
        <v>12</v>
      </c>
      <c r="F9" s="313" t="str">
        <f>RIGHT(G9,2) &amp; IF(A9&lt;2,"x","")</f>
        <v>pm</v>
      </c>
      <c r="G9" s="313" t="s">
        <v>224</v>
      </c>
      <c r="H9" s="313" t="s">
        <v>207</v>
      </c>
      <c r="I9" s="313" t="s">
        <v>477</v>
      </c>
      <c r="K9" s="314">
        <f>LOOKUP(1E+100,M9:AC9)</f>
        <v>1636.452085468107</v>
      </c>
      <c r="M9" s="314">
        <v>1400</v>
      </c>
      <c r="O9" s="313">
        <v>1474.9258546035371</v>
      </c>
      <c r="R9" s="313" t="str">
        <f>IF(AND((J9="This"),(L9="Only")),VLOOKUP(G9,#REF!,7,FALSE),"")</f>
        <v/>
      </c>
      <c r="S9" s="313">
        <v>1547.6054388640575</v>
      </c>
      <c r="X9" s="313">
        <v>1636.452085468107</v>
      </c>
    </row>
    <row r="10" spans="1:35" x14ac:dyDescent="0.25">
      <c r="A10" s="313">
        <v>4</v>
      </c>
      <c r="C10" s="313">
        <f>IF(E10=E9,C9+1,1)</f>
        <v>3</v>
      </c>
      <c r="D10" s="313">
        <f>IF(M10=M9,D9,C10)</f>
        <v>3</v>
      </c>
      <c r="E10" s="313">
        <f>10+VALUE(RIGHT(LEFT(G10,3),1))</f>
        <v>12</v>
      </c>
      <c r="F10" s="313" t="str">
        <f>RIGHT(G10,2) &amp; IF(A10&lt;2,"x","")</f>
        <v>pm</v>
      </c>
      <c r="G10" s="313" t="s">
        <v>584</v>
      </c>
      <c r="H10" s="313" t="s">
        <v>559</v>
      </c>
      <c r="I10" s="313" t="s">
        <v>585</v>
      </c>
      <c r="K10" s="314">
        <f>LOOKUP(1E+100,M10:AC10)</f>
        <v>1588.7121935660714</v>
      </c>
      <c r="M10" s="314">
        <v>1500</v>
      </c>
      <c r="R10" s="313" t="str">
        <f>IF(AND((J10="This"),(L10="Only")),VLOOKUP(G10,#REF!,7,FALSE),"")</f>
        <v/>
      </c>
      <c r="S10" s="313">
        <v>1588.7121935660714</v>
      </c>
    </row>
    <row r="11" spans="1:35" x14ac:dyDescent="0.25">
      <c r="A11" s="313">
        <v>4</v>
      </c>
      <c r="C11" s="313">
        <f>IF(E11=E10,C10+1,1)</f>
        <v>4</v>
      </c>
      <c r="D11" s="313">
        <f>IF(M11=M10,D10,C11)</f>
        <v>4</v>
      </c>
      <c r="E11" s="313">
        <f>10+VALUE(RIGHT(LEFT(G11,3),1))</f>
        <v>12</v>
      </c>
      <c r="F11" s="313" t="str">
        <f>RIGHT(G11,2) &amp; IF(A11&lt;2,"x","")</f>
        <v>pm</v>
      </c>
      <c r="G11" s="313" t="s">
        <v>580</v>
      </c>
      <c r="H11" s="313" t="s">
        <v>281</v>
      </c>
      <c r="I11" s="313" t="s">
        <v>581</v>
      </c>
      <c r="K11" s="314">
        <f>LOOKUP(1E+100,M11:AC11)</f>
        <v>1585.2104517597488</v>
      </c>
      <c r="M11" s="314">
        <v>1600</v>
      </c>
      <c r="R11" s="313" t="str">
        <f>IF(AND((J11="This"),(L11="Only")),VLOOKUP(G11,#REF!,7,FALSE),"")</f>
        <v/>
      </c>
      <c r="S11" s="313">
        <v>1594.5351714058854</v>
      </c>
      <c r="W11" s="313">
        <v>1585.2104517597488</v>
      </c>
    </row>
    <row r="12" spans="1:35" x14ac:dyDescent="0.25">
      <c r="A12" s="313">
        <v>4</v>
      </c>
      <c r="C12" s="313">
        <f>IF(E12=E11,C11+1,1)</f>
        <v>5</v>
      </c>
      <c r="D12" s="313">
        <f>IF(M12=M11,D11,C12)</f>
        <v>5</v>
      </c>
      <c r="E12" s="313">
        <f>10+VALUE(RIGHT(LEFT(G12,3),1))</f>
        <v>12</v>
      </c>
      <c r="F12" s="313" t="str">
        <f>RIGHT(G12,2) &amp; IF(A12&lt;2,"x","")</f>
        <v>pm</v>
      </c>
      <c r="G12" s="313" t="s">
        <v>590</v>
      </c>
      <c r="H12" s="313" t="s">
        <v>213</v>
      </c>
      <c r="I12" s="313" t="s">
        <v>591</v>
      </c>
      <c r="K12" s="314">
        <f>LOOKUP(1E+100,M12:AC12)</f>
        <v>1584.5549621974531</v>
      </c>
      <c r="M12" s="314">
        <v>1400</v>
      </c>
      <c r="O12" s="313">
        <v>1424.8014199287991</v>
      </c>
      <c r="R12" s="313" t="str">
        <f>IF(AND((J12="This"),(L12="Only")),VLOOKUP(G12,#REF!,7,FALSE),"")</f>
        <v/>
      </c>
      <c r="T12" s="313">
        <v>1531.814236061155</v>
      </c>
      <c r="V12" s="313">
        <v>1584.5549621974531</v>
      </c>
    </row>
    <row r="13" spans="1:35" x14ac:dyDescent="0.25">
      <c r="A13" s="313">
        <v>3</v>
      </c>
      <c r="C13" s="313">
        <f>IF(E13=E12,C12+1,1)</f>
        <v>6</v>
      </c>
      <c r="D13" s="313">
        <f>IF(M13=M12,D12,C13)</f>
        <v>5</v>
      </c>
      <c r="E13" s="313">
        <f>10+VALUE(RIGHT(LEFT(G13,3),1))</f>
        <v>12</v>
      </c>
      <c r="F13" s="313" t="str">
        <f>RIGHT(G13,2) &amp; IF(A13&lt;2,"x","")</f>
        <v>pm</v>
      </c>
      <c r="G13" s="313" t="s">
        <v>481</v>
      </c>
      <c r="H13" s="313" t="s">
        <v>207</v>
      </c>
      <c r="I13" s="313" t="s">
        <v>480</v>
      </c>
      <c r="K13" s="314">
        <f>LOOKUP(1E+100,M13:AC13)</f>
        <v>1577.5150270118809</v>
      </c>
      <c r="M13" s="314">
        <v>1400</v>
      </c>
      <c r="O13" s="313">
        <v>1470.8271049211355</v>
      </c>
      <c r="R13" s="313" t="str">
        <f>IF(AND((J13="This"),(L13="Only")),VLOOKUP(G13,#REF!,7,FALSE),"")</f>
        <v/>
      </c>
      <c r="S13" s="313">
        <v>1552.5217618694735</v>
      </c>
      <c r="X13" s="313">
        <v>1577.5150270118809</v>
      </c>
    </row>
    <row r="14" spans="1:35" x14ac:dyDescent="0.25">
      <c r="A14" s="313">
        <v>3</v>
      </c>
      <c r="C14" s="313">
        <f>IF(E14=E13,C13+1,1)</f>
        <v>7</v>
      </c>
      <c r="D14" s="313">
        <f>IF(M14=M13,D13,C14)</f>
        <v>7</v>
      </c>
      <c r="E14" s="313">
        <f>10+VALUE(RIGHT(LEFT(G14,3),1))</f>
        <v>12</v>
      </c>
      <c r="F14" s="313" t="str">
        <f>RIGHT(G14,2) &amp; IF(A14&lt;2,"x","")</f>
        <v>pm</v>
      </c>
      <c r="G14" s="313" t="s">
        <v>426</v>
      </c>
      <c r="H14" s="313" t="s">
        <v>207</v>
      </c>
      <c r="I14" s="313" t="s">
        <v>425</v>
      </c>
      <c r="K14" s="314">
        <f>LOOKUP(1E+100,M14:AC14)</f>
        <v>1514.8461190674018</v>
      </c>
      <c r="M14" s="314">
        <v>1600</v>
      </c>
      <c r="R14" s="313" t="str">
        <f>IF(AND((J14="This"),(L14="Only")),VLOOKUP(G14,#REF!,7,FALSE),"")</f>
        <v/>
      </c>
      <c r="S14" s="313">
        <v>1545.0658002022537</v>
      </c>
      <c r="T14" s="313">
        <v>1552.399145092096</v>
      </c>
      <c r="X14" s="313">
        <v>1514.8461190674018</v>
      </c>
    </row>
    <row r="15" spans="1:35" x14ac:dyDescent="0.25">
      <c r="A15" s="313">
        <v>4</v>
      </c>
      <c r="C15" s="313">
        <f>IF(E15=E14,C14+1,1)</f>
        <v>8</v>
      </c>
      <c r="D15" s="313">
        <f>IF(M15=M14,D14,C15)</f>
        <v>8</v>
      </c>
      <c r="E15" s="313">
        <f>10+VALUE(RIGHT(LEFT(G15,3),1))</f>
        <v>12</v>
      </c>
      <c r="F15" s="313" t="str">
        <f>RIGHT(G15,2) &amp; IF(A15&lt;2,"x","")</f>
        <v>pm</v>
      </c>
      <c r="G15" s="313" t="s">
        <v>291</v>
      </c>
      <c r="H15" s="313" t="s">
        <v>286</v>
      </c>
      <c r="I15" s="313" t="s">
        <v>517</v>
      </c>
      <c r="K15" s="314">
        <f>LOOKUP(1E+100,M15:AC15)</f>
        <v>1510.9885122956937</v>
      </c>
      <c r="M15" s="314">
        <v>1400</v>
      </c>
      <c r="R15" s="313" t="str">
        <f>IF(AND((J15="This"),(L15="Only")),VLOOKUP(G15,#REF!,7,FALSE),"")</f>
        <v/>
      </c>
      <c r="S15" s="313">
        <v>1481.9064108927323</v>
      </c>
      <c r="T15" s="313">
        <v>1482.7085948011659</v>
      </c>
      <c r="X15" s="313">
        <v>1510.9885122956937</v>
      </c>
    </row>
    <row r="16" spans="1:35" x14ac:dyDescent="0.25">
      <c r="A16" s="313">
        <v>3</v>
      </c>
      <c r="C16" s="313">
        <f>IF(E16=E15,C15+1,1)</f>
        <v>9</v>
      </c>
      <c r="D16" s="313">
        <f>IF(M16=M15,D15,C16)</f>
        <v>8</v>
      </c>
      <c r="E16" s="313">
        <f>10+VALUE(RIGHT(LEFT(G16,3),1))</f>
        <v>12</v>
      </c>
      <c r="F16" s="313" t="str">
        <f>RIGHT(G16,2) &amp; IF(A16&lt;2,"x","")</f>
        <v>pm</v>
      </c>
      <c r="G16" s="313" t="s">
        <v>595</v>
      </c>
      <c r="H16" s="313" t="s">
        <v>559</v>
      </c>
      <c r="I16" s="313" t="s">
        <v>596</v>
      </c>
      <c r="K16" s="314">
        <f>LOOKUP(1E+100,M16:AC16)</f>
        <v>1498.741500196315</v>
      </c>
      <c r="M16" s="314">
        <v>1400</v>
      </c>
      <c r="R16" s="313" t="str">
        <f>IF(AND((J16="This"),(L16="Only")),VLOOKUP(G16,#REF!,7,FALSE),"")</f>
        <v/>
      </c>
      <c r="V16" s="313">
        <v>1498.741500196315</v>
      </c>
    </row>
    <row r="17" spans="1:24" x14ac:dyDescent="0.25">
      <c r="A17" s="313">
        <v>2</v>
      </c>
      <c r="C17" s="313">
        <f>IF(E17=E16,C16+1,1)</f>
        <v>10</v>
      </c>
      <c r="D17" s="313">
        <f>IF(M17=M16,D16,C17)</f>
        <v>8</v>
      </c>
      <c r="E17" s="313">
        <f>10+VALUE(RIGHT(LEFT(G17,3),1))</f>
        <v>12</v>
      </c>
      <c r="F17" s="313" t="str">
        <f>RIGHT(G17,2) &amp; IF(A17&lt;2,"x","")</f>
        <v>pm</v>
      </c>
      <c r="G17" s="313" t="s">
        <v>472</v>
      </c>
      <c r="H17" s="313" t="s">
        <v>473</v>
      </c>
      <c r="I17" s="313" t="s">
        <v>471</v>
      </c>
      <c r="K17" s="314">
        <f>LOOKUP(1E+100,M17:AC17)</f>
        <v>1477.5353118598305</v>
      </c>
      <c r="M17" s="314">
        <v>1400</v>
      </c>
      <c r="R17" s="313" t="str">
        <f>IF(AND((J17="This"),(L17="Only")),VLOOKUP(G17,#REF!,7,FALSE),"")</f>
        <v/>
      </c>
      <c r="T17" s="313">
        <v>1457.5420336558111</v>
      </c>
      <c r="X17" s="313">
        <v>1477.5353118598305</v>
      </c>
    </row>
    <row r="18" spans="1:24" x14ac:dyDescent="0.25">
      <c r="A18" s="313">
        <v>5</v>
      </c>
      <c r="C18" s="313">
        <f>IF(E18=E17,C17+1,1)</f>
        <v>11</v>
      </c>
      <c r="D18" s="313">
        <f>IF(M18=M17,D17,C18)</f>
        <v>8</v>
      </c>
      <c r="E18" s="313">
        <f>10+VALUE(RIGHT(LEFT(G18,3),1))</f>
        <v>12</v>
      </c>
      <c r="F18" s="313" t="str">
        <f>RIGHT(G18,2) &amp; IF(A18&lt;2,"x","")</f>
        <v>pm</v>
      </c>
      <c r="G18" s="1032" t="s">
        <v>392</v>
      </c>
      <c r="H18" s="313" t="s">
        <v>393</v>
      </c>
      <c r="I18" s="313" t="s">
        <v>391</v>
      </c>
      <c r="K18" s="314">
        <f>LOOKUP(1E+100,M18:AC18)</f>
        <v>1476.2966030517014</v>
      </c>
      <c r="M18" s="314">
        <v>1400</v>
      </c>
      <c r="O18" s="313">
        <v>1359.8313547797393</v>
      </c>
      <c r="R18" s="313" t="str">
        <f>IF(AND((J18="This"),(L18="Only")),VLOOKUP(G18,#REF!,7,FALSE),"")</f>
        <v/>
      </c>
      <c r="S18" s="313">
        <v>1376.9109943231629</v>
      </c>
      <c r="T18" s="313">
        <v>1442.8319701170221</v>
      </c>
      <c r="X18" s="313">
        <v>1476.2966030517014</v>
      </c>
    </row>
    <row r="19" spans="1:24" x14ac:dyDescent="0.25">
      <c r="A19" s="313">
        <v>6</v>
      </c>
      <c r="C19" s="313">
        <f>IF(E19=E18,C18+1,1)</f>
        <v>12</v>
      </c>
      <c r="D19" s="313">
        <f>IF(M19=M18,D18,C19)</f>
        <v>12</v>
      </c>
      <c r="E19" s="313">
        <f>10+VALUE(RIGHT(LEFT(G19,3),1))</f>
        <v>12</v>
      </c>
      <c r="F19" s="313" t="str">
        <f>RIGHT(G19,2) &amp; IF(A19&lt;2,"x","")</f>
        <v>pm</v>
      </c>
      <c r="G19" s="313" t="s">
        <v>514</v>
      </c>
      <c r="H19" s="313" t="s">
        <v>216</v>
      </c>
      <c r="I19" s="313" t="s">
        <v>513</v>
      </c>
      <c r="K19" s="314">
        <f>LOOKUP(1E+100,M19:AC19)</f>
        <v>1464.6860920817701</v>
      </c>
      <c r="M19" s="314">
        <v>1366.6666666666667</v>
      </c>
      <c r="O19" s="313">
        <v>1368.846762184352</v>
      </c>
      <c r="R19" s="313" t="str">
        <f>IF(AND((J19="This"),(L19="Only")),VLOOKUP(G19,#REF!,7,FALSE),"")</f>
        <v/>
      </c>
      <c r="S19" s="313">
        <v>1343.7160524871026</v>
      </c>
      <c r="T19" s="313">
        <v>1420.369437083843</v>
      </c>
      <c r="V19" s="313">
        <v>1405.1025780622188</v>
      </c>
      <c r="X19" s="313">
        <v>1464.6860920817701</v>
      </c>
    </row>
    <row r="20" spans="1:24" x14ac:dyDescent="0.25">
      <c r="A20" s="313">
        <v>5</v>
      </c>
      <c r="C20" s="313">
        <f>IF(E20=E19,C19+1,1)</f>
        <v>13</v>
      </c>
      <c r="D20" s="313">
        <f>IF(M20=M19,D19,C20)</f>
        <v>13</v>
      </c>
      <c r="E20" s="313">
        <f>10+VALUE(RIGHT(LEFT(G20,3),1))</f>
        <v>12</v>
      </c>
      <c r="F20" s="313" t="str">
        <f>RIGHT(G20,2) &amp; IF(A20&lt;2,"x","")</f>
        <v>pm</v>
      </c>
      <c r="G20" s="313" t="s">
        <v>236</v>
      </c>
      <c r="H20" s="313" t="s">
        <v>204</v>
      </c>
      <c r="I20" s="313" t="s">
        <v>174</v>
      </c>
      <c r="K20" s="314">
        <f>LOOKUP(1E+100,M20:AC20)</f>
        <v>1440.949944070938</v>
      </c>
      <c r="M20" s="314">
        <v>1400</v>
      </c>
      <c r="R20" s="313" t="str">
        <f>IF(AND((J20="This"),(L20="Only")),VLOOKUP(G20,#REF!,7,FALSE),"")</f>
        <v/>
      </c>
      <c r="S20" s="313">
        <v>1439.3040279119832</v>
      </c>
      <c r="T20" s="313">
        <v>1410.8128235954669</v>
      </c>
      <c r="V20" s="313">
        <v>1428.9948068214296</v>
      </c>
      <c r="X20" s="313">
        <v>1440.949944070938</v>
      </c>
    </row>
    <row r="21" spans="1:24" x14ac:dyDescent="0.25">
      <c r="A21" s="313">
        <v>4</v>
      </c>
      <c r="C21" s="313">
        <f>IF(E21=E20,C20+1,1)</f>
        <v>14</v>
      </c>
      <c r="D21" s="313">
        <f>IF(M21=M20,D20,C21)</f>
        <v>14</v>
      </c>
      <c r="E21" s="313">
        <f>10+VALUE(RIGHT(LEFT(G21,3),1))</f>
        <v>12</v>
      </c>
      <c r="F21" s="313" t="str">
        <f>RIGHT(G21,2) &amp; IF(A21&lt;2,"x","")</f>
        <v>pm</v>
      </c>
      <c r="G21" s="313" t="s">
        <v>627</v>
      </c>
      <c r="H21" s="313" t="s">
        <v>201</v>
      </c>
      <c r="I21" s="313" t="s">
        <v>628</v>
      </c>
      <c r="K21" s="314">
        <f>LOOKUP(1E+100,M21:AC21)</f>
        <v>1434.2378988305024</v>
      </c>
      <c r="M21" s="314">
        <v>1200</v>
      </c>
      <c r="R21" s="313" t="str">
        <f>IF(AND((J21="This"),(L21="Only")),VLOOKUP(G21,#REF!,7,FALSE),"")</f>
        <v/>
      </c>
      <c r="S21" s="313">
        <v>1268.8246362009256</v>
      </c>
      <c r="V21" s="313">
        <v>1332.4149795123046</v>
      </c>
      <c r="X21" s="313">
        <v>1434.2378988305024</v>
      </c>
    </row>
    <row r="22" spans="1:24" x14ac:dyDescent="0.25">
      <c r="A22" s="313">
        <v>5</v>
      </c>
      <c r="C22" s="313">
        <f>IF(E22=E21,C21+1,1)</f>
        <v>15</v>
      </c>
      <c r="D22" s="313">
        <f>IF(M22=M21,D21,C22)</f>
        <v>15</v>
      </c>
      <c r="E22" s="313">
        <f>10+VALUE(RIGHT(LEFT(G22,3),1))</f>
        <v>12</v>
      </c>
      <c r="F22" s="313" t="str">
        <f>RIGHT(G22,2) &amp; IF(A22&lt;2,"x","")</f>
        <v>pm</v>
      </c>
      <c r="G22" s="313" t="s">
        <v>466</v>
      </c>
      <c r="H22" s="313" t="s">
        <v>201</v>
      </c>
      <c r="I22" s="313" t="s">
        <v>171</v>
      </c>
      <c r="K22" s="314">
        <f>LOOKUP(1E+100,M22:AC22)</f>
        <v>1431.4182354610773</v>
      </c>
      <c r="M22" s="314">
        <v>1400</v>
      </c>
      <c r="R22" s="313" t="str">
        <f>IF(AND((J22="This"),(L22="Only")),VLOOKUP(G22,#REF!,7,FALSE),"")</f>
        <v/>
      </c>
      <c r="S22" s="313">
        <v>1394.6922807192168</v>
      </c>
      <c r="T22" s="313">
        <v>1450.3242032415919</v>
      </c>
      <c r="V22" s="313">
        <v>1438.2606481323326</v>
      </c>
      <c r="X22" s="313">
        <v>1431.4182354610773</v>
      </c>
    </row>
    <row r="23" spans="1:24" x14ac:dyDescent="0.25">
      <c r="A23" s="313">
        <v>4</v>
      </c>
      <c r="C23" s="313">
        <f>IF(E23=E22,C22+1,1)</f>
        <v>16</v>
      </c>
      <c r="D23" s="313">
        <f>IF(M23=M22,D22,C23)</f>
        <v>15</v>
      </c>
      <c r="E23" s="313">
        <f>10+VALUE(RIGHT(LEFT(G23,3),1))</f>
        <v>12</v>
      </c>
      <c r="F23" s="313" t="str">
        <f>RIGHT(G23,2) &amp; IF(A23&lt;2,"x","")</f>
        <v>pm</v>
      </c>
      <c r="G23" s="313" t="s">
        <v>294</v>
      </c>
      <c r="H23" s="313" t="s">
        <v>182</v>
      </c>
      <c r="I23" s="313" t="s">
        <v>396</v>
      </c>
      <c r="K23" s="314">
        <f>LOOKUP(1E+100,M23:AC23)</f>
        <v>1419.8544811035597</v>
      </c>
      <c r="M23" s="314">
        <v>1400</v>
      </c>
      <c r="R23" s="313" t="str">
        <f>IF(AND((J23="This"),(L23="Only")),VLOOKUP(G23,#REF!,7,FALSE),"")</f>
        <v/>
      </c>
      <c r="S23" s="313">
        <v>1365.2789041780873</v>
      </c>
      <c r="T23" s="313">
        <v>1411.3842368219443</v>
      </c>
      <c r="X23" s="313">
        <v>1419.8544811035597</v>
      </c>
    </row>
    <row r="24" spans="1:24" x14ac:dyDescent="0.25">
      <c r="A24" s="313">
        <v>3</v>
      </c>
      <c r="C24" s="313">
        <f>IF(E24=E23,C23+1,1)</f>
        <v>17</v>
      </c>
      <c r="D24" s="313">
        <f>IF(M24=M23,D23,C24)</f>
        <v>15</v>
      </c>
      <c r="E24" s="313">
        <f>10+VALUE(RIGHT(LEFT(G24,3),1))</f>
        <v>12</v>
      </c>
      <c r="F24" s="313" t="str">
        <f>RIGHT(G24,2) &amp; IF(A24&lt;2,"x","")</f>
        <v>pm</v>
      </c>
      <c r="G24" s="313" t="s">
        <v>485</v>
      </c>
      <c r="H24" s="313" t="s">
        <v>207</v>
      </c>
      <c r="I24" s="313" t="s">
        <v>484</v>
      </c>
      <c r="K24" s="314">
        <f>LOOKUP(1E+100,M24:AC24)</f>
        <v>1396.3387625413409</v>
      </c>
      <c r="M24" s="314">
        <v>1400</v>
      </c>
      <c r="R24" s="313" t="str">
        <f>IF(AND((J24="This"),(L24="Only")),VLOOKUP(G24,#REF!,7,FALSE),"")</f>
        <v/>
      </c>
      <c r="S24" s="313">
        <v>1313.5677811716366</v>
      </c>
      <c r="T24" s="313">
        <v>1344.0894005280031</v>
      </c>
      <c r="X24" s="313">
        <v>1396.3387625413409</v>
      </c>
    </row>
    <row r="25" spans="1:24" x14ac:dyDescent="0.25">
      <c r="A25" s="313">
        <v>3</v>
      </c>
      <c r="C25" s="313">
        <f>IF(E25=E24,C24+1,1)</f>
        <v>18</v>
      </c>
      <c r="D25" s="313">
        <f>IF(M25=M24,D24,C25)</f>
        <v>15</v>
      </c>
      <c r="E25" s="313">
        <f>10+VALUE(RIGHT(LEFT(G25,3),1))</f>
        <v>12</v>
      </c>
      <c r="F25" s="313" t="str">
        <f>RIGHT(G25,2) &amp; IF(A25&lt;2,"x","")</f>
        <v>pm</v>
      </c>
      <c r="G25" s="313" t="s">
        <v>601</v>
      </c>
      <c r="H25" s="313" t="s">
        <v>559</v>
      </c>
      <c r="I25" s="313" t="s">
        <v>602</v>
      </c>
      <c r="K25" s="314">
        <f>LOOKUP(1E+100,M25:AC25)</f>
        <v>1392.8100796128085</v>
      </c>
      <c r="M25" s="314">
        <v>1400</v>
      </c>
      <c r="R25" s="313" t="str">
        <f>IF(AND((J25="This"),(L25="Only")),VLOOKUP(G25,#REF!,7,FALSE),"")</f>
        <v/>
      </c>
      <c r="V25" s="313">
        <v>1392.8100796128085</v>
      </c>
    </row>
    <row r="26" spans="1:24" x14ac:dyDescent="0.25">
      <c r="A26" s="313">
        <v>5</v>
      </c>
      <c r="C26" s="313">
        <f>IF(E26=E25,C25+1,1)</f>
        <v>19</v>
      </c>
      <c r="D26" s="313">
        <f>IF(M26=M25,D25,C26)</f>
        <v>15</v>
      </c>
      <c r="E26" s="313">
        <f>10+VALUE(RIGHT(LEFT(G26,3),1))</f>
        <v>12</v>
      </c>
      <c r="F26" s="313" t="str">
        <f>RIGHT(G26,2) &amp; IF(A26&lt;2,"x","")</f>
        <v>pm</v>
      </c>
      <c r="G26" s="313" t="s">
        <v>289</v>
      </c>
      <c r="H26" s="313" t="s">
        <v>211</v>
      </c>
      <c r="I26" s="313" t="s">
        <v>414</v>
      </c>
      <c r="K26" s="314">
        <f>LOOKUP(1E+100,M26:AC26)</f>
        <v>1389.2978929267476</v>
      </c>
      <c r="M26" s="314">
        <v>1400</v>
      </c>
      <c r="R26" s="313" t="str">
        <f>IF(AND((J26="This"),(L26="Only")),VLOOKUP(G26,#REF!,7,FALSE),"")</f>
        <v/>
      </c>
      <c r="S26" s="313">
        <v>1420.6812562153646</v>
      </c>
      <c r="T26" s="313">
        <v>1439.4176887113954</v>
      </c>
      <c r="X26" s="313">
        <v>1389.2978929267476</v>
      </c>
    </row>
    <row r="27" spans="1:24" x14ac:dyDescent="0.25">
      <c r="A27" s="313">
        <v>3</v>
      </c>
      <c r="C27" s="313">
        <f>IF(E27=E26,C26+1,1)</f>
        <v>20</v>
      </c>
      <c r="D27" s="313">
        <f>IF(M27=M26,D26,C27)</f>
        <v>15</v>
      </c>
      <c r="E27" s="313">
        <f>10+VALUE(RIGHT(LEFT(G27,3),1))</f>
        <v>12</v>
      </c>
      <c r="F27" s="313" t="str">
        <f>RIGHT(G27,2) &amp; IF(A27&lt;2,"x","")</f>
        <v>pm</v>
      </c>
      <c r="G27" s="313" t="s">
        <v>599</v>
      </c>
      <c r="H27" s="313" t="s">
        <v>559</v>
      </c>
      <c r="I27" s="313" t="s">
        <v>600</v>
      </c>
      <c r="K27" s="314">
        <f>LOOKUP(1E+100,M27:AC27)</f>
        <v>1363.4627166828639</v>
      </c>
      <c r="M27" s="314">
        <v>1400</v>
      </c>
      <c r="R27" s="313" t="str">
        <f>IF(AND((J27="This"),(L27="Only")),VLOOKUP(G27,#REF!,7,FALSE),"")</f>
        <v/>
      </c>
      <c r="S27" s="313">
        <v>1363.4627166828639</v>
      </c>
    </row>
    <row r="28" spans="1:24" x14ac:dyDescent="0.25">
      <c r="A28" s="313">
        <v>5</v>
      </c>
      <c r="C28" s="313">
        <f>IF(E28=E27,C27+1,1)</f>
        <v>21</v>
      </c>
      <c r="D28" s="313">
        <f>IF(M28=M27,D27,C28)</f>
        <v>15</v>
      </c>
      <c r="E28" s="313">
        <f>10+VALUE(RIGHT(LEFT(G28,3),1))</f>
        <v>12</v>
      </c>
      <c r="F28" s="313" t="str">
        <f>RIGHT(G28,2) &amp; IF(A28&lt;2,"x","")</f>
        <v>pm</v>
      </c>
      <c r="G28" s="313" t="s">
        <v>504</v>
      </c>
      <c r="H28" s="313" t="s">
        <v>505</v>
      </c>
      <c r="I28" s="313" t="s">
        <v>503</v>
      </c>
      <c r="K28" s="314">
        <f>LOOKUP(1E+100,M28:AC28)</f>
        <v>1362.8879663810731</v>
      </c>
      <c r="M28" s="314">
        <v>1400</v>
      </c>
      <c r="O28" s="313">
        <v>1317.0177436725585</v>
      </c>
      <c r="R28" s="313" t="str">
        <f>IF(AND((J28="This"),(L28="Only")),VLOOKUP(G28,#REF!,7,FALSE),"")</f>
        <v/>
      </c>
      <c r="T28" s="313">
        <v>1396.2263060585235</v>
      </c>
      <c r="V28" s="313">
        <v>1375.4433983168517</v>
      </c>
      <c r="X28" s="313">
        <v>1362.8879663810731</v>
      </c>
    </row>
    <row r="29" spans="1:24" x14ac:dyDescent="0.25">
      <c r="A29" s="313">
        <v>4</v>
      </c>
      <c r="C29" s="313">
        <f>IF(E29=E28,C28+1,1)</f>
        <v>22</v>
      </c>
      <c r="D29" s="313">
        <f>IF(M29=M28,D28,C29)</f>
        <v>15</v>
      </c>
      <c r="E29" s="313">
        <f>10+VALUE(RIGHT(LEFT(G29,3),1))</f>
        <v>12</v>
      </c>
      <c r="F29" s="313" t="str">
        <f>RIGHT(G29,2) &amp; IF(A29&lt;2,"x","")</f>
        <v>pm</v>
      </c>
      <c r="G29" s="313" t="s">
        <v>422</v>
      </c>
      <c r="H29" s="313" t="s">
        <v>235</v>
      </c>
      <c r="I29" s="313" t="s">
        <v>421</v>
      </c>
      <c r="K29" s="314">
        <f>LOOKUP(1E+100,M29:AC29)</f>
        <v>1348.0654211657343</v>
      </c>
      <c r="M29" s="314">
        <v>1400</v>
      </c>
      <c r="R29" s="313" t="str">
        <f>IF(AND((J29="This"),(L29="Only")),VLOOKUP(G29,#REF!,7,FALSE),"")</f>
        <v/>
      </c>
      <c r="T29" s="313">
        <v>1304.5564991499768</v>
      </c>
      <c r="V29" s="313">
        <v>1282.8814689298702</v>
      </c>
      <c r="X29" s="313">
        <v>1348.0654211657343</v>
      </c>
    </row>
    <row r="30" spans="1:24" x14ac:dyDescent="0.25">
      <c r="A30" s="313">
        <v>4</v>
      </c>
      <c r="C30" s="313">
        <f>IF(E30=E29,C29+1,1)</f>
        <v>23</v>
      </c>
      <c r="D30" s="313">
        <f>IF(M30=M29,D29,C30)</f>
        <v>15</v>
      </c>
      <c r="E30" s="313">
        <f>10+VALUE(RIGHT(LEFT(G30,3),1))</f>
        <v>12</v>
      </c>
      <c r="F30" s="313" t="str">
        <f>RIGHT(G30,2) &amp; IF(A30&lt;2,"x","")</f>
        <v>pm</v>
      </c>
      <c r="G30" s="313" t="s">
        <v>398</v>
      </c>
      <c r="H30" s="313" t="s">
        <v>182</v>
      </c>
      <c r="I30" s="313" t="s">
        <v>397</v>
      </c>
      <c r="K30" s="314">
        <f>LOOKUP(1E+100,M30:AC30)</f>
        <v>1347.9072899202179</v>
      </c>
      <c r="M30" s="314">
        <v>1400</v>
      </c>
      <c r="R30" s="313" t="str">
        <f>IF(AND((J30="This"),(L30="Only")),VLOOKUP(G30,#REF!,7,FALSE),"")</f>
        <v/>
      </c>
      <c r="S30" s="313">
        <v>1441.9714593347824</v>
      </c>
      <c r="T30" s="313">
        <v>1340.443133695343</v>
      </c>
      <c r="X30" s="313">
        <v>1347.9072899202179</v>
      </c>
    </row>
    <row r="31" spans="1:24" x14ac:dyDescent="0.25">
      <c r="A31" s="313">
        <v>3</v>
      </c>
      <c r="C31" s="313">
        <f>IF(E31=E30,C30+1,1)</f>
        <v>24</v>
      </c>
      <c r="D31" s="313">
        <f>IF(M31=M30,D30,C31)</f>
        <v>15</v>
      </c>
      <c r="E31" s="313">
        <f>10+VALUE(RIGHT(LEFT(G31,3),1))</f>
        <v>12</v>
      </c>
      <c r="F31" s="313" t="str">
        <f>RIGHT(G31,2) &amp; IF(A31&lt;2,"x","")</f>
        <v>pm</v>
      </c>
      <c r="G31" s="313" t="s">
        <v>483</v>
      </c>
      <c r="H31" s="313" t="s">
        <v>207</v>
      </c>
      <c r="I31" s="313" t="s">
        <v>482</v>
      </c>
      <c r="K31" s="314">
        <f>LOOKUP(1E+100,M31:AC31)</f>
        <v>1323.8787834707246</v>
      </c>
      <c r="M31" s="314">
        <v>1400</v>
      </c>
      <c r="R31" s="313" t="str">
        <f>IF(AND((J31="This"),(L31="Only")),VLOOKUP(G31,#REF!,7,FALSE),"")</f>
        <v/>
      </c>
      <c r="S31" s="313">
        <v>1395.3301340799349</v>
      </c>
      <c r="T31" s="313">
        <v>1314.8627941243271</v>
      </c>
      <c r="X31" s="313">
        <v>1323.8787834707246</v>
      </c>
    </row>
    <row r="32" spans="1:24" x14ac:dyDescent="0.25">
      <c r="A32" s="313">
        <v>3</v>
      </c>
      <c r="C32" s="313">
        <f>IF(E32=E31,C31+1,1)</f>
        <v>25</v>
      </c>
      <c r="D32" s="313">
        <f>IF(M32=M31,D31,C32)</f>
        <v>15</v>
      </c>
      <c r="E32" s="313">
        <f>10+VALUE(RIGHT(LEFT(G32,3),1))</f>
        <v>12</v>
      </c>
      <c r="F32" s="313" t="str">
        <f>RIGHT(G32,2) &amp; IF(A32&lt;2,"x","")</f>
        <v>pm</v>
      </c>
      <c r="G32" s="313" t="s">
        <v>597</v>
      </c>
      <c r="H32" s="313" t="s">
        <v>559</v>
      </c>
      <c r="I32" s="313" t="s">
        <v>598</v>
      </c>
      <c r="K32" s="314">
        <f>LOOKUP(1E+100,M32:AC32)</f>
        <v>1298.9950797310169</v>
      </c>
      <c r="M32" s="314">
        <v>1400</v>
      </c>
      <c r="R32" s="313" t="str">
        <f>IF(AND((J32="This"),(L32="Only")),VLOOKUP(G32,#REF!,7,FALSE),"")</f>
        <v/>
      </c>
      <c r="S32" s="313">
        <v>1298.9950797310169</v>
      </c>
    </row>
    <row r="33" spans="1:24" x14ac:dyDescent="0.25">
      <c r="A33" s="313">
        <v>4</v>
      </c>
      <c r="C33" s="313">
        <f>IF(E33=E32,C32+1,1)</f>
        <v>26</v>
      </c>
      <c r="D33" s="313">
        <f>IF(M33=M32,D32,C33)</f>
        <v>15</v>
      </c>
      <c r="E33" s="313">
        <f>10+VALUE(RIGHT(LEFT(G33,3),1))</f>
        <v>12</v>
      </c>
      <c r="F33" s="313" t="str">
        <f>RIGHT(G33,2) &amp; IF(A33&lt;2,"x","")</f>
        <v>pm</v>
      </c>
      <c r="G33" s="313" t="s">
        <v>250</v>
      </c>
      <c r="H33" s="313" t="s">
        <v>198</v>
      </c>
      <c r="I33" s="313" t="s">
        <v>173</v>
      </c>
      <c r="K33" s="314">
        <f>LOOKUP(1E+100,M33:AC33)</f>
        <v>1295.6475178966837</v>
      </c>
      <c r="M33" s="314">
        <v>1400</v>
      </c>
      <c r="R33" s="313" t="str">
        <f>IF(AND((J33="This"),(L33="Only")),VLOOKUP(G33,#REF!,7,FALSE),"")</f>
        <v/>
      </c>
      <c r="S33" s="313">
        <v>1339.4461517631892</v>
      </c>
      <c r="T33" s="313">
        <v>1354.0026826130036</v>
      </c>
      <c r="X33" s="313">
        <v>1295.6475178966837</v>
      </c>
    </row>
    <row r="34" spans="1:24" x14ac:dyDescent="0.25">
      <c r="A34" s="313">
        <v>2</v>
      </c>
      <c r="C34" s="313">
        <f>IF(E34=E33,C33+1,1)</f>
        <v>27</v>
      </c>
      <c r="D34" s="313">
        <f>IF(M34=M33,D33,C34)</f>
        <v>27</v>
      </c>
      <c r="E34" s="313">
        <f>10+VALUE(RIGHT(LEFT(G34,3),1))</f>
        <v>12</v>
      </c>
      <c r="F34" s="313" t="str">
        <f>RIGHT(G34,2) &amp; IF(A34&lt;2,"x","")</f>
        <v>pm</v>
      </c>
      <c r="G34" s="313" t="s">
        <v>620</v>
      </c>
      <c r="H34" s="313" t="s">
        <v>281</v>
      </c>
      <c r="I34" s="313" t="s">
        <v>621</v>
      </c>
      <c r="K34" s="314">
        <f>LOOKUP(1E+100,M34:AC34)</f>
        <v>1292.4729575643664</v>
      </c>
      <c r="M34" s="314">
        <v>1200</v>
      </c>
      <c r="R34" s="313" t="str">
        <f>IF(AND((J34="This"),(L34="Only")),VLOOKUP(G34,#REF!,7,FALSE),"")</f>
        <v/>
      </c>
      <c r="S34" s="313">
        <v>1177.5284599285887</v>
      </c>
      <c r="T34" s="313">
        <v>1231.7907169886246</v>
      </c>
      <c r="V34" s="313">
        <v>1252.9739815801377</v>
      </c>
      <c r="X34" s="313">
        <v>1292.4729575643664</v>
      </c>
    </row>
    <row r="35" spans="1:24" x14ac:dyDescent="0.25">
      <c r="A35" s="313">
        <v>3</v>
      </c>
      <c r="C35" s="313">
        <f>IF(E35=E34,C34+1,1)</f>
        <v>28</v>
      </c>
      <c r="D35" s="313">
        <f>IF(M35=M34,D34,C35)</f>
        <v>27</v>
      </c>
      <c r="E35" s="313">
        <f>10+VALUE(RIGHT(LEFT(G35,3),1))</f>
        <v>12</v>
      </c>
      <c r="F35" s="313" t="str">
        <f>RIGHT(G35,2) &amp; IF(A35&lt;2,"x","")</f>
        <v>pm</v>
      </c>
      <c r="G35" s="313" t="s">
        <v>618</v>
      </c>
      <c r="H35" s="313" t="s">
        <v>281</v>
      </c>
      <c r="I35" s="313" t="s">
        <v>619</v>
      </c>
      <c r="K35" s="314">
        <f>LOOKUP(1E+100,M35:AC35)</f>
        <v>1266.5976262521745</v>
      </c>
      <c r="M35" s="314">
        <v>1200</v>
      </c>
      <c r="R35" s="313" t="str">
        <f>IF(AND((J35="This"),(L35="Only")),VLOOKUP(G35,#REF!,7,FALSE),"")</f>
        <v/>
      </c>
      <c r="S35" s="313">
        <v>1222.3604297626539</v>
      </c>
      <c r="T35" s="313">
        <v>1250.6062258294207</v>
      </c>
      <c r="V35" s="313">
        <v>1293.6267294435881</v>
      </c>
      <c r="X35" s="313">
        <v>1266.5976262521745</v>
      </c>
    </row>
    <row r="36" spans="1:24" x14ac:dyDescent="0.25">
      <c r="A36" s="313">
        <v>4</v>
      </c>
      <c r="C36" s="313">
        <f>IF(E36=E35,C35+1,1)</f>
        <v>29</v>
      </c>
      <c r="D36" s="313">
        <f>IF(M36=M35,D35,C36)</f>
        <v>27</v>
      </c>
      <c r="E36" s="313">
        <f>10+VALUE(RIGHT(LEFT(G36,3),1))</f>
        <v>12</v>
      </c>
      <c r="F36" s="313" t="str">
        <f>RIGHT(G36,2) &amp; IF(A36&lt;2,"x","")</f>
        <v>pm</v>
      </c>
      <c r="G36" s="313" t="s">
        <v>251</v>
      </c>
      <c r="H36" s="313" t="s">
        <v>201</v>
      </c>
      <c r="I36" s="313" t="s">
        <v>626</v>
      </c>
      <c r="K36" s="314">
        <f>LOOKUP(1E+100,M36:AC36)</f>
        <v>1235.0933022219344</v>
      </c>
      <c r="M36" s="314">
        <v>1200</v>
      </c>
      <c r="R36" s="313" t="str">
        <f>IF(AND((J36="This"),(L36="Only")),VLOOKUP(G36,#REF!,7,FALSE),"")</f>
        <v/>
      </c>
      <c r="S36" s="313">
        <v>1210.0364093066682</v>
      </c>
      <c r="V36" s="313">
        <v>1206.7266798132362</v>
      </c>
      <c r="X36" s="313">
        <v>1235.0933022219344</v>
      </c>
    </row>
    <row r="37" spans="1:24" x14ac:dyDescent="0.25">
      <c r="A37" s="313">
        <v>3</v>
      </c>
      <c r="C37" s="313">
        <f>IF(E37=E36,C36+1,1)</f>
        <v>30</v>
      </c>
      <c r="D37" s="313">
        <f>IF(M37=M36,D36,C37)</f>
        <v>27</v>
      </c>
      <c r="E37" s="313">
        <f>10+VALUE(RIGHT(LEFT(G37,3),1))</f>
        <v>12</v>
      </c>
      <c r="F37" s="313" t="str">
        <f>RIGHT(G37,2) &amp; IF(A37&lt;2,"x","")</f>
        <v>pm</v>
      </c>
      <c r="G37" s="313" t="s">
        <v>610</v>
      </c>
      <c r="H37" s="313" t="s">
        <v>207</v>
      </c>
      <c r="I37" s="313" t="s">
        <v>611</v>
      </c>
      <c r="K37" s="314">
        <f>LOOKUP(1E+100,M37:AC37)</f>
        <v>1232.4333282362945</v>
      </c>
      <c r="M37" s="314">
        <v>1200</v>
      </c>
      <c r="R37" s="313" t="str">
        <f>IF(AND((J37="This"),(L37="Only")),VLOOKUP(G37,#REF!,7,FALSE),"")</f>
        <v/>
      </c>
      <c r="S37" s="313">
        <v>1198.7332252889023</v>
      </c>
      <c r="T37" s="313">
        <v>1207.2949680843783</v>
      </c>
      <c r="V37" s="313">
        <v>1232.4333282362945</v>
      </c>
    </row>
    <row r="38" spans="1:24" x14ac:dyDescent="0.25">
      <c r="A38" s="313">
        <v>4</v>
      </c>
      <c r="C38" s="313">
        <f>IF(E38=E37,C37+1,1)</f>
        <v>31</v>
      </c>
      <c r="D38" s="313">
        <f>IF(M38=M37,D37,C38)</f>
        <v>31</v>
      </c>
      <c r="E38" s="313">
        <f>10+VALUE(RIGHT(LEFT(G38,3),1))</f>
        <v>12</v>
      </c>
      <c r="F38" s="313" t="str">
        <f>RIGHT(G38,2) &amp; IF(A38&lt;2,"x","")</f>
        <v>pm</v>
      </c>
      <c r="G38" s="313" t="s">
        <v>475</v>
      </c>
      <c r="H38" s="313" t="s">
        <v>199</v>
      </c>
      <c r="I38" s="313" t="s">
        <v>474</v>
      </c>
      <c r="K38" s="314">
        <f>LOOKUP(1E+100,M38:AC38)</f>
        <v>1216.5369458560062</v>
      </c>
      <c r="M38" s="314">
        <v>1400</v>
      </c>
      <c r="R38" s="313" t="str">
        <f>IF(AND((J38="This"),(L38="Only")),VLOOKUP(G38,#REF!,7,FALSE),"")</f>
        <v/>
      </c>
      <c r="S38" s="313">
        <v>1296.3634893108842</v>
      </c>
      <c r="T38" s="313">
        <v>1221.8365208689011</v>
      </c>
      <c r="V38" s="313">
        <v>1182.3261223768773</v>
      </c>
      <c r="X38" s="313">
        <v>1216.5369458560062</v>
      </c>
    </row>
    <row r="39" spans="1:24" x14ac:dyDescent="0.25">
      <c r="A39" s="313">
        <v>2</v>
      </c>
      <c r="C39" s="313">
        <f>IF(E39=E38,C38+1,1)</f>
        <v>32</v>
      </c>
      <c r="D39" s="313">
        <f>IF(M39=M38,D38,C39)</f>
        <v>32</v>
      </c>
      <c r="E39" s="313">
        <f>10+VALUE(RIGHT(LEFT(G39,3),1))</f>
        <v>12</v>
      </c>
      <c r="F39" s="313" t="str">
        <f>RIGHT(G39,2) &amp; IF(A39&lt;2,"x","")</f>
        <v>pm</v>
      </c>
      <c r="G39" s="313" t="s">
        <v>622</v>
      </c>
      <c r="H39" s="313" t="s">
        <v>198</v>
      </c>
      <c r="I39" s="313" t="s">
        <v>623</v>
      </c>
      <c r="K39" s="314">
        <f>LOOKUP(1E+100,M39:AC39)</f>
        <v>1190.8699600920074</v>
      </c>
      <c r="M39" s="314">
        <v>1200</v>
      </c>
      <c r="R39" s="313" t="str">
        <f>IF(AND((J39="This"),(L39="Only")),VLOOKUP(G39,#REF!,7,FALSE),"")</f>
        <v/>
      </c>
      <c r="V39" s="313">
        <v>1190.8699600920074</v>
      </c>
    </row>
    <row r="40" spans="1:24" x14ac:dyDescent="0.25">
      <c r="A40" s="313">
        <v>6</v>
      </c>
      <c r="C40" s="313">
        <f>IF(E40=E39,C39+1,1)</f>
        <v>33</v>
      </c>
      <c r="D40" s="313">
        <f>IF(M40=M39,D39,C40)</f>
        <v>33</v>
      </c>
      <c r="E40" s="313">
        <f>10+VALUE(RIGHT(LEFT(G40,3),1))</f>
        <v>12</v>
      </c>
      <c r="F40" s="313" t="str">
        <f>RIGHT(G40,2) &amp; IF(A40&lt;2,"x","")</f>
        <v>pm</v>
      </c>
      <c r="G40" s="313" t="s">
        <v>410</v>
      </c>
      <c r="H40" s="313" t="s">
        <v>411</v>
      </c>
      <c r="I40" s="313" t="s">
        <v>409</v>
      </c>
      <c r="K40" s="314">
        <f>LOOKUP(1E+100,M40:AC40)</f>
        <v>1163.9840888221456</v>
      </c>
      <c r="M40" s="314">
        <v>1400</v>
      </c>
      <c r="O40" s="313">
        <v>1301.6735721662928</v>
      </c>
      <c r="R40" s="313" t="str">
        <f>IF(AND((J40="This"),(L40="Only")),VLOOKUP(G40,#REF!,7,FALSE),"")</f>
        <v/>
      </c>
      <c r="S40" s="313">
        <v>1246.3111984541233</v>
      </c>
      <c r="T40" s="313">
        <v>1226.0702313271092</v>
      </c>
      <c r="V40" s="313">
        <v>1172.8946927404108</v>
      </c>
      <c r="X40" s="313">
        <v>1163.9840888221456</v>
      </c>
    </row>
    <row r="41" spans="1:24" x14ac:dyDescent="0.25">
      <c r="A41" s="313">
        <v>3</v>
      </c>
      <c r="C41" s="313">
        <f>IF(E41=E40,C40+1,1)</f>
        <v>34</v>
      </c>
      <c r="D41" s="313">
        <f>IF(M41=M40,D40,C41)</f>
        <v>33</v>
      </c>
      <c r="E41" s="313">
        <f>10+VALUE(RIGHT(LEFT(G41,3),1))</f>
        <v>12</v>
      </c>
      <c r="F41" s="313" t="str">
        <f>RIGHT(G41,2) &amp; IF(A41&lt;2,"x","")</f>
        <v>pm</v>
      </c>
      <c r="G41" s="313" t="s">
        <v>293</v>
      </c>
      <c r="H41" s="313" t="s">
        <v>198</v>
      </c>
      <c r="I41" s="313" t="s">
        <v>292</v>
      </c>
      <c r="K41" s="314">
        <f>LOOKUP(1E+100,M41:AC41)</f>
        <v>1160.6389153145926</v>
      </c>
      <c r="M41" s="314">
        <v>1400</v>
      </c>
      <c r="R41" s="313" t="str">
        <f>IF(AND((J41="This"),(L41="Only")),VLOOKUP(G41,#REF!,7,FALSE),"")</f>
        <v/>
      </c>
      <c r="T41" s="313">
        <v>1262.2688698980021</v>
      </c>
      <c r="X41" s="313">
        <v>1160.6389153145926</v>
      </c>
    </row>
    <row r="42" spans="1:24" x14ac:dyDescent="0.25">
      <c r="A42" s="313">
        <v>3</v>
      </c>
      <c r="C42" s="313">
        <f>IF(E42=E41,C41+1,1)</f>
        <v>35</v>
      </c>
      <c r="D42" s="313">
        <f>IF(M42=M41,D41,C42)</f>
        <v>35</v>
      </c>
      <c r="E42" s="313">
        <f>10+VALUE(RIGHT(LEFT(G42,3),1))</f>
        <v>12</v>
      </c>
      <c r="F42" s="313" t="str">
        <f>RIGHT(G42,2) &amp; IF(A42&lt;2,"x","")</f>
        <v>pm</v>
      </c>
      <c r="G42" s="1032" t="s">
        <v>608</v>
      </c>
      <c r="H42" s="313" t="s">
        <v>393</v>
      </c>
      <c r="I42" s="313" t="s">
        <v>609</v>
      </c>
      <c r="K42" s="314">
        <f>LOOKUP(1E+100,M42:AC42)</f>
        <v>1138.6942092454178</v>
      </c>
      <c r="M42" s="314">
        <v>1200</v>
      </c>
      <c r="R42" s="313" t="str">
        <f>IF(AND((J42="This"),(L42="Only")),VLOOKUP(G42,#REF!,7,FALSE),"")</f>
        <v/>
      </c>
      <c r="S42" s="313">
        <v>1159.5990105628869</v>
      </c>
      <c r="T42" s="313">
        <v>1138.6942092454178</v>
      </c>
    </row>
    <row r="43" spans="1:24" x14ac:dyDescent="0.25">
      <c r="A43" s="313">
        <v>3</v>
      </c>
      <c r="C43" s="313">
        <f>IF(E43=E42,C42+1,1)</f>
        <v>36</v>
      </c>
      <c r="D43" s="313">
        <f>IF(M43=M42,D42,C43)</f>
        <v>35</v>
      </c>
      <c r="E43" s="313">
        <f>10+VALUE(RIGHT(LEFT(G43,3),1))</f>
        <v>12</v>
      </c>
      <c r="F43" s="313" t="str">
        <f>RIGHT(G43,2) &amp; IF(A43&lt;2,"x","")</f>
        <v>pm</v>
      </c>
      <c r="G43" s="313" t="s">
        <v>612</v>
      </c>
      <c r="H43" s="313" t="s">
        <v>207</v>
      </c>
      <c r="I43" s="313" t="s">
        <v>613</v>
      </c>
      <c r="K43" s="314">
        <f>LOOKUP(1E+100,M43:AC43)</f>
        <v>1107.1369587677066</v>
      </c>
      <c r="M43" s="314">
        <v>1200</v>
      </c>
      <c r="R43" s="313" t="str">
        <f>IF(AND((J43="This"),(L43="Only")),VLOOKUP(G43,#REF!,7,FALSE),"")</f>
        <v/>
      </c>
      <c r="S43" s="313">
        <v>1164.9127778263323</v>
      </c>
      <c r="T43" s="313">
        <v>1162.9144133651291</v>
      </c>
      <c r="V43" s="313">
        <v>1107.1369587677066</v>
      </c>
    </row>
    <row r="44" spans="1:24" x14ac:dyDescent="0.25">
      <c r="A44" s="313">
        <v>4</v>
      </c>
      <c r="C44" s="313">
        <f>IF(E44=E43,C43+1,1)</f>
        <v>37</v>
      </c>
      <c r="D44" s="313">
        <f>IF(M44=M43,D43,C44)</f>
        <v>35</v>
      </c>
      <c r="E44" s="313">
        <f>10+VALUE(RIGHT(LEFT(G44,3),1))</f>
        <v>12</v>
      </c>
      <c r="F44" s="313" t="str">
        <f>RIGHT(G44,2) &amp; IF(A44&lt;2,"x","")</f>
        <v>pm</v>
      </c>
      <c r="G44" s="313" t="s">
        <v>631</v>
      </c>
      <c r="H44" s="313" t="s">
        <v>287</v>
      </c>
      <c r="I44" s="313" t="s">
        <v>632</v>
      </c>
      <c r="K44" s="314">
        <f>LOOKUP(1E+100,M44:AC44)</f>
        <v>1105.5010845061092</v>
      </c>
      <c r="M44" s="314">
        <v>1200</v>
      </c>
      <c r="R44" s="313" t="str">
        <f>IF(AND((J44="This"),(L44="Only")),VLOOKUP(G44,#REF!,7,FALSE),"")</f>
        <v/>
      </c>
      <c r="S44" s="313">
        <v>1235.9114015896889</v>
      </c>
      <c r="V44" s="313">
        <v>1141.2104363370433</v>
      </c>
      <c r="X44" s="313">
        <v>1105.5010845061092</v>
      </c>
    </row>
    <row r="45" spans="1:24" x14ac:dyDescent="0.25">
      <c r="A45" s="313">
        <v>3</v>
      </c>
      <c r="C45" s="313">
        <f>IF(E45=E44,C44+1,1)</f>
        <v>1</v>
      </c>
      <c r="D45" s="313">
        <f>IF(M45=M44,D44,C45)</f>
        <v>1</v>
      </c>
      <c r="E45" s="313">
        <f>10+VALUE(RIGHT(LEFT(G45,3),1))</f>
        <v>13</v>
      </c>
      <c r="F45" s="313" t="str">
        <f>RIGHT(G45,2) &amp; IF(A45&lt;2,"x","")</f>
        <v>pm</v>
      </c>
      <c r="G45" s="313" t="s">
        <v>682</v>
      </c>
      <c r="H45" s="313" t="s">
        <v>494</v>
      </c>
      <c r="I45" s="313" t="s">
        <v>683</v>
      </c>
      <c r="K45" s="314">
        <f>LOOKUP(1E+100,M45:AC45)</f>
        <v>2221.8453806431626</v>
      </c>
      <c r="M45" s="314">
        <v>2000</v>
      </c>
      <c r="P45" s="313">
        <v>2108.9668891287279</v>
      </c>
      <c r="R45" s="313" t="str">
        <f>IF(AND((J45="This"),(L45="Only")),VLOOKUP(G45,#REF!,7,FALSE),"")</f>
        <v/>
      </c>
      <c r="W45" s="313">
        <v>2221.8453806431626</v>
      </c>
    </row>
    <row r="46" spans="1:24" x14ac:dyDescent="0.25">
      <c r="A46" s="313">
        <v>4</v>
      </c>
      <c r="C46" s="313">
        <f>IF(E46=E45,C45+1,1)</f>
        <v>2</v>
      </c>
      <c r="D46" s="313">
        <f>IF(M46=M45,D45,C46)</f>
        <v>1</v>
      </c>
      <c r="E46" s="313">
        <f>10+VALUE(RIGHT(LEFT(G46,3),1))</f>
        <v>13</v>
      </c>
      <c r="F46" s="313" t="str">
        <f>RIGHT(G46,2) &amp; IF(A46&lt;2,"x","")</f>
        <v>pm</v>
      </c>
      <c r="G46" s="313" t="s">
        <v>645</v>
      </c>
      <c r="H46" s="313" t="s">
        <v>207</v>
      </c>
      <c r="I46" s="313" t="s">
        <v>646</v>
      </c>
      <c r="K46" s="314">
        <f>LOOKUP(1E+100,M46:AC46)</f>
        <v>2168.0055370911878</v>
      </c>
      <c r="M46" s="314">
        <v>2000</v>
      </c>
      <c r="N46" s="313">
        <v>2136.3174765642048</v>
      </c>
      <c r="R46" s="313" t="str">
        <f>IF(AND((J46="This"),(L46="Only")),VLOOKUP(G46,#REF!,7,FALSE),"")</f>
        <v/>
      </c>
      <c r="U46" s="313">
        <v>2179.8632995599451</v>
      </c>
      <c r="W46" s="313">
        <v>2168.0055370911878</v>
      </c>
    </row>
    <row r="47" spans="1:24" x14ac:dyDescent="0.25">
      <c r="A47" s="313">
        <v>3</v>
      </c>
      <c r="C47" s="313">
        <f>IF(E47=E46,C46+1,1)</f>
        <v>3</v>
      </c>
      <c r="D47" s="313">
        <f>IF(M47=M46,D46,C47)</f>
        <v>1</v>
      </c>
      <c r="E47" s="313">
        <f>10+VALUE(RIGHT(LEFT(G47,3),1))</f>
        <v>13</v>
      </c>
      <c r="F47" s="313" t="str">
        <f>RIGHT(G47,2) &amp; IF(A47&lt;2,"x","")</f>
        <v>pm</v>
      </c>
      <c r="G47" s="313" t="s">
        <v>652</v>
      </c>
      <c r="H47" s="313" t="s">
        <v>282</v>
      </c>
      <c r="I47" s="313" t="s">
        <v>653</v>
      </c>
      <c r="K47" s="314">
        <f>LOOKUP(1E+100,M47:AC47)</f>
        <v>2126.7732935713634</v>
      </c>
      <c r="M47" s="314">
        <v>2000</v>
      </c>
      <c r="N47" s="313">
        <v>2068.8673410456058</v>
      </c>
      <c r="R47" s="313" t="str">
        <f>IF(AND((J47="This"),(L47="Only")),VLOOKUP(G47,#REF!,7,FALSE),"")</f>
        <v/>
      </c>
      <c r="U47" s="313">
        <v>2126.7732935713634</v>
      </c>
    </row>
    <row r="48" spans="1:24" x14ac:dyDescent="0.25">
      <c r="A48" s="313">
        <v>6</v>
      </c>
      <c r="C48" s="313">
        <f>IF(E48=E47,C47+1,1)</f>
        <v>4</v>
      </c>
      <c r="D48" s="313">
        <f>IF(M48=M47,D47,C48)</f>
        <v>1</v>
      </c>
      <c r="E48" s="313">
        <f>10+VALUE(RIGHT(LEFT(G48,3),1))</f>
        <v>13</v>
      </c>
      <c r="F48" s="313" t="str">
        <f>RIGHT(G48,2) &amp; IF(A48&lt;2,"x","")</f>
        <v>pm</v>
      </c>
      <c r="G48" s="313" t="s">
        <v>260</v>
      </c>
      <c r="H48" s="313" t="s">
        <v>204</v>
      </c>
      <c r="I48" s="313" t="s">
        <v>259</v>
      </c>
      <c r="K48" s="314">
        <f>LOOKUP(1E+100,M48:AC48)</f>
        <v>2114.218467395664</v>
      </c>
      <c r="M48" s="314">
        <v>2000</v>
      </c>
      <c r="N48" s="313">
        <v>2121.6308368759796</v>
      </c>
      <c r="P48" s="313">
        <v>2175.8772912480499</v>
      </c>
      <c r="R48" s="313" t="str">
        <f>IF(AND((J48="This"),(L48="Only")),VLOOKUP(G48,#REF!,7,FALSE),"")</f>
        <v/>
      </c>
      <c r="S48" s="313">
        <v>2102.4237747330426</v>
      </c>
      <c r="U48" s="313">
        <v>2056.8719586490975</v>
      </c>
      <c r="W48" s="313">
        <v>2114.218467395664</v>
      </c>
    </row>
    <row r="49" spans="1:24" x14ac:dyDescent="0.25">
      <c r="A49" s="313">
        <v>2</v>
      </c>
      <c r="C49" s="313">
        <f>IF(E49=E48,C48+1,1)</f>
        <v>5</v>
      </c>
      <c r="D49" s="313">
        <f>IF(M49=M48,D48,C49)</f>
        <v>1</v>
      </c>
      <c r="E49" s="313">
        <f>10+VALUE(RIGHT(LEFT(G49,3),1))</f>
        <v>13</v>
      </c>
      <c r="F49" s="313" t="str">
        <f>RIGHT(G49,2) &amp; IF(A49&lt;2,"x","")</f>
        <v>pm</v>
      </c>
      <c r="G49" s="313" t="s">
        <v>654</v>
      </c>
      <c r="H49" s="313" t="s">
        <v>559</v>
      </c>
      <c r="I49" s="313" t="s">
        <v>655</v>
      </c>
      <c r="K49" s="314">
        <f>LOOKUP(1E+100,M49:AC49)</f>
        <v>2070.7625433400967</v>
      </c>
      <c r="M49" s="314">
        <v>2000</v>
      </c>
      <c r="R49" s="313" t="str">
        <f>IF(AND((J49="This"),(L49="Only")),VLOOKUP(G49,#REF!,7,FALSE),"")</f>
        <v/>
      </c>
      <c r="S49" s="313">
        <v>2070.7625433400967</v>
      </c>
    </row>
    <row r="50" spans="1:24" x14ac:dyDescent="0.25">
      <c r="A50" s="313">
        <v>2</v>
      </c>
      <c r="C50" s="313">
        <f>IF(E50=E49,C49+1,1)</f>
        <v>6</v>
      </c>
      <c r="D50" s="313">
        <f>IF(M50=M49,D49,C50)</f>
        <v>1</v>
      </c>
      <c r="E50" s="313">
        <f>10+VALUE(RIGHT(LEFT(G50,3),1))</f>
        <v>13</v>
      </c>
      <c r="F50" s="313" t="str">
        <f>RIGHT(G50,2) &amp; IF(A50&lt;2,"x","")</f>
        <v>pm</v>
      </c>
      <c r="G50" s="313" t="s">
        <v>667</v>
      </c>
      <c r="H50" s="313" t="s">
        <v>201</v>
      </c>
      <c r="I50" s="313" t="s">
        <v>668</v>
      </c>
      <c r="K50" s="314">
        <f>LOOKUP(1E+100,M50:AC50)</f>
        <v>2048.3591129165875</v>
      </c>
      <c r="M50" s="314">
        <v>2000</v>
      </c>
      <c r="R50" s="313" t="str">
        <f>IF(AND((J50="This"),(L50="Only")),VLOOKUP(G50,#REF!,7,FALSE),"")</f>
        <v/>
      </c>
      <c r="U50" s="313">
        <v>1993.5078969377387</v>
      </c>
      <c r="W50" s="313">
        <v>2048.3591129165875</v>
      </c>
    </row>
    <row r="51" spans="1:24" x14ac:dyDescent="0.25">
      <c r="A51" s="313">
        <v>3</v>
      </c>
      <c r="C51" s="313">
        <f>IF(E51=E50,C50+1,1)</f>
        <v>7</v>
      </c>
      <c r="D51" s="313">
        <f>IF(M51=M50,D50,C51)</f>
        <v>1</v>
      </c>
      <c r="E51" s="313">
        <f>10+VALUE(RIGHT(LEFT(G51,3),1))</f>
        <v>13</v>
      </c>
      <c r="F51" s="313" t="str">
        <f>RIGHT(G51,2) &amp; IF(A51&lt;2,"x","")</f>
        <v>pm</v>
      </c>
      <c r="G51" s="313" t="s">
        <v>647</v>
      </c>
      <c r="H51" s="313" t="s">
        <v>473</v>
      </c>
      <c r="I51" s="313" t="s">
        <v>648</v>
      </c>
      <c r="K51" s="314">
        <f>LOOKUP(1E+100,M51:AC51)</f>
        <v>2032.4693952819664</v>
      </c>
      <c r="M51" s="314">
        <v>2000</v>
      </c>
      <c r="R51" s="313" t="str">
        <f>IF(AND((J51="This"),(L51="Only")),VLOOKUP(G51,#REF!,7,FALSE),"")</f>
        <v/>
      </c>
      <c r="S51" s="313">
        <v>2019.5944937514193</v>
      </c>
      <c r="U51" s="313">
        <v>2032.4693952819664</v>
      </c>
    </row>
    <row r="52" spans="1:24" x14ac:dyDescent="0.25">
      <c r="A52" s="313">
        <v>2</v>
      </c>
      <c r="C52" s="313">
        <f>IF(E52=E51,C51+1,1)</f>
        <v>8</v>
      </c>
      <c r="D52" s="313">
        <f>IF(M52=M51,D51,C52)</f>
        <v>1</v>
      </c>
      <c r="E52" s="313">
        <f>10+VALUE(RIGHT(LEFT(G52,3),1))</f>
        <v>13</v>
      </c>
      <c r="F52" s="313" t="str">
        <f>RIGHT(G52,2) &amp; IF(A52&lt;2,"x","")</f>
        <v>pm</v>
      </c>
      <c r="G52" s="313" t="s">
        <v>658</v>
      </c>
      <c r="H52" s="313" t="s">
        <v>559</v>
      </c>
      <c r="I52" s="313" t="s">
        <v>659</v>
      </c>
      <c r="K52" s="314">
        <f>LOOKUP(1E+100,M52:AC52)</f>
        <v>2007.9837421737384</v>
      </c>
      <c r="M52" s="314">
        <v>2000</v>
      </c>
      <c r="R52" s="313" t="str">
        <f>IF(AND((J52="This"),(L52="Only")),VLOOKUP(G52,#REF!,7,FALSE),"")</f>
        <v/>
      </c>
      <c r="W52" s="313">
        <v>2007.9837421737384</v>
      </c>
    </row>
    <row r="53" spans="1:24" x14ac:dyDescent="0.25">
      <c r="A53" s="313">
        <v>2</v>
      </c>
      <c r="C53" s="313">
        <f>IF(E53=E52,C52+1,1)</f>
        <v>9</v>
      </c>
      <c r="D53" s="313">
        <f>IF(M53=M52,D52,C53)</f>
        <v>1</v>
      </c>
      <c r="E53" s="313">
        <f>10+VALUE(RIGHT(LEFT(G53,3),1))</f>
        <v>13</v>
      </c>
      <c r="F53" s="313" t="str">
        <f>RIGHT(G53,2) &amp; IF(A53&lt;2,"x","")</f>
        <v>pm</v>
      </c>
      <c r="G53" s="313" t="s">
        <v>656</v>
      </c>
      <c r="H53" s="313" t="s">
        <v>559</v>
      </c>
      <c r="I53" s="313" t="s">
        <v>657</v>
      </c>
      <c r="K53" s="314">
        <f>LOOKUP(1E+100,M53:AC53)</f>
        <v>1981.8462673264924</v>
      </c>
      <c r="M53" s="314">
        <v>2000</v>
      </c>
      <c r="R53" s="313" t="str">
        <f>IF(AND((J53="This"),(L53="Only")),VLOOKUP(G53,#REF!,7,FALSE),"")</f>
        <v/>
      </c>
      <c r="S53" s="313">
        <v>1981.8462673264924</v>
      </c>
    </row>
    <row r="54" spans="1:24" x14ac:dyDescent="0.25">
      <c r="A54" s="313">
        <v>4</v>
      </c>
      <c r="C54" s="313">
        <f>IF(E54=E53,C53+1,1)</f>
        <v>10</v>
      </c>
      <c r="D54" s="313">
        <f>IF(M54=M53,D53,C54)</f>
        <v>10</v>
      </c>
      <c r="E54" s="313">
        <f>10+VALUE(RIGHT(LEFT(G54,3),1))</f>
        <v>13</v>
      </c>
      <c r="F54" s="313" t="str">
        <f>RIGHT(G54,2) &amp; IF(A54&lt;2,"x","")</f>
        <v>pm</v>
      </c>
      <c r="G54" s="313" t="s">
        <v>684</v>
      </c>
      <c r="H54" s="313" t="s">
        <v>281</v>
      </c>
      <c r="I54" s="313" t="s">
        <v>685</v>
      </c>
      <c r="K54" s="314">
        <f>LOOKUP(1E+100,M54:AC54)</f>
        <v>1966.4775519220375</v>
      </c>
      <c r="M54" s="314">
        <v>1950</v>
      </c>
      <c r="R54" s="313" t="str">
        <f>IF(AND((J54="This"),(L54="Only")),VLOOKUP(G54,#REF!,7,FALSE),"")</f>
        <v/>
      </c>
      <c r="S54" s="313">
        <v>2043.9635883050619</v>
      </c>
      <c r="W54" s="313">
        <v>1966.4775519220375</v>
      </c>
    </row>
    <row r="55" spans="1:24" x14ac:dyDescent="0.25">
      <c r="A55" s="313">
        <v>2</v>
      </c>
      <c r="C55" s="313">
        <f>IF(E55=E54,C54+1,1)</f>
        <v>11</v>
      </c>
      <c r="D55" s="313">
        <f>IF(M55=M54,D54,C55)</f>
        <v>11</v>
      </c>
      <c r="E55" s="313">
        <f>10+VALUE(RIGHT(LEFT(G55,3),1))</f>
        <v>13</v>
      </c>
      <c r="F55" s="313" t="str">
        <f>RIGHT(G55,2) &amp; IF(A55&lt;2,"x","")</f>
        <v>pm</v>
      </c>
      <c r="G55" s="313" t="s">
        <v>640</v>
      </c>
      <c r="H55" s="313" t="s">
        <v>213</v>
      </c>
      <c r="I55" s="313" t="s">
        <v>641</v>
      </c>
      <c r="K55" s="314">
        <f>LOOKUP(1E+100,M55:AC55)</f>
        <v>1957.4424167884204</v>
      </c>
      <c r="M55" s="314">
        <v>2000</v>
      </c>
      <c r="N55" s="313">
        <v>1957.4424167884204</v>
      </c>
      <c r="R55" s="313" t="str">
        <f>IF(AND((J55="This"),(L55="Only")),VLOOKUP(G55,#REF!,7,FALSE),"")</f>
        <v/>
      </c>
    </row>
    <row r="56" spans="1:24" x14ac:dyDescent="0.25">
      <c r="A56" s="313">
        <v>5</v>
      </c>
      <c r="C56" s="313">
        <f>IF(E56=E55,C55+1,1)</f>
        <v>12</v>
      </c>
      <c r="D56" s="313">
        <f>IF(M56=M55,D55,C56)</f>
        <v>12</v>
      </c>
      <c r="E56" s="313">
        <f>10+VALUE(RIGHT(LEFT(G56,3),1))</f>
        <v>13</v>
      </c>
      <c r="F56" s="313" t="str">
        <f>RIGHT(G56,2) &amp; IF(A56&lt;2,"x","")</f>
        <v>pm</v>
      </c>
      <c r="G56" s="313" t="s">
        <v>519</v>
      </c>
      <c r="H56" s="313" t="s">
        <v>286</v>
      </c>
      <c r="I56" s="313" t="s">
        <v>518</v>
      </c>
      <c r="K56" s="314">
        <f>LOOKUP(1E+100,M56:AC56)</f>
        <v>1952.441255879969</v>
      </c>
      <c r="M56" s="314">
        <v>1600</v>
      </c>
      <c r="O56" s="313">
        <v>1728.897291095632</v>
      </c>
      <c r="R56" s="313" t="str">
        <f>IF(AND((J56="This"),(L56="Only")),VLOOKUP(G56,#REF!,7,FALSE),"")</f>
        <v/>
      </c>
      <c r="S56" s="313">
        <v>1819.6471570862507</v>
      </c>
      <c r="T56" s="313">
        <v>1880.9536423839288</v>
      </c>
      <c r="X56" s="313">
        <v>1952.441255879969</v>
      </c>
    </row>
    <row r="57" spans="1:24" x14ac:dyDescent="0.25">
      <c r="A57" s="313">
        <v>5</v>
      </c>
      <c r="C57" s="313">
        <f>IF(E57=E56,C56+1,1)</f>
        <v>13</v>
      </c>
      <c r="D57" s="313">
        <f>IF(M57=M56,D56,C57)</f>
        <v>13</v>
      </c>
      <c r="E57" s="313">
        <f>10+VALUE(RIGHT(LEFT(G57,3),1))</f>
        <v>13</v>
      </c>
      <c r="F57" s="313" t="str">
        <f>RIGHT(G57,2) &amp; IF(A57&lt;2,"x","")</f>
        <v>pm</v>
      </c>
      <c r="G57" s="313" t="s">
        <v>509</v>
      </c>
      <c r="H57" s="313" t="s">
        <v>510</v>
      </c>
      <c r="I57" s="313" t="s">
        <v>508</v>
      </c>
      <c r="K57" s="314">
        <f>LOOKUP(1E+100,M57:AC57)</f>
        <v>1857.7120355940935</v>
      </c>
      <c r="M57" s="314">
        <v>1680</v>
      </c>
      <c r="O57" s="313">
        <v>1727.4141373732955</v>
      </c>
      <c r="R57" s="313" t="str">
        <f>IF(AND((J57="This"),(L57="Only")),VLOOKUP(G57,#REF!,7,FALSE),"")</f>
        <v/>
      </c>
      <c r="S57" s="313">
        <v>1802.3707013759865</v>
      </c>
      <c r="U57" s="313">
        <v>1818.9402748303323</v>
      </c>
      <c r="V57" s="313">
        <v>1868.4106312164884</v>
      </c>
      <c r="X57" s="313">
        <v>1857.7120355940935</v>
      </c>
    </row>
    <row r="58" spans="1:24" x14ac:dyDescent="0.25">
      <c r="A58" s="313">
        <v>3</v>
      </c>
      <c r="C58" s="313">
        <f>IF(E58=E57,C57+1,1)</f>
        <v>14</v>
      </c>
      <c r="D58" s="313">
        <f>IF(M58=M57,D57,C58)</f>
        <v>14</v>
      </c>
      <c r="E58" s="313">
        <f>10+VALUE(RIGHT(LEFT(G58,3),1))</f>
        <v>13</v>
      </c>
      <c r="F58" s="313" t="str">
        <f>RIGHT(G58,2) &amp; IF(A58&lt;2,"x","")</f>
        <v>pm</v>
      </c>
      <c r="G58" s="313" t="s">
        <v>687</v>
      </c>
      <c r="H58" s="313" t="s">
        <v>688</v>
      </c>
      <c r="I58" s="313" t="s">
        <v>688</v>
      </c>
      <c r="K58" s="314">
        <f>LOOKUP(1E+100,M58:AC58)</f>
        <v>1853.6534291311473</v>
      </c>
      <c r="M58" s="314">
        <v>1800</v>
      </c>
      <c r="O58" s="313">
        <v>1834.3577946522198</v>
      </c>
      <c r="R58" s="313" t="str">
        <f>IF(AND((J58="This"),(L58="Only")),VLOOKUP(G58,#REF!,7,FALSE),"")</f>
        <v/>
      </c>
      <c r="S58" s="313">
        <v>1820.8676337248239</v>
      </c>
      <c r="V58" s="313">
        <v>1853.6534291311473</v>
      </c>
    </row>
    <row r="59" spans="1:24" x14ac:dyDescent="0.25">
      <c r="A59" s="313">
        <v>5</v>
      </c>
      <c r="C59" s="313">
        <f>IF(E59=E58,C58+1,1)</f>
        <v>15</v>
      </c>
      <c r="D59" s="313">
        <f>IF(M59=M58,D58,C59)</f>
        <v>15</v>
      </c>
      <c r="E59" s="313">
        <f>10+VALUE(RIGHT(LEFT(G59,3),1))</f>
        <v>13</v>
      </c>
      <c r="F59" s="313" t="str">
        <f>RIGHT(G59,2) &amp; IF(A59&lt;2,"x","")</f>
        <v>pm</v>
      </c>
      <c r="G59" s="313" t="s">
        <v>218</v>
      </c>
      <c r="H59" s="313" t="s">
        <v>219</v>
      </c>
      <c r="I59" s="313" t="s">
        <v>377</v>
      </c>
      <c r="K59" s="314">
        <f>LOOKUP(1E+100,M59:AC59)</f>
        <v>1852.7901971715694</v>
      </c>
      <c r="M59" s="314">
        <v>1760</v>
      </c>
      <c r="O59" s="313">
        <v>1754.0671620760272</v>
      </c>
      <c r="R59" s="313" t="str">
        <f>IF(AND((J59="This"),(L59="Only")),VLOOKUP(G59,#REF!,7,FALSE),"")</f>
        <v/>
      </c>
      <c r="S59" s="313">
        <v>1795.4888670336384</v>
      </c>
      <c r="W59" s="313">
        <v>1879.4957453076413</v>
      </c>
      <c r="X59" s="313">
        <v>1852.7901971715694</v>
      </c>
    </row>
    <row r="60" spans="1:24" x14ac:dyDescent="0.25">
      <c r="A60" s="313">
        <v>3</v>
      </c>
      <c r="C60" s="313">
        <f>IF(E60=E59,C59+1,1)</f>
        <v>16</v>
      </c>
      <c r="D60" s="313">
        <f>IF(M60=M59,D59,C60)</f>
        <v>16</v>
      </c>
      <c r="E60" s="313">
        <f>10+VALUE(RIGHT(LEFT(G60,3),1))</f>
        <v>13</v>
      </c>
      <c r="F60" s="313" t="str">
        <f>RIGHT(G60,2) &amp; IF(A60&lt;2,"x","")</f>
        <v>pm</v>
      </c>
      <c r="G60" s="313" t="s">
        <v>660</v>
      </c>
      <c r="H60" s="313" t="s">
        <v>505</v>
      </c>
      <c r="I60" s="313" t="s">
        <v>661</v>
      </c>
      <c r="K60" s="314">
        <f>LOOKUP(1E+100,M60:AC60)</f>
        <v>1852.6607629227449</v>
      </c>
      <c r="M60" s="314">
        <v>2000</v>
      </c>
      <c r="P60" s="313">
        <v>1982.4597396585023</v>
      </c>
      <c r="R60" s="313" t="str">
        <f>IF(AND((J60="This"),(L60="Only")),VLOOKUP(G60,#REF!,7,FALSE),"")</f>
        <v/>
      </c>
      <c r="S60" s="313">
        <v>1890.178619221768</v>
      </c>
      <c r="W60" s="313">
        <v>1852.6607629227449</v>
      </c>
    </row>
    <row r="61" spans="1:24" x14ac:dyDescent="0.25">
      <c r="A61" s="313">
        <v>3</v>
      </c>
      <c r="C61" s="313">
        <f>IF(E61=E60,C60+1,1)</f>
        <v>17</v>
      </c>
      <c r="D61" s="313">
        <f>IF(M61=M60,D60,C61)</f>
        <v>17</v>
      </c>
      <c r="E61" s="313">
        <f>10+VALUE(RIGHT(LEFT(G61,3),1))</f>
        <v>13</v>
      </c>
      <c r="F61" s="313" t="str">
        <f>RIGHT(G61,2) &amp; IF(A61&lt;2,"x","")</f>
        <v>pm</v>
      </c>
      <c r="G61" s="313" t="s">
        <v>304</v>
      </c>
      <c r="H61" s="313" t="s">
        <v>213</v>
      </c>
      <c r="I61" s="313" t="s">
        <v>303</v>
      </c>
      <c r="K61" s="314">
        <f>LOOKUP(1E+100,M61:AC61)</f>
        <v>1840.7252067753311</v>
      </c>
      <c r="M61" s="314">
        <v>1733.3333333333333</v>
      </c>
      <c r="O61" s="313">
        <v>1800.3799320591111</v>
      </c>
      <c r="R61" s="313" t="str">
        <f>IF(AND((J61="This"),(L61="Only")),VLOOKUP(G61,#REF!,7,FALSE),"")</f>
        <v/>
      </c>
      <c r="W61" s="313">
        <v>1855.4692952764783</v>
      </c>
      <c r="X61" s="313">
        <v>1840.7252067753311</v>
      </c>
    </row>
    <row r="62" spans="1:24" x14ac:dyDescent="0.25">
      <c r="A62" s="313">
        <v>3</v>
      </c>
      <c r="C62" s="313">
        <f>IF(E62=E61,C61+1,1)</f>
        <v>18</v>
      </c>
      <c r="D62" s="313">
        <f>IF(M62=M61,D61,C62)</f>
        <v>18</v>
      </c>
      <c r="E62" s="313">
        <f>10+VALUE(RIGHT(LEFT(G62,3),1))</f>
        <v>13</v>
      </c>
      <c r="F62" s="313" t="str">
        <f>RIGHT(G62,2) &amp; IF(A62&lt;2,"x","")</f>
        <v>pm</v>
      </c>
      <c r="G62" s="313" t="s">
        <v>662</v>
      </c>
      <c r="H62" s="313" t="s">
        <v>505</v>
      </c>
      <c r="I62" s="313" t="s">
        <v>663</v>
      </c>
      <c r="K62" s="314">
        <f>LOOKUP(1E+100,M62:AC62)</f>
        <v>1832.1637689168383</v>
      </c>
      <c r="M62" s="314">
        <v>2000</v>
      </c>
      <c r="P62" s="313">
        <v>1955.7555748936616</v>
      </c>
      <c r="R62" s="313" t="str">
        <f>IF(AND((J62="This"),(L62="Only")),VLOOKUP(G62,#REF!,7,FALSE),"")</f>
        <v/>
      </c>
      <c r="S62" s="313">
        <v>1903.1806533714757</v>
      </c>
      <c r="W62" s="313">
        <v>1832.1637689168383</v>
      </c>
    </row>
    <row r="63" spans="1:24" x14ac:dyDescent="0.25">
      <c r="A63" s="313">
        <v>4</v>
      </c>
      <c r="C63" s="313">
        <f>IF(E63=E62,C62+1,1)</f>
        <v>19</v>
      </c>
      <c r="D63" s="313">
        <f>IF(M63=M62,D62,C63)</f>
        <v>19</v>
      </c>
      <c r="E63" s="313">
        <f>10+VALUE(RIGHT(LEFT(G63,3),1))</f>
        <v>13</v>
      </c>
      <c r="F63" s="313" t="str">
        <f>RIGHT(G63,2) &amp; IF(A63&lt;2,"x","")</f>
        <v>pm</v>
      </c>
      <c r="G63" s="313" t="s">
        <v>493</v>
      </c>
      <c r="H63" s="313" t="s">
        <v>494</v>
      </c>
      <c r="I63" s="313" t="s">
        <v>492</v>
      </c>
      <c r="K63" s="314">
        <f>LOOKUP(1E+100,M63:AC63)</f>
        <v>1800.6174885332118</v>
      </c>
      <c r="M63" s="314">
        <v>1600</v>
      </c>
      <c r="R63" s="313" t="str">
        <f>IF(AND((J63="This"),(L63="Only")),VLOOKUP(G63,#REF!,7,FALSE),"")</f>
        <v/>
      </c>
      <c r="S63" s="313">
        <v>1696.7395363532391</v>
      </c>
      <c r="V63" s="313">
        <v>1754.9535955038507</v>
      </c>
      <c r="X63" s="313">
        <v>1800.6174885332118</v>
      </c>
    </row>
    <row r="64" spans="1:24" x14ac:dyDescent="0.25">
      <c r="A64" s="313">
        <v>6</v>
      </c>
      <c r="C64" s="313">
        <f>IF(E64=E63,C63+1,1)</f>
        <v>20</v>
      </c>
      <c r="D64" s="313">
        <f>IF(M64=M63,D63,C64)</f>
        <v>19</v>
      </c>
      <c r="E64" s="313">
        <f>10+VALUE(RIGHT(LEFT(G64,3),1))</f>
        <v>13</v>
      </c>
      <c r="F64" s="313" t="str">
        <f>RIGHT(G64,2) &amp; IF(A64&lt;2,"x","")</f>
        <v>pm</v>
      </c>
      <c r="G64" s="313" t="s">
        <v>249</v>
      </c>
      <c r="H64" s="313" t="s">
        <v>216</v>
      </c>
      <c r="I64" s="313" t="s">
        <v>178</v>
      </c>
      <c r="K64" s="314">
        <f>LOOKUP(1E+100,M64:AC64)</f>
        <v>1778.9601871978155</v>
      </c>
      <c r="M64" s="314">
        <v>1600</v>
      </c>
      <c r="O64" s="313">
        <v>1645.408006056949</v>
      </c>
      <c r="R64" s="313" t="str">
        <f>IF(AND((J64="This"),(L64="Only")),VLOOKUP(G64,#REF!,7,FALSE),"")</f>
        <v/>
      </c>
      <c r="S64" s="313">
        <v>1656.4894223319777</v>
      </c>
      <c r="T64" s="313">
        <v>1696.3067637980012</v>
      </c>
      <c r="V64" s="313">
        <v>1724.0595262997672</v>
      </c>
      <c r="X64" s="313">
        <v>1778.9601871978155</v>
      </c>
    </row>
    <row r="65" spans="1:24" x14ac:dyDescent="0.25">
      <c r="A65" s="313">
        <v>4</v>
      </c>
      <c r="C65" s="313">
        <f>IF(E65=E64,C64+1,1)</f>
        <v>21</v>
      </c>
      <c r="D65" s="313">
        <f>IF(M65=M64,D64,C65)</f>
        <v>19</v>
      </c>
      <c r="E65" s="313">
        <f>10+VALUE(RIGHT(LEFT(G65,3),1))</f>
        <v>13</v>
      </c>
      <c r="F65" s="313" t="str">
        <f>RIGHT(G65,2) &amp; IF(A65&lt;2,"x","")</f>
        <v>pm</v>
      </c>
      <c r="G65" s="313" t="s">
        <v>243</v>
      </c>
      <c r="H65" s="313" t="s">
        <v>198</v>
      </c>
      <c r="I65" s="313" t="s">
        <v>180</v>
      </c>
      <c r="K65" s="314">
        <f>LOOKUP(1E+100,M65:AC65)</f>
        <v>1772.6865459012897</v>
      </c>
      <c r="M65" s="314">
        <v>1600</v>
      </c>
      <c r="R65" s="313" t="str">
        <f>IF(AND((J65="This"),(L65="Only")),VLOOKUP(G65,#REF!,7,FALSE),"")</f>
        <v/>
      </c>
      <c r="T65" s="313">
        <v>1669.8390646286034</v>
      </c>
      <c r="V65" s="313">
        <v>1677.3980559149245</v>
      </c>
      <c r="X65" s="313">
        <v>1772.6865459012897</v>
      </c>
    </row>
    <row r="66" spans="1:24" x14ac:dyDescent="0.25">
      <c r="A66" s="313">
        <v>3</v>
      </c>
      <c r="C66" s="313">
        <f>IF(E66=E65,C65+1,1)</f>
        <v>22</v>
      </c>
      <c r="D66" s="313">
        <f>IF(M66=M65,D65,C66)</f>
        <v>22</v>
      </c>
      <c r="E66" s="313">
        <f>10+VALUE(RIGHT(LEFT(G66,3),1))</f>
        <v>13</v>
      </c>
      <c r="F66" s="313" t="str">
        <f>RIGHT(G66,2) &amp; IF(A66&lt;2,"x","")</f>
        <v>pm</v>
      </c>
      <c r="G66" s="313" t="s">
        <v>692</v>
      </c>
      <c r="H66" s="313" t="s">
        <v>559</v>
      </c>
      <c r="I66" s="313" t="s">
        <v>693</v>
      </c>
      <c r="K66" s="314">
        <f>LOOKUP(1E+100,M66:AC66)</f>
        <v>1767.6030214270597</v>
      </c>
      <c r="M66" s="314">
        <v>1733.3333333333333</v>
      </c>
      <c r="R66" s="313" t="str">
        <f>IF(AND((J66="This"),(L66="Only")),VLOOKUP(G66,#REF!,7,FALSE),"")</f>
        <v/>
      </c>
      <c r="S66" s="313">
        <v>1767.6030214270597</v>
      </c>
    </row>
    <row r="67" spans="1:24" x14ac:dyDescent="0.25">
      <c r="A67" s="313">
        <v>5</v>
      </c>
      <c r="C67" s="313">
        <f>IF(E67=E66,C66+1,1)</f>
        <v>23</v>
      </c>
      <c r="D67" s="313">
        <f>IF(M67=M66,D66,C67)</f>
        <v>23</v>
      </c>
      <c r="E67" s="313">
        <f>10+VALUE(RIGHT(LEFT(G67,3),1))</f>
        <v>13</v>
      </c>
      <c r="F67" s="313" t="str">
        <f>RIGHT(G67,2) &amp; IF(A67&lt;2,"x","")</f>
        <v>pm</v>
      </c>
      <c r="G67" s="313" t="s">
        <v>298</v>
      </c>
      <c r="H67" s="313" t="s">
        <v>199</v>
      </c>
      <c r="I67" s="313" t="s">
        <v>366</v>
      </c>
      <c r="K67" s="314">
        <f>LOOKUP(1E+100,M67:AC67)</f>
        <v>1747.4620936172917</v>
      </c>
      <c r="M67" s="314">
        <v>1600</v>
      </c>
      <c r="O67" s="313">
        <v>1605.2989833259981</v>
      </c>
      <c r="R67" s="313" t="str">
        <f>IF(AND((J67="This"),(L67="Only")),VLOOKUP(G67,#REF!,7,FALSE),"")</f>
        <v/>
      </c>
      <c r="S67" s="313">
        <v>1690.2861109118255</v>
      </c>
      <c r="V67" s="313">
        <v>1753.5034142818647</v>
      </c>
      <c r="X67" s="313">
        <v>1747.4620936172917</v>
      </c>
    </row>
    <row r="68" spans="1:24" x14ac:dyDescent="0.25">
      <c r="A68" s="313">
        <v>3</v>
      </c>
      <c r="C68" s="313">
        <f>IF(E68=E67,C67+1,1)</f>
        <v>24</v>
      </c>
      <c r="D68" s="313">
        <f>IF(M68=M67,D67,C68)</f>
        <v>23</v>
      </c>
      <c r="E68" s="313">
        <f>10+VALUE(RIGHT(LEFT(G68,3),1))</f>
        <v>13</v>
      </c>
      <c r="F68" s="313" t="str">
        <f>RIGHT(G68,2) &amp; IF(A68&lt;2,"x","")</f>
        <v>pm</v>
      </c>
      <c r="G68" s="313" t="s">
        <v>232</v>
      </c>
      <c r="H68" s="313" t="s">
        <v>207</v>
      </c>
      <c r="I68" s="313" t="s">
        <v>486</v>
      </c>
      <c r="K68" s="314">
        <f>LOOKUP(1E+100,M68:AC68)</f>
        <v>1740.617576890636</v>
      </c>
      <c r="M68" s="314">
        <v>1600</v>
      </c>
      <c r="O68" s="313">
        <v>1640.5992668477998</v>
      </c>
      <c r="R68" s="313" t="str">
        <f>IF(AND((J68="This"),(L68="Only")),VLOOKUP(G68,#REF!,7,FALSE),"")</f>
        <v/>
      </c>
      <c r="S68" s="313">
        <v>1718.3151948204377</v>
      </c>
      <c r="X68" s="313">
        <v>1740.617576890636</v>
      </c>
    </row>
    <row r="69" spans="1:24" x14ac:dyDescent="0.25">
      <c r="A69" s="313">
        <v>5</v>
      </c>
      <c r="C69" s="313">
        <f>IF(E69=E68,C68+1,1)</f>
        <v>25</v>
      </c>
      <c r="D69" s="313">
        <f>IF(M69=M68,D68,C69)</f>
        <v>25</v>
      </c>
      <c r="E69" s="313">
        <f>10+VALUE(RIGHT(LEFT(G69,3),1))</f>
        <v>13</v>
      </c>
      <c r="F69" s="313" t="str">
        <f>RIGHT(G69,2) &amp; IF(A69&lt;2,"x","")</f>
        <v>pm</v>
      </c>
      <c r="G69" s="313" t="s">
        <v>302</v>
      </c>
      <c r="H69" s="313" t="s">
        <v>281</v>
      </c>
      <c r="I69" s="313" t="s">
        <v>686</v>
      </c>
      <c r="K69" s="314">
        <f>LOOKUP(1E+100,M69:AC69)</f>
        <v>1699.5013431577072</v>
      </c>
      <c r="M69" s="314">
        <v>1920</v>
      </c>
      <c r="P69" s="313">
        <v>1850.7216154182379</v>
      </c>
      <c r="R69" s="313" t="str">
        <f>IF(AND((J69="This"),(L69="Only")),VLOOKUP(G69,#REF!,7,FALSE),"")</f>
        <v/>
      </c>
      <c r="S69" s="313">
        <v>1725.6641033884546</v>
      </c>
      <c r="W69" s="313">
        <v>1699.5013431577072</v>
      </c>
    </row>
    <row r="70" spans="1:24" x14ac:dyDescent="0.25">
      <c r="A70" s="313">
        <v>3</v>
      </c>
      <c r="C70" s="313">
        <f>IF(E70=E69,C69+1,1)</f>
        <v>26</v>
      </c>
      <c r="D70" s="313">
        <f>IF(M70=M69,D69,C70)</f>
        <v>26</v>
      </c>
      <c r="E70" s="313">
        <f>10+VALUE(RIGHT(LEFT(G70,3),1))</f>
        <v>13</v>
      </c>
      <c r="F70" s="313" t="str">
        <f>RIGHT(G70,2) &amp; IF(A70&lt;2,"x","")</f>
        <v>pm</v>
      </c>
      <c r="G70" s="313" t="s">
        <v>307</v>
      </c>
      <c r="H70" s="313" t="s">
        <v>182</v>
      </c>
      <c r="I70" s="313" t="s">
        <v>399</v>
      </c>
      <c r="K70" s="314">
        <f>LOOKUP(1E+100,M70:AC70)</f>
        <v>1669.691703894817</v>
      </c>
      <c r="M70" s="314">
        <v>1600</v>
      </c>
      <c r="R70" s="313" t="str">
        <f>IF(AND((J70="This"),(L70="Only")),VLOOKUP(G70,#REF!,7,FALSE),"")</f>
        <v/>
      </c>
      <c r="S70" s="313">
        <v>1663.3222275324013</v>
      </c>
      <c r="T70" s="313">
        <v>1672.8922772837741</v>
      </c>
      <c r="X70" s="313">
        <v>1669.691703894817</v>
      </c>
    </row>
    <row r="71" spans="1:24" x14ac:dyDescent="0.25">
      <c r="A71" s="313">
        <v>2</v>
      </c>
      <c r="C71" s="313">
        <f>IF(E71=E70,C70+1,1)</f>
        <v>27</v>
      </c>
      <c r="D71" s="313">
        <f>IF(M71=M70,D70,C71)</f>
        <v>26</v>
      </c>
      <c r="E71" s="313">
        <f>10+VALUE(RIGHT(LEFT(G71,3),1))</f>
        <v>13</v>
      </c>
      <c r="F71" s="313" t="str">
        <f>RIGHT(G71,2) &amp; IF(A71&lt;2,"x","")</f>
        <v>pm</v>
      </c>
      <c r="G71" s="313" t="s">
        <v>708</v>
      </c>
      <c r="H71" s="313" t="s">
        <v>559</v>
      </c>
      <c r="I71" s="313" t="s">
        <v>709</v>
      </c>
      <c r="K71" s="314">
        <f>LOOKUP(1E+100,M71:AC71)</f>
        <v>1660.7607370584117</v>
      </c>
      <c r="M71" s="314">
        <v>1600</v>
      </c>
      <c r="R71" s="313" t="str">
        <f>IF(AND((J71="This"),(L71="Only")),VLOOKUP(G71,#REF!,7,FALSE),"")</f>
        <v/>
      </c>
      <c r="S71" s="313">
        <v>1660.7607370584117</v>
      </c>
    </row>
    <row r="72" spans="1:24" x14ac:dyDescent="0.25">
      <c r="A72" s="313">
        <v>7</v>
      </c>
      <c r="C72" s="313">
        <f>IF(E72=E71,C71+1,1)</f>
        <v>28</v>
      </c>
      <c r="D72" s="313">
        <f>IF(M72=M71,D71,C72)</f>
        <v>26</v>
      </c>
      <c r="E72" s="313">
        <f>10+VALUE(RIGHT(LEFT(G72,3),1))</f>
        <v>13</v>
      </c>
      <c r="F72" s="313" t="str">
        <f>RIGHT(G72,2) &amp; IF(A72&lt;2,"x","")</f>
        <v>pm</v>
      </c>
      <c r="G72" s="313" t="s">
        <v>248</v>
      </c>
      <c r="H72" s="313" t="s">
        <v>211</v>
      </c>
      <c r="I72" s="313" t="s">
        <v>415</v>
      </c>
      <c r="K72" s="314">
        <f>LOOKUP(1E+100,M72:AC72)</f>
        <v>1638.7065670849699</v>
      </c>
      <c r="M72" s="314">
        <v>1600</v>
      </c>
      <c r="O72" s="313">
        <v>1577.4900729060989</v>
      </c>
      <c r="R72" s="313" t="str">
        <f>IF(AND((J72="This"),(L72="Only")),VLOOKUP(G72,#REF!,7,FALSE),"")</f>
        <v/>
      </c>
      <c r="S72" s="313">
        <v>1551.9367302009932</v>
      </c>
      <c r="T72" s="313">
        <v>1570.0470154155958</v>
      </c>
      <c r="V72" s="313">
        <v>1641.1631745399584</v>
      </c>
      <c r="X72" s="313">
        <v>1638.7065670849699</v>
      </c>
    </row>
    <row r="73" spans="1:24" x14ac:dyDescent="0.25">
      <c r="A73" s="313">
        <v>4</v>
      </c>
      <c r="C73" s="313">
        <f>IF(E73=E72,C72+1,1)</f>
        <v>29</v>
      </c>
      <c r="D73" s="313">
        <f>IF(M73=M72,D72,C73)</f>
        <v>26</v>
      </c>
      <c r="E73" s="313">
        <f>10+VALUE(RIGHT(LEFT(G73,3),1))</f>
        <v>13</v>
      </c>
      <c r="F73" s="313" t="str">
        <f>RIGHT(G73,2) &amp; IF(A73&lt;2,"x","")</f>
        <v>pm</v>
      </c>
      <c r="G73" s="313" t="s">
        <v>306</v>
      </c>
      <c r="H73" s="313" t="s">
        <v>213</v>
      </c>
      <c r="I73" s="313" t="s">
        <v>305</v>
      </c>
      <c r="K73" s="314">
        <f>LOOKUP(1E+100,M73:AC73)</f>
        <v>1624.0611052715087</v>
      </c>
      <c r="M73" s="314">
        <v>1600</v>
      </c>
      <c r="O73" s="313">
        <v>1510.6135428350065</v>
      </c>
      <c r="R73" s="313" t="str">
        <f>IF(AND((J73="This"),(L73="Only")),VLOOKUP(G73,#REF!,7,FALSE),"")</f>
        <v/>
      </c>
      <c r="V73" s="313">
        <v>1605.5410773854333</v>
      </c>
      <c r="X73" s="313">
        <v>1624.0611052715087</v>
      </c>
    </row>
    <row r="74" spans="1:24" x14ac:dyDescent="0.25">
      <c r="A74" s="313">
        <v>2</v>
      </c>
      <c r="C74" s="313">
        <f>IF(E74=E73,C73+1,1)</f>
        <v>30</v>
      </c>
      <c r="D74" s="313">
        <f>IF(M74=M73,D73,C74)</f>
        <v>26</v>
      </c>
      <c r="E74" s="313">
        <f>10+VALUE(RIGHT(LEFT(G74,3),1))</f>
        <v>13</v>
      </c>
      <c r="F74" s="313" t="str">
        <f>RIGHT(G74,2) &amp; IF(A74&lt;2,"x","")</f>
        <v>pm</v>
      </c>
      <c r="G74" s="313" t="s">
        <v>710</v>
      </c>
      <c r="H74" s="313" t="s">
        <v>559</v>
      </c>
      <c r="I74" s="313" t="s">
        <v>711</v>
      </c>
      <c r="K74" s="314">
        <f>LOOKUP(1E+100,M74:AC74)</f>
        <v>1617.872536849952</v>
      </c>
      <c r="M74" s="314">
        <v>1600</v>
      </c>
      <c r="R74" s="313" t="str">
        <f>IF(AND((J74="This"),(L74="Only")),VLOOKUP(G74,#REF!,7,FALSE),"")</f>
        <v/>
      </c>
      <c r="V74" s="313">
        <v>1617.872536849952</v>
      </c>
    </row>
    <row r="75" spans="1:24" x14ac:dyDescent="0.25">
      <c r="A75" s="313">
        <v>5</v>
      </c>
      <c r="C75" s="313">
        <f>IF(E75=E74,C74+1,1)</f>
        <v>31</v>
      </c>
      <c r="D75" s="313">
        <f>IF(M75=M74,D74,C75)</f>
        <v>26</v>
      </c>
      <c r="E75" s="313">
        <f>10+VALUE(RIGHT(LEFT(G75,3),1))</f>
        <v>13</v>
      </c>
      <c r="F75" s="313" t="str">
        <f>RIGHT(G75,2) &amp; IF(A75&lt;2,"x","")</f>
        <v>pm</v>
      </c>
      <c r="G75" s="313" t="s">
        <v>381</v>
      </c>
      <c r="H75" s="313" t="s">
        <v>205</v>
      </c>
      <c r="I75" s="313" t="s">
        <v>380</v>
      </c>
      <c r="K75" s="314">
        <f>LOOKUP(1E+100,M75:AC75)</f>
        <v>1604.7543289628434</v>
      </c>
      <c r="M75" s="314">
        <v>1600</v>
      </c>
      <c r="R75" s="313" t="str">
        <f>IF(AND((J75="This"),(L75="Only")),VLOOKUP(G75,#REF!,7,FALSE),"")</f>
        <v/>
      </c>
      <c r="S75" s="313">
        <v>1571.3618286035594</v>
      </c>
      <c r="T75" s="313">
        <v>1568.1003447488174</v>
      </c>
      <c r="V75" s="313">
        <v>1571.3271481700851</v>
      </c>
      <c r="X75" s="313">
        <v>1604.7543289628434</v>
      </c>
    </row>
    <row r="76" spans="1:24" x14ac:dyDescent="0.25">
      <c r="A76" s="313">
        <v>3</v>
      </c>
      <c r="C76" s="313">
        <f>IF(E76=E75,C75+1,1)</f>
        <v>32</v>
      </c>
      <c r="D76" s="313">
        <f>IF(M76=M75,D75,C76)</f>
        <v>26</v>
      </c>
      <c r="E76" s="313">
        <f>10+VALUE(RIGHT(LEFT(G76,3),1))</f>
        <v>13</v>
      </c>
      <c r="F76" s="313" t="str">
        <f>RIGHT(G76,2) &amp; IF(A76&lt;2,"x","")</f>
        <v>pm</v>
      </c>
      <c r="G76" s="313" t="s">
        <v>699</v>
      </c>
      <c r="H76" s="313" t="s">
        <v>700</v>
      </c>
      <c r="I76" s="313" t="s">
        <v>701</v>
      </c>
      <c r="K76" s="314">
        <f>LOOKUP(1E+100,M76:AC76)</f>
        <v>1604.6972640134418</v>
      </c>
      <c r="M76" s="314">
        <v>1600</v>
      </c>
      <c r="R76" s="313" t="str">
        <f>IF(AND((J76="This"),(L76="Only")),VLOOKUP(G76,#REF!,7,FALSE),"")</f>
        <v/>
      </c>
      <c r="T76" s="313">
        <v>1604.6972640134418</v>
      </c>
    </row>
    <row r="77" spans="1:24" x14ac:dyDescent="0.25">
      <c r="A77" s="313">
        <v>5</v>
      </c>
      <c r="C77" s="313">
        <f>IF(E77=E76,C76+1,1)</f>
        <v>33</v>
      </c>
      <c r="D77" s="313">
        <f>IF(M77=M76,D76,C77)</f>
        <v>26</v>
      </c>
      <c r="E77" s="313">
        <f>10+VALUE(RIGHT(LEFT(G77,3),1))</f>
        <v>13</v>
      </c>
      <c r="F77" s="313" t="str">
        <f>RIGHT(G77,2) &amp; IF(A77&lt;2,"x","")</f>
        <v>pm</v>
      </c>
      <c r="G77" s="313" t="s">
        <v>702</v>
      </c>
      <c r="H77" s="313" t="s">
        <v>235</v>
      </c>
      <c r="I77" s="313" t="s">
        <v>703</v>
      </c>
      <c r="K77" s="314">
        <f>LOOKUP(1E+100,M77:AC77)</f>
        <v>1600</v>
      </c>
      <c r="M77" s="314">
        <v>1600</v>
      </c>
      <c r="R77" s="313" t="str">
        <f>IF(AND((J77="This"),(L77="Only")),VLOOKUP(G77,#REF!,7,FALSE),"")</f>
        <v/>
      </c>
    </row>
    <row r="78" spans="1:24" x14ac:dyDescent="0.25">
      <c r="A78" s="313">
        <v>5</v>
      </c>
      <c r="C78" s="313">
        <f>IF(E78=E77,C77+1,1)</f>
        <v>34</v>
      </c>
      <c r="D78" s="313">
        <f>IF(M78=M77,D77,C78)</f>
        <v>34</v>
      </c>
      <c r="E78" s="313">
        <f>10+VALUE(RIGHT(LEFT(G78,3),1))</f>
        <v>13</v>
      </c>
      <c r="F78" s="313" t="str">
        <f>RIGHT(G78,2) &amp; IF(A78&lt;2,"x","")</f>
        <v>pm</v>
      </c>
      <c r="G78" s="313" t="s">
        <v>512</v>
      </c>
      <c r="H78" s="313" t="s">
        <v>510</v>
      </c>
      <c r="I78" s="313" t="s">
        <v>511</v>
      </c>
      <c r="K78" s="314">
        <f>LOOKUP(1E+100,M78:AC78)</f>
        <v>1571.8701672086986</v>
      </c>
      <c r="M78" s="314">
        <v>1680</v>
      </c>
      <c r="O78" s="313">
        <v>1638.9266878949168</v>
      </c>
      <c r="R78" s="313" t="str">
        <f>IF(AND((J78="This"),(L78="Only")),VLOOKUP(G78,#REF!,7,FALSE),"")</f>
        <v/>
      </c>
      <c r="S78" s="313">
        <v>1615.8472257401343</v>
      </c>
      <c r="V78" s="313">
        <v>1532.3959580712301</v>
      </c>
      <c r="X78" s="313">
        <v>1571.8701672086986</v>
      </c>
    </row>
    <row r="79" spans="1:24" x14ac:dyDescent="0.25">
      <c r="A79" s="313">
        <v>6</v>
      </c>
      <c r="C79" s="313">
        <f>IF(E79=E78,C78+1,1)</f>
        <v>35</v>
      </c>
      <c r="D79" s="313">
        <f>IF(M79=M78,D78,C79)</f>
        <v>35</v>
      </c>
      <c r="E79" s="313">
        <f>10+VALUE(RIGHT(LEFT(G79,3),1))</f>
        <v>13</v>
      </c>
      <c r="F79" s="313" t="str">
        <f>RIGHT(G79,2) &amp; IF(A79&lt;2,"x","")</f>
        <v>pm</v>
      </c>
      <c r="G79" s="313" t="s">
        <v>203</v>
      </c>
      <c r="H79" s="313" t="s">
        <v>204</v>
      </c>
      <c r="I79" s="313" t="s">
        <v>177</v>
      </c>
      <c r="K79" s="314">
        <f>LOOKUP(1E+100,M79:AC79)</f>
        <v>1570.045589451209</v>
      </c>
      <c r="M79" s="314">
        <v>1600</v>
      </c>
      <c r="O79" s="313">
        <v>1625.3262917022503</v>
      </c>
      <c r="R79" s="313" t="str">
        <f>IF(AND((J79="This"),(L79="Only")),VLOOKUP(G79,#REF!,7,FALSE),"")</f>
        <v/>
      </c>
      <c r="S79" s="313">
        <v>1619.5179443157126</v>
      </c>
      <c r="T79" s="313">
        <v>1693.3818306474545</v>
      </c>
      <c r="V79" s="313">
        <v>1649.1598067006576</v>
      </c>
      <c r="X79" s="313">
        <v>1570.045589451209</v>
      </c>
    </row>
    <row r="80" spans="1:24" x14ac:dyDescent="0.25">
      <c r="A80" s="313">
        <v>5</v>
      </c>
      <c r="C80" s="313">
        <f>IF(E80=E79,C79+1,1)</f>
        <v>36</v>
      </c>
      <c r="D80" s="313">
        <f>IF(M80=M79,D79,C80)</f>
        <v>35</v>
      </c>
      <c r="E80" s="313">
        <f>10+VALUE(RIGHT(LEFT(G80,3),1))</f>
        <v>13</v>
      </c>
      <c r="F80" s="313" t="str">
        <f>RIGHT(G80,2) &amp; IF(A80&lt;2,"x","")</f>
        <v>pm</v>
      </c>
      <c r="G80" s="313" t="s">
        <v>261</v>
      </c>
      <c r="H80" s="313" t="s">
        <v>201</v>
      </c>
      <c r="I80" s="313" t="s">
        <v>175</v>
      </c>
      <c r="K80" s="314">
        <f>LOOKUP(1E+100,M80:AC80)</f>
        <v>1561.769821982075</v>
      </c>
      <c r="M80" s="314">
        <v>1600</v>
      </c>
      <c r="R80" s="313" t="str">
        <f>IF(AND((J80="This"),(L80="Only")),VLOOKUP(G80,#REF!,7,FALSE),"")</f>
        <v/>
      </c>
      <c r="S80" s="313">
        <v>1501.4152753915264</v>
      </c>
      <c r="T80" s="313">
        <v>1488.4874647585782</v>
      </c>
      <c r="V80" s="313">
        <v>1479.2171814305723</v>
      </c>
      <c r="X80" s="313">
        <v>1561.769821982075</v>
      </c>
    </row>
    <row r="81" spans="1:24" x14ac:dyDescent="0.25">
      <c r="A81" s="313">
        <v>2</v>
      </c>
      <c r="C81" s="313">
        <f>IF(E81=E80,C80+1,1)</f>
        <v>37</v>
      </c>
      <c r="D81" s="313">
        <f>IF(M81=M80,D80,C81)</f>
        <v>35</v>
      </c>
      <c r="E81" s="313">
        <f>10+VALUE(RIGHT(LEFT(G81,3),1))</f>
        <v>13</v>
      </c>
      <c r="F81" s="313" t="str">
        <f>RIGHT(G81,2) &amp; IF(A81&lt;2,"x","")</f>
        <v>pm</v>
      </c>
      <c r="G81" s="313" t="s">
        <v>714</v>
      </c>
      <c r="H81" s="313" t="s">
        <v>559</v>
      </c>
      <c r="I81" s="313" t="s">
        <v>715</v>
      </c>
      <c r="K81" s="314">
        <f>LOOKUP(1E+100,M81:AC81)</f>
        <v>1554.3863321425481</v>
      </c>
      <c r="M81" s="314">
        <v>1600</v>
      </c>
      <c r="R81" s="313" t="str">
        <f>IF(AND((J81="This"),(L81="Only")),VLOOKUP(G81,#REF!,7,FALSE),"")</f>
        <v/>
      </c>
      <c r="S81" s="313">
        <v>1554.3863321425481</v>
      </c>
    </row>
    <row r="82" spans="1:24" x14ac:dyDescent="0.25">
      <c r="A82" s="313">
        <v>3</v>
      </c>
      <c r="C82" s="313">
        <f>IF(E82=E81,C81+1,1)</f>
        <v>38</v>
      </c>
      <c r="D82" s="313">
        <f>IF(M82=M81,D81,C82)</f>
        <v>35</v>
      </c>
      <c r="E82" s="313">
        <f>10+VALUE(RIGHT(LEFT(G82,3),1))</f>
        <v>13</v>
      </c>
      <c r="F82" s="313" t="str">
        <f>RIGHT(G82,2) &amp; IF(A82&lt;2,"x","")</f>
        <v>pm</v>
      </c>
      <c r="G82" s="313" t="s">
        <v>245</v>
      </c>
      <c r="H82" s="313" t="s">
        <v>207</v>
      </c>
      <c r="I82" s="313" t="s">
        <v>300</v>
      </c>
      <c r="K82" s="314">
        <f>LOOKUP(1E+100,M82:AC82)</f>
        <v>1553.1146881464708</v>
      </c>
      <c r="M82" s="314">
        <v>1600</v>
      </c>
      <c r="R82" s="313" t="str">
        <f>IF(AND((J82="This"),(L82="Only")),VLOOKUP(G82,#REF!,7,FALSE),"")</f>
        <v/>
      </c>
      <c r="S82" s="313">
        <v>1612.3030183432836</v>
      </c>
      <c r="T82" s="313">
        <v>1592.2302498222155</v>
      </c>
      <c r="X82" s="313">
        <v>1553.1146881464708</v>
      </c>
    </row>
    <row r="83" spans="1:24" x14ac:dyDescent="0.25">
      <c r="A83" s="313">
        <v>3</v>
      </c>
      <c r="C83" s="313">
        <f>IF(E83=E82,C82+1,1)</f>
        <v>39</v>
      </c>
      <c r="D83" s="313">
        <f>IF(M83=M82,D82,C83)</f>
        <v>35</v>
      </c>
      <c r="E83" s="313">
        <f>10+VALUE(RIGHT(LEFT(G83,3),1))</f>
        <v>13</v>
      </c>
      <c r="F83" s="313" t="str">
        <f>RIGHT(G83,2) &amp; IF(A83&lt;2,"x","")</f>
        <v>pm</v>
      </c>
      <c r="G83" s="313" t="s">
        <v>299</v>
      </c>
      <c r="H83" s="313" t="s">
        <v>207</v>
      </c>
      <c r="I83" s="313" t="s">
        <v>301</v>
      </c>
      <c r="K83" s="314">
        <f>LOOKUP(1E+100,M83:AC83)</f>
        <v>1524.91900289658</v>
      </c>
      <c r="M83" s="314">
        <v>1600</v>
      </c>
      <c r="R83" s="313" t="str">
        <f>IF(AND((J83="This"),(L83="Only")),VLOOKUP(G83,#REF!,7,FALSE),"")</f>
        <v/>
      </c>
      <c r="S83" s="313">
        <v>1673.4893306775402</v>
      </c>
      <c r="T83" s="313">
        <v>1559.0584600733771</v>
      </c>
      <c r="X83" s="313">
        <v>1524.91900289658</v>
      </c>
    </row>
    <row r="84" spans="1:24" x14ac:dyDescent="0.25">
      <c r="A84" s="313">
        <v>2</v>
      </c>
      <c r="C84" s="313">
        <f>IF(E84=E83,C83+1,1)</f>
        <v>40</v>
      </c>
      <c r="D84" s="313">
        <f>IF(M84=M83,D83,C84)</f>
        <v>35</v>
      </c>
      <c r="E84" s="313">
        <f>10+VALUE(RIGHT(LEFT(G84,3),1))</f>
        <v>13</v>
      </c>
      <c r="F84" s="313" t="str">
        <f>RIGHT(G84,2) &amp; IF(A84&lt;2,"x","")</f>
        <v>pm</v>
      </c>
      <c r="G84" s="313" t="s">
        <v>712</v>
      </c>
      <c r="H84" s="313" t="s">
        <v>559</v>
      </c>
      <c r="I84" s="313" t="s">
        <v>713</v>
      </c>
      <c r="K84" s="314">
        <f>LOOKUP(1E+100,M84:AC84)</f>
        <v>1520.584890435453</v>
      </c>
      <c r="M84" s="314">
        <v>1600</v>
      </c>
      <c r="R84" s="313" t="str">
        <f>IF(AND((J84="This"),(L84="Only")),VLOOKUP(G84,#REF!,7,FALSE),"")</f>
        <v/>
      </c>
      <c r="S84" s="313">
        <v>1520.584890435453</v>
      </c>
    </row>
    <row r="85" spans="1:24" x14ac:dyDescent="0.25">
      <c r="A85" s="313">
        <v>4</v>
      </c>
      <c r="C85" s="313">
        <f>IF(E85=E84,C84+1,1)</f>
        <v>41</v>
      </c>
      <c r="D85" s="313">
        <f>IF(M85=M84,D84,C85)</f>
        <v>35</v>
      </c>
      <c r="E85" s="313">
        <f>10+VALUE(RIGHT(LEFT(G85,3),1))</f>
        <v>13</v>
      </c>
      <c r="F85" s="313" t="str">
        <f>RIGHT(G85,2) &amp; IF(A85&lt;2,"x","")</f>
        <v>pm</v>
      </c>
      <c r="G85" s="313" t="s">
        <v>496</v>
      </c>
      <c r="H85" s="313" t="s">
        <v>494</v>
      </c>
      <c r="I85" s="313" t="s">
        <v>495</v>
      </c>
      <c r="K85" s="314">
        <f>LOOKUP(1E+100,M85:AC85)</f>
        <v>1504.9677174020592</v>
      </c>
      <c r="M85" s="314">
        <v>1600</v>
      </c>
      <c r="R85" s="313" t="str">
        <f>IF(AND((J85="This"),(L85="Only")),VLOOKUP(G85,#REF!,7,FALSE),"")</f>
        <v/>
      </c>
      <c r="S85" s="313">
        <v>1636.6616321677709</v>
      </c>
      <c r="V85" s="313">
        <v>1531.9857171026847</v>
      </c>
      <c r="X85" s="313">
        <v>1504.9677174020592</v>
      </c>
    </row>
    <row r="86" spans="1:24" x14ac:dyDescent="0.25">
      <c r="A86" s="313">
        <v>6</v>
      </c>
      <c r="C86" s="313">
        <f>IF(E86=E85,C85+1,1)</f>
        <v>42</v>
      </c>
      <c r="D86" s="313">
        <f>IF(M86=M85,D85,C86)</f>
        <v>35</v>
      </c>
      <c r="E86" s="313">
        <f>10+VALUE(RIGHT(LEFT(G86,3),1))</f>
        <v>13</v>
      </c>
      <c r="F86" s="313" t="str">
        <f>RIGHT(G86,2) &amp; IF(A86&lt;2,"x","")</f>
        <v>pm</v>
      </c>
      <c r="G86" s="313" t="s">
        <v>413</v>
      </c>
      <c r="H86" s="313" t="s">
        <v>411</v>
      </c>
      <c r="I86" s="313" t="s">
        <v>412</v>
      </c>
      <c r="K86" s="314">
        <f>LOOKUP(1E+100,M86:AC86)</f>
        <v>1491.3545061485115</v>
      </c>
      <c r="M86" s="314">
        <v>1600</v>
      </c>
      <c r="O86" s="313">
        <v>1508.2672187375808</v>
      </c>
      <c r="R86" s="313" t="str">
        <f>IF(AND((J86="This"),(L86="Only")),VLOOKUP(G86,#REF!,7,FALSE),"")</f>
        <v/>
      </c>
      <c r="S86" s="313">
        <v>1540.7626731767975</v>
      </c>
      <c r="T86" s="313">
        <v>1618.6634729877185</v>
      </c>
      <c r="V86" s="313">
        <v>1541.5139178594579</v>
      </c>
      <c r="X86" s="313">
        <v>1491.3545061485115</v>
      </c>
    </row>
    <row r="87" spans="1:24" x14ac:dyDescent="0.25">
      <c r="A87" s="313">
        <v>2</v>
      </c>
      <c r="C87" s="313">
        <f>IF(E87=E86,C86+1,1)</f>
        <v>43</v>
      </c>
      <c r="D87" s="313">
        <f>IF(M87=M86,D86,C87)</f>
        <v>35</v>
      </c>
      <c r="E87" s="313">
        <f>10+VALUE(RIGHT(LEFT(G87,3),1))</f>
        <v>13</v>
      </c>
      <c r="F87" s="313" t="str">
        <f>RIGHT(G87,2) &amp; IF(A87&lt;2,"x","")</f>
        <v>pm</v>
      </c>
      <c r="G87" s="313" t="s">
        <v>489</v>
      </c>
      <c r="H87" s="313" t="s">
        <v>254</v>
      </c>
      <c r="I87" s="313" t="s">
        <v>488</v>
      </c>
      <c r="K87" s="314">
        <f>LOOKUP(1E+100,M87:AC87)</f>
        <v>1477.7407601574198</v>
      </c>
      <c r="M87" s="314">
        <v>1600</v>
      </c>
      <c r="R87" s="313" t="str">
        <f>IF(AND((J87="This"),(L87="Only")),VLOOKUP(G87,#REF!,7,FALSE),"")</f>
        <v/>
      </c>
      <c r="S87" s="313">
        <v>1510.9636495195373</v>
      </c>
      <c r="X87" s="313">
        <v>1477.7407601574198</v>
      </c>
    </row>
    <row r="88" spans="1:24" x14ac:dyDescent="0.25">
      <c r="A88" s="313">
        <v>5</v>
      </c>
      <c r="C88" s="313">
        <f>IF(E88=E87,C87+1,1)</f>
        <v>44</v>
      </c>
      <c r="D88" s="313">
        <f>IF(M88=M87,D87,C88)</f>
        <v>35</v>
      </c>
      <c r="E88" s="313">
        <f>10+VALUE(RIGHT(LEFT(G88,3),1))</f>
        <v>13</v>
      </c>
      <c r="F88" s="313" t="str">
        <f>RIGHT(G88,2) &amp; IF(A88&lt;2,"x","")</f>
        <v>pm</v>
      </c>
      <c r="G88" s="313" t="s">
        <v>696</v>
      </c>
      <c r="H88" s="313" t="s">
        <v>697</v>
      </c>
      <c r="I88" s="313" t="s">
        <v>698</v>
      </c>
      <c r="K88" s="314">
        <f>LOOKUP(1E+100,M88:AC88)</f>
        <v>1467.8957556218759</v>
      </c>
      <c r="M88" s="314">
        <v>1600</v>
      </c>
      <c r="O88" s="313">
        <v>1543.1379599637289</v>
      </c>
      <c r="R88" s="313" t="str">
        <f>IF(AND((J88="This"),(L88="Only")),VLOOKUP(G88,#REF!,7,FALSE),"")</f>
        <v/>
      </c>
      <c r="T88" s="313">
        <v>1458.4555688261864</v>
      </c>
      <c r="V88" s="313">
        <v>1467.8957556218759</v>
      </c>
    </row>
    <row r="89" spans="1:24" x14ac:dyDescent="0.25">
      <c r="A89" s="313">
        <v>5</v>
      </c>
      <c r="C89" s="313">
        <f>IF(E89=E88,C88+1,1)</f>
        <v>45</v>
      </c>
      <c r="D89" s="313">
        <f>IF(M89=M88,D88,C89)</f>
        <v>35</v>
      </c>
      <c r="E89" s="313">
        <f>10+VALUE(RIGHT(LEFT(G89,3),1))</f>
        <v>13</v>
      </c>
      <c r="F89" s="313" t="str">
        <f>RIGHT(G89,2) &amp; IF(A89&lt;2,"x","")</f>
        <v>pm</v>
      </c>
      <c r="G89" s="313" t="s">
        <v>297</v>
      </c>
      <c r="H89" s="313" t="s">
        <v>204</v>
      </c>
      <c r="I89" s="313" t="s">
        <v>296</v>
      </c>
      <c r="K89" s="314">
        <f>LOOKUP(1E+100,M89:AC89)</f>
        <v>1455.919866359161</v>
      </c>
      <c r="M89" s="314">
        <v>1600</v>
      </c>
      <c r="R89" s="313" t="str">
        <f>IF(AND((J89="This"),(L89="Only")),VLOOKUP(G89,#REF!,7,FALSE),"")</f>
        <v/>
      </c>
      <c r="S89" s="313">
        <v>1521.1076517388424</v>
      </c>
      <c r="T89" s="313">
        <v>1577.3037892908403</v>
      </c>
      <c r="V89" s="313">
        <v>1506.9929479813056</v>
      </c>
      <c r="X89" s="313">
        <v>1455.919866359161</v>
      </c>
    </row>
    <row r="90" spans="1:24" x14ac:dyDescent="0.25">
      <c r="A90" s="313">
        <v>5</v>
      </c>
      <c r="C90" s="313">
        <f>IF(E90=E89,C89+1,1)</f>
        <v>46</v>
      </c>
      <c r="D90" s="313">
        <f>IF(M90=M89,D89,C90)</f>
        <v>35</v>
      </c>
      <c r="E90" s="313">
        <f>10+VALUE(RIGHT(LEFT(G90,3),1))</f>
        <v>13</v>
      </c>
      <c r="F90" s="313" t="str">
        <f>RIGHT(G90,2) &amp; IF(A90&lt;2,"x","")</f>
        <v>pm</v>
      </c>
      <c r="G90" s="313" t="s">
        <v>226</v>
      </c>
      <c r="H90" s="313" t="s">
        <v>201</v>
      </c>
      <c r="I90" s="313" t="s">
        <v>176</v>
      </c>
      <c r="K90" s="314">
        <f>LOOKUP(1E+100,M90:AC90)</f>
        <v>1442.1293939796219</v>
      </c>
      <c r="M90" s="314">
        <v>1600</v>
      </c>
      <c r="R90" s="313" t="str">
        <f>IF(AND((J90="This"),(L90="Only")),VLOOKUP(G90,#REF!,7,FALSE),"")</f>
        <v/>
      </c>
      <c r="S90" s="313">
        <v>1526.5577404254093</v>
      </c>
      <c r="T90" s="313">
        <v>1447.3909581757298</v>
      </c>
      <c r="V90" s="313">
        <v>1425.4109540497846</v>
      </c>
      <c r="X90" s="313">
        <v>1442.1293939796219</v>
      </c>
    </row>
    <row r="91" spans="1:24" x14ac:dyDescent="0.25">
      <c r="A91" s="313">
        <v>5</v>
      </c>
      <c r="C91" s="313">
        <f>IF(E91=E90,C90+1,1)</f>
        <v>47</v>
      </c>
      <c r="D91" s="313">
        <f>IF(M91=M90,D90,C91)</f>
        <v>35</v>
      </c>
      <c r="E91" s="313">
        <f>10+VALUE(RIGHT(LEFT(G91,3),1))</f>
        <v>13</v>
      </c>
      <c r="F91" s="313" t="str">
        <f>RIGHT(G91,2) &amp; IF(A91&lt;2,"x","")</f>
        <v>pm</v>
      </c>
      <c r="G91" s="313" t="s">
        <v>376</v>
      </c>
      <c r="H91" s="313" t="s">
        <v>219</v>
      </c>
      <c r="I91" s="313" t="s">
        <v>375</v>
      </c>
      <c r="K91" s="314">
        <f>LOOKUP(1E+100,M91:AC91)</f>
        <v>1311.3008440135307</v>
      </c>
      <c r="M91" s="314">
        <v>1600</v>
      </c>
      <c r="O91" s="313">
        <v>1496.0605297120387</v>
      </c>
      <c r="R91" s="313" t="str">
        <f>IF(AND((J91="This"),(L91="Only")),VLOOKUP(G91,#REF!,7,FALSE),"")</f>
        <v/>
      </c>
      <c r="T91" s="313">
        <v>1420.2404492297683</v>
      </c>
      <c r="X91" s="313">
        <v>1311.3008440135307</v>
      </c>
    </row>
    <row r="92" spans="1:24" x14ac:dyDescent="0.25">
      <c r="A92" s="313">
        <v>2</v>
      </c>
      <c r="C92" s="313">
        <f>IF(E92=E91,C91+1,1)</f>
        <v>1</v>
      </c>
      <c r="D92" s="313">
        <f>IF(M92=M91,D91,C92)</f>
        <v>1</v>
      </c>
      <c r="E92" s="313">
        <f>10+VALUE(RIGHT(LEFT(G92,3),1))</f>
        <v>14</v>
      </c>
      <c r="F92" s="313" t="str">
        <f>RIGHT(G92,2) &amp; IF(A92&lt;2,"x","")</f>
        <v>pm</v>
      </c>
      <c r="G92" s="313" t="s">
        <v>764</v>
      </c>
      <c r="H92" s="313" t="s">
        <v>201</v>
      </c>
      <c r="I92" s="313" t="s">
        <v>765</v>
      </c>
      <c r="K92" s="314">
        <f>LOOKUP(1E+100,M92:AC92)</f>
        <v>2362.6766295698312</v>
      </c>
      <c r="M92" s="314">
        <v>2200</v>
      </c>
      <c r="R92" s="313" t="str">
        <f>IF(AND((J92="This"),(L92="Only")),VLOOKUP(G92,#REF!,7,FALSE),"")</f>
        <v/>
      </c>
      <c r="U92" s="313">
        <v>2326.0573699748429</v>
      </c>
      <c r="W92" s="313">
        <v>2362.6766295698312</v>
      </c>
    </row>
    <row r="93" spans="1:24" x14ac:dyDescent="0.25">
      <c r="A93" s="313">
        <v>3</v>
      </c>
      <c r="C93" s="313">
        <f>IF(E93=E92,C92+1,1)</f>
        <v>2</v>
      </c>
      <c r="D93" s="313">
        <f>IF(M93=M92,D92,C93)</f>
        <v>1</v>
      </c>
      <c r="E93" s="313">
        <f>10+VALUE(RIGHT(LEFT(G93,3),1))</f>
        <v>14</v>
      </c>
      <c r="F93" s="313" t="str">
        <f>RIGHT(G93,2) &amp; IF(A93&lt;2,"x","")</f>
        <v>pm</v>
      </c>
      <c r="G93" s="313" t="s">
        <v>725</v>
      </c>
      <c r="H93" s="313" t="s">
        <v>207</v>
      </c>
      <c r="I93" s="313" t="s">
        <v>726</v>
      </c>
      <c r="K93" s="314">
        <f>LOOKUP(1E+100,M93:AC93)</f>
        <v>2360.4440637068092</v>
      </c>
      <c r="M93" s="314">
        <v>2200</v>
      </c>
      <c r="N93" s="313">
        <v>2306.5141993458815</v>
      </c>
      <c r="R93" s="313" t="str">
        <f>IF(AND((J93="This"),(L93="Only")),VLOOKUP(G93,#REF!,7,FALSE),"")</f>
        <v/>
      </c>
      <c r="U93" s="313">
        <v>2360.4440637068092</v>
      </c>
    </row>
    <row r="94" spans="1:24" x14ac:dyDescent="0.25">
      <c r="A94" s="313">
        <v>2</v>
      </c>
      <c r="C94" s="313">
        <f>IF(E94=E93,C93+1,1)</f>
        <v>3</v>
      </c>
      <c r="D94" s="313">
        <f>IF(M94=M93,D93,C94)</f>
        <v>1</v>
      </c>
      <c r="E94" s="313">
        <f>10+VALUE(RIGHT(LEFT(G94,3),1))</f>
        <v>14</v>
      </c>
      <c r="F94" s="313" t="str">
        <f>RIGHT(G94,2) &amp; IF(A94&lt;2,"x","")</f>
        <v>pm</v>
      </c>
      <c r="G94" s="313" t="s">
        <v>732</v>
      </c>
      <c r="H94" s="313" t="s">
        <v>393</v>
      </c>
      <c r="I94" s="313" t="s">
        <v>733</v>
      </c>
      <c r="K94" s="314">
        <f>LOOKUP(1E+100,M94:AC94)</f>
        <v>2335.7533430560889</v>
      </c>
      <c r="M94" s="314">
        <v>2200</v>
      </c>
      <c r="N94" s="313">
        <v>2248.7430591333896</v>
      </c>
      <c r="R94" s="313" t="str">
        <f>IF(AND((J94="This"),(L94="Only")),VLOOKUP(G94,#REF!,7,FALSE),"")</f>
        <v/>
      </c>
      <c r="S94" s="313">
        <v>2335.7533430560889</v>
      </c>
    </row>
    <row r="95" spans="1:24" x14ac:dyDescent="0.25">
      <c r="A95" s="313">
        <v>4</v>
      </c>
      <c r="C95" s="313">
        <f>IF(E95=E94,C94+1,1)</f>
        <v>4</v>
      </c>
      <c r="D95" s="313">
        <f>IF(M95=M94,D94,C95)</f>
        <v>1</v>
      </c>
      <c r="E95" s="313">
        <f>10+VALUE(RIGHT(LEFT(G95,3),1))</f>
        <v>14</v>
      </c>
      <c r="F95" s="313" t="str">
        <f>RIGHT(G95,2) &amp; IF(A95&lt;2,"x","")</f>
        <v>pm</v>
      </c>
      <c r="G95" s="313" t="s">
        <v>727</v>
      </c>
      <c r="H95" s="313" t="s">
        <v>207</v>
      </c>
      <c r="I95" s="313" t="s">
        <v>728</v>
      </c>
      <c r="K95" s="314">
        <f>LOOKUP(1E+100,M95:AC95)</f>
        <v>2326.7309739793168</v>
      </c>
      <c r="M95" s="314">
        <v>2200</v>
      </c>
      <c r="N95" s="313">
        <v>2234.317086556041</v>
      </c>
      <c r="R95" s="313" t="str">
        <f>IF(AND((J95="This"),(L95="Only")),VLOOKUP(G95,#REF!,7,FALSE),"")</f>
        <v/>
      </c>
      <c r="U95" s="313">
        <v>2295.955969587601</v>
      </c>
      <c r="W95" s="313">
        <v>2326.7309739793168</v>
      </c>
    </row>
    <row r="96" spans="1:24" x14ac:dyDescent="0.25">
      <c r="A96" s="313">
        <v>4</v>
      </c>
      <c r="C96" s="313">
        <f>IF(E96=E95,C95+1,1)</f>
        <v>5</v>
      </c>
      <c r="D96" s="313">
        <f>IF(M96=M95,D95,C96)</f>
        <v>5</v>
      </c>
      <c r="E96" s="313">
        <f>10+VALUE(RIGHT(LEFT(G96,3),1))</f>
        <v>14</v>
      </c>
      <c r="F96" s="313" t="str">
        <f>RIGHT(G96,2) &amp; IF(A96&lt;2,"x","")</f>
        <v>pm</v>
      </c>
      <c r="G96" s="313" t="s">
        <v>781</v>
      </c>
      <c r="H96" s="313" t="s">
        <v>281</v>
      </c>
      <c r="I96" s="313" t="s">
        <v>782</v>
      </c>
      <c r="K96" s="314">
        <f>LOOKUP(1E+100,M96:AC96)</f>
        <v>2320.3402125650441</v>
      </c>
      <c r="M96" s="314">
        <v>2150</v>
      </c>
      <c r="R96" s="313" t="str">
        <f>IF(AND((J96="This"),(L96="Only")),VLOOKUP(G96,#REF!,7,FALSE),"")</f>
        <v/>
      </c>
      <c r="S96" s="313">
        <v>2244.178282513466</v>
      </c>
      <c r="W96" s="313">
        <v>2320.3402125650441</v>
      </c>
    </row>
    <row r="97" spans="1:24" x14ac:dyDescent="0.25">
      <c r="A97" s="313">
        <v>6</v>
      </c>
      <c r="C97" s="313">
        <f>IF(E97=E96,C96+1,1)</f>
        <v>6</v>
      </c>
      <c r="D97" s="313">
        <f>IF(M97=M96,D96,C97)</f>
        <v>6</v>
      </c>
      <c r="E97" s="313">
        <f>10+VALUE(RIGHT(LEFT(G97,3),1))</f>
        <v>14</v>
      </c>
      <c r="F97" s="313" t="str">
        <f>RIGHT(G97,2) &amp; IF(A97&lt;2,"x","")</f>
        <v>pm</v>
      </c>
      <c r="G97" s="313" t="s">
        <v>220</v>
      </c>
      <c r="H97" s="313" t="s">
        <v>216</v>
      </c>
      <c r="I97" s="313" t="s">
        <v>742</v>
      </c>
      <c r="K97" s="314">
        <f>LOOKUP(1E+100,M97:AC97)</f>
        <v>2290.1397423732751</v>
      </c>
      <c r="M97" s="314">
        <v>2200</v>
      </c>
      <c r="N97" s="313">
        <v>2235.4451064009868</v>
      </c>
      <c r="P97" s="313">
        <v>2278.4614151352116</v>
      </c>
      <c r="R97" s="313" t="str">
        <f>IF(AND((J97="This"),(L97="Only")),VLOOKUP(G97,#REF!,7,FALSE),"")</f>
        <v/>
      </c>
      <c r="S97" s="313">
        <v>2248.6070344959771</v>
      </c>
      <c r="U97" s="313">
        <v>2276.7378483263374</v>
      </c>
      <c r="W97" s="313">
        <v>2290.1397423732751</v>
      </c>
    </row>
    <row r="98" spans="1:24" x14ac:dyDescent="0.25">
      <c r="A98" s="313">
        <v>2</v>
      </c>
      <c r="C98" s="313">
        <f>IF(E98=E97,C97+1,1)</f>
        <v>7</v>
      </c>
      <c r="D98" s="313">
        <f>IF(M98=M97,D97,C98)</f>
        <v>6</v>
      </c>
      <c r="E98" s="313">
        <f>10+VALUE(RIGHT(LEFT(G98,3),1))</f>
        <v>14</v>
      </c>
      <c r="F98" s="313" t="str">
        <f>RIGHT(G98,2) &amp; IF(A98&lt;2,"x","")</f>
        <v>pm</v>
      </c>
      <c r="G98" s="313" t="s">
        <v>747</v>
      </c>
      <c r="H98" s="313" t="s">
        <v>559</v>
      </c>
      <c r="I98" s="313" t="s">
        <v>748</v>
      </c>
      <c r="K98" s="314">
        <f>LOOKUP(1E+100,M98:AC98)</f>
        <v>2262.6255966977401</v>
      </c>
      <c r="M98" s="314">
        <v>2200</v>
      </c>
      <c r="R98" s="313" t="str">
        <f>IF(AND((J98="This"),(L98="Only")),VLOOKUP(G98,#REF!,7,FALSE),"")</f>
        <v/>
      </c>
      <c r="S98" s="313">
        <v>2262.6255966977401</v>
      </c>
    </row>
    <row r="99" spans="1:24" x14ac:dyDescent="0.25">
      <c r="A99" s="313">
        <v>3</v>
      </c>
      <c r="C99" s="313">
        <f>IF(E99=E98,C98+1,1)</f>
        <v>8</v>
      </c>
      <c r="D99" s="313">
        <f>IF(M99=M98,D98,C99)</f>
        <v>8</v>
      </c>
      <c r="E99" s="313">
        <f>10+VALUE(RIGHT(LEFT(G99,3),1))</f>
        <v>14</v>
      </c>
      <c r="F99" s="313" t="str">
        <f>RIGHT(G99,2) &amp; IF(A99&lt;2,"x","")</f>
        <v>pm</v>
      </c>
      <c r="G99" s="313" t="s">
        <v>786</v>
      </c>
      <c r="H99" s="313" t="s">
        <v>700</v>
      </c>
      <c r="I99" s="313" t="s">
        <v>787</v>
      </c>
      <c r="K99" s="314">
        <f>LOOKUP(1E+100,M99:AC99)</f>
        <v>2253.0290632225715</v>
      </c>
      <c r="M99" s="314">
        <v>2066.6666666666665</v>
      </c>
      <c r="P99" s="313">
        <v>2159.383839052045</v>
      </c>
      <c r="R99" s="313" t="str">
        <f>IF(AND((J99="This"),(L99="Only")),VLOOKUP(G99,#REF!,7,FALSE),"")</f>
        <v/>
      </c>
      <c r="S99" s="313">
        <v>2224.1169108397717</v>
      </c>
      <c r="V99" s="313">
        <v>2253.0290632225715</v>
      </c>
    </row>
    <row r="100" spans="1:24" x14ac:dyDescent="0.25">
      <c r="A100" s="313">
        <v>2</v>
      </c>
      <c r="C100" s="313">
        <f>IF(E100=E99,C99+1,1)</f>
        <v>9</v>
      </c>
      <c r="D100" s="313">
        <f>IF(M100=M99,D99,C100)</f>
        <v>9</v>
      </c>
      <c r="E100" s="313">
        <f>10+VALUE(RIGHT(LEFT(G100,3),1))</f>
        <v>14</v>
      </c>
      <c r="F100" s="313" t="str">
        <f>RIGHT(G100,2) &amp; IF(A100&lt;2,"x","")</f>
        <v>pm</v>
      </c>
      <c r="G100" s="313" t="s">
        <v>214</v>
      </c>
      <c r="H100" s="313" t="s">
        <v>213</v>
      </c>
      <c r="I100" s="313" t="s">
        <v>183</v>
      </c>
      <c r="K100" s="314">
        <f>LOOKUP(1E+100,M100:AC100)</f>
        <v>2242.8082264482937</v>
      </c>
      <c r="M100" s="314">
        <v>2200</v>
      </c>
      <c r="N100" s="313">
        <v>2242.8082264482937</v>
      </c>
      <c r="R100" s="313" t="str">
        <f>IF(AND((J100="This"),(L100="Only")),VLOOKUP(G100,#REF!,7,FALSE),"")</f>
        <v/>
      </c>
    </row>
    <row r="101" spans="1:24" x14ac:dyDescent="0.25">
      <c r="A101" s="313">
        <v>2</v>
      </c>
      <c r="C101" s="313">
        <f>IF(E101=E100,C100+1,1)</f>
        <v>10</v>
      </c>
      <c r="D101" s="313">
        <f>IF(M101=M100,D100,C101)</f>
        <v>9</v>
      </c>
      <c r="E101" s="313">
        <f>10+VALUE(RIGHT(LEFT(G101,3),1))</f>
        <v>14</v>
      </c>
      <c r="F101" s="313" t="str">
        <f>RIGHT(G101,2) &amp; IF(A101&lt;2,"x","")</f>
        <v>pm</v>
      </c>
      <c r="G101" s="313" t="s">
        <v>745</v>
      </c>
      <c r="H101" s="313" t="s">
        <v>559</v>
      </c>
      <c r="I101" s="313" t="s">
        <v>746</v>
      </c>
      <c r="K101" s="314">
        <f>LOOKUP(1E+100,M101:AC101)</f>
        <v>2234.955109981981</v>
      </c>
      <c r="M101" s="314">
        <v>2200</v>
      </c>
      <c r="R101" s="313" t="str">
        <f>IF(AND((J101="This"),(L101="Only")),VLOOKUP(G101,#REF!,7,FALSE),"")</f>
        <v/>
      </c>
      <c r="S101" s="313">
        <v>2234.955109981981</v>
      </c>
    </row>
    <row r="102" spans="1:24" x14ac:dyDescent="0.25">
      <c r="A102" s="313">
        <v>2</v>
      </c>
      <c r="C102" s="313">
        <f>IF(E102=E101,C101+1,1)</f>
        <v>11</v>
      </c>
      <c r="D102" s="313">
        <f>IF(M102=M101,D101,C102)</f>
        <v>9</v>
      </c>
      <c r="E102" s="313">
        <f>10+VALUE(RIGHT(LEFT(G102,3),1))</f>
        <v>14</v>
      </c>
      <c r="F102" s="313" t="str">
        <f>RIGHT(G102,2) &amp; IF(A102&lt;2,"x","")</f>
        <v>pm</v>
      </c>
      <c r="G102" s="313" t="s">
        <v>749</v>
      </c>
      <c r="H102" s="313" t="s">
        <v>559</v>
      </c>
      <c r="I102" s="313" t="s">
        <v>750</v>
      </c>
      <c r="K102" s="314">
        <f>LOOKUP(1E+100,M102:AC102)</f>
        <v>2222.4603306929507</v>
      </c>
      <c r="M102" s="314">
        <v>2200</v>
      </c>
      <c r="R102" s="313" t="str">
        <f>IF(AND((J102="This"),(L102="Only")),VLOOKUP(G102,#REF!,7,FALSE),"")</f>
        <v/>
      </c>
      <c r="W102" s="313">
        <v>2222.4603306929507</v>
      </c>
    </row>
    <row r="103" spans="1:24" x14ac:dyDescent="0.25">
      <c r="A103" s="313">
        <v>5</v>
      </c>
      <c r="C103" s="313">
        <f>IF(E103=E102,C102+1,1)</f>
        <v>12</v>
      </c>
      <c r="D103" s="313">
        <f>IF(M103=M102,D102,C103)</f>
        <v>12</v>
      </c>
      <c r="E103" s="313">
        <f>10+VALUE(RIGHT(LEFT(G103,3),1))</f>
        <v>14</v>
      </c>
      <c r="F103" s="313" t="str">
        <f>RIGHT(G103,2) &amp; IF(A103&lt;2,"x","")</f>
        <v>pm</v>
      </c>
      <c r="G103" s="313" t="s">
        <v>314</v>
      </c>
      <c r="H103" s="313" t="s">
        <v>230</v>
      </c>
      <c r="I103" s="313" t="s">
        <v>788</v>
      </c>
      <c r="K103" s="314">
        <f>LOOKUP(1E+100,M103:AC103)</f>
        <v>2205.4841047721684</v>
      </c>
      <c r="M103" s="1033">
        <v>2120</v>
      </c>
      <c r="O103" s="313">
        <v>2163.8355327864051</v>
      </c>
      <c r="P103" s="313">
        <v>2170.8481480848104</v>
      </c>
      <c r="R103" s="313" t="str">
        <f>IF(AND((J103="This"),(L103="Only")),VLOOKUP(G103,#REF!,7,FALSE),"")</f>
        <v/>
      </c>
      <c r="S103" s="313">
        <v>2193.5433511420206</v>
      </c>
      <c r="U103" s="313">
        <v>2205.4841047721684</v>
      </c>
    </row>
    <row r="104" spans="1:24" x14ac:dyDescent="0.25">
      <c r="A104" s="313">
        <v>3</v>
      </c>
      <c r="C104" s="313">
        <f>IF(E104=E103,C103+1,1)</f>
        <v>13</v>
      </c>
      <c r="D104" s="313">
        <f>IF(M104=M103,D103,C104)</f>
        <v>13</v>
      </c>
      <c r="E104" s="313">
        <f>10+VALUE(RIGHT(LEFT(G104,3),1))</f>
        <v>14</v>
      </c>
      <c r="F104" s="313" t="str">
        <f>RIGHT(G104,2) &amp; IF(A104&lt;2,"x","")</f>
        <v>pm</v>
      </c>
      <c r="G104" s="313" t="s">
        <v>779</v>
      </c>
      <c r="H104" s="313" t="s">
        <v>494</v>
      </c>
      <c r="I104" s="313" t="s">
        <v>780</v>
      </c>
      <c r="K104" s="314">
        <f>LOOKUP(1E+100,M104:AC104)</f>
        <v>2197.5788039433905</v>
      </c>
      <c r="M104" s="314">
        <v>2200</v>
      </c>
      <c r="P104" s="313">
        <v>2240.256748099006</v>
      </c>
      <c r="R104" s="313" t="str">
        <f>IF(AND((J104="This"),(L104="Only")),VLOOKUP(G104,#REF!,7,FALSE),"")</f>
        <v/>
      </c>
      <c r="W104" s="313">
        <v>2197.5788039433905</v>
      </c>
    </row>
    <row r="105" spans="1:24" x14ac:dyDescent="0.25">
      <c r="A105" s="313">
        <v>4</v>
      </c>
      <c r="C105" s="313">
        <f>IF(E105=E104,C104+1,1)</f>
        <v>14</v>
      </c>
      <c r="D105" s="313">
        <f>IF(M105=M104,D104,C105)</f>
        <v>13</v>
      </c>
      <c r="E105" s="313">
        <f>10+VALUE(RIGHT(LEFT(G105,3),1))</f>
        <v>14</v>
      </c>
      <c r="F105" s="313" t="str">
        <f>RIGHT(G105,2) &amp; IF(A105&lt;2,"x","")</f>
        <v>pm</v>
      </c>
      <c r="G105" s="313" t="s">
        <v>253</v>
      </c>
      <c r="H105" s="313" t="s">
        <v>198</v>
      </c>
      <c r="I105" s="313" t="s">
        <v>188</v>
      </c>
      <c r="K105" s="314">
        <f>LOOKUP(1E+100,M105:AC105)</f>
        <v>2174.4435664290072</v>
      </c>
      <c r="M105" s="314">
        <v>2200</v>
      </c>
      <c r="P105" s="313">
        <v>2233.7867329179321</v>
      </c>
      <c r="R105" s="313" t="str">
        <f>IF(AND((J105="This"),(L105="Only")),VLOOKUP(G105,#REF!,7,FALSE),"")</f>
        <v/>
      </c>
      <c r="S105" s="313">
        <v>2194.7898785702087</v>
      </c>
      <c r="U105" s="313">
        <v>2174.4435664290072</v>
      </c>
    </row>
    <row r="106" spans="1:24" x14ac:dyDescent="0.25">
      <c r="A106" s="313">
        <v>2</v>
      </c>
      <c r="C106" s="313">
        <f>IF(E106=E105,C105+1,1)</f>
        <v>15</v>
      </c>
      <c r="D106" s="313">
        <f>IF(M106=M105,D105,C106)</f>
        <v>13</v>
      </c>
      <c r="E106" s="313">
        <f>10+VALUE(RIGHT(LEFT(G106,3),1))</f>
        <v>14</v>
      </c>
      <c r="F106" s="313" t="str">
        <f>RIGHT(G106,2) &amp; IF(A106&lt;2,"x","")</f>
        <v>pm</v>
      </c>
      <c r="G106" s="313" t="s">
        <v>320</v>
      </c>
      <c r="H106" s="313" t="s">
        <v>213</v>
      </c>
      <c r="I106" s="313" t="s">
        <v>319</v>
      </c>
      <c r="K106" s="314">
        <f>LOOKUP(1E+100,M106:AC106)</f>
        <v>2135.8392479664076</v>
      </c>
      <c r="M106" s="314">
        <v>2200</v>
      </c>
      <c r="N106" s="313">
        <v>2148.0572046490697</v>
      </c>
      <c r="R106" s="313" t="str">
        <f>IF(AND((J106="This"),(L106="Only")),VLOOKUP(G106,#REF!,7,FALSE),"")</f>
        <v/>
      </c>
      <c r="X106" s="313">
        <v>2135.8392479664076</v>
      </c>
    </row>
    <row r="107" spans="1:24" x14ac:dyDescent="0.25">
      <c r="A107" s="313">
        <v>6</v>
      </c>
      <c r="C107" s="313">
        <f>IF(E107=E106,C106+1,1)</f>
        <v>16</v>
      </c>
      <c r="D107" s="313">
        <f>IF(M107=M106,D106,C107)</f>
        <v>13</v>
      </c>
      <c r="E107" s="313">
        <f>10+VALUE(RIGHT(LEFT(G107,3),1))</f>
        <v>14</v>
      </c>
      <c r="F107" s="313" t="str">
        <f>RIGHT(G107,2) &amp; IF(A107&lt;2,"x","")</f>
        <v>pm</v>
      </c>
      <c r="G107" s="313" t="s">
        <v>730</v>
      </c>
      <c r="H107" s="313" t="s">
        <v>204</v>
      </c>
      <c r="I107" s="313" t="s">
        <v>731</v>
      </c>
      <c r="K107" s="314">
        <f>LOOKUP(1E+100,M107:AC107)</f>
        <v>2130.206287549629</v>
      </c>
      <c r="M107" s="314">
        <v>2200</v>
      </c>
      <c r="N107" s="313">
        <v>2142.6540778770523</v>
      </c>
      <c r="P107" s="313">
        <v>2105.2510909599187</v>
      </c>
      <c r="R107" s="313" t="str">
        <f>IF(AND((J107="This"),(L107="Only")),VLOOKUP(G107,#REF!,7,FALSE),"")</f>
        <v/>
      </c>
      <c r="S107" s="313">
        <v>2097.7644613858624</v>
      </c>
      <c r="U107" s="313">
        <v>2153.2095704362496</v>
      </c>
      <c r="W107" s="313">
        <v>2130.206287549629</v>
      </c>
    </row>
    <row r="108" spans="1:24" x14ac:dyDescent="0.25">
      <c r="A108" s="313">
        <v>4</v>
      </c>
      <c r="C108" s="313">
        <f>IF(E108=E107,C107+1,1)</f>
        <v>17</v>
      </c>
      <c r="D108" s="313">
        <f>IF(M108=M107,D107,C108)</f>
        <v>13</v>
      </c>
      <c r="E108" s="313">
        <f>10+VALUE(RIGHT(LEFT(G108,3),1))</f>
        <v>14</v>
      </c>
      <c r="F108" s="313" t="str">
        <f>RIGHT(G108,2) &amp; IF(A108&lt;2,"x","")</f>
        <v>pm</v>
      </c>
      <c r="G108" s="313" t="s">
        <v>775</v>
      </c>
      <c r="H108" s="313" t="s">
        <v>240</v>
      </c>
      <c r="I108" s="313" t="s">
        <v>776</v>
      </c>
      <c r="K108" s="314">
        <f>LOOKUP(1E+100,M108:AC108)</f>
        <v>2125.9611979965498</v>
      </c>
      <c r="M108" s="314">
        <v>2200</v>
      </c>
      <c r="N108" s="313">
        <v>2154.4080062376902</v>
      </c>
      <c r="R108" s="313" t="str">
        <f>IF(AND((J108="This"),(L108="Only")),VLOOKUP(G108,#REF!,7,FALSE),"")</f>
        <v/>
      </c>
      <c r="S108" s="313">
        <v>2153.5198214457323</v>
      </c>
      <c r="U108" s="313">
        <v>2125.9611979965498</v>
      </c>
    </row>
    <row r="109" spans="1:24" x14ac:dyDescent="0.25">
      <c r="A109" s="313">
        <v>4</v>
      </c>
      <c r="C109" s="313">
        <f>IF(E109=E108,C108+1,1)</f>
        <v>18</v>
      </c>
      <c r="D109" s="313">
        <f>IF(M109=M108,D108,C109)</f>
        <v>13</v>
      </c>
      <c r="E109" s="313">
        <f>10+VALUE(RIGHT(LEFT(G109,3),1))</f>
        <v>14</v>
      </c>
      <c r="F109" s="313" t="str">
        <f>RIGHT(G109,2) &amp; IF(A109&lt;2,"x","")</f>
        <v>pm</v>
      </c>
      <c r="G109" s="313" t="s">
        <v>206</v>
      </c>
      <c r="H109" s="313" t="s">
        <v>207</v>
      </c>
      <c r="I109" s="313" t="s">
        <v>729</v>
      </c>
      <c r="K109" s="314">
        <f>LOOKUP(1E+100,M109:AC109)</f>
        <v>2122.2966793804871</v>
      </c>
      <c r="M109" s="314">
        <v>2200</v>
      </c>
      <c r="N109" s="313">
        <v>2160.6945874992289</v>
      </c>
      <c r="R109" s="313" t="str">
        <f>IF(AND((J109="This"),(L109="Only")),VLOOKUP(G109,#REF!,7,FALSE),"")</f>
        <v/>
      </c>
      <c r="U109" s="313">
        <v>2148.9859090201348</v>
      </c>
      <c r="W109" s="313">
        <v>2122.2966793804871</v>
      </c>
    </row>
    <row r="110" spans="1:24" x14ac:dyDescent="0.25">
      <c r="A110" s="313">
        <v>3</v>
      </c>
      <c r="C110" s="313">
        <f>IF(E110=E109,C109+1,1)</f>
        <v>19</v>
      </c>
      <c r="D110" s="313">
        <f>IF(M110=M109,D109,C110)</f>
        <v>19</v>
      </c>
      <c r="E110" s="313">
        <f>10+VALUE(RIGHT(LEFT(G110,3),1))</f>
        <v>14</v>
      </c>
      <c r="F110" s="313" t="str">
        <f>RIGHT(G110,2) &amp; IF(A110&lt;2,"x","")</f>
        <v>pm</v>
      </c>
      <c r="G110" s="313" t="s">
        <v>491</v>
      </c>
      <c r="H110" s="313" t="s">
        <v>254</v>
      </c>
      <c r="I110" s="313" t="s">
        <v>490</v>
      </c>
      <c r="K110" s="314">
        <f>LOOKUP(1E+100,M110:AC110)</f>
        <v>2121.4624860219083</v>
      </c>
      <c r="M110" s="314">
        <v>2066.6666666666665</v>
      </c>
      <c r="N110" s="313">
        <v>2073.7324729018796</v>
      </c>
      <c r="R110" s="313" t="str">
        <f>IF(AND((J110="This"),(L110="Only")),VLOOKUP(G110,#REF!,7,FALSE),"")</f>
        <v/>
      </c>
      <c r="X110" s="313">
        <v>2121.4624860219083</v>
      </c>
    </row>
    <row r="111" spans="1:24" x14ac:dyDescent="0.25">
      <c r="A111" s="313">
        <v>5</v>
      </c>
      <c r="C111" s="313">
        <f>IF(E111=E110,C110+1,1)</f>
        <v>20</v>
      </c>
      <c r="D111" s="313">
        <f>IF(M111=M110,D110,C111)</f>
        <v>20</v>
      </c>
      <c r="E111" s="313">
        <f>10+VALUE(RIGHT(LEFT(G111,3),1))</f>
        <v>14</v>
      </c>
      <c r="F111" s="313" t="str">
        <f>RIGHT(G111,2) &amp; IF(A111&lt;2,"x","")</f>
        <v>pm</v>
      </c>
      <c r="G111" s="313" t="s">
        <v>743</v>
      </c>
      <c r="H111" s="313" t="s">
        <v>282</v>
      </c>
      <c r="I111" s="313" t="s">
        <v>744</v>
      </c>
      <c r="K111" s="314">
        <f>LOOKUP(1E+100,M111:AC111)</f>
        <v>2114.4847623771152</v>
      </c>
      <c r="M111" s="314">
        <v>2200</v>
      </c>
      <c r="N111" s="313">
        <v>2158.7277915153195</v>
      </c>
      <c r="R111" s="313" t="str">
        <f>IF(AND((J111="This"),(L111="Only")),VLOOKUP(G111,#REF!,7,FALSE),"")</f>
        <v/>
      </c>
      <c r="U111" s="313">
        <v>2117.4442736423839</v>
      </c>
      <c r="W111" s="313">
        <v>2114.4847623771152</v>
      </c>
    </row>
    <row r="112" spans="1:24" x14ac:dyDescent="0.25">
      <c r="A112" s="313">
        <v>4</v>
      </c>
      <c r="C112" s="313">
        <f>IF(E112=E111,C111+1,1)</f>
        <v>21</v>
      </c>
      <c r="D112" s="313">
        <f>IF(M112=M111,D111,C112)</f>
        <v>20</v>
      </c>
      <c r="E112" s="313">
        <f>10+VALUE(RIGHT(LEFT(G112,3),1))</f>
        <v>14</v>
      </c>
      <c r="F112" s="313" t="str">
        <f>RIGHT(G112,2) &amp; IF(A112&lt;2,"x","")</f>
        <v>pm</v>
      </c>
      <c r="G112" s="313" t="s">
        <v>766</v>
      </c>
      <c r="H112" s="313" t="s">
        <v>201</v>
      </c>
      <c r="I112" s="313" t="s">
        <v>767</v>
      </c>
      <c r="K112" s="314">
        <f>LOOKUP(1E+100,M112:AC112)</f>
        <v>2097.9177541838917</v>
      </c>
      <c r="M112" s="314">
        <v>2200</v>
      </c>
      <c r="P112" s="313">
        <v>2181.4831126580739</v>
      </c>
      <c r="R112" s="313" t="str">
        <f>IF(AND((J112="This"),(L112="Only")),VLOOKUP(G112,#REF!,7,FALSE),"")</f>
        <v/>
      </c>
      <c r="U112" s="313">
        <v>2163.1779238560807</v>
      </c>
      <c r="W112" s="313">
        <v>2097.9177541838917</v>
      </c>
    </row>
    <row r="113" spans="1:24" x14ac:dyDescent="0.25">
      <c r="A113" s="313">
        <v>5</v>
      </c>
      <c r="C113" s="313">
        <f>IF(E113=E112,C112+1,1)</f>
        <v>22</v>
      </c>
      <c r="D113" s="313">
        <f>IF(M113=M112,D112,C113)</f>
        <v>22</v>
      </c>
      <c r="E113" s="313">
        <f>10+VALUE(RIGHT(LEFT(G113,3),1))</f>
        <v>14</v>
      </c>
      <c r="F113" s="313" t="str">
        <f>RIGHT(G113,2) &amp; IF(A113&lt;2,"x","")</f>
        <v>pm</v>
      </c>
      <c r="G113" s="313" t="s">
        <v>215</v>
      </c>
      <c r="H113" s="313" t="s">
        <v>199</v>
      </c>
      <c r="I113" s="313" t="s">
        <v>367</v>
      </c>
      <c r="K113" s="314">
        <f>LOOKUP(1E+100,M113:AC113)</f>
        <v>2006.3678428890369</v>
      </c>
      <c r="M113" s="314">
        <v>1800</v>
      </c>
      <c r="O113" s="313">
        <v>1913.6326230156692</v>
      </c>
      <c r="R113" s="313" t="str">
        <f>IF(AND((J113="This"),(L113="Only")),VLOOKUP(G113,#REF!,7,FALSE),"")</f>
        <v/>
      </c>
      <c r="S113" s="313">
        <v>1925.0434236172341</v>
      </c>
      <c r="V113" s="313">
        <v>1963.0509671228099</v>
      </c>
      <c r="X113" s="313">
        <v>2006.3678428890369</v>
      </c>
    </row>
    <row r="114" spans="1:24" x14ac:dyDescent="0.25">
      <c r="A114" s="313">
        <v>3</v>
      </c>
      <c r="C114" s="313">
        <f>IF(E114=E113,C113+1,1)</f>
        <v>23</v>
      </c>
      <c r="D114" s="313">
        <f>IF(M114=M113,D113,C114)</f>
        <v>23</v>
      </c>
      <c r="E114" s="313">
        <f>10+VALUE(RIGHT(LEFT(G114,3),1))</f>
        <v>14</v>
      </c>
      <c r="F114" s="313" t="str">
        <f>RIGHT(G114,2) &amp; IF(A114&lt;2,"x","")</f>
        <v>pm</v>
      </c>
      <c r="G114" s="313" t="s">
        <v>760</v>
      </c>
      <c r="H114" s="313" t="s">
        <v>505</v>
      </c>
      <c r="I114" s="313" t="s">
        <v>761</v>
      </c>
      <c r="K114" s="314">
        <f>LOOKUP(1E+100,M114:AC114)</f>
        <v>2006.1553511094478</v>
      </c>
      <c r="M114" s="314">
        <v>2200</v>
      </c>
      <c r="P114" s="313">
        <v>2078.3089119158358</v>
      </c>
      <c r="R114" s="313" t="str">
        <f>IF(AND((J114="This"),(L114="Only")),VLOOKUP(G114,#REF!,7,FALSE),"")</f>
        <v/>
      </c>
      <c r="S114" s="313">
        <v>2071.4063032898539</v>
      </c>
      <c r="W114" s="313">
        <v>2006.1553511094478</v>
      </c>
    </row>
    <row r="115" spans="1:24" x14ac:dyDescent="0.25">
      <c r="A115" s="313">
        <v>4</v>
      </c>
      <c r="C115" s="313">
        <f>IF(E115=E114,C114+1,1)</f>
        <v>24</v>
      </c>
      <c r="D115" s="313">
        <f>IF(M115=M114,D114,C115)</f>
        <v>24</v>
      </c>
      <c r="E115" s="313">
        <f>10+VALUE(RIGHT(LEFT(G115,3),1))</f>
        <v>14</v>
      </c>
      <c r="F115" s="313" t="str">
        <f>RIGHT(G115,2) &amp; IF(A115&lt;2,"x","")</f>
        <v>pm</v>
      </c>
      <c r="G115" s="313" t="s">
        <v>318</v>
      </c>
      <c r="H115" s="313" t="s">
        <v>281</v>
      </c>
      <c r="I115" s="313" t="s">
        <v>785</v>
      </c>
      <c r="K115" s="314">
        <f>LOOKUP(1E+100,M115:AC115)</f>
        <v>1996.8375770424129</v>
      </c>
      <c r="M115" s="314">
        <v>2100</v>
      </c>
      <c r="P115" s="313">
        <v>2027.2781141395997</v>
      </c>
      <c r="R115" s="313" t="str">
        <f>IF(AND((J115="This"),(L115="Only")),VLOOKUP(G115,#REF!,7,FALSE),"")</f>
        <v/>
      </c>
      <c r="S115" s="313">
        <v>1992.6977665424979</v>
      </c>
      <c r="W115" s="313">
        <v>1996.8375770424129</v>
      </c>
    </row>
    <row r="116" spans="1:24" x14ac:dyDescent="0.25">
      <c r="A116" s="313">
        <v>7</v>
      </c>
      <c r="C116" s="313">
        <f>IF(E116=E115,C115+1,1)</f>
        <v>25</v>
      </c>
      <c r="D116" s="313">
        <f>IF(M116=M115,D115,C116)</f>
        <v>25</v>
      </c>
      <c r="E116" s="313">
        <f>10+VALUE(RIGHT(LEFT(G116,3),1))</f>
        <v>14</v>
      </c>
      <c r="F116" s="313" t="str">
        <f>RIGHT(G116,2) &amp; IF(A116&lt;2,"x","")</f>
        <v>pm</v>
      </c>
      <c r="G116" s="313" t="s">
        <v>762</v>
      </c>
      <c r="H116" s="313" t="s">
        <v>211</v>
      </c>
      <c r="I116" s="313" t="s">
        <v>763</v>
      </c>
      <c r="K116" s="314">
        <f>LOOKUP(1E+100,M116:AC116)</f>
        <v>1991.208506628537</v>
      </c>
      <c r="M116" s="314">
        <v>2200</v>
      </c>
      <c r="N116" s="313">
        <v>2083.9994997349372</v>
      </c>
      <c r="P116" s="313">
        <v>2109.776316100691</v>
      </c>
      <c r="R116" s="313" t="str">
        <f>IF(AND((J116="This"),(L116="Only")),VLOOKUP(G116,#REF!,7,FALSE),"")</f>
        <v/>
      </c>
      <c r="S116" s="313">
        <v>2072.4598338911765</v>
      </c>
      <c r="U116" s="313">
        <v>2051.882735573779</v>
      </c>
      <c r="W116" s="313">
        <v>1991.208506628537</v>
      </c>
    </row>
    <row r="117" spans="1:24" x14ac:dyDescent="0.25">
      <c r="A117" s="313">
        <v>3</v>
      </c>
      <c r="C117" s="313">
        <f>IF(E117=E116,C116+1,1)</f>
        <v>26</v>
      </c>
      <c r="D117" s="313">
        <f>IF(M117=M116,D116,C117)</f>
        <v>25</v>
      </c>
      <c r="E117" s="313">
        <f>10+VALUE(RIGHT(LEFT(G117,3),1))</f>
        <v>14</v>
      </c>
      <c r="F117" s="313" t="str">
        <f>RIGHT(G117,2) &amp; IF(A117&lt;2,"x","")</f>
        <v>pm</v>
      </c>
      <c r="G117" s="313" t="s">
        <v>758</v>
      </c>
      <c r="H117" s="313" t="s">
        <v>510</v>
      </c>
      <c r="I117" s="313" t="s">
        <v>759</v>
      </c>
      <c r="K117" s="314">
        <f>LOOKUP(1E+100,M117:AC117)</f>
        <v>1962.4290924555107</v>
      </c>
      <c r="M117" s="314">
        <v>2200</v>
      </c>
      <c r="N117" s="313">
        <v>2089.6484920282369</v>
      </c>
      <c r="R117" s="313" t="str">
        <f>IF(AND((J117="This"),(L117="Only")),VLOOKUP(G117,#REF!,7,FALSE),"")</f>
        <v/>
      </c>
      <c r="S117" s="313">
        <v>2006.2959936375398</v>
      </c>
      <c r="U117" s="313">
        <v>1962.4290924555107</v>
      </c>
    </row>
    <row r="118" spans="1:24" x14ac:dyDescent="0.25">
      <c r="A118" s="313">
        <v>3</v>
      </c>
      <c r="C118" s="313">
        <f>IF(E118=E117,C117+1,1)</f>
        <v>27</v>
      </c>
      <c r="D118" s="313">
        <f>IF(M118=M117,D117,C118)</f>
        <v>27</v>
      </c>
      <c r="E118" s="313">
        <f>10+VALUE(RIGHT(LEFT(G118,3),1))</f>
        <v>14</v>
      </c>
      <c r="F118" s="313" t="str">
        <f>RIGHT(G118,2) &amp; IF(A118&lt;2,"x","")</f>
        <v>pm</v>
      </c>
      <c r="G118" s="313" t="s">
        <v>258</v>
      </c>
      <c r="H118" s="313" t="s">
        <v>207</v>
      </c>
      <c r="I118" s="313" t="s">
        <v>316</v>
      </c>
      <c r="K118" s="314">
        <f>LOOKUP(1E+100,M118:AC118)</f>
        <v>1931.1341198367875</v>
      </c>
      <c r="M118" s="314">
        <v>1800</v>
      </c>
      <c r="O118" s="313">
        <v>1897.8835552697344</v>
      </c>
      <c r="R118" s="313" t="str">
        <f>IF(AND((J118="This"),(L118="Only")),VLOOKUP(G118,#REF!,7,FALSE),"")</f>
        <v/>
      </c>
      <c r="S118" s="313">
        <v>1895.4903689374637</v>
      </c>
      <c r="X118" s="313">
        <v>1931.1341198367875</v>
      </c>
    </row>
    <row r="119" spans="1:24" x14ac:dyDescent="0.25">
      <c r="A119" s="313">
        <v>6</v>
      </c>
      <c r="C119" s="313">
        <f>IF(E119=E118,C118+1,1)</f>
        <v>28</v>
      </c>
      <c r="D119" s="313">
        <f>IF(M119=M118,D118,C119)</f>
        <v>27</v>
      </c>
      <c r="E119" s="313">
        <f>10+VALUE(RIGHT(LEFT(G119,3),1))</f>
        <v>14</v>
      </c>
      <c r="F119" s="313" t="str">
        <f>RIGHT(G119,2) &amp; IF(A119&lt;2,"x","")</f>
        <v>pm</v>
      </c>
      <c r="G119" s="313" t="s">
        <v>234</v>
      </c>
      <c r="H119" s="313" t="s">
        <v>204</v>
      </c>
      <c r="I119" s="313" t="s">
        <v>185</v>
      </c>
      <c r="K119" s="314">
        <f>LOOKUP(1E+100,M119:AC119)</f>
        <v>1925.295911556369</v>
      </c>
      <c r="M119" s="314">
        <v>1800</v>
      </c>
      <c r="O119" s="313">
        <v>1832.7769050427903</v>
      </c>
      <c r="R119" s="313" t="str">
        <f>IF(AND((J119="This"),(L119="Only")),VLOOKUP(G119,#REF!,7,FALSE),"")</f>
        <v/>
      </c>
      <c r="S119" s="313">
        <v>1858.1436790158755</v>
      </c>
      <c r="T119" s="313">
        <v>1907.7374614602916</v>
      </c>
      <c r="V119" s="313">
        <v>1914.8405147891358</v>
      </c>
      <c r="X119" s="313">
        <v>1925.295911556369</v>
      </c>
    </row>
    <row r="120" spans="1:24" x14ac:dyDescent="0.25">
      <c r="A120" s="313">
        <v>6</v>
      </c>
      <c r="C120" s="313">
        <f>IF(E120=E119,C119+1,1)</f>
        <v>29</v>
      </c>
      <c r="D120" s="313">
        <f>IF(M120=M119,D119,C120)</f>
        <v>27</v>
      </c>
      <c r="E120" s="313">
        <f>10+VALUE(RIGHT(LEFT(G120,3),1))</f>
        <v>14</v>
      </c>
      <c r="F120" s="313" t="str">
        <f>RIGHT(G120,2) &amp; IF(A120&lt;2,"x","")</f>
        <v>pm</v>
      </c>
      <c r="G120" s="313" t="s">
        <v>515</v>
      </c>
      <c r="H120" s="313" t="s">
        <v>216</v>
      </c>
      <c r="I120" s="313" t="s">
        <v>186</v>
      </c>
      <c r="K120" s="314">
        <f>LOOKUP(1E+100,M120:AC120)</f>
        <v>1920.2615501216155</v>
      </c>
      <c r="M120" s="314">
        <v>1800</v>
      </c>
      <c r="O120" s="313">
        <v>1779.977065877883</v>
      </c>
      <c r="R120" s="313" t="str">
        <f>IF(AND((J120="This"),(L120="Only")),VLOOKUP(G120,#REF!,7,FALSE),"")</f>
        <v/>
      </c>
      <c r="S120" s="313">
        <v>1830.0095482937588</v>
      </c>
      <c r="T120" s="313">
        <v>1800.3848611781038</v>
      </c>
      <c r="V120" s="313">
        <v>1838.133719846739</v>
      </c>
      <c r="X120" s="313">
        <v>1920.2615501216155</v>
      </c>
    </row>
    <row r="121" spans="1:24" x14ac:dyDescent="0.25">
      <c r="A121" s="313">
        <v>2</v>
      </c>
      <c r="C121" s="313">
        <f>IF(E121=E120,C120+1,1)</f>
        <v>30</v>
      </c>
      <c r="D121" s="313">
        <f>IF(M121=M120,D120,C121)</f>
        <v>27</v>
      </c>
      <c r="E121" s="313">
        <f>10+VALUE(RIGHT(LEFT(G121,3),1))</f>
        <v>14</v>
      </c>
      <c r="F121" s="313" t="str">
        <f>RIGHT(G121,2) &amp; IF(A121&lt;2,"x","")</f>
        <v>pm</v>
      </c>
      <c r="G121" s="313" t="s">
        <v>799</v>
      </c>
      <c r="H121" s="313" t="s">
        <v>559</v>
      </c>
      <c r="I121" s="313" t="s">
        <v>800</v>
      </c>
      <c r="K121" s="314">
        <f>LOOKUP(1E+100,M121:AC121)</f>
        <v>1900.734248323354</v>
      </c>
      <c r="M121" s="314">
        <v>1800</v>
      </c>
      <c r="R121" s="313" t="str">
        <f>IF(AND((J121="This"),(L121="Only")),VLOOKUP(G121,#REF!,7,FALSE),"")</f>
        <v/>
      </c>
      <c r="V121" s="313">
        <v>1900.734248323354</v>
      </c>
    </row>
    <row r="122" spans="1:24" x14ac:dyDescent="0.25">
      <c r="A122" s="313">
        <v>3</v>
      </c>
      <c r="C122" s="313">
        <f>IF(E122=E121,C121+1,1)</f>
        <v>31</v>
      </c>
      <c r="D122" s="313">
        <f>IF(M122=M121,D121,C122)</f>
        <v>27</v>
      </c>
      <c r="E122" s="313">
        <f>10+VALUE(RIGHT(LEFT(G122,3),1))</f>
        <v>14</v>
      </c>
      <c r="F122" s="313" t="str">
        <f>RIGHT(G122,2) &amp; IF(A122&lt;2,"x","")</f>
        <v>pm</v>
      </c>
      <c r="G122" s="313" t="s">
        <v>233</v>
      </c>
      <c r="H122" s="313" t="s">
        <v>207</v>
      </c>
      <c r="I122" s="313" t="s">
        <v>315</v>
      </c>
      <c r="K122" s="314">
        <f>LOOKUP(1E+100,M122:AC122)</f>
        <v>1900.4753549957709</v>
      </c>
      <c r="M122" s="314">
        <v>1800</v>
      </c>
      <c r="O122" s="313">
        <v>1885.5732286269356</v>
      </c>
      <c r="R122" s="313" t="str">
        <f>IF(AND((J122="This"),(L122="Only")),VLOOKUP(G122,#REF!,7,FALSE),"")</f>
        <v/>
      </c>
      <c r="S122" s="313">
        <v>1891.4603047981896</v>
      </c>
      <c r="X122" s="313">
        <v>1900.4753549957709</v>
      </c>
    </row>
    <row r="123" spans="1:24" x14ac:dyDescent="0.25">
      <c r="A123" s="313">
        <v>6</v>
      </c>
      <c r="C123" s="313">
        <f>IF(E123=E122,C122+1,1)</f>
        <v>32</v>
      </c>
      <c r="D123" s="313">
        <f>IF(M123=M122,D122,C123)</f>
        <v>32</v>
      </c>
      <c r="E123" s="313">
        <f>10+VALUE(RIGHT(LEFT(G123,3),1))</f>
        <v>14</v>
      </c>
      <c r="F123" s="313" t="str">
        <f>RIGHT(G123,2) &amp; IF(A123&lt;2,"x","")</f>
        <v>pm</v>
      </c>
      <c r="G123" s="313" t="s">
        <v>783</v>
      </c>
      <c r="H123" s="313" t="s">
        <v>697</v>
      </c>
      <c r="I123" s="313" t="s">
        <v>784</v>
      </c>
      <c r="K123" s="314">
        <f>LOOKUP(1E+100,M123:AC123)</f>
        <v>1875.901547419704</v>
      </c>
      <c r="M123" s="314">
        <v>2133.3333333333335</v>
      </c>
      <c r="N123" s="313">
        <v>2016.8195230308613</v>
      </c>
      <c r="R123" s="313" t="str">
        <f>IF(AND((J123="This"),(L123="Only")),VLOOKUP(G123,#REF!,7,FALSE),"")</f>
        <v/>
      </c>
      <c r="S123" s="313">
        <v>1960.2450351185873</v>
      </c>
      <c r="U123" s="313">
        <v>1942.5335283191307</v>
      </c>
      <c r="W123" s="313">
        <v>1875.901547419704</v>
      </c>
    </row>
    <row r="124" spans="1:24" x14ac:dyDescent="0.25">
      <c r="A124" s="313">
        <v>5</v>
      </c>
      <c r="C124" s="313">
        <f>IF(E124=E123,C123+1,1)</f>
        <v>33</v>
      </c>
      <c r="D124" s="313">
        <f>IF(M124=M123,D123,C124)</f>
        <v>33</v>
      </c>
      <c r="E124" s="313">
        <f>10+VALUE(RIGHT(LEFT(G124,3),1))</f>
        <v>14</v>
      </c>
      <c r="F124" s="313" t="str">
        <f>RIGHT(G124,2) &amp; IF(A124&lt;2,"x","")</f>
        <v>pm</v>
      </c>
      <c r="G124" s="313" t="s">
        <v>791</v>
      </c>
      <c r="H124" s="313" t="s">
        <v>230</v>
      </c>
      <c r="I124" s="313" t="s">
        <v>792</v>
      </c>
      <c r="K124" s="314">
        <f>LOOKUP(1E+100,M124:AC124)</f>
        <v>1850.7380858738534</v>
      </c>
      <c r="M124" s="314">
        <v>1800</v>
      </c>
      <c r="O124" s="313">
        <v>1878.114620855217</v>
      </c>
      <c r="R124" s="313" t="str">
        <f>IF(AND((J124="This"),(L124="Only")),VLOOKUP(G124,#REF!,7,FALSE),"")</f>
        <v/>
      </c>
      <c r="T124" s="313">
        <v>1899.6480727597882</v>
      </c>
      <c r="V124" s="313">
        <v>1850.7380858738534</v>
      </c>
    </row>
    <row r="125" spans="1:24" x14ac:dyDescent="0.25">
      <c r="A125" s="313">
        <v>5</v>
      </c>
      <c r="C125" s="313">
        <f>IF(E125=E124,C124+1,1)</f>
        <v>34</v>
      </c>
      <c r="D125" s="313">
        <f>IF(M125=M124,D124,C125)</f>
        <v>34</v>
      </c>
      <c r="E125" s="313">
        <f>10+VALUE(RIGHT(LEFT(G125,3),1))</f>
        <v>14</v>
      </c>
      <c r="F125" s="313" t="str">
        <f>RIGHT(G125,2) &amp; IF(A125&lt;2,"x","")</f>
        <v>pm</v>
      </c>
      <c r="G125" s="313" t="s">
        <v>379</v>
      </c>
      <c r="H125" s="313" t="s">
        <v>219</v>
      </c>
      <c r="I125" s="313" t="s">
        <v>378</v>
      </c>
      <c r="K125" s="314">
        <f>LOOKUP(1E+100,M125:AC125)</f>
        <v>1843.6720858938916</v>
      </c>
      <c r="M125" s="314">
        <v>1960</v>
      </c>
      <c r="O125" s="313">
        <v>1886.1471271036833</v>
      </c>
      <c r="R125" s="313" t="str">
        <f>IF(AND((J125="This"),(L125="Only")),VLOOKUP(G125,#REF!,7,FALSE),"")</f>
        <v/>
      </c>
      <c r="S125" s="313">
        <v>1865.9020532314012</v>
      </c>
      <c r="W125" s="313">
        <v>1933.3202027700872</v>
      </c>
      <c r="X125" s="313">
        <v>1843.6720858938916</v>
      </c>
    </row>
    <row r="126" spans="1:24" x14ac:dyDescent="0.25">
      <c r="A126" s="313">
        <v>5</v>
      </c>
      <c r="C126" s="313">
        <f>IF(E126=E125,C125+1,1)</f>
        <v>35</v>
      </c>
      <c r="D126" s="313">
        <f>IF(M126=M125,D125,C126)</f>
        <v>35</v>
      </c>
      <c r="E126" s="313">
        <f>10+VALUE(RIGHT(LEFT(G126,3),1))</f>
        <v>14</v>
      </c>
      <c r="F126" s="313" t="str">
        <f>RIGHT(G126,2) &amp; IF(A126&lt;2,"x","")</f>
        <v>pm</v>
      </c>
      <c r="G126" s="313" t="s">
        <v>383</v>
      </c>
      <c r="H126" s="313" t="s">
        <v>205</v>
      </c>
      <c r="I126" s="313" t="s">
        <v>382</v>
      </c>
      <c r="K126" s="314">
        <f>LOOKUP(1E+100,M126:AC126)</f>
        <v>1831.1486890310628</v>
      </c>
      <c r="M126" s="314">
        <v>1800</v>
      </c>
      <c r="R126" s="313" t="str">
        <f>IF(AND((J126="This"),(L126="Only")),VLOOKUP(G126,#REF!,7,FALSE),"")</f>
        <v/>
      </c>
      <c r="S126" s="313">
        <v>1816.3597723411556</v>
      </c>
      <c r="T126" s="313">
        <v>1799.9656310899888</v>
      </c>
      <c r="V126" s="313">
        <v>1805.1071930791211</v>
      </c>
      <c r="X126" s="313">
        <v>1831.1486890310628</v>
      </c>
    </row>
    <row r="127" spans="1:24" x14ac:dyDescent="0.25">
      <c r="A127" s="313">
        <v>2</v>
      </c>
      <c r="C127" s="313">
        <f>IF(E127=E126,C126+1,1)</f>
        <v>36</v>
      </c>
      <c r="D127" s="313">
        <f>IF(M127=M126,D126,C127)</f>
        <v>35</v>
      </c>
      <c r="E127" s="313">
        <f>10+VALUE(RIGHT(LEFT(G127,3),1))</f>
        <v>14</v>
      </c>
      <c r="F127" s="313" t="str">
        <f>RIGHT(G127,2) &amp; IF(A127&lt;2,"x","")</f>
        <v>pm</v>
      </c>
      <c r="G127" s="313" t="s">
        <v>801</v>
      </c>
      <c r="H127" s="313" t="s">
        <v>559</v>
      </c>
      <c r="I127" s="313" t="s">
        <v>802</v>
      </c>
      <c r="K127" s="314">
        <f>LOOKUP(1E+100,M127:AC127)</f>
        <v>1814.5725518335212</v>
      </c>
      <c r="M127" s="314">
        <v>1800</v>
      </c>
      <c r="R127" s="313" t="str">
        <f>IF(AND((J127="This"),(L127="Only")),VLOOKUP(G127,#REF!,7,FALSE),"")</f>
        <v/>
      </c>
      <c r="V127" s="313">
        <v>1814.5725518335212</v>
      </c>
    </row>
    <row r="128" spans="1:24" x14ac:dyDescent="0.25">
      <c r="A128" s="313">
        <v>3</v>
      </c>
      <c r="C128" s="313">
        <f>IF(E128=E127,C127+1,1)</f>
        <v>37</v>
      </c>
      <c r="D128" s="313">
        <f>IF(M128=M127,D127,C128)</f>
        <v>35</v>
      </c>
      <c r="E128" s="313">
        <f>10+VALUE(RIGHT(LEFT(G128,3),1))</f>
        <v>14</v>
      </c>
      <c r="F128" s="313" t="str">
        <f>RIGHT(G128,2) &amp; IF(A128&lt;2,"x","")</f>
        <v>pm</v>
      </c>
      <c r="G128" s="313" t="s">
        <v>487</v>
      </c>
      <c r="H128" s="313" t="s">
        <v>207</v>
      </c>
      <c r="I128" s="313" t="s">
        <v>190</v>
      </c>
      <c r="K128" s="314">
        <f>LOOKUP(1E+100,M128:AC128)</f>
        <v>1811.3963190537154</v>
      </c>
      <c r="M128" s="314">
        <v>1800</v>
      </c>
      <c r="R128" s="313" t="str">
        <f>IF(AND((J128="This"),(L128="Only")),VLOOKUP(G128,#REF!,7,FALSE),"")</f>
        <v/>
      </c>
      <c r="S128" s="313">
        <v>1917.047248554828</v>
      </c>
      <c r="T128" s="313">
        <v>1890.1692768639286</v>
      </c>
      <c r="X128" s="313">
        <v>1811.3963190537154</v>
      </c>
    </row>
    <row r="129" spans="1:24" x14ac:dyDescent="0.25">
      <c r="A129" s="313">
        <v>4</v>
      </c>
      <c r="C129" s="313">
        <f>IF(E129=E128,C128+1,1)</f>
        <v>38</v>
      </c>
      <c r="D129" s="313">
        <f>IF(M129=M128,D128,C129)</f>
        <v>35</v>
      </c>
      <c r="E129" s="313">
        <f>10+VALUE(RIGHT(LEFT(G129,3),1))</f>
        <v>14</v>
      </c>
      <c r="F129" s="313" t="str">
        <f>RIGHT(G129,2) &amp; IF(A129&lt;2,"x","")</f>
        <v>pm</v>
      </c>
      <c r="G129" s="313" t="s">
        <v>390</v>
      </c>
      <c r="H129" s="313" t="s">
        <v>213</v>
      </c>
      <c r="I129" s="313" t="s">
        <v>389</v>
      </c>
      <c r="K129" s="314">
        <f>LOOKUP(1E+100,M129:AC129)</f>
        <v>1808.3399317636411</v>
      </c>
      <c r="M129" s="314">
        <v>1800</v>
      </c>
      <c r="O129" s="313">
        <v>1831.4590904430709</v>
      </c>
      <c r="R129" s="313" t="str">
        <f>IF(AND((J129="This"),(L129="Only")),VLOOKUP(G129,#REF!,7,FALSE),"")</f>
        <v/>
      </c>
      <c r="T129" s="313">
        <v>1880.3757698226127</v>
      </c>
      <c r="V129" s="313">
        <v>1830.5436089119114</v>
      </c>
      <c r="X129" s="313">
        <v>1808.3399317636411</v>
      </c>
    </row>
    <row r="130" spans="1:24" x14ac:dyDescent="0.25">
      <c r="A130" s="313">
        <v>3</v>
      </c>
      <c r="C130" s="313">
        <f>IF(E130=E129,C129+1,1)</f>
        <v>39</v>
      </c>
      <c r="D130" s="313">
        <f>IF(M130=M129,D129,C130)</f>
        <v>35</v>
      </c>
      <c r="E130" s="313">
        <f>10+VALUE(RIGHT(LEFT(G130,3),1))</f>
        <v>14</v>
      </c>
      <c r="F130" s="313" t="str">
        <f>RIGHT(G130,2) &amp; IF(A130&lt;2,"x","")</f>
        <v>pm</v>
      </c>
      <c r="G130" s="313" t="s">
        <v>317</v>
      </c>
      <c r="H130" s="313" t="s">
        <v>207</v>
      </c>
      <c r="I130" s="313" t="s">
        <v>189</v>
      </c>
      <c r="K130" s="314">
        <f>LOOKUP(1E+100,M130:AC130)</f>
        <v>1808.1070716129773</v>
      </c>
      <c r="M130" s="314">
        <v>1800</v>
      </c>
      <c r="O130" s="313">
        <v>1797.7221920256341</v>
      </c>
      <c r="R130" s="313" t="str">
        <f>IF(AND((J130="This"),(L130="Only")),VLOOKUP(G130,#REF!,7,FALSE),"")</f>
        <v/>
      </c>
      <c r="S130" s="313">
        <v>1828.7521321234813</v>
      </c>
      <c r="X130" s="313">
        <v>1808.1070716129773</v>
      </c>
    </row>
    <row r="131" spans="1:24" x14ac:dyDescent="0.25">
      <c r="A131" s="313">
        <v>2</v>
      </c>
      <c r="C131" s="313">
        <f>IF(E131=E130,C130+1,1)</f>
        <v>40</v>
      </c>
      <c r="D131" s="313">
        <f>IF(M131=M130,D130,C131)</f>
        <v>35</v>
      </c>
      <c r="E131" s="313">
        <f>10+VALUE(RIGHT(LEFT(G131,3),1))</f>
        <v>14</v>
      </c>
      <c r="F131" s="313" t="str">
        <f>RIGHT(G131,2) &amp; IF(A131&lt;2,"x","")</f>
        <v>pm</v>
      </c>
      <c r="G131" s="313" t="s">
        <v>805</v>
      </c>
      <c r="H131" s="313" t="s">
        <v>559</v>
      </c>
      <c r="I131" s="313" t="s">
        <v>806</v>
      </c>
      <c r="K131" s="314">
        <f>LOOKUP(1E+100,M131:AC131)</f>
        <v>1800</v>
      </c>
      <c r="M131" s="314">
        <v>1800</v>
      </c>
      <c r="R131" s="313" t="str">
        <f>IF(AND((J131="This"),(L131="Only")),VLOOKUP(G131,#REF!,7,FALSE),"")</f>
        <v/>
      </c>
    </row>
    <row r="132" spans="1:24" x14ac:dyDescent="0.25">
      <c r="A132" s="313">
        <v>4</v>
      </c>
      <c r="C132" s="313">
        <f>IF(E132=E131,C131+1,1)</f>
        <v>41</v>
      </c>
      <c r="D132" s="313">
        <f>IF(M132=M131,D131,C132)</f>
        <v>35</v>
      </c>
      <c r="E132" s="313">
        <f>10+VALUE(RIGHT(LEFT(G132,3),1))</f>
        <v>14</v>
      </c>
      <c r="F132" s="313" t="str">
        <f>RIGHT(G132,2) &amp; IF(A132&lt;2,"x","")</f>
        <v>pm</v>
      </c>
      <c r="G132" s="313" t="s">
        <v>498</v>
      </c>
      <c r="H132" s="313" t="s">
        <v>494</v>
      </c>
      <c r="I132" s="313" t="s">
        <v>497</v>
      </c>
      <c r="K132" s="314">
        <f>LOOKUP(1E+100,M132:AC132)</f>
        <v>1799.434316797571</v>
      </c>
      <c r="M132" s="314">
        <v>1800</v>
      </c>
      <c r="R132" s="313" t="str">
        <f>IF(AND((J132="This"),(L132="Only")),VLOOKUP(G132,#REF!,7,FALSE),"")</f>
        <v/>
      </c>
      <c r="S132" s="313">
        <v>1810.7634942276854</v>
      </c>
      <c r="V132" s="313">
        <v>1741.8911152621556</v>
      </c>
      <c r="X132" s="313">
        <v>1799.434316797571</v>
      </c>
    </row>
    <row r="133" spans="1:24" x14ac:dyDescent="0.25">
      <c r="A133" s="313">
        <v>4</v>
      </c>
      <c r="C133" s="313">
        <f>IF(E133=E132,C132+1,1)</f>
        <v>42</v>
      </c>
      <c r="D133" s="313">
        <f>IF(M133=M132,D132,C133)</f>
        <v>42</v>
      </c>
      <c r="E133" s="313">
        <f>10+VALUE(RIGHT(LEFT(G133,3),1))</f>
        <v>14</v>
      </c>
      <c r="F133" s="313" t="str">
        <f>RIGHT(G133,2) &amp; IF(A133&lt;2,"x","")</f>
        <v>pm</v>
      </c>
      <c r="G133" s="313" t="s">
        <v>789</v>
      </c>
      <c r="H133" s="313" t="s">
        <v>526</v>
      </c>
      <c r="I133" s="313" t="s">
        <v>790</v>
      </c>
      <c r="K133" s="314">
        <f>LOOKUP(1E+100,M133:AC133)</f>
        <v>1775.1763729480085</v>
      </c>
      <c r="M133" s="314">
        <v>1900</v>
      </c>
      <c r="O133" s="313">
        <v>1778.9420275432644</v>
      </c>
      <c r="R133" s="313" t="str">
        <f>IF(AND((J133="This"),(L133="Only")),VLOOKUP(G133,#REF!,7,FALSE),"")</f>
        <v/>
      </c>
      <c r="T133" s="313">
        <v>1801.8461220598372</v>
      </c>
      <c r="U133" s="313">
        <v>1775.1763729480085</v>
      </c>
    </row>
    <row r="134" spans="1:24" x14ac:dyDescent="0.25">
      <c r="A134" s="313">
        <v>4</v>
      </c>
      <c r="C134" s="313">
        <f>IF(E134=E133,C133+1,1)</f>
        <v>43</v>
      </c>
      <c r="D134" s="313">
        <f>IF(M134=M133,D133,C134)</f>
        <v>43</v>
      </c>
      <c r="E134" s="313">
        <f>10+VALUE(RIGHT(LEFT(G134,3),1))</f>
        <v>14</v>
      </c>
      <c r="F134" s="313" t="str">
        <f>RIGHT(G134,2) &amp; IF(A134&lt;2,"x","")</f>
        <v>pm</v>
      </c>
      <c r="G134" s="313" t="s">
        <v>507</v>
      </c>
      <c r="H134" s="313" t="s">
        <v>505</v>
      </c>
      <c r="I134" s="313" t="s">
        <v>506</v>
      </c>
      <c r="K134" s="314">
        <f>LOOKUP(1E+100,M134:AC134)</f>
        <v>1745.7532376061822</v>
      </c>
      <c r="M134" s="314">
        <v>1800</v>
      </c>
      <c r="O134" s="313">
        <v>1783.7626751486391</v>
      </c>
      <c r="R134" s="313" t="str">
        <f>IF(AND((J134="This"),(L134="Only")),VLOOKUP(G134,#REF!,7,FALSE),"")</f>
        <v/>
      </c>
      <c r="T134" s="313">
        <v>1706.7949714909773</v>
      </c>
      <c r="V134" s="313">
        <v>1741.3689204677482</v>
      </c>
      <c r="X134" s="313">
        <v>1745.7532376061822</v>
      </c>
    </row>
    <row r="135" spans="1:24" x14ac:dyDescent="0.25">
      <c r="A135" s="313">
        <v>2</v>
      </c>
      <c r="C135" s="313">
        <f>IF(E135=E134,C134+1,1)</f>
        <v>44</v>
      </c>
      <c r="D135" s="313">
        <f>IF(M135=M134,D134,C135)</f>
        <v>43</v>
      </c>
      <c r="E135" s="313">
        <f>10+VALUE(RIGHT(LEFT(G135,3),1))</f>
        <v>14</v>
      </c>
      <c r="F135" s="313" t="str">
        <f>RIGHT(G135,2) &amp; IF(A135&lt;2,"x","")</f>
        <v>pm</v>
      </c>
      <c r="G135" s="313" t="s">
        <v>809</v>
      </c>
      <c r="H135" s="313" t="s">
        <v>559</v>
      </c>
      <c r="I135" s="313" t="s">
        <v>810</v>
      </c>
      <c r="K135" s="314">
        <f>LOOKUP(1E+100,M135:AC135)</f>
        <v>1734.7837101165069</v>
      </c>
      <c r="M135" s="314">
        <v>1800</v>
      </c>
      <c r="R135" s="313" t="str">
        <f>IF(AND((J135="This"),(L135="Only")),VLOOKUP(G135,#REF!,7,FALSE),"")</f>
        <v/>
      </c>
      <c r="V135" s="313">
        <v>1734.7837101165069</v>
      </c>
    </row>
    <row r="136" spans="1:24" x14ac:dyDescent="0.25">
      <c r="A136" s="313">
        <v>5</v>
      </c>
      <c r="C136" s="313">
        <f>IF(E136=E135,C135+1,1)</f>
        <v>45</v>
      </c>
      <c r="D136" s="313">
        <f>IF(M136=M135,D135,C136)</f>
        <v>43</v>
      </c>
      <c r="E136" s="313">
        <f>10+VALUE(RIGHT(LEFT(G136,3),1))</f>
        <v>14</v>
      </c>
      <c r="F136" s="313" t="str">
        <f>RIGHT(G136,2) &amp; IF(A136&lt;2,"x","")</f>
        <v>pm</v>
      </c>
      <c r="G136" s="313" t="s">
        <v>257</v>
      </c>
      <c r="H136" s="313" t="s">
        <v>201</v>
      </c>
      <c r="I136" s="313" t="s">
        <v>313</v>
      </c>
      <c r="K136" s="314">
        <f>LOOKUP(1E+100,M136:AC136)</f>
        <v>1722.2995681426601</v>
      </c>
      <c r="M136" s="314">
        <v>1800</v>
      </c>
      <c r="R136" s="313" t="str">
        <f>IF(AND((J136="This"),(L136="Only")),VLOOKUP(G136,#REF!,7,FALSE),"")</f>
        <v/>
      </c>
      <c r="S136" s="313">
        <v>1728.9414825506315</v>
      </c>
      <c r="T136" s="313">
        <v>1684.852427864196</v>
      </c>
      <c r="V136" s="313">
        <v>1720.2289335203257</v>
      </c>
      <c r="X136" s="313">
        <v>1722.2995681426601</v>
      </c>
    </row>
    <row r="137" spans="1:24" x14ac:dyDescent="0.25">
      <c r="A137" s="313">
        <v>2</v>
      </c>
      <c r="C137" s="313">
        <f>IF(E137=E136,C136+1,1)</f>
        <v>46</v>
      </c>
      <c r="D137" s="313">
        <f>IF(M137=M136,D136,C137)</f>
        <v>43</v>
      </c>
      <c r="E137" s="313">
        <f>10+VALUE(RIGHT(LEFT(G137,3),1))</f>
        <v>14</v>
      </c>
      <c r="F137" s="313" t="str">
        <f>RIGHT(G137,2) &amp; IF(A137&lt;2,"x","")</f>
        <v>pm</v>
      </c>
      <c r="G137" s="313" t="s">
        <v>803</v>
      </c>
      <c r="H137" s="313" t="s">
        <v>559</v>
      </c>
      <c r="I137" s="313" t="s">
        <v>804</v>
      </c>
      <c r="K137" s="314">
        <f>LOOKUP(1E+100,M137:AC137)</f>
        <v>1700.2368709686421</v>
      </c>
      <c r="M137" s="314">
        <v>1800</v>
      </c>
      <c r="R137" s="313" t="str">
        <f>IF(AND((J137="This"),(L137="Only")),VLOOKUP(G137,#REF!,7,FALSE),"")</f>
        <v/>
      </c>
      <c r="V137" s="313">
        <v>1700.2368709686421</v>
      </c>
    </row>
    <row r="138" spans="1:24" x14ac:dyDescent="0.25">
      <c r="A138" s="313">
        <v>2</v>
      </c>
      <c r="C138" s="313">
        <f>IF(E138=E137,C137+1,1)</f>
        <v>47</v>
      </c>
      <c r="D138" s="313">
        <f>IF(M138=M137,D137,C138)</f>
        <v>43</v>
      </c>
      <c r="E138" s="313">
        <f>10+VALUE(RIGHT(LEFT(G138,3),1))</f>
        <v>14</v>
      </c>
      <c r="F138" s="313" t="str">
        <f>RIGHT(G138,2) &amp; IF(A138&lt;2,"x","")</f>
        <v>pm</v>
      </c>
      <c r="G138" s="313" t="s">
        <v>807</v>
      </c>
      <c r="H138" s="313" t="s">
        <v>559</v>
      </c>
      <c r="I138" s="313" t="s">
        <v>808</v>
      </c>
      <c r="K138" s="314">
        <f>LOOKUP(1E+100,M138:AC138)</f>
        <v>1694.6804953151775</v>
      </c>
      <c r="M138" s="314">
        <v>1800</v>
      </c>
      <c r="R138" s="313" t="str">
        <f>IF(AND((J138="This"),(L138="Only")),VLOOKUP(G138,#REF!,7,FALSE),"")</f>
        <v/>
      </c>
      <c r="V138" s="313">
        <v>1694.6804953151775</v>
      </c>
    </row>
    <row r="139" spans="1:24" x14ac:dyDescent="0.25">
      <c r="A139" s="313">
        <v>2</v>
      </c>
      <c r="C139" s="313">
        <f>IF(E139=E138,C138+1,1)</f>
        <v>48</v>
      </c>
      <c r="D139" s="313">
        <f>IF(M139=M138,D138,C139)</f>
        <v>43</v>
      </c>
      <c r="E139" s="313">
        <f>10+VALUE(RIGHT(LEFT(G139,3),1))</f>
        <v>14</v>
      </c>
      <c r="F139" s="313" t="str">
        <f>RIGHT(G139,2) &amp; IF(A139&lt;2,"x","")</f>
        <v>pm</v>
      </c>
      <c r="G139" s="313" t="s">
        <v>795</v>
      </c>
      <c r="H139" s="313" t="s">
        <v>281</v>
      </c>
      <c r="I139" s="313" t="s">
        <v>796</v>
      </c>
      <c r="K139" s="314">
        <f>LOOKUP(1E+100,M139:AC139)</f>
        <v>1647.1294488255151</v>
      </c>
      <c r="M139" s="314">
        <v>1800</v>
      </c>
      <c r="R139" s="313" t="str">
        <f>IF(AND((J139="This"),(L139="Only")),VLOOKUP(G139,#REF!,7,FALSE),"")</f>
        <v/>
      </c>
      <c r="S139" s="313">
        <v>1687.89017886652</v>
      </c>
      <c r="T139" s="313">
        <v>1606.0897183893037</v>
      </c>
      <c r="V139" s="313">
        <v>1647.1294488255151</v>
      </c>
    </row>
    <row r="140" spans="1:24" x14ac:dyDescent="0.25">
      <c r="A140" s="313">
        <v>7</v>
      </c>
      <c r="C140" s="313">
        <f>IF(E140=E139,C139+1,1)</f>
        <v>49</v>
      </c>
      <c r="D140" s="313">
        <f>IF(M140=M139,D139,C140)</f>
        <v>43</v>
      </c>
      <c r="E140" s="313">
        <f>10+VALUE(RIGHT(LEFT(G140,3),1))</f>
        <v>14</v>
      </c>
      <c r="F140" s="313" t="str">
        <f>RIGHT(G140,2) &amp; IF(A140&lt;2,"x","")</f>
        <v>pm</v>
      </c>
      <c r="G140" s="313" t="s">
        <v>417</v>
      </c>
      <c r="H140" s="313" t="s">
        <v>211</v>
      </c>
      <c r="I140" s="313" t="s">
        <v>416</v>
      </c>
      <c r="K140" s="314">
        <f>LOOKUP(1E+100,M140:AC140)</f>
        <v>1641.5980941199523</v>
      </c>
      <c r="M140" s="314">
        <v>1800</v>
      </c>
      <c r="O140" s="313">
        <v>1721.8318533664537</v>
      </c>
      <c r="R140" s="313" t="str">
        <f>IF(AND((J140="This"),(L140="Only")),VLOOKUP(G140,#REF!,7,FALSE),"")</f>
        <v/>
      </c>
      <c r="S140" s="313">
        <v>1690.476591806912</v>
      </c>
      <c r="T140" s="313">
        <v>1697.8792064296672</v>
      </c>
      <c r="V140" s="313">
        <v>1716.1266950832369</v>
      </c>
      <c r="X140" s="313">
        <v>1641.5980941199523</v>
      </c>
    </row>
    <row r="141" spans="1:24" x14ac:dyDescent="0.25">
      <c r="A141" s="313">
        <v>3</v>
      </c>
      <c r="C141" s="313">
        <f>IF(E141=E140,C140+1,1)</f>
        <v>50</v>
      </c>
      <c r="D141" s="313">
        <f>IF(M141=M140,D140,C141)</f>
        <v>43</v>
      </c>
      <c r="E141" s="313">
        <f>10+VALUE(RIGHT(LEFT(G141,3),1))</f>
        <v>14</v>
      </c>
      <c r="F141" s="313" t="str">
        <f>RIGHT(G141,2) &amp; IF(A141&lt;2,"x","")</f>
        <v>pm</v>
      </c>
      <c r="G141" s="313" t="s">
        <v>528</v>
      </c>
      <c r="H141" s="313" t="s">
        <v>526</v>
      </c>
      <c r="I141" s="313" t="s">
        <v>527</v>
      </c>
      <c r="K141" s="314">
        <f>LOOKUP(1E+100,M141:AC141)</f>
        <v>1634.6920739531975</v>
      </c>
      <c r="M141" s="314">
        <v>1800</v>
      </c>
      <c r="O141" s="313">
        <v>1756.3448786492454</v>
      </c>
      <c r="R141" s="313" t="str">
        <f>IF(AND((J141="This"),(L141="Only")),VLOOKUP(G141,#REF!,7,FALSE),"")</f>
        <v/>
      </c>
      <c r="T141" s="313">
        <v>1625.5722405667989</v>
      </c>
      <c r="X141" s="313">
        <v>1634.6920739531975</v>
      </c>
    </row>
    <row r="142" spans="1:24" x14ac:dyDescent="0.25">
      <c r="A142" s="313">
        <v>5</v>
      </c>
      <c r="C142" s="313">
        <f>IF(E142=E141,C141+1,1)</f>
        <v>51</v>
      </c>
      <c r="D142" s="313">
        <f>IF(M142=M141,D141,C142)</f>
        <v>43</v>
      </c>
      <c r="E142" s="313">
        <f>10+VALUE(RIGHT(LEFT(G142,3),1))</f>
        <v>14</v>
      </c>
      <c r="F142" s="313" t="str">
        <f>RIGHT(G142,2) &amp; IF(A142&lt;2,"x","")</f>
        <v>pm</v>
      </c>
      <c r="G142" s="313" t="s">
        <v>364</v>
      </c>
      <c r="H142" s="313" t="s">
        <v>217</v>
      </c>
      <c r="I142" s="313" t="s">
        <v>363</v>
      </c>
      <c r="K142" s="314">
        <f>LOOKUP(1E+100,M142:AC142)</f>
        <v>1615.8727852600437</v>
      </c>
      <c r="M142" s="314">
        <v>1800</v>
      </c>
      <c r="O142" s="313">
        <v>1721.0245607386446</v>
      </c>
      <c r="R142" s="313" t="str">
        <f>IF(AND((J142="This"),(L142="Only")),VLOOKUP(G142,#REF!,7,FALSE),"")</f>
        <v/>
      </c>
      <c r="S142" s="313">
        <v>1700.0432703271169</v>
      </c>
      <c r="T142" s="313">
        <v>1636.641799015636</v>
      </c>
      <c r="V142" s="313">
        <v>1644.9049961515773</v>
      </c>
      <c r="X142" s="313">
        <v>1615.8727852600437</v>
      </c>
    </row>
    <row r="143" spans="1:24" x14ac:dyDescent="0.25">
      <c r="A143" s="313">
        <v>4</v>
      </c>
      <c r="C143" s="313">
        <f>IF(E143=E142,C142+1,1)</f>
        <v>52</v>
      </c>
      <c r="D143" s="313">
        <f>IF(M143=M142,D142,C143)</f>
        <v>43</v>
      </c>
      <c r="E143" s="313">
        <f>10+VALUE(RIGHT(LEFT(G143,3),1))</f>
        <v>14</v>
      </c>
      <c r="F143" s="313" t="str">
        <f>RIGHT(G143,2) &amp; IF(A143&lt;2,"x","")</f>
        <v>pm</v>
      </c>
      <c r="G143" s="313" t="s">
        <v>436</v>
      </c>
      <c r="H143" s="313" t="s">
        <v>198</v>
      </c>
      <c r="I143" s="313" t="s">
        <v>435</v>
      </c>
      <c r="K143" s="314">
        <f>LOOKUP(1E+100,M143:AC143)</f>
        <v>1611.6303299747217</v>
      </c>
      <c r="M143" s="314">
        <v>1800</v>
      </c>
      <c r="R143" s="313" t="str">
        <f>IF(AND((J143="This"),(L143="Only")),VLOOKUP(G143,#REF!,7,FALSE),"")</f>
        <v/>
      </c>
      <c r="S143" s="313">
        <v>1706.6302599197058</v>
      </c>
      <c r="T143" s="313">
        <v>1681.5214943555018</v>
      </c>
      <c r="X143" s="313">
        <v>1611.6303299747217</v>
      </c>
    </row>
    <row r="144" spans="1:24" x14ac:dyDescent="0.25">
      <c r="A144" s="313">
        <v>5</v>
      </c>
      <c r="C144" s="313">
        <f>IF(E144=E143,C143+1,1)</f>
        <v>53</v>
      </c>
      <c r="D144" s="313">
        <f>IF(M144=M143,D143,C144)</f>
        <v>43</v>
      </c>
      <c r="E144" s="313">
        <f>10+VALUE(RIGHT(LEFT(G144,3),1))</f>
        <v>14</v>
      </c>
      <c r="F144" s="313" t="str">
        <f>RIGHT(G144,2) &amp; IF(A144&lt;2,"x","")</f>
        <v>pm</v>
      </c>
      <c r="G144" s="313" t="s">
        <v>312</v>
      </c>
      <c r="H144" s="313" t="s">
        <v>201</v>
      </c>
      <c r="I144" s="313" t="s">
        <v>184</v>
      </c>
      <c r="K144" s="314">
        <f>LOOKUP(1E+100,M144:AC144)</f>
        <v>1598.9631396964801</v>
      </c>
      <c r="M144" s="314">
        <v>1800</v>
      </c>
      <c r="R144" s="313" t="str">
        <f>IF(AND((J144="This"),(L144="Only")),VLOOKUP(G144,#REF!,7,FALSE),"")</f>
        <v/>
      </c>
      <c r="S144" s="313">
        <v>1704.9165570856503</v>
      </c>
      <c r="T144" s="313">
        <v>1651.4456963857826</v>
      </c>
      <c r="V144" s="313">
        <v>1570.7017546104134</v>
      </c>
      <c r="X144" s="313">
        <v>1598.9631396964801</v>
      </c>
    </row>
    <row r="145" spans="1:24" x14ac:dyDescent="0.25">
      <c r="A145" s="313">
        <v>4</v>
      </c>
      <c r="C145" s="313">
        <f>IF(E145=E144,C144+1,1)</f>
        <v>54</v>
      </c>
      <c r="D145" s="313">
        <f>IF(M145=M144,D144,C145)</f>
        <v>54</v>
      </c>
      <c r="E145" s="313">
        <f>10+VALUE(RIGHT(LEFT(G145,3),1))</f>
        <v>14</v>
      </c>
      <c r="F145" s="313" t="str">
        <f>RIGHT(G145,2) &amp; IF(A145&lt;2,"x","")</f>
        <v>pm</v>
      </c>
      <c r="G145" s="313" t="s">
        <v>241</v>
      </c>
      <c r="H145" s="313" t="s">
        <v>240</v>
      </c>
      <c r="I145" s="313" t="s">
        <v>434</v>
      </c>
      <c r="K145" s="314">
        <f>LOOKUP(1E+100,M145:AC145)</f>
        <v>1591.7374264549485</v>
      </c>
      <c r="M145" s="314">
        <v>1900</v>
      </c>
      <c r="O145" s="313">
        <v>1765.0448102640312</v>
      </c>
      <c r="R145" s="313" t="str">
        <f>IF(AND((J145="This"),(L145="Only")),VLOOKUP(G145,#REF!,7,FALSE),"")</f>
        <v/>
      </c>
      <c r="S145" s="313">
        <v>1716.6048936697202</v>
      </c>
      <c r="U145" s="313">
        <v>1695.6949666343532</v>
      </c>
      <c r="X145" s="313">
        <v>1591.7374264549485</v>
      </c>
    </row>
    <row r="146" spans="1:24" x14ac:dyDescent="0.25">
      <c r="A146" s="313">
        <v>6</v>
      </c>
      <c r="C146" s="313">
        <f>IF(E146=E145,C145+1,1)</f>
        <v>1</v>
      </c>
      <c r="D146" s="313">
        <f>IF(M146=M145,D145,C146)</f>
        <v>1</v>
      </c>
      <c r="E146" s="313">
        <f>10+VALUE(RIGHT(LEFT(G146,3),1))</f>
        <v>15</v>
      </c>
      <c r="F146" s="313" t="str">
        <f>RIGHT(G146,2) &amp; IF(A146&lt;2,"x","")</f>
        <v>pm</v>
      </c>
      <c r="G146" s="313" t="s">
        <v>238</v>
      </c>
      <c r="H146" s="313" t="s">
        <v>216</v>
      </c>
      <c r="I146" s="313" t="s">
        <v>852</v>
      </c>
      <c r="K146" s="314">
        <f>LOOKUP(1E+100,M146:AC146)</f>
        <v>2548.4329966769378</v>
      </c>
      <c r="M146" s="314">
        <v>2400</v>
      </c>
      <c r="N146" s="313">
        <v>2344.1797285208422</v>
      </c>
      <c r="P146" s="313">
        <v>2457.0746858546781</v>
      </c>
      <c r="R146" s="313" t="str">
        <f>IF(AND((J146="This"),(L146="Only")),VLOOKUP(G146,#REF!,7,FALSE),"")</f>
        <v/>
      </c>
      <c r="S146" s="313">
        <v>2512.3609527359577</v>
      </c>
      <c r="U146" s="313">
        <v>2524.4972498882348</v>
      </c>
      <c r="W146" s="313">
        <v>2548.4329966769378</v>
      </c>
    </row>
    <row r="147" spans="1:24" x14ac:dyDescent="0.25">
      <c r="A147" s="313">
        <v>3</v>
      </c>
      <c r="C147" s="313">
        <f>IF(E147=E146,C146+1,1)</f>
        <v>2</v>
      </c>
      <c r="D147" s="313">
        <f>IF(M147=M146,D146,C147)</f>
        <v>1</v>
      </c>
      <c r="E147" s="313">
        <f>10+VALUE(RIGHT(LEFT(G147,3),1))</f>
        <v>15</v>
      </c>
      <c r="F147" s="313" t="str">
        <f>RIGHT(G147,2) &amp; IF(A147&lt;2,"x","")</f>
        <v>pm</v>
      </c>
      <c r="G147" s="313" t="s">
        <v>856</v>
      </c>
      <c r="H147" s="313" t="s">
        <v>282</v>
      </c>
      <c r="I147" s="313" t="s">
        <v>857</v>
      </c>
      <c r="K147" s="314">
        <f>LOOKUP(1E+100,M147:AC147)</f>
        <v>2541.0917656759971</v>
      </c>
      <c r="M147" s="314">
        <v>2400</v>
      </c>
      <c r="N147" s="313">
        <v>2470.4562959885634</v>
      </c>
      <c r="R147" s="313" t="str">
        <f>IF(AND((J147="This"),(L147="Only")),VLOOKUP(G147,#REF!,7,FALSE),"")</f>
        <v/>
      </c>
      <c r="U147" s="313">
        <v>2541.0917656759971</v>
      </c>
    </row>
    <row r="148" spans="1:24" x14ac:dyDescent="0.25">
      <c r="A148" s="313">
        <v>3</v>
      </c>
      <c r="C148" s="313">
        <f>IF(E148=E147,C147+1,1)</f>
        <v>3</v>
      </c>
      <c r="D148" s="313">
        <f>IF(M148=M147,D147,C148)</f>
        <v>1</v>
      </c>
      <c r="E148" s="313">
        <f>10+VALUE(RIGHT(LEFT(G148,3),1))</f>
        <v>15</v>
      </c>
      <c r="F148" s="313" t="str">
        <f>RIGHT(G148,2) &amp; IF(A148&lt;2,"x","")</f>
        <v>pm</v>
      </c>
      <c r="G148" s="313" t="s">
        <v>899</v>
      </c>
      <c r="H148" s="313" t="s">
        <v>494</v>
      </c>
      <c r="I148" s="313" t="s">
        <v>900</v>
      </c>
      <c r="K148" s="314">
        <f>LOOKUP(1E+100,M148:AC148)</f>
        <v>2538.5012185809142</v>
      </c>
      <c r="M148" s="314">
        <v>2400</v>
      </c>
      <c r="P148" s="313">
        <v>2452.7285452877954</v>
      </c>
      <c r="R148" s="313" t="str">
        <f>IF(AND((J148="This"),(L148="Only")),VLOOKUP(G148,#REF!,7,FALSE),"")</f>
        <v/>
      </c>
      <c r="W148" s="313">
        <v>2538.5012185809142</v>
      </c>
    </row>
    <row r="149" spans="1:24" x14ac:dyDescent="0.25">
      <c r="A149" s="313">
        <v>4</v>
      </c>
      <c r="C149" s="313">
        <f>IF(E149=E148,C148+1,1)</f>
        <v>4</v>
      </c>
      <c r="D149" s="313">
        <f>IF(M149=M148,D148,C149)</f>
        <v>1</v>
      </c>
      <c r="E149" s="313">
        <f>10+VALUE(RIGHT(LEFT(G149,3),1))</f>
        <v>15</v>
      </c>
      <c r="F149" s="313" t="str">
        <f>RIGHT(G149,2) &amp; IF(A149&lt;2,"x","")</f>
        <v>pm</v>
      </c>
      <c r="G149" s="313" t="s">
        <v>832</v>
      </c>
      <c r="H149" s="313" t="s">
        <v>207</v>
      </c>
      <c r="I149" s="313" t="s">
        <v>833</v>
      </c>
      <c r="K149" s="314">
        <f>LOOKUP(1E+100,M149:AC149)</f>
        <v>2527.2786745948765</v>
      </c>
      <c r="M149" s="314">
        <v>2400</v>
      </c>
      <c r="N149" s="313">
        <v>2470.5474448149635</v>
      </c>
      <c r="R149" s="313" t="str">
        <f>IF(AND((J149="This"),(L149="Only")),VLOOKUP(G149,#REF!,7,FALSE),"")</f>
        <v/>
      </c>
      <c r="U149" s="313">
        <v>2527.2786745948765</v>
      </c>
    </row>
    <row r="150" spans="1:24" x14ac:dyDescent="0.25">
      <c r="A150" s="313">
        <v>2</v>
      </c>
      <c r="C150" s="313">
        <f>IF(E150=E149,C149+1,1)</f>
        <v>5</v>
      </c>
      <c r="D150" s="313">
        <f>IF(M150=M149,D149,C150)</f>
        <v>1</v>
      </c>
      <c r="E150" s="313">
        <f>10+VALUE(RIGHT(LEFT(G150,3),1))</f>
        <v>15</v>
      </c>
      <c r="F150" s="313" t="str">
        <f>RIGHT(G150,2) &amp; IF(A150&lt;2,"x","")</f>
        <v>pm</v>
      </c>
      <c r="G150" s="313" t="s">
        <v>861</v>
      </c>
      <c r="H150" s="313" t="s">
        <v>559</v>
      </c>
      <c r="I150" s="313" t="s">
        <v>862</v>
      </c>
      <c r="K150" s="314">
        <f>LOOKUP(1E+100,M150:AC150)</f>
        <v>2514.1564186642386</v>
      </c>
      <c r="M150" s="314">
        <v>2400</v>
      </c>
      <c r="R150" s="313" t="str">
        <f>IF(AND((J150="This"),(L150="Only")),VLOOKUP(G150,#REF!,7,FALSE),"")</f>
        <v/>
      </c>
      <c r="S150" s="313">
        <v>2514.1564186642386</v>
      </c>
    </row>
    <row r="151" spans="1:24" x14ac:dyDescent="0.25">
      <c r="A151" s="313">
        <v>3</v>
      </c>
      <c r="C151" s="313">
        <f>IF(E151=E150,C150+1,1)</f>
        <v>6</v>
      </c>
      <c r="D151" s="313">
        <f>IF(M151=M150,D150,C151)</f>
        <v>1</v>
      </c>
      <c r="E151" s="313">
        <f>10+VALUE(RIGHT(LEFT(G151,3),1))</f>
        <v>15</v>
      </c>
      <c r="F151" s="313" t="str">
        <f>RIGHT(G151,2) &amp; IF(A151&lt;2,"x","")</f>
        <v>pm</v>
      </c>
      <c r="G151" s="313" t="s">
        <v>830</v>
      </c>
      <c r="H151" s="313" t="s">
        <v>207</v>
      </c>
      <c r="I151" s="313" t="s">
        <v>831</v>
      </c>
      <c r="K151" s="314">
        <f>LOOKUP(1E+100,M151:AC151)</f>
        <v>2502.5098735044567</v>
      </c>
      <c r="M151" s="314">
        <v>2400</v>
      </c>
      <c r="N151" s="313">
        <v>2499.7117552915306</v>
      </c>
      <c r="R151" s="313" t="str">
        <f>IF(AND((J151="This"),(L151="Only")),VLOOKUP(G151,#REF!,7,FALSE),"")</f>
        <v/>
      </c>
      <c r="U151" s="313">
        <v>2502.5098735044567</v>
      </c>
    </row>
    <row r="152" spans="1:24" x14ac:dyDescent="0.25">
      <c r="A152" s="313">
        <v>2</v>
      </c>
      <c r="C152" s="313">
        <f>IF(E152=E151,C151+1,1)</f>
        <v>7</v>
      </c>
      <c r="D152" s="313">
        <f>IF(M152=M151,D151,C152)</f>
        <v>1</v>
      </c>
      <c r="E152" s="313">
        <f>10+VALUE(RIGHT(LEFT(G152,3),1))</f>
        <v>15</v>
      </c>
      <c r="F152" s="313" t="str">
        <f>RIGHT(G152,2) &amp; IF(A152&lt;2,"x","")</f>
        <v>pm</v>
      </c>
      <c r="G152" s="313" t="s">
        <v>825</v>
      </c>
      <c r="H152" s="313" t="s">
        <v>213</v>
      </c>
      <c r="I152" s="313" t="s">
        <v>826</v>
      </c>
      <c r="K152" s="314">
        <f>LOOKUP(1E+100,M152:AC152)</f>
        <v>2492.2492453469672</v>
      </c>
      <c r="M152" s="314">
        <v>2400</v>
      </c>
      <c r="N152" s="313">
        <v>2492.2492453469672</v>
      </c>
      <c r="R152" s="313" t="str">
        <f>IF(AND((J152="This"),(L152="Only")),VLOOKUP(G152,#REF!,7,FALSE),"")</f>
        <v/>
      </c>
    </row>
    <row r="153" spans="1:24" x14ac:dyDescent="0.25">
      <c r="A153" s="313">
        <v>2</v>
      </c>
      <c r="C153" s="313">
        <f>IF(E153=E152,C152+1,1)</f>
        <v>8</v>
      </c>
      <c r="D153" s="313">
        <f>IF(M153=M152,D152,C153)</f>
        <v>1</v>
      </c>
      <c r="E153" s="313">
        <f>10+VALUE(RIGHT(LEFT(G153,3),1))</f>
        <v>15</v>
      </c>
      <c r="F153" s="313" t="str">
        <f>RIGHT(G153,2) &amp; IF(A153&lt;2,"x","")</f>
        <v>pm</v>
      </c>
      <c r="G153" s="313" t="s">
        <v>813</v>
      </c>
      <c r="H153" s="313" t="s">
        <v>201</v>
      </c>
      <c r="I153" s="313" t="s">
        <v>814</v>
      </c>
      <c r="K153" s="314">
        <f>LOOKUP(1E+100,M153:AC153)</f>
        <v>2486.3121659690087</v>
      </c>
      <c r="M153" s="314">
        <v>2400</v>
      </c>
      <c r="R153" s="313" t="str">
        <f>IF(AND((J153="This"),(L153="Only")),VLOOKUP(G153,#REF!,7,FALSE),"")</f>
        <v/>
      </c>
      <c r="U153" s="313">
        <v>2493.626289433224</v>
      </c>
      <c r="W153" s="313">
        <v>2486.3121659690087</v>
      </c>
    </row>
    <row r="154" spans="1:24" x14ac:dyDescent="0.25">
      <c r="A154" s="313">
        <v>2</v>
      </c>
      <c r="C154" s="313">
        <f>IF(E154=E153,C153+1,1)</f>
        <v>9</v>
      </c>
      <c r="D154" s="313">
        <f>IF(M154=M153,D153,C154)</f>
        <v>1</v>
      </c>
      <c r="E154" s="313">
        <f>10+VALUE(RIGHT(LEFT(G154,3),1))</f>
        <v>15</v>
      </c>
      <c r="F154" s="313" t="str">
        <f>RIGHT(G154,2) &amp; IF(A154&lt;2,"x","")</f>
        <v>pm</v>
      </c>
      <c r="G154" s="313" t="s">
        <v>865</v>
      </c>
      <c r="H154" s="313" t="s">
        <v>559</v>
      </c>
      <c r="I154" s="313" t="s">
        <v>866</v>
      </c>
      <c r="K154" s="314">
        <f>LOOKUP(1E+100,M154:AC154)</f>
        <v>2480.088068538058</v>
      </c>
      <c r="M154" s="314">
        <v>2400</v>
      </c>
      <c r="R154" s="313" t="str">
        <f>IF(AND((J154="This"),(L154="Only")),VLOOKUP(G154,#REF!,7,FALSE),"")</f>
        <v/>
      </c>
      <c r="W154" s="313">
        <v>2480.088068538058</v>
      </c>
    </row>
    <row r="155" spans="1:24" x14ac:dyDescent="0.25">
      <c r="A155" s="313">
        <v>3</v>
      </c>
      <c r="C155" s="313">
        <f>IF(E155=E154,C154+1,1)</f>
        <v>10</v>
      </c>
      <c r="D155" s="313">
        <f>IF(M155=M154,D154,C155)</f>
        <v>1</v>
      </c>
      <c r="E155" s="313">
        <f>10+VALUE(RIGHT(LEFT(G155,3),1))</f>
        <v>15</v>
      </c>
      <c r="F155" s="313" t="str">
        <f>RIGHT(G155,2) &amp; IF(A155&lt;2,"x","")</f>
        <v>pm</v>
      </c>
      <c r="G155" s="313" t="s">
        <v>891</v>
      </c>
      <c r="H155" s="313" t="s">
        <v>240</v>
      </c>
      <c r="I155" s="313" t="s">
        <v>892</v>
      </c>
      <c r="K155" s="314">
        <f>LOOKUP(1E+100,M155:AC155)</f>
        <v>2468.389371241949</v>
      </c>
      <c r="M155" s="314">
        <v>2400</v>
      </c>
      <c r="N155" s="313">
        <v>2445.1848084913613</v>
      </c>
      <c r="O155" s="313">
        <v>2480.5194251854841</v>
      </c>
      <c r="R155" s="313" t="str">
        <f>IF(AND((J155="This"),(L155="Only")),VLOOKUP(G155,#REF!,7,FALSE),"")</f>
        <v/>
      </c>
      <c r="U155" s="313">
        <v>2468.389371241949</v>
      </c>
    </row>
    <row r="156" spans="1:24" x14ac:dyDescent="0.25">
      <c r="A156" s="313">
        <v>3</v>
      </c>
      <c r="C156" s="313">
        <f>IF(E156=E155,C155+1,1)</f>
        <v>11</v>
      </c>
      <c r="D156" s="313">
        <f>IF(M156=M155,D155,C156)</f>
        <v>1</v>
      </c>
      <c r="E156" s="313">
        <f>10+VALUE(RIGHT(LEFT(G156,3),1))</f>
        <v>15</v>
      </c>
      <c r="F156" s="313" t="str">
        <f>RIGHT(G156,2) &amp; IF(A156&lt;2,"x","")</f>
        <v>pm</v>
      </c>
      <c r="G156" s="313" t="s">
        <v>873</v>
      </c>
      <c r="H156" s="313" t="s">
        <v>505</v>
      </c>
      <c r="I156" s="313" t="s">
        <v>874</v>
      </c>
      <c r="K156" s="314">
        <f>LOOKUP(1E+100,M156:AC156)</f>
        <v>2467.9060079680885</v>
      </c>
      <c r="M156" s="314">
        <v>2400</v>
      </c>
      <c r="R156" s="313" t="str">
        <f>IF(AND((J156="This"),(L156="Only")),VLOOKUP(G156,#REF!,7,FALSE),"")</f>
        <v/>
      </c>
      <c r="S156" s="313">
        <v>2394.2141481145313</v>
      </c>
      <c r="W156" s="313">
        <v>2467.9060079680885</v>
      </c>
    </row>
    <row r="157" spans="1:24" x14ac:dyDescent="0.25">
      <c r="A157" s="313">
        <v>2</v>
      </c>
      <c r="C157" s="313">
        <f>IF(E157=E156,C156+1,1)</f>
        <v>12</v>
      </c>
      <c r="D157" s="313">
        <f>IF(M157=M156,D156,C157)</f>
        <v>1</v>
      </c>
      <c r="E157" s="313">
        <f>10+VALUE(RIGHT(LEFT(G157,3),1))</f>
        <v>15</v>
      </c>
      <c r="F157" s="313" t="str">
        <f>RIGHT(G157,2) &amp; IF(A157&lt;2,"x","")</f>
        <v>pm</v>
      </c>
      <c r="G157" s="313" t="s">
        <v>867</v>
      </c>
      <c r="H157" s="313" t="s">
        <v>559</v>
      </c>
      <c r="I157" s="313" t="s">
        <v>868</v>
      </c>
      <c r="K157" s="314">
        <f>LOOKUP(1E+100,M157:AC157)</f>
        <v>2458.095796529813</v>
      </c>
      <c r="M157" s="314">
        <v>2400</v>
      </c>
      <c r="R157" s="313" t="str">
        <f>IF(AND((J157="This"),(L157="Only")),VLOOKUP(G157,#REF!,7,FALSE),"")</f>
        <v/>
      </c>
      <c r="S157" s="313">
        <v>2458.095796529813</v>
      </c>
    </row>
    <row r="158" spans="1:24" x14ac:dyDescent="0.25">
      <c r="A158" s="313">
        <v>2</v>
      </c>
      <c r="C158" s="313">
        <f>IF(E158=E157,C157+1,1)</f>
        <v>13</v>
      </c>
      <c r="D158" s="313">
        <f>IF(M158=M157,D157,C158)</f>
        <v>1</v>
      </c>
      <c r="E158" s="313">
        <f>10+VALUE(RIGHT(LEFT(G158,3),1))</f>
        <v>15</v>
      </c>
      <c r="F158" s="313" t="str">
        <f>RIGHT(G158,2) &amp; IF(A158&lt;2,"x","")</f>
        <v>pm</v>
      </c>
      <c r="G158" s="313" t="s">
        <v>871</v>
      </c>
      <c r="H158" s="313" t="s">
        <v>510</v>
      </c>
      <c r="I158" s="313" t="s">
        <v>872</v>
      </c>
      <c r="K158" s="314">
        <f>LOOKUP(1E+100,M158:AC158)</f>
        <v>2453.9766858733506</v>
      </c>
      <c r="M158" s="314">
        <v>2400</v>
      </c>
      <c r="N158" s="313">
        <v>2461.8822259540248</v>
      </c>
      <c r="R158" s="313" t="str">
        <f>IF(AND((J158="This"),(L158="Only")),VLOOKUP(G158,#REF!,7,FALSE),"")</f>
        <v/>
      </c>
      <c r="U158" s="313">
        <v>2453.9766858733506</v>
      </c>
    </row>
    <row r="159" spans="1:24" x14ac:dyDescent="0.25">
      <c r="A159" s="313">
        <v>4</v>
      </c>
      <c r="C159" s="313">
        <f>IF(E159=E158,C158+1,1)</f>
        <v>14</v>
      </c>
      <c r="D159" s="313">
        <f>IF(M159=M158,D158,C159)</f>
        <v>1</v>
      </c>
      <c r="E159" s="313">
        <f>10+VALUE(RIGHT(LEFT(G159,3),1))</f>
        <v>15</v>
      </c>
      <c r="F159" s="313" t="str">
        <f>RIGHT(G159,2) &amp; IF(A159&lt;2,"x","")</f>
        <v>pm</v>
      </c>
      <c r="G159" s="313" t="s">
        <v>878</v>
      </c>
      <c r="H159" s="313" t="s">
        <v>201</v>
      </c>
      <c r="I159" s="313" t="s">
        <v>879</v>
      </c>
      <c r="K159" s="314">
        <f>LOOKUP(1E+100,M159:AC159)</f>
        <v>2450.8368742871326</v>
      </c>
      <c r="M159" s="314">
        <v>2400</v>
      </c>
      <c r="P159" s="313">
        <v>2461.3928319711385</v>
      </c>
      <c r="R159" s="313" t="str">
        <f>IF(AND((J159="This"),(L159="Only")),VLOOKUP(G159,#REF!,7,FALSE),"")</f>
        <v/>
      </c>
      <c r="U159" s="313">
        <v>2476.8536481597189</v>
      </c>
      <c r="W159" s="313">
        <v>2450.8368742871326</v>
      </c>
    </row>
    <row r="160" spans="1:24" x14ac:dyDescent="0.25">
      <c r="A160" s="313">
        <v>6</v>
      </c>
      <c r="C160" s="313">
        <f>IF(E160=E159,C159+1,1)</f>
        <v>15</v>
      </c>
      <c r="D160" s="313">
        <f>IF(M160=M159,D159,C160)</f>
        <v>1</v>
      </c>
      <c r="E160" s="313">
        <f>10+VALUE(RIGHT(LEFT(G160,3),1))</f>
        <v>15</v>
      </c>
      <c r="F160" s="313" t="str">
        <f>RIGHT(G160,2) &amp; IF(A160&lt;2,"x","")</f>
        <v>pm</v>
      </c>
      <c r="G160" s="313" t="s">
        <v>838</v>
      </c>
      <c r="H160" s="313" t="s">
        <v>204</v>
      </c>
      <c r="I160" s="313" t="s">
        <v>839</v>
      </c>
      <c r="K160" s="314">
        <f>LOOKUP(1E+100,M160:AC160)</f>
        <v>2450.4890891409045</v>
      </c>
      <c r="M160" s="314">
        <v>2400</v>
      </c>
      <c r="N160" s="313">
        <v>2461.9045489450959</v>
      </c>
      <c r="P160" s="313">
        <v>2478.9577728246177</v>
      </c>
      <c r="R160" s="313" t="str">
        <f>IF(AND((J160="This"),(L160="Only")),VLOOKUP(G160,#REF!,7,FALSE),"")</f>
        <v/>
      </c>
      <c r="S160" s="313">
        <v>2469.2170727327562</v>
      </c>
      <c r="U160" s="313">
        <v>2442.1065800796255</v>
      </c>
      <c r="W160" s="313">
        <v>2450.4890891409045</v>
      </c>
    </row>
    <row r="161" spans="1:24" x14ac:dyDescent="0.25">
      <c r="A161" s="313">
        <v>4</v>
      </c>
      <c r="C161" s="313">
        <f>IF(E161=E160,C160+1,1)</f>
        <v>16</v>
      </c>
      <c r="D161" s="313">
        <f>IF(M161=M160,D160,C161)</f>
        <v>16</v>
      </c>
      <c r="E161" s="313">
        <f>10+VALUE(RIGHT(LEFT(G161,3),1))</f>
        <v>15</v>
      </c>
      <c r="F161" s="313" t="str">
        <f>RIGHT(G161,2) &amp; IF(A161&lt;2,"x","")</f>
        <v>pm</v>
      </c>
      <c r="G161" s="313" t="s">
        <v>903</v>
      </c>
      <c r="H161" s="313" t="s">
        <v>281</v>
      </c>
      <c r="I161" s="313" t="s">
        <v>904</v>
      </c>
      <c r="K161" s="314">
        <f>LOOKUP(1E+100,M161:AC161)</f>
        <v>2437.7295748950783</v>
      </c>
      <c r="M161" s="314">
        <v>2300</v>
      </c>
      <c r="R161" s="313" t="str">
        <f>IF(AND((J161="This"),(L161="Only")),VLOOKUP(G161,#REF!,7,FALSE),"")</f>
        <v/>
      </c>
      <c r="S161" s="313">
        <v>2376.6455222724007</v>
      </c>
      <c r="W161" s="313">
        <v>2437.7295748950783</v>
      </c>
    </row>
    <row r="162" spans="1:24" x14ac:dyDescent="0.25">
      <c r="A162" s="313">
        <v>2</v>
      </c>
      <c r="C162" s="313">
        <f>IF(E162=E161,C161+1,1)</f>
        <v>17</v>
      </c>
      <c r="D162" s="313">
        <f>IF(M162=M161,D161,C162)</f>
        <v>17</v>
      </c>
      <c r="E162" s="313">
        <f>10+VALUE(RIGHT(LEFT(G162,3),1))</f>
        <v>15</v>
      </c>
      <c r="F162" s="313" t="str">
        <f>RIGHT(G162,2) &amp; IF(A162&lt;2,"x","")</f>
        <v>pm</v>
      </c>
      <c r="G162" s="313" t="s">
        <v>532</v>
      </c>
      <c r="H162" s="313" t="s">
        <v>510</v>
      </c>
      <c r="I162" s="313" t="s">
        <v>531</v>
      </c>
      <c r="K162" s="314">
        <f>LOOKUP(1E+100,M162:AC162)</f>
        <v>2418.9011539857738</v>
      </c>
      <c r="M162" s="314">
        <v>2400</v>
      </c>
      <c r="N162" s="313">
        <v>2412.4969665615304</v>
      </c>
      <c r="R162" s="313" t="str">
        <f>IF(AND((J162="This"),(L162="Only")),VLOOKUP(G162,#REF!,7,FALSE),"")</f>
        <v/>
      </c>
      <c r="U162" s="313">
        <v>2418.9011539857738</v>
      </c>
    </row>
    <row r="163" spans="1:24" x14ac:dyDescent="0.25">
      <c r="A163" s="313">
        <v>2</v>
      </c>
      <c r="C163" s="313">
        <f>IF(E163=E162,C162+1,1)</f>
        <v>18</v>
      </c>
      <c r="D163" s="313">
        <f>IF(M163=M162,D162,C163)</f>
        <v>17</v>
      </c>
      <c r="E163" s="313">
        <f>10+VALUE(RIGHT(LEFT(G163,3),1))</f>
        <v>15</v>
      </c>
      <c r="F163" s="313" t="str">
        <f>RIGHT(G163,2) &amp; IF(A163&lt;2,"x","")</f>
        <v>pm</v>
      </c>
      <c r="G163" s="313" t="s">
        <v>863</v>
      </c>
      <c r="H163" s="313" t="s">
        <v>559</v>
      </c>
      <c r="I163" s="313" t="s">
        <v>864</v>
      </c>
      <c r="K163" s="314">
        <f>LOOKUP(1E+100,M163:AC163)</f>
        <v>2414.849046848939</v>
      </c>
      <c r="M163" s="314">
        <v>2400</v>
      </c>
      <c r="R163" s="313" t="str">
        <f>IF(AND((J163="This"),(L163="Only")),VLOOKUP(G163,#REF!,7,FALSE),"")</f>
        <v/>
      </c>
      <c r="S163" s="313">
        <v>2414.849046848939</v>
      </c>
    </row>
    <row r="164" spans="1:24" x14ac:dyDescent="0.25">
      <c r="A164" s="313">
        <v>3</v>
      </c>
      <c r="C164" s="313">
        <f>IF(E164=E163,C163+1,1)</f>
        <v>19</v>
      </c>
      <c r="D164" s="313">
        <f>IF(M164=M163,D163,C164)</f>
        <v>17</v>
      </c>
      <c r="E164" s="313">
        <f>10+VALUE(RIGHT(LEFT(G164,3),1))</f>
        <v>15</v>
      </c>
      <c r="F164" s="313" t="str">
        <f>RIGHT(G164,2) &amp; IF(A164&lt;2,"x","")</f>
        <v>pm</v>
      </c>
      <c r="G164" s="313" t="s">
        <v>840</v>
      </c>
      <c r="H164" s="313" t="s">
        <v>473</v>
      </c>
      <c r="I164" s="313" t="s">
        <v>841</v>
      </c>
      <c r="K164" s="314">
        <f>LOOKUP(1E+100,M164:AC164)</f>
        <v>2382.5277444743001</v>
      </c>
      <c r="M164" s="314">
        <v>2400</v>
      </c>
      <c r="R164" s="313" t="str">
        <f>IF(AND((J164="This"),(L164="Only")),VLOOKUP(G164,#REF!,7,FALSE),"")</f>
        <v/>
      </c>
      <c r="S164" s="313">
        <v>2354.7201914323136</v>
      </c>
      <c r="U164" s="313">
        <v>2382.5277444743001</v>
      </c>
    </row>
    <row r="165" spans="1:24" x14ac:dyDescent="0.25">
      <c r="A165" s="313">
        <v>4</v>
      </c>
      <c r="C165" s="313">
        <f>IF(E165=E164,C164+1,1)</f>
        <v>20</v>
      </c>
      <c r="D165" s="313">
        <f>IF(M165=M164,D164,C165)</f>
        <v>17</v>
      </c>
      <c r="E165" s="313">
        <f>10+VALUE(RIGHT(LEFT(G165,3),1))</f>
        <v>15</v>
      </c>
      <c r="F165" s="313" t="str">
        <f>RIGHT(G165,2) &amp; IF(A165&lt;2,"x","")</f>
        <v>pm</v>
      </c>
      <c r="G165" s="313" t="s">
        <v>834</v>
      </c>
      <c r="H165" s="313" t="s">
        <v>207</v>
      </c>
      <c r="I165" s="313" t="s">
        <v>835</v>
      </c>
      <c r="K165" s="314">
        <f>LOOKUP(1E+100,M165:AC165)</f>
        <v>2375.6682246005921</v>
      </c>
      <c r="M165" s="314">
        <v>2400</v>
      </c>
      <c r="N165" s="313">
        <v>2369.6009381256022</v>
      </c>
      <c r="R165" s="313" t="str">
        <f>IF(AND((J165="This"),(L165="Only")),VLOOKUP(G165,#REF!,7,FALSE),"")</f>
        <v/>
      </c>
      <c r="U165" s="313">
        <v>2359.4300065726879</v>
      </c>
      <c r="W165" s="313">
        <v>2375.6682246005921</v>
      </c>
    </row>
    <row r="166" spans="1:24" x14ac:dyDescent="0.25">
      <c r="A166" s="313">
        <v>5</v>
      </c>
      <c r="C166" s="313">
        <f>IF(E166=E165,C165+1,1)</f>
        <v>21</v>
      </c>
      <c r="D166" s="313">
        <f>IF(M166=M165,D165,C166)</f>
        <v>17</v>
      </c>
      <c r="E166" s="313">
        <f>10+VALUE(RIGHT(LEFT(G166,3),1))</f>
        <v>15</v>
      </c>
      <c r="F166" s="313" t="str">
        <f>RIGHT(G166,2) &amp; IF(A166&lt;2,"x","")</f>
        <v>pm</v>
      </c>
      <c r="G166" s="313" t="s">
        <v>836</v>
      </c>
      <c r="H166" s="313" t="s">
        <v>286</v>
      </c>
      <c r="I166" s="313" t="s">
        <v>837</v>
      </c>
      <c r="K166" s="314">
        <f>LOOKUP(1E+100,M166:AC166)</f>
        <v>2354.5146283160193</v>
      </c>
      <c r="M166" s="314">
        <v>2400</v>
      </c>
      <c r="N166" s="313">
        <v>2394.4035633824892</v>
      </c>
      <c r="R166" s="313" t="str">
        <f>IF(AND((J166="This"),(L166="Only")),VLOOKUP(G166,#REF!,7,FALSE),"")</f>
        <v/>
      </c>
      <c r="S166" s="313">
        <v>2392.8165751582583</v>
      </c>
      <c r="U166" s="313">
        <v>2381.8006957841599</v>
      </c>
      <c r="W166" s="313">
        <v>2354.5146283160193</v>
      </c>
    </row>
    <row r="167" spans="1:24" x14ac:dyDescent="0.25">
      <c r="A167" s="313">
        <v>5</v>
      </c>
      <c r="C167" s="313">
        <f>IF(E167=E166,C166+1,1)</f>
        <v>22</v>
      </c>
      <c r="D167" s="313">
        <f>IF(M167=M166,D166,C167)</f>
        <v>17</v>
      </c>
      <c r="E167" s="313">
        <f>10+VALUE(RIGHT(LEFT(G167,3),1))</f>
        <v>15</v>
      </c>
      <c r="F167" s="313" t="str">
        <f>RIGHT(G167,2) &amp; IF(A167&lt;2,"x","")</f>
        <v>pm</v>
      </c>
      <c r="G167" s="313" t="s">
        <v>875</v>
      </c>
      <c r="H167" s="313" t="s">
        <v>211</v>
      </c>
      <c r="I167" s="313" t="s">
        <v>876</v>
      </c>
      <c r="K167" s="314">
        <f>LOOKUP(1E+100,M167:AC167)</f>
        <v>2264.2546620581129</v>
      </c>
      <c r="M167" s="314">
        <v>2400</v>
      </c>
      <c r="N167" s="313">
        <v>2341.1233483976916</v>
      </c>
      <c r="R167" s="313" t="str">
        <f>IF(AND((J167="This"),(L167="Only")),VLOOKUP(G167,#REF!,7,FALSE),"")</f>
        <v/>
      </c>
      <c r="U167" s="313">
        <v>2334.3319188437576</v>
      </c>
      <c r="W167" s="313">
        <v>2264.2546620581129</v>
      </c>
    </row>
    <row r="168" spans="1:24" x14ac:dyDescent="0.25">
      <c r="A168" s="313">
        <v>6</v>
      </c>
      <c r="C168" s="313">
        <f>IF(E168=E167,C167+1,1)</f>
        <v>23</v>
      </c>
      <c r="D168" s="313">
        <f>IF(M168=M167,D167,C168)</f>
        <v>23</v>
      </c>
      <c r="E168" s="313">
        <f>10+VALUE(RIGHT(LEFT(G168,3),1))</f>
        <v>15</v>
      </c>
      <c r="F168" s="313" t="str">
        <f>RIGHT(G168,2) &amp; IF(A168&lt;2,"x","")</f>
        <v>pm</v>
      </c>
      <c r="G168" s="313" t="s">
        <v>907</v>
      </c>
      <c r="H168" s="313" t="s">
        <v>230</v>
      </c>
      <c r="I168" s="313" t="s">
        <v>908</v>
      </c>
      <c r="K168" s="314">
        <f>LOOKUP(1E+100,M168:AC168)</f>
        <v>2261.5141533158635</v>
      </c>
      <c r="M168" s="314">
        <v>2066.6666666666665</v>
      </c>
      <c r="O168" s="313">
        <v>2144.1217834697964</v>
      </c>
      <c r="R168" s="313" t="str">
        <f>IF(AND((J168="This"),(L168="Only")),VLOOKUP(G168,#REF!,7,FALSE),"")</f>
        <v/>
      </c>
      <c r="T168" s="313">
        <v>2212.9846052971011</v>
      </c>
      <c r="V168" s="313">
        <v>2261.5141533158635</v>
      </c>
    </row>
    <row r="169" spans="1:24" x14ac:dyDescent="0.25">
      <c r="A169" s="313">
        <v>6</v>
      </c>
      <c r="C169" s="313">
        <f>IF(E169=E168,C168+1,1)</f>
        <v>24</v>
      </c>
      <c r="D169" s="313">
        <f>IF(M169=M168,D168,C169)</f>
        <v>24</v>
      </c>
      <c r="E169" s="313">
        <f>10+VALUE(RIGHT(LEFT(G169,3),1))</f>
        <v>15</v>
      </c>
      <c r="F169" s="313" t="str">
        <f>RIGHT(G169,2) &amp; IF(A169&lt;2,"x","")</f>
        <v>pm</v>
      </c>
      <c r="G169" s="313" t="s">
        <v>850</v>
      </c>
      <c r="H169" s="313" t="s">
        <v>411</v>
      </c>
      <c r="I169" s="313" t="s">
        <v>851</v>
      </c>
      <c r="K169" s="314">
        <f>LOOKUP(1E+100,M169:AC169)</f>
        <v>2257.6030539481549</v>
      </c>
      <c r="M169" s="314">
        <v>2400</v>
      </c>
      <c r="P169" s="313">
        <v>2340.2463122800505</v>
      </c>
      <c r="R169" s="313" t="str">
        <f>IF(AND((J169="This"),(L169="Only")),VLOOKUP(G169,#REF!,7,FALSE),"")</f>
        <v/>
      </c>
      <c r="S169" s="313">
        <v>2305.7293444688644</v>
      </c>
      <c r="U169" s="313">
        <v>2253.4757114355407</v>
      </c>
      <c r="W169" s="313">
        <v>2257.6030539481549</v>
      </c>
    </row>
    <row r="170" spans="1:24" x14ac:dyDescent="0.25">
      <c r="A170" s="313">
        <v>4</v>
      </c>
      <c r="C170" s="313">
        <f>IF(E170=E169,C169+1,1)</f>
        <v>25</v>
      </c>
      <c r="D170" s="313">
        <f>IF(M170=M169,D169,C170)</f>
        <v>24</v>
      </c>
      <c r="E170" s="313">
        <f>10+VALUE(RIGHT(LEFT(G170,3),1))</f>
        <v>15</v>
      </c>
      <c r="F170" s="313" t="str">
        <f>RIGHT(G170,2) &amp; IF(A170&lt;2,"x","")</f>
        <v>pm</v>
      </c>
      <c r="G170" s="313" t="s">
        <v>848</v>
      </c>
      <c r="H170" s="313" t="s">
        <v>340</v>
      </c>
      <c r="I170" s="313" t="s">
        <v>849</v>
      </c>
      <c r="K170" s="314">
        <f>LOOKUP(1E+100,M170:AC170)</f>
        <v>2250.9325524591632</v>
      </c>
      <c r="M170" s="314">
        <v>2400</v>
      </c>
      <c r="N170" s="313">
        <v>2325.0939181579406</v>
      </c>
      <c r="R170" s="313" t="str">
        <f>IF(AND((J170="This"),(L170="Only")),VLOOKUP(G170,#REF!,7,FALSE),"")</f>
        <v/>
      </c>
      <c r="U170" s="313">
        <v>2279.8314254027905</v>
      </c>
      <c r="W170" s="313">
        <v>2250.9325524591632</v>
      </c>
    </row>
    <row r="171" spans="1:24" x14ac:dyDescent="0.25">
      <c r="A171" s="313">
        <v>7</v>
      </c>
      <c r="C171" s="313">
        <f>IF(E171=E170,C170+1,1)</f>
        <v>26</v>
      </c>
      <c r="D171" s="313">
        <f>IF(M171=M170,D170,C171)</f>
        <v>24</v>
      </c>
      <c r="E171" s="313">
        <f>10+VALUE(RIGHT(LEFT(G171,3),1))</f>
        <v>15</v>
      </c>
      <c r="F171" s="313" t="str">
        <f>RIGHT(G171,2) &amp; IF(A171&lt;2,"x","")</f>
        <v>pm</v>
      </c>
      <c r="G171" s="313" t="s">
        <v>246</v>
      </c>
      <c r="H171" s="313" t="s">
        <v>211</v>
      </c>
      <c r="I171" s="313" t="s">
        <v>877</v>
      </c>
      <c r="K171" s="314">
        <f>LOOKUP(1E+100,M171:AC171)</f>
        <v>2226.1594037410746</v>
      </c>
      <c r="M171" s="314">
        <v>2400</v>
      </c>
      <c r="N171" s="313">
        <v>2326.8645461765414</v>
      </c>
      <c r="P171" s="313">
        <v>2292.9055328887944</v>
      </c>
      <c r="R171" s="313" t="str">
        <f>IF(AND((J171="This"),(L171="Only")),VLOOKUP(G171,#REF!,7,FALSE),"")</f>
        <v/>
      </c>
      <c r="S171" s="313">
        <v>2267.6844132740748</v>
      </c>
      <c r="U171" s="313">
        <v>2265.9230295280654</v>
      </c>
      <c r="W171" s="313">
        <v>2226.1594037410746</v>
      </c>
    </row>
    <row r="172" spans="1:24" x14ac:dyDescent="0.25">
      <c r="A172" s="313">
        <v>4</v>
      </c>
      <c r="C172" s="313">
        <f>IF(E172=E171,C171+1,1)</f>
        <v>27</v>
      </c>
      <c r="D172" s="313">
        <f>IF(M172=M171,D171,C172)</f>
        <v>24</v>
      </c>
      <c r="E172" s="313">
        <f>10+VALUE(RIGHT(LEFT(G172,3),1))</f>
        <v>15</v>
      </c>
      <c r="F172" s="313" t="str">
        <f>RIGHT(G172,2) &amp; IF(A172&lt;2,"x","")</f>
        <v>pm</v>
      </c>
      <c r="G172" s="313" t="s">
        <v>893</v>
      </c>
      <c r="H172" s="313" t="s">
        <v>240</v>
      </c>
      <c r="I172" s="313" t="s">
        <v>894</v>
      </c>
      <c r="K172" s="314">
        <f>LOOKUP(1E+100,M172:AC172)</f>
        <v>2207.770555540747</v>
      </c>
      <c r="M172" s="314">
        <v>2400</v>
      </c>
      <c r="N172" s="313">
        <v>2300.028797134582</v>
      </c>
      <c r="R172" s="313" t="str">
        <f>IF(AND((J172="This"),(L172="Only")),VLOOKUP(G172,#REF!,7,FALSE),"")</f>
        <v/>
      </c>
      <c r="S172" s="313">
        <v>2238.8392128568562</v>
      </c>
      <c r="U172" s="313">
        <v>2207.770555540747</v>
      </c>
    </row>
    <row r="173" spans="1:24" x14ac:dyDescent="0.25">
      <c r="A173" s="313">
        <v>4</v>
      </c>
      <c r="C173" s="313">
        <f>IF(E173=E172,C172+1,1)</f>
        <v>28</v>
      </c>
      <c r="D173" s="313">
        <f>IF(M173=M172,D172,C173)</f>
        <v>28</v>
      </c>
      <c r="E173" s="313">
        <f>10+VALUE(RIGHT(LEFT(G173,3),1))</f>
        <v>15</v>
      </c>
      <c r="F173" s="313" t="str">
        <f>RIGHT(G173,2) &amp; IF(A173&lt;2,"x","")</f>
        <v>pm</v>
      </c>
      <c r="G173" s="313" t="s">
        <v>905</v>
      </c>
      <c r="H173" s="313" t="s">
        <v>505</v>
      </c>
      <c r="I173" s="313" t="s">
        <v>906</v>
      </c>
      <c r="K173" s="314">
        <f>LOOKUP(1E+100,M173:AC173)</f>
        <v>2207.6571694003314</v>
      </c>
      <c r="M173" s="314">
        <v>2300</v>
      </c>
      <c r="O173" s="313">
        <v>2235.0356284950308</v>
      </c>
      <c r="P173" s="313">
        <v>2322.1303862295704</v>
      </c>
      <c r="R173" s="313" t="str">
        <f>IF(AND((J173="This"),(L173="Only")),VLOOKUP(G173,#REF!,7,FALSE),"")</f>
        <v/>
      </c>
      <c r="S173" s="313">
        <v>2268.3854422372378</v>
      </c>
      <c r="W173" s="313">
        <v>2207.6571694003314</v>
      </c>
    </row>
    <row r="174" spans="1:24" x14ac:dyDescent="0.25">
      <c r="A174" s="313">
        <v>3</v>
      </c>
      <c r="C174" s="313">
        <f>IF(E174=E173,C173+1,1)</f>
        <v>29</v>
      </c>
      <c r="D174" s="313">
        <f>IF(M174=M173,D173,C174)</f>
        <v>29</v>
      </c>
      <c r="E174" s="313">
        <f>10+VALUE(RIGHT(LEFT(G174,3),1))</f>
        <v>15</v>
      </c>
      <c r="F174" s="313" t="str">
        <f>RIGHT(G174,2) &amp; IF(A174&lt;2,"x","")</f>
        <v>pm</v>
      </c>
      <c r="G174" s="1032" t="s">
        <v>915</v>
      </c>
      <c r="H174" s="313" t="s">
        <v>916</v>
      </c>
      <c r="I174" s="313" t="s">
        <v>917</v>
      </c>
      <c r="K174" s="314">
        <f>LOOKUP(1E+100,M174:AC174)</f>
        <v>2151.1670311235207</v>
      </c>
      <c r="M174" s="314">
        <v>2000</v>
      </c>
      <c r="R174" s="313" t="str">
        <f>IF(AND((J174="This"),(L174="Only")),VLOOKUP(G174,#REF!,7,FALSE),"")</f>
        <v/>
      </c>
      <c r="S174" s="313">
        <v>2125.6672368874802</v>
      </c>
      <c r="V174" s="313">
        <v>2151.1670311235207</v>
      </c>
    </row>
    <row r="175" spans="1:24" x14ac:dyDescent="0.25">
      <c r="A175" s="313">
        <v>6</v>
      </c>
      <c r="C175" s="313">
        <f>IF(E175=E174,C174+1,1)</f>
        <v>30</v>
      </c>
      <c r="D175" s="313">
        <f>IF(M175=M174,D174,C175)</f>
        <v>29</v>
      </c>
      <c r="E175" s="313">
        <f>10+VALUE(RIGHT(LEFT(G175,3),1))</f>
        <v>15</v>
      </c>
      <c r="F175" s="313" t="str">
        <f>RIGHT(G175,2) &amp; IF(A175&lt;2,"x","")</f>
        <v>pm</v>
      </c>
      <c r="G175" s="313" t="s">
        <v>516</v>
      </c>
      <c r="H175" s="313" t="s">
        <v>216</v>
      </c>
      <c r="I175" s="313" t="s">
        <v>193</v>
      </c>
      <c r="K175" s="314">
        <f>LOOKUP(1E+100,M175:AC175)</f>
        <v>2111.1120209801334</v>
      </c>
      <c r="M175" s="314">
        <v>2000</v>
      </c>
      <c r="O175" s="313">
        <v>2021.5539015085499</v>
      </c>
      <c r="R175" s="313" t="str">
        <f>IF(AND((J175="This"),(L175="Only")),VLOOKUP(G175,#REF!,7,FALSE),"")</f>
        <v/>
      </c>
      <c r="S175" s="313">
        <v>2077.8601411897835</v>
      </c>
      <c r="T175" s="313">
        <v>2066.7296561866906</v>
      </c>
      <c r="V175" s="313">
        <v>2075.6557959024376</v>
      </c>
      <c r="X175" s="313">
        <v>2111.1120209801334</v>
      </c>
    </row>
    <row r="176" spans="1:24" x14ac:dyDescent="0.25">
      <c r="A176" s="313">
        <v>6</v>
      </c>
      <c r="C176" s="313">
        <f>IF(E176=E175,C175+1,1)</f>
        <v>31</v>
      </c>
      <c r="D176" s="313">
        <f>IF(M176=M175,D175,C176)</f>
        <v>31</v>
      </c>
      <c r="E176" s="313">
        <f>10+VALUE(RIGHT(LEFT(G176,3),1))</f>
        <v>15</v>
      </c>
      <c r="F176" s="313" t="str">
        <f>RIGHT(G176,2) &amp; IF(A176&lt;2,"x","")</f>
        <v>pm</v>
      </c>
      <c r="G176" s="313" t="s">
        <v>901</v>
      </c>
      <c r="H176" s="313" t="s">
        <v>204</v>
      </c>
      <c r="I176" s="313" t="s">
        <v>902</v>
      </c>
      <c r="K176" s="314">
        <f>LOOKUP(1E+100,M176:AC176)</f>
        <v>2084.9367855589994</v>
      </c>
      <c r="M176" s="314">
        <v>2333.3333333333335</v>
      </c>
      <c r="O176" s="313">
        <v>2181.068342313471</v>
      </c>
      <c r="P176" s="313">
        <v>2153.6879824326447</v>
      </c>
      <c r="R176" s="313" t="str">
        <f>IF(AND((J176="This"),(L176="Only")),VLOOKUP(G176,#REF!,7,FALSE),"")</f>
        <v/>
      </c>
      <c r="S176" s="313">
        <v>2100.6667024320777</v>
      </c>
      <c r="U176" s="313">
        <v>2102.2891877313273</v>
      </c>
      <c r="W176" s="313">
        <v>2084.9367855589994</v>
      </c>
    </row>
    <row r="177" spans="1:24" x14ac:dyDescent="0.25">
      <c r="A177" s="313">
        <v>5</v>
      </c>
      <c r="C177" s="313">
        <f>IF(E177=E176,C176+1,1)</f>
        <v>32</v>
      </c>
      <c r="D177" s="313">
        <f>IF(M177=M176,D176,C177)</f>
        <v>32</v>
      </c>
      <c r="E177" s="313">
        <f>10+VALUE(RIGHT(LEFT(G177,3),1))</f>
        <v>15</v>
      </c>
      <c r="F177" s="313" t="str">
        <f>RIGHT(G177,2) &amp; IF(A177&lt;2,"x","")</f>
        <v>pm</v>
      </c>
      <c r="G177" s="313" t="s">
        <v>325</v>
      </c>
      <c r="H177" s="313" t="s">
        <v>219</v>
      </c>
      <c r="I177" s="313" t="s">
        <v>324</v>
      </c>
      <c r="K177" s="314">
        <f>LOOKUP(1E+100,M177:AC177)</f>
        <v>2070.0219407095829</v>
      </c>
      <c r="M177" s="314">
        <v>2160</v>
      </c>
      <c r="O177" s="313">
        <v>2166.7401209474078</v>
      </c>
      <c r="R177" s="313" t="str">
        <f>IF(AND((J177="This"),(L177="Only")),VLOOKUP(G177,#REF!,7,FALSE),"")</f>
        <v/>
      </c>
      <c r="S177" s="313">
        <v>2137.7943142165154</v>
      </c>
      <c r="W177" s="313">
        <v>2098.0659243278974</v>
      </c>
      <c r="X177" s="313">
        <v>2070.0219407095829</v>
      </c>
    </row>
    <row r="178" spans="1:24" x14ac:dyDescent="0.25">
      <c r="A178" s="313">
        <v>4</v>
      </c>
      <c r="C178" s="313">
        <f>IF(E178=E177,C177+1,1)</f>
        <v>33</v>
      </c>
      <c r="D178" s="313">
        <f>IF(M178=M177,D177,C178)</f>
        <v>33</v>
      </c>
      <c r="E178" s="313">
        <f>10+VALUE(RIGHT(LEFT(G178,3),1))</f>
        <v>15</v>
      </c>
      <c r="F178" s="313" t="str">
        <f>RIGHT(G178,2) &amp; IF(A178&lt;2,"x","")</f>
        <v>pm</v>
      </c>
      <c r="G178" s="313" t="s">
        <v>406</v>
      </c>
      <c r="H178" s="313" t="s">
        <v>198</v>
      </c>
      <c r="I178" s="313" t="s">
        <v>405</v>
      </c>
      <c r="K178" s="314">
        <f>LOOKUP(1E+100,M178:AC178)</f>
        <v>2064.4159578940285</v>
      </c>
      <c r="M178" s="314">
        <v>2000</v>
      </c>
      <c r="R178" s="313" t="str">
        <f>IF(AND((J178="This"),(L178="Only")),VLOOKUP(G178,#REF!,7,FALSE),"")</f>
        <v/>
      </c>
      <c r="T178" s="313">
        <v>1962.7309363652487</v>
      </c>
      <c r="V178" s="313">
        <v>1968.6719369166094</v>
      </c>
      <c r="X178" s="313">
        <v>2064.4159578940285</v>
      </c>
    </row>
    <row r="179" spans="1:24" x14ac:dyDescent="0.25">
      <c r="A179" s="313">
        <v>2</v>
      </c>
      <c r="C179" s="313">
        <f>IF(E179=E178,C178+1,1)</f>
        <v>34</v>
      </c>
      <c r="D179" s="313">
        <f>IF(M179=M178,D178,C179)</f>
        <v>33</v>
      </c>
      <c r="E179" s="313">
        <f>10+VALUE(RIGHT(LEFT(G179,3),1))</f>
        <v>15</v>
      </c>
      <c r="F179" s="313" t="str">
        <f>RIGHT(G179,2) &amp; IF(A179&lt;2,"x","")</f>
        <v>pm</v>
      </c>
      <c r="G179" s="313" t="s">
        <v>930</v>
      </c>
      <c r="H179" s="313" t="s">
        <v>559</v>
      </c>
      <c r="I179" s="313" t="s">
        <v>931</v>
      </c>
      <c r="K179" s="314">
        <f>LOOKUP(1E+100,M179:AC179)</f>
        <v>2045.640941405906</v>
      </c>
      <c r="M179" s="314">
        <v>2000</v>
      </c>
      <c r="R179" s="313" t="str">
        <f>IF(AND((J179="This"),(L179="Only")),VLOOKUP(G179,#REF!,7,FALSE),"")</f>
        <v/>
      </c>
      <c r="V179" s="313">
        <v>2045.640941405906</v>
      </c>
    </row>
    <row r="180" spans="1:24" x14ac:dyDescent="0.25">
      <c r="A180" s="313">
        <v>5</v>
      </c>
      <c r="C180" s="313">
        <f>IF(E180=E179,C179+1,1)</f>
        <v>35</v>
      </c>
      <c r="D180" s="313">
        <f>IF(M180=M179,D179,C180)</f>
        <v>33</v>
      </c>
      <c r="E180" s="313">
        <f>10+VALUE(RIGHT(LEFT(G180,3),1))</f>
        <v>15</v>
      </c>
      <c r="F180" s="313" t="str">
        <f>RIGHT(G180,2) &amp; IF(A180&lt;2,"x","")</f>
        <v>pm</v>
      </c>
      <c r="G180" s="313" t="s">
        <v>326</v>
      </c>
      <c r="H180" s="313" t="s">
        <v>199</v>
      </c>
      <c r="I180" s="313" t="s">
        <v>368</v>
      </c>
      <c r="K180" s="314">
        <f>LOOKUP(1E+100,M180:AC180)</f>
        <v>2044.6070675484093</v>
      </c>
      <c r="M180" s="314">
        <v>2000</v>
      </c>
      <c r="O180" s="313">
        <v>2082.3894703533642</v>
      </c>
      <c r="R180" s="313" t="str">
        <f>IF(AND((J180="This"),(L180="Only")),VLOOKUP(G180,#REF!,7,FALSE),"")</f>
        <v/>
      </c>
      <c r="S180" s="313">
        <v>1985.4963518902775</v>
      </c>
      <c r="V180" s="313">
        <v>2037.3311358334597</v>
      </c>
      <c r="X180" s="313">
        <v>2044.6070675484093</v>
      </c>
    </row>
    <row r="181" spans="1:24" x14ac:dyDescent="0.25">
      <c r="A181" s="313">
        <v>7</v>
      </c>
      <c r="C181" s="313">
        <f>IF(E181=E180,C180+1,1)</f>
        <v>36</v>
      </c>
      <c r="D181" s="313">
        <f>IF(M181=M180,D180,C181)</f>
        <v>36</v>
      </c>
      <c r="E181" s="313">
        <f>10+VALUE(RIGHT(LEFT(G181,3),1))</f>
        <v>15</v>
      </c>
      <c r="F181" s="313" t="str">
        <f>RIGHT(G181,2) &amp; IF(A181&lt;2,"x","")</f>
        <v>pm</v>
      </c>
      <c r="G181" s="313" t="s">
        <v>815</v>
      </c>
      <c r="H181" s="313" t="s">
        <v>697</v>
      </c>
      <c r="I181" s="313" t="s">
        <v>816</v>
      </c>
      <c r="K181" s="314">
        <f>LOOKUP(1E+100,M181:AC181)</f>
        <v>2043.4409293967788</v>
      </c>
      <c r="M181" s="314">
        <v>2428.5714285714284</v>
      </c>
      <c r="O181" s="313">
        <v>2268.7826308362091</v>
      </c>
      <c r="P181" s="313">
        <v>2236.1285794773908</v>
      </c>
      <c r="R181" s="313" t="str">
        <f>IF(AND((J181="This"),(L181="Only")),VLOOKUP(G181,#REF!,7,FALSE),"")</f>
        <v/>
      </c>
      <c r="S181" s="313">
        <v>2195.5636434586636</v>
      </c>
      <c r="U181" s="313">
        <v>2140.9672825573971</v>
      </c>
      <c r="V181" s="313">
        <v>2043.4409293967788</v>
      </c>
    </row>
    <row r="182" spans="1:24" x14ac:dyDescent="0.25">
      <c r="A182" s="313">
        <v>2</v>
      </c>
      <c r="C182" s="313">
        <f>IF(E182=E181,C181+1,1)</f>
        <v>37</v>
      </c>
      <c r="D182" s="313">
        <f>IF(M182=M181,D181,C182)</f>
        <v>37</v>
      </c>
      <c r="E182" s="313">
        <f>10+VALUE(RIGHT(LEFT(G182,3),1))</f>
        <v>15</v>
      </c>
      <c r="F182" s="313" t="str">
        <f>RIGHT(G182,2) &amp; IF(A182&lt;2,"x","")</f>
        <v>pm</v>
      </c>
      <c r="G182" s="313" t="s">
        <v>920</v>
      </c>
      <c r="H182" s="313" t="s">
        <v>213</v>
      </c>
      <c r="I182" s="313" t="s">
        <v>921</v>
      </c>
      <c r="K182" s="314">
        <f>LOOKUP(1E+100,M182:AC182)</f>
        <v>2016.1001377438922</v>
      </c>
      <c r="M182" s="314">
        <v>2000</v>
      </c>
      <c r="O182" s="313">
        <v>2026.0099610120353</v>
      </c>
      <c r="R182" s="313" t="str">
        <f>IF(AND((J182="This"),(L182="Only")),VLOOKUP(G182,#REF!,7,FALSE),"")</f>
        <v/>
      </c>
      <c r="V182" s="313">
        <v>2016.1001377438922</v>
      </c>
    </row>
    <row r="183" spans="1:24" x14ac:dyDescent="0.25">
      <c r="A183" s="313">
        <v>2</v>
      </c>
      <c r="C183" s="313">
        <f>IF(E183=E182,C182+1,1)</f>
        <v>38</v>
      </c>
      <c r="D183" s="313">
        <f>IF(M183=M182,D182,C183)</f>
        <v>37</v>
      </c>
      <c r="E183" s="313">
        <f>10+VALUE(RIGHT(LEFT(G183,3),1))</f>
        <v>15</v>
      </c>
      <c r="F183" s="313" t="str">
        <f>RIGHT(G183,2) &amp; IF(A183&lt;2,"x","")</f>
        <v>pm</v>
      </c>
      <c r="G183" s="313" t="s">
        <v>924</v>
      </c>
      <c r="H183" s="313" t="s">
        <v>281</v>
      </c>
      <c r="I183" s="313" t="s">
        <v>925</v>
      </c>
      <c r="K183" s="314">
        <f>LOOKUP(1E+100,M183:AC183)</f>
        <v>2009.442133194488</v>
      </c>
      <c r="M183" s="314">
        <v>2000</v>
      </c>
      <c r="R183" s="313" t="str">
        <f>IF(AND((J183="This"),(L183="Only")),VLOOKUP(G183,#REF!,7,FALSE),"")</f>
        <v/>
      </c>
      <c r="S183" s="313">
        <v>2019.4002681448881</v>
      </c>
      <c r="T183" s="313">
        <v>1937.3837972359004</v>
      </c>
      <c r="V183" s="313">
        <v>2009.442133194488</v>
      </c>
    </row>
    <row r="184" spans="1:24" x14ac:dyDescent="0.25">
      <c r="A184" s="313">
        <v>5</v>
      </c>
      <c r="C184" s="313">
        <f>IF(E184=E183,C183+1,1)</f>
        <v>39</v>
      </c>
      <c r="D184" s="313">
        <f>IF(M184=M183,D183,C184)</f>
        <v>37</v>
      </c>
      <c r="E184" s="313">
        <f>10+VALUE(RIGHT(LEFT(G184,3),1))</f>
        <v>15</v>
      </c>
      <c r="F184" s="313" t="str">
        <f>RIGHT(G184,2) &amp; IF(A184&lt;2,"x","")</f>
        <v>pm</v>
      </c>
      <c r="G184" s="313" t="s">
        <v>926</v>
      </c>
      <c r="H184" s="313" t="s">
        <v>235</v>
      </c>
      <c r="I184" s="313" t="s">
        <v>927</v>
      </c>
      <c r="K184" s="314">
        <f>LOOKUP(1E+100,M184:AC184)</f>
        <v>2000</v>
      </c>
      <c r="M184" s="314">
        <v>2000</v>
      </c>
      <c r="R184" s="313" t="str">
        <f>IF(AND((J184="This"),(L184="Only")),VLOOKUP(G184,#REF!,7,FALSE),"")</f>
        <v/>
      </c>
    </row>
    <row r="185" spans="1:24" x14ac:dyDescent="0.25">
      <c r="A185" s="313">
        <v>3</v>
      </c>
      <c r="C185" s="313">
        <f>IF(E185=E184,C184+1,1)</f>
        <v>40</v>
      </c>
      <c r="D185" s="313">
        <f>IF(M185=M184,D184,C185)</f>
        <v>37</v>
      </c>
      <c r="E185" s="313">
        <f>10+VALUE(RIGHT(LEFT(G185,3),1))</f>
        <v>15</v>
      </c>
      <c r="F185" s="313" t="str">
        <f>RIGHT(G185,2) &amp; IF(A185&lt;2,"x","")</f>
        <v>pm</v>
      </c>
      <c r="G185" s="313" t="s">
        <v>252</v>
      </c>
      <c r="H185" s="313" t="s">
        <v>207</v>
      </c>
      <c r="I185" s="313" t="s">
        <v>194</v>
      </c>
      <c r="K185" s="314">
        <f>LOOKUP(1E+100,M185:AC185)</f>
        <v>1961.3145016263318</v>
      </c>
      <c r="M185" s="314">
        <v>2000</v>
      </c>
      <c r="O185" s="313">
        <v>1946.6508848780252</v>
      </c>
      <c r="R185" s="313" t="str">
        <f>IF(AND((J185="This"),(L185="Only")),VLOOKUP(G185,#REF!,7,FALSE),"")</f>
        <v/>
      </c>
      <c r="X185" s="313">
        <v>1961.3145016263318</v>
      </c>
    </row>
    <row r="186" spans="1:24" x14ac:dyDescent="0.25">
      <c r="A186" s="313">
        <v>5</v>
      </c>
      <c r="C186" s="313">
        <f>IF(E186=E185,C185+1,1)</f>
        <v>41</v>
      </c>
      <c r="D186" s="313">
        <f>IF(M186=M185,D185,C186)</f>
        <v>37</v>
      </c>
      <c r="E186" s="313">
        <f>10+VALUE(RIGHT(LEFT(G186,3),1))</f>
        <v>15</v>
      </c>
      <c r="F186" s="313" t="str">
        <f>RIGHT(G186,2) &amp; IF(A186&lt;2,"x","")</f>
        <v>pm</v>
      </c>
      <c r="G186" s="313" t="s">
        <v>200</v>
      </c>
      <c r="H186" s="313" t="s">
        <v>201</v>
      </c>
      <c r="I186" s="313" t="s">
        <v>191</v>
      </c>
      <c r="K186" s="314">
        <f>LOOKUP(1E+100,M186:AC186)</f>
        <v>1927.6269084243409</v>
      </c>
      <c r="M186" s="314">
        <v>2000</v>
      </c>
      <c r="R186" s="313" t="str">
        <f>IF(AND((J186="This"),(L186="Only")),VLOOKUP(G186,#REF!,7,FALSE),"")</f>
        <v/>
      </c>
      <c r="S186" s="313">
        <v>2021.1114002752317</v>
      </c>
      <c r="T186" s="313">
        <v>2058.6723054658987</v>
      </c>
      <c r="V186" s="313">
        <v>1954.3026425151425</v>
      </c>
      <c r="X186" s="313">
        <v>1927.6269084243409</v>
      </c>
    </row>
    <row r="187" spans="1:24" x14ac:dyDescent="0.25">
      <c r="A187" s="313">
        <v>5</v>
      </c>
      <c r="C187" s="313">
        <f>IF(E187=E186,C186+1,1)</f>
        <v>42</v>
      </c>
      <c r="D187" s="313">
        <f>IF(M187=M186,D186,C187)</f>
        <v>37</v>
      </c>
      <c r="E187" s="313">
        <f>10+VALUE(RIGHT(LEFT(G187,3),1))</f>
        <v>15</v>
      </c>
      <c r="F187" s="313" t="str">
        <f>RIGHT(G187,2) &amp; IF(A187&lt;2,"x","")</f>
        <v>pm</v>
      </c>
      <c r="G187" s="313" t="s">
        <v>443</v>
      </c>
      <c r="H187" s="313" t="s">
        <v>444</v>
      </c>
      <c r="I187" s="313" t="s">
        <v>442</v>
      </c>
      <c r="K187" s="314">
        <f>LOOKUP(1E+100,M187:AC187)</f>
        <v>1920.8120770077032</v>
      </c>
      <c r="M187" s="314">
        <v>2000</v>
      </c>
      <c r="O187" s="313">
        <v>1945.5835796928918</v>
      </c>
      <c r="R187" s="313" t="str">
        <f>IF(AND((J187="This"),(L187="Only")),VLOOKUP(G187,#REF!,7,FALSE),"")</f>
        <v/>
      </c>
      <c r="S187" s="313">
        <v>1904.1046446104472</v>
      </c>
      <c r="T187" s="313">
        <v>1881.9594079860281</v>
      </c>
      <c r="V187" s="313">
        <v>1934.5993580275974</v>
      </c>
      <c r="X187" s="313">
        <v>1920.8120770077032</v>
      </c>
    </row>
    <row r="188" spans="1:24" x14ac:dyDescent="0.25">
      <c r="A188" s="313">
        <v>5</v>
      </c>
      <c r="C188" s="313">
        <f>IF(E188=E187,C187+1,1)</f>
        <v>43</v>
      </c>
      <c r="D188" s="313">
        <f>IF(M188=M187,D187,C188)</f>
        <v>37</v>
      </c>
      <c r="E188" s="313">
        <f>10+VALUE(RIGHT(LEFT(G188,3),1))</f>
        <v>15</v>
      </c>
      <c r="F188" s="313" t="str">
        <f>RIGHT(G188,2) &amp; IF(A188&lt;2,"x","")</f>
        <v>pm</v>
      </c>
      <c r="G188" s="313" t="s">
        <v>424</v>
      </c>
      <c r="H188" s="313" t="s">
        <v>235</v>
      </c>
      <c r="I188" s="313" t="s">
        <v>423</v>
      </c>
      <c r="K188" s="314">
        <f>LOOKUP(1E+100,M188:AC188)</f>
        <v>1908.7373121074302</v>
      </c>
      <c r="M188" s="314">
        <v>2000</v>
      </c>
      <c r="R188" s="313" t="str">
        <f>IF(AND((J188="This"),(L188="Only")),VLOOKUP(G188,#REF!,7,FALSE),"")</f>
        <v/>
      </c>
      <c r="S188" s="313">
        <v>1951.6936515310344</v>
      </c>
      <c r="T188" s="313">
        <v>1967.5899225540977</v>
      </c>
      <c r="V188" s="313">
        <v>1882.3588043028437</v>
      </c>
      <c r="X188" s="313">
        <v>1908.7373121074302</v>
      </c>
    </row>
    <row r="189" spans="1:24" x14ac:dyDescent="0.25">
      <c r="A189" s="313">
        <v>2</v>
      </c>
      <c r="C189" s="313">
        <f>IF(E189=E188,C188+1,1)</f>
        <v>44</v>
      </c>
      <c r="D189" s="313">
        <f>IF(M189=M188,D188,C189)</f>
        <v>37</v>
      </c>
      <c r="E189" s="313">
        <f>10+VALUE(RIGHT(LEFT(G189,3),1))</f>
        <v>15</v>
      </c>
      <c r="F189" s="313" t="str">
        <f>RIGHT(G189,2) &amp; IF(A189&lt;2,"x","")</f>
        <v>pm</v>
      </c>
      <c r="G189" s="313" t="s">
        <v>1232</v>
      </c>
      <c r="H189" s="313" t="s">
        <v>1234</v>
      </c>
      <c r="I189" s="313" t="s">
        <v>1185</v>
      </c>
      <c r="K189" s="314">
        <f>LOOKUP(1E+100,M189:AC189)</f>
        <v>1888.423651073929</v>
      </c>
      <c r="M189" s="314">
        <v>2000</v>
      </c>
      <c r="X189" s="313">
        <v>1888.423651073929</v>
      </c>
    </row>
    <row r="190" spans="1:24" x14ac:dyDescent="0.25">
      <c r="A190" s="313">
        <v>2</v>
      </c>
      <c r="C190" s="313">
        <f>IF(E190=E189,C189+1,1)</f>
        <v>45</v>
      </c>
      <c r="D190" s="313">
        <f>IF(M190=M189,D189,C190)</f>
        <v>37</v>
      </c>
      <c r="E190" s="313">
        <f>10+VALUE(RIGHT(LEFT(G190,3),1))</f>
        <v>15</v>
      </c>
      <c r="F190" s="313" t="str">
        <f>RIGHT(G190,2) &amp; IF(A190&lt;2,"x","")</f>
        <v>pm</v>
      </c>
      <c r="G190" s="313" t="s">
        <v>1233</v>
      </c>
      <c r="H190" s="313" t="s">
        <v>1234</v>
      </c>
      <c r="I190" s="313" t="s">
        <v>1186</v>
      </c>
      <c r="K190" s="314">
        <f>LOOKUP(1E+100,M190:AC190)</f>
        <v>1881.3457717019537</v>
      </c>
      <c r="M190" s="314">
        <v>2000</v>
      </c>
      <c r="X190" s="313">
        <v>1881.3457717019537</v>
      </c>
    </row>
    <row r="191" spans="1:24" x14ac:dyDescent="0.25">
      <c r="A191" s="313">
        <v>6</v>
      </c>
      <c r="C191" s="313">
        <f>IF(E191=E190,C190+1,1)</f>
        <v>46</v>
      </c>
      <c r="D191" s="313">
        <f>IF(M191=M190,D190,C191)</f>
        <v>37</v>
      </c>
      <c r="E191" s="313">
        <f>10+VALUE(RIGHT(LEFT(G191,3),1))</f>
        <v>15</v>
      </c>
      <c r="F191" s="313" t="str">
        <f>RIGHT(G191,2) &amp; IF(A191&lt;2,"x","")</f>
        <v>pm</v>
      </c>
      <c r="G191" s="313" t="s">
        <v>244</v>
      </c>
      <c r="H191" s="313" t="s">
        <v>204</v>
      </c>
      <c r="I191" s="313" t="s">
        <v>192</v>
      </c>
      <c r="K191" s="314">
        <f>LOOKUP(1E+100,M191:AC191)</f>
        <v>1761.0677131131711</v>
      </c>
      <c r="M191" s="314">
        <v>2000</v>
      </c>
      <c r="O191" s="313">
        <v>1899.8845696374212</v>
      </c>
      <c r="R191" s="313" t="str">
        <f>IF(AND((J191="This"),(L191="Only")),VLOOKUP(G191,#REF!,7,FALSE),"")</f>
        <v/>
      </c>
      <c r="S191" s="313">
        <v>1879.5086780308623</v>
      </c>
      <c r="T191" s="313">
        <v>1815.1405956068922</v>
      </c>
      <c r="V191" s="313">
        <v>1769.7324273066286</v>
      </c>
      <c r="X191" s="313">
        <v>1761.0677131131711</v>
      </c>
    </row>
    <row r="192" spans="1:24" x14ac:dyDescent="0.25">
      <c r="A192" s="313">
        <v>4</v>
      </c>
      <c r="C192" s="313">
        <f>IF(E192=E191,C191+1,1)</f>
        <v>1</v>
      </c>
      <c r="D192" s="313">
        <f>IF(M192=M191,D191,C192)</f>
        <v>1</v>
      </c>
      <c r="E192" s="313">
        <f>10+VALUE(RIGHT(LEFT(G192,3),1))</f>
        <v>16</v>
      </c>
      <c r="F192" s="313" t="str">
        <f>RIGHT(G192,2) &amp; IF(A192&lt;2,"x","")</f>
        <v>pm</v>
      </c>
      <c r="G192" s="313" t="s">
        <v>956</v>
      </c>
      <c r="H192" s="313" t="s">
        <v>340</v>
      </c>
      <c r="I192" s="313" t="s">
        <v>957</v>
      </c>
      <c r="K192" s="314">
        <f>LOOKUP(1E+100,M192:AC192)</f>
        <v>2741.3310165652988</v>
      </c>
      <c r="M192" s="314">
        <v>2600</v>
      </c>
      <c r="N192" s="313">
        <v>2611.2686468297929</v>
      </c>
      <c r="R192" s="313" t="str">
        <f>IF(AND((J192="This"),(L192="Only")),VLOOKUP(G192,#REF!,7,FALSE),"")</f>
        <v/>
      </c>
      <c r="U192" s="313">
        <v>2660.4071416594661</v>
      </c>
      <c r="W192" s="313">
        <v>2741.3310165652988</v>
      </c>
    </row>
    <row r="193" spans="1:23" x14ac:dyDescent="0.25">
      <c r="A193" s="313">
        <v>2</v>
      </c>
      <c r="C193" s="313">
        <f>IF(E193=E192,C192+1,1)</f>
        <v>2</v>
      </c>
      <c r="D193" s="313">
        <f>IF(M193=M192,D192,C193)</f>
        <v>1</v>
      </c>
      <c r="E193" s="313">
        <f>10+VALUE(RIGHT(LEFT(G193,3),1))</f>
        <v>16</v>
      </c>
      <c r="F193" s="313" t="str">
        <f>RIGHT(G193,2) &amp; IF(A193&lt;2,"x","")</f>
        <v>pm</v>
      </c>
      <c r="G193" s="313" t="s">
        <v>938</v>
      </c>
      <c r="H193" s="313" t="s">
        <v>213</v>
      </c>
      <c r="I193" s="313" t="s">
        <v>939</v>
      </c>
      <c r="K193" s="314">
        <f>LOOKUP(1E+100,M193:AC193)</f>
        <v>2733.3498205891706</v>
      </c>
      <c r="M193" s="314">
        <v>2600</v>
      </c>
      <c r="N193" s="313">
        <v>2733.3498205891706</v>
      </c>
      <c r="R193" s="313" t="str">
        <f>IF(AND((J193="This"),(L193="Only")),VLOOKUP(G193,#REF!,7,FALSE),"")</f>
        <v/>
      </c>
    </row>
    <row r="194" spans="1:23" x14ac:dyDescent="0.25">
      <c r="A194" s="313">
        <v>3</v>
      </c>
      <c r="C194" s="313">
        <f>IF(E194=E193,C193+1,1)</f>
        <v>3</v>
      </c>
      <c r="D194" s="313">
        <f>IF(M194=M193,D193,C194)</f>
        <v>1</v>
      </c>
      <c r="E194" s="313">
        <f>10+VALUE(RIGHT(LEFT(G194,3),1))</f>
        <v>16</v>
      </c>
      <c r="F194" s="313" t="str">
        <f>RIGHT(G194,2) &amp; IF(A194&lt;2,"x","")</f>
        <v>pm</v>
      </c>
      <c r="G194" s="313" t="s">
        <v>986</v>
      </c>
      <c r="H194" s="313" t="s">
        <v>240</v>
      </c>
      <c r="I194" s="313" t="s">
        <v>987</v>
      </c>
      <c r="K194" s="314">
        <f>LOOKUP(1E+100,M194:AC194)</f>
        <v>2724.8437248403648</v>
      </c>
      <c r="M194" s="314">
        <v>2600</v>
      </c>
      <c r="N194" s="313">
        <v>2622.9233566152002</v>
      </c>
      <c r="O194" s="313">
        <v>2722.5538572122728</v>
      </c>
      <c r="R194" s="313" t="str">
        <f>IF(AND((J194="This"),(L194="Only")),VLOOKUP(G194,#REF!,7,FALSE),"")</f>
        <v/>
      </c>
      <c r="U194" s="313">
        <v>2724.8437248403648</v>
      </c>
    </row>
    <row r="195" spans="1:23" x14ac:dyDescent="0.25">
      <c r="A195" s="313">
        <v>2</v>
      </c>
      <c r="C195" s="313">
        <f>IF(E195=E194,C194+1,1)</f>
        <v>4</v>
      </c>
      <c r="D195" s="313">
        <f>IF(M195=M194,D194,C195)</f>
        <v>1</v>
      </c>
      <c r="E195" s="313">
        <f>10+VALUE(RIGHT(LEFT(G195,3),1))</f>
        <v>16</v>
      </c>
      <c r="F195" s="313" t="str">
        <f>RIGHT(G195,2) &amp; IF(A195&lt;2,"x","")</f>
        <v>pm</v>
      </c>
      <c r="G195" s="313" t="s">
        <v>970</v>
      </c>
      <c r="H195" s="313" t="s">
        <v>510</v>
      </c>
      <c r="I195" s="313" t="s">
        <v>971</v>
      </c>
      <c r="K195" s="314">
        <f>LOOKUP(1E+100,M195:AC195)</f>
        <v>2715.2091329888212</v>
      </c>
      <c r="M195" s="314">
        <v>2600</v>
      </c>
      <c r="N195" s="313">
        <v>2693.2412396436735</v>
      </c>
      <c r="R195" s="313" t="str">
        <f>IF(AND((J195="This"),(L195="Only")),VLOOKUP(G195,#REF!,7,FALSE),"")</f>
        <v/>
      </c>
      <c r="U195" s="313">
        <v>2715.2091329888212</v>
      </c>
    </row>
    <row r="196" spans="1:23" x14ac:dyDescent="0.25">
      <c r="A196" s="313">
        <v>2</v>
      </c>
      <c r="C196" s="313">
        <f>IF(E196=E195,C195+1,1)</f>
        <v>5</v>
      </c>
      <c r="D196" s="313">
        <f>IF(M196=M195,D195,C196)</f>
        <v>1</v>
      </c>
      <c r="E196" s="313">
        <f>10+VALUE(RIGHT(LEFT(G196,3),1))</f>
        <v>16</v>
      </c>
      <c r="F196" s="313" t="str">
        <f>RIGHT(G196,2) &amp; IF(A196&lt;2,"x","")</f>
        <v>pm</v>
      </c>
      <c r="G196" s="313" t="s">
        <v>962</v>
      </c>
      <c r="H196" s="313" t="s">
        <v>559</v>
      </c>
      <c r="I196" s="313" t="s">
        <v>963</v>
      </c>
      <c r="K196" s="314">
        <f>LOOKUP(1E+100,M196:AC196)</f>
        <v>2685.0676164369856</v>
      </c>
      <c r="M196" s="314">
        <v>2600</v>
      </c>
      <c r="R196" s="313" t="str">
        <f>IF(AND((J196="This"),(L196="Only")),VLOOKUP(G196,#REF!,7,FALSE),"")</f>
        <v/>
      </c>
      <c r="S196" s="313">
        <v>2685.0676164369856</v>
      </c>
    </row>
    <row r="197" spans="1:23" x14ac:dyDescent="0.25">
      <c r="A197" s="313">
        <v>2</v>
      </c>
      <c r="C197" s="313">
        <f>IF(E197=E196,C196+1,1)</f>
        <v>6</v>
      </c>
      <c r="D197" s="313">
        <f>IF(M197=M196,D196,C197)</f>
        <v>1</v>
      </c>
      <c r="E197" s="313">
        <f>10+VALUE(RIGHT(LEFT(G197,3),1))</f>
        <v>16</v>
      </c>
      <c r="F197" s="313" t="str">
        <f>RIGHT(G197,2) &amp; IF(A197&lt;2,"x","")</f>
        <v>pm</v>
      </c>
      <c r="G197" s="313" t="s">
        <v>972</v>
      </c>
      <c r="H197" s="313" t="s">
        <v>201</v>
      </c>
      <c r="I197" s="313" t="s">
        <v>973</v>
      </c>
      <c r="K197" s="314">
        <f>LOOKUP(1E+100,M197:AC197)</f>
        <v>2659.338415507671</v>
      </c>
      <c r="M197" s="314">
        <v>2600</v>
      </c>
      <c r="R197" s="313" t="str">
        <f>IF(AND((J197="This"),(L197="Only")),VLOOKUP(G197,#REF!,7,FALSE),"")</f>
        <v/>
      </c>
      <c r="U197" s="313">
        <v>2652.1918561210637</v>
      </c>
      <c r="W197" s="313">
        <v>2659.338415507671</v>
      </c>
    </row>
    <row r="198" spans="1:23" x14ac:dyDescent="0.25">
      <c r="A198" s="313">
        <v>6</v>
      </c>
      <c r="C198" s="313">
        <f>IF(E198=E197,C197+1,1)</f>
        <v>7</v>
      </c>
      <c r="D198" s="313">
        <f>IF(M198=M197,D197,C198)</f>
        <v>1</v>
      </c>
      <c r="E198" s="313">
        <f>10+VALUE(RIGHT(LEFT(G198,3),1))</f>
        <v>16</v>
      </c>
      <c r="F198" s="313" t="str">
        <f>RIGHT(G198,2) &amp; IF(A198&lt;2,"x","")</f>
        <v>pm</v>
      </c>
      <c r="G198" s="313" t="s">
        <v>946</v>
      </c>
      <c r="H198" s="313" t="s">
        <v>204</v>
      </c>
      <c r="I198" s="313" t="s">
        <v>947</v>
      </c>
      <c r="K198" s="314">
        <f>LOOKUP(1E+100,M198:AC198)</f>
        <v>2635.4074828200592</v>
      </c>
      <c r="M198" s="314">
        <v>2600</v>
      </c>
      <c r="N198" s="313">
        <v>2557.2067071974066</v>
      </c>
      <c r="P198" s="313">
        <v>2579.1687371210223</v>
      </c>
      <c r="R198" s="313" t="str">
        <f>IF(AND((J198="This"),(L198="Only")),VLOOKUP(G198,#REF!,7,FALSE),"")</f>
        <v/>
      </c>
      <c r="S198" s="313">
        <v>2569.3380197886345</v>
      </c>
      <c r="U198" s="313">
        <v>2565.5592008458225</v>
      </c>
      <c r="W198" s="313">
        <v>2635.4074828200592</v>
      </c>
    </row>
    <row r="199" spans="1:23" x14ac:dyDescent="0.25">
      <c r="A199" s="313">
        <v>2</v>
      </c>
      <c r="C199" s="313">
        <f>IF(E199=E198,C198+1,1)</f>
        <v>8</v>
      </c>
      <c r="D199" s="313">
        <f>IF(M199=M198,D198,C199)</f>
        <v>1</v>
      </c>
      <c r="E199" s="313">
        <f>10+VALUE(RIGHT(LEFT(G199,3),1))</f>
        <v>16</v>
      </c>
      <c r="F199" s="313" t="str">
        <f>RIGHT(G199,2) &amp; IF(A199&lt;2,"x","")</f>
        <v>pm</v>
      </c>
      <c r="G199" s="313" t="s">
        <v>964</v>
      </c>
      <c r="H199" s="313" t="s">
        <v>559</v>
      </c>
      <c r="I199" s="313" t="s">
        <v>965</v>
      </c>
      <c r="K199" s="314">
        <f>LOOKUP(1E+100,M199:AC199)</f>
        <v>2627.4206739162182</v>
      </c>
      <c r="M199" s="314">
        <v>2600</v>
      </c>
      <c r="R199" s="313" t="str">
        <f>IF(AND((J199="This"),(L199="Only")),VLOOKUP(G199,#REF!,7,FALSE),"")</f>
        <v/>
      </c>
      <c r="S199" s="313">
        <v>2627.4206739162182</v>
      </c>
    </row>
    <row r="200" spans="1:23" x14ac:dyDescent="0.25">
      <c r="A200" s="313">
        <v>3</v>
      </c>
      <c r="C200" s="313">
        <f>IF(E200=E199,C199+1,1)</f>
        <v>9</v>
      </c>
      <c r="D200" s="313">
        <f>IF(M200=M199,D199,C200)</f>
        <v>1</v>
      </c>
      <c r="E200" s="313">
        <f>10+VALUE(RIGHT(LEFT(G200,3),1))</f>
        <v>16</v>
      </c>
      <c r="F200" s="313" t="str">
        <f>RIGHT(G200,2) &amp; IF(A200&lt;2,"x","")</f>
        <v>pm</v>
      </c>
      <c r="G200" s="313" t="s">
        <v>996</v>
      </c>
      <c r="H200" s="313" t="s">
        <v>494</v>
      </c>
      <c r="I200" s="313" t="s">
        <v>997</v>
      </c>
      <c r="K200" s="314">
        <f>LOOKUP(1E+100,M200:AC200)</f>
        <v>2600.8428892750512</v>
      </c>
      <c r="M200" s="314">
        <v>2600</v>
      </c>
      <c r="P200" s="313">
        <v>2522.8051516700616</v>
      </c>
      <c r="R200" s="313" t="str">
        <f>IF(AND((J200="This"),(L200="Only")),VLOOKUP(G200,#REF!,7,FALSE),"")</f>
        <v/>
      </c>
      <c r="W200" s="313">
        <v>2600.8428892750512</v>
      </c>
    </row>
    <row r="201" spans="1:23" x14ac:dyDescent="0.25">
      <c r="A201" s="313">
        <v>2</v>
      </c>
      <c r="C201" s="313">
        <f>IF(E201=E200,C200+1,1)</f>
        <v>10</v>
      </c>
      <c r="D201" s="313">
        <f>IF(M201=M200,D200,C201)</f>
        <v>1</v>
      </c>
      <c r="E201" s="313">
        <f>10+VALUE(RIGHT(LEFT(G201,3),1))</f>
        <v>16</v>
      </c>
      <c r="F201" s="313" t="str">
        <f>RIGHT(G201,2) &amp; IF(A201&lt;2,"x","")</f>
        <v>pm</v>
      </c>
      <c r="G201" s="313" t="s">
        <v>966</v>
      </c>
      <c r="H201" s="313" t="s">
        <v>559</v>
      </c>
      <c r="I201" s="313" t="s">
        <v>967</v>
      </c>
      <c r="K201" s="314">
        <f>LOOKUP(1E+100,M201:AC201)</f>
        <v>2600</v>
      </c>
      <c r="M201" s="314">
        <v>2600</v>
      </c>
      <c r="R201" s="313" t="str">
        <f>IF(AND((J201="This"),(L201="Only")),VLOOKUP(G201,#REF!,7,FALSE),"")</f>
        <v/>
      </c>
    </row>
    <row r="202" spans="1:23" x14ac:dyDescent="0.25">
      <c r="A202" s="313">
        <v>4</v>
      </c>
      <c r="C202" s="313">
        <f>IF(E202=E201,C201+1,1)</f>
        <v>11</v>
      </c>
      <c r="D202" s="313">
        <f>IF(M202=M201,D201,C202)</f>
        <v>1</v>
      </c>
      <c r="E202" s="313">
        <f>10+VALUE(RIGHT(LEFT(G202,3),1))</f>
        <v>16</v>
      </c>
      <c r="F202" s="313" t="str">
        <f>RIGHT(G202,2) &amp; IF(A202&lt;2,"x","")</f>
        <v>pm</v>
      </c>
      <c r="G202" s="313" t="s">
        <v>944</v>
      </c>
      <c r="H202" s="313" t="s">
        <v>286</v>
      </c>
      <c r="I202" s="313" t="s">
        <v>945</v>
      </c>
      <c r="K202" s="314">
        <f>LOOKUP(1E+100,M202:AC202)</f>
        <v>2583.8657437465972</v>
      </c>
      <c r="M202" s="314">
        <v>2600</v>
      </c>
      <c r="N202" s="313">
        <v>2579.117618958388</v>
      </c>
      <c r="R202" s="313" t="str">
        <f>IF(AND((J202="This"),(L202="Only")),VLOOKUP(G202,#REF!,7,FALSE),"")</f>
        <v/>
      </c>
      <c r="U202" s="313">
        <v>2535.9077333062396</v>
      </c>
      <c r="W202" s="313">
        <v>2583.8657437465972</v>
      </c>
    </row>
    <row r="203" spans="1:23" x14ac:dyDescent="0.25">
      <c r="A203" s="313">
        <v>5</v>
      </c>
      <c r="C203" s="313">
        <f>IF(E203=E202,C202+1,1)</f>
        <v>12</v>
      </c>
      <c r="D203" s="313">
        <f>IF(M203=M202,D202,C203)</f>
        <v>12</v>
      </c>
      <c r="E203" s="313">
        <f>10+VALUE(RIGHT(LEFT(G203,3),1))</f>
        <v>16</v>
      </c>
      <c r="F203" s="313" t="str">
        <f>RIGHT(G203,2) &amp; IF(A203&lt;2,"x","")</f>
        <v>pm</v>
      </c>
      <c r="G203" s="313" t="s">
        <v>1004</v>
      </c>
      <c r="H203" s="313" t="s">
        <v>219</v>
      </c>
      <c r="I203" s="313" t="s">
        <v>1005</v>
      </c>
      <c r="K203" s="314">
        <f>LOOKUP(1E+100,M203:AC203)</f>
        <v>2576.5480409302609</v>
      </c>
      <c r="M203" s="314">
        <v>2360</v>
      </c>
      <c r="O203" s="313">
        <v>2441.456768791053</v>
      </c>
      <c r="R203" s="313" t="str">
        <f>IF(AND((J203="This"),(L203="Only")),VLOOKUP(G203,#REF!,7,FALSE),"")</f>
        <v/>
      </c>
      <c r="S203" s="313">
        <v>2517.2017509538255</v>
      </c>
      <c r="W203" s="313">
        <v>2576.5480409302609</v>
      </c>
    </row>
    <row r="204" spans="1:23" x14ac:dyDescent="0.25">
      <c r="A204" s="313">
        <v>3</v>
      </c>
      <c r="C204" s="313">
        <f>IF(E204=E203,C203+1,1)</f>
        <v>13</v>
      </c>
      <c r="D204" s="313">
        <f>IF(M204=M203,D203,C204)</f>
        <v>13</v>
      </c>
      <c r="E204" s="313">
        <f>10+VALUE(RIGHT(LEFT(G204,3),1))</f>
        <v>16</v>
      </c>
      <c r="F204" s="313" t="str">
        <f>RIGHT(G204,2) &amp; IF(A204&lt;2,"x","")</f>
        <v>pm</v>
      </c>
      <c r="G204" s="313" t="s">
        <v>1002</v>
      </c>
      <c r="H204" s="313" t="s">
        <v>505</v>
      </c>
      <c r="I204" s="313" t="s">
        <v>1003</v>
      </c>
      <c r="K204" s="314">
        <f>LOOKUP(1E+100,M204:AC204)</f>
        <v>2561.7466774171721</v>
      </c>
      <c r="M204" s="314">
        <v>2466.6666666666665</v>
      </c>
      <c r="O204" s="313">
        <v>2434.9110744308509</v>
      </c>
      <c r="R204" s="313" t="str">
        <f>IF(AND((J204="This"),(L204="Only")),VLOOKUP(G204,#REF!,7,FALSE),"")</f>
        <v/>
      </c>
      <c r="S204" s="313">
        <v>2508.4044143259307</v>
      </c>
      <c r="W204" s="313">
        <v>2561.7466774171721</v>
      </c>
    </row>
    <row r="205" spans="1:23" x14ac:dyDescent="0.25">
      <c r="A205" s="313">
        <v>2</v>
      </c>
      <c r="C205" s="313">
        <f>IF(E205=E204,C204+1,1)</f>
        <v>14</v>
      </c>
      <c r="D205" s="313">
        <f>IF(M205=M204,D204,C205)</f>
        <v>14</v>
      </c>
      <c r="E205" s="313">
        <f>10+VALUE(RIGHT(LEFT(G205,3),1))</f>
        <v>16</v>
      </c>
      <c r="F205" s="313" t="str">
        <f>RIGHT(G205,2) &amp; IF(A205&lt;2,"x","")</f>
        <v>pm</v>
      </c>
      <c r="G205" s="313" t="s">
        <v>950</v>
      </c>
      <c r="H205" s="313" t="s">
        <v>473</v>
      </c>
      <c r="I205" s="313" t="s">
        <v>951</v>
      </c>
      <c r="K205" s="314">
        <f>LOOKUP(1E+100,M205:AC205)</f>
        <v>2547.1639555804077</v>
      </c>
      <c r="M205" s="314">
        <v>2600</v>
      </c>
      <c r="N205" s="313">
        <v>2547.1639555804077</v>
      </c>
      <c r="R205" s="313" t="str">
        <f>IF(AND((J205="This"),(L205="Only")),VLOOKUP(G205,#REF!,7,FALSE),"")</f>
        <v/>
      </c>
    </row>
    <row r="206" spans="1:23" x14ac:dyDescent="0.25">
      <c r="A206" s="313">
        <v>4</v>
      </c>
      <c r="C206" s="313">
        <f>IF(E206=E205,C205+1,1)</f>
        <v>15</v>
      </c>
      <c r="D206" s="313">
        <f>IF(M206=M205,D205,C206)</f>
        <v>14</v>
      </c>
      <c r="E206" s="313">
        <f>10+VALUE(RIGHT(LEFT(G206,3),1))</f>
        <v>16</v>
      </c>
      <c r="F206" s="313" t="str">
        <f>RIGHT(G206,2) &amp; IF(A206&lt;2,"x","")</f>
        <v>pm</v>
      </c>
      <c r="G206" s="313" t="s">
        <v>948</v>
      </c>
      <c r="H206" s="313" t="s">
        <v>393</v>
      </c>
      <c r="I206" s="313" t="s">
        <v>949</v>
      </c>
      <c r="K206" s="314">
        <f>LOOKUP(1E+100,M206:AC206)</f>
        <v>2525.0778087923932</v>
      </c>
      <c r="M206" s="314">
        <v>2600</v>
      </c>
      <c r="N206" s="313">
        <v>2541.6561802258602</v>
      </c>
      <c r="R206" s="313" t="str">
        <f>IF(AND((J206="This"),(L206="Only")),VLOOKUP(G206,#REF!,7,FALSE),"")</f>
        <v/>
      </c>
      <c r="S206" s="313">
        <v>2507.3814986686125</v>
      </c>
      <c r="U206" s="313">
        <v>2525.0778087923932</v>
      </c>
    </row>
    <row r="207" spans="1:23" x14ac:dyDescent="0.25">
      <c r="A207" s="313">
        <v>4</v>
      </c>
      <c r="C207" s="313">
        <f>IF(E207=E206,C206+1,1)</f>
        <v>16</v>
      </c>
      <c r="D207" s="313">
        <f>IF(M207=M206,D206,C207)</f>
        <v>14</v>
      </c>
      <c r="E207" s="313">
        <f>10+VALUE(RIGHT(LEFT(G207,3),1))</f>
        <v>16</v>
      </c>
      <c r="F207" s="313" t="str">
        <f>RIGHT(G207,2) &amp; IF(A207&lt;2,"x","")</f>
        <v>pm</v>
      </c>
      <c r="G207" s="313" t="s">
        <v>974</v>
      </c>
      <c r="H207" s="313" t="s">
        <v>201</v>
      </c>
      <c r="I207" s="313" t="s">
        <v>975</v>
      </c>
      <c r="K207" s="314">
        <f>LOOKUP(1E+100,M207:AC207)</f>
        <v>2510.5849564303303</v>
      </c>
      <c r="M207" s="314">
        <v>2600</v>
      </c>
      <c r="P207" s="313">
        <v>2584.0507775096944</v>
      </c>
      <c r="R207" s="313" t="str">
        <f>IF(AND((J207="This"),(L207="Only")),VLOOKUP(G207,#REF!,7,FALSE),"")</f>
        <v/>
      </c>
      <c r="U207" s="313">
        <v>2570.7662317811009</v>
      </c>
      <c r="W207" s="313">
        <v>2510.5849564303303</v>
      </c>
    </row>
    <row r="208" spans="1:23" x14ac:dyDescent="0.25">
      <c r="A208" s="313">
        <v>2</v>
      </c>
      <c r="C208" s="313">
        <f>IF(E208=E207,C207+1,1)</f>
        <v>17</v>
      </c>
      <c r="D208" s="313">
        <f>IF(M208=M207,D207,C208)</f>
        <v>14</v>
      </c>
      <c r="E208" s="313">
        <f>10+VALUE(RIGHT(LEFT(G208,3),1))</f>
        <v>16</v>
      </c>
      <c r="F208" s="313" t="str">
        <f>RIGHT(G208,2) &amp; IF(A208&lt;2,"x","")</f>
        <v>pm</v>
      </c>
      <c r="G208" s="313" t="s">
        <v>978</v>
      </c>
      <c r="H208" s="313" t="s">
        <v>182</v>
      </c>
      <c r="I208" s="313" t="s">
        <v>979</v>
      </c>
      <c r="K208" s="314">
        <f>LOOKUP(1E+100,M208:AC208)</f>
        <v>2489.5912453307851</v>
      </c>
      <c r="M208" s="314">
        <v>2600</v>
      </c>
      <c r="R208" s="313" t="str">
        <f>IF(AND((J208="This"),(L208="Only")),VLOOKUP(G208,#REF!,7,FALSE),"")</f>
        <v/>
      </c>
      <c r="W208" s="313">
        <v>2489.5912453307851</v>
      </c>
    </row>
    <row r="209" spans="1:24" x14ac:dyDescent="0.25">
      <c r="A209" s="313">
        <v>4</v>
      </c>
      <c r="C209" s="313">
        <f>IF(E209=E208,C208+1,1)</f>
        <v>18</v>
      </c>
      <c r="D209" s="313">
        <f>IF(M209=M208,D208,C209)</f>
        <v>14</v>
      </c>
      <c r="E209" s="313">
        <f>10+VALUE(RIGHT(LEFT(G209,3),1))</f>
        <v>16</v>
      </c>
      <c r="F209" s="313" t="str">
        <f>RIGHT(G209,2) &amp; IF(A209&lt;2,"x","")</f>
        <v>pm</v>
      </c>
      <c r="G209" s="313" t="s">
        <v>942</v>
      </c>
      <c r="H209" s="313" t="s">
        <v>207</v>
      </c>
      <c r="I209" s="313" t="s">
        <v>943</v>
      </c>
      <c r="K209" s="314">
        <f>LOOKUP(1E+100,M209:AC209)</f>
        <v>2471.7631622918839</v>
      </c>
      <c r="M209" s="314">
        <v>2600</v>
      </c>
      <c r="N209" s="313">
        <v>2526.5055164901037</v>
      </c>
      <c r="R209" s="313" t="str">
        <f>IF(AND((J209="This"),(L209="Only")),VLOOKUP(G209,#REF!,7,FALSE),"")</f>
        <v/>
      </c>
      <c r="U209" s="313">
        <v>2486.488090625131</v>
      </c>
      <c r="W209" s="313">
        <v>2471.7631622918839</v>
      </c>
    </row>
    <row r="210" spans="1:24" x14ac:dyDescent="0.25">
      <c r="A210" s="313">
        <v>5</v>
      </c>
      <c r="C210" s="313">
        <f>IF(E210=E209,C209+1,1)</f>
        <v>19</v>
      </c>
      <c r="D210" s="313">
        <f>IF(M210=M209,D209,C210)</f>
        <v>19</v>
      </c>
      <c r="E210" s="313">
        <f>10+VALUE(RIGHT(LEFT(G210,3),1))</f>
        <v>16</v>
      </c>
      <c r="F210" s="313" t="str">
        <f>RIGHT(G210,2) &amp; IF(A210&lt;2,"x","")</f>
        <v>pm</v>
      </c>
      <c r="G210" s="313" t="s">
        <v>228</v>
      </c>
      <c r="H210" s="313" t="s">
        <v>205</v>
      </c>
      <c r="I210" s="313" t="s">
        <v>384</v>
      </c>
      <c r="K210" s="314">
        <f>LOOKUP(1E+100,M210:AC210)</f>
        <v>2439.2272007225151</v>
      </c>
      <c r="M210" s="314">
        <v>2200</v>
      </c>
      <c r="R210" s="313" t="str">
        <f>IF(AND((J210="This"),(L210="Only")),VLOOKUP(G210,#REF!,7,FALSE),"")</f>
        <v/>
      </c>
      <c r="S210" s="313">
        <v>2312.7657415470694</v>
      </c>
      <c r="T210" s="313">
        <v>2310.9610496243463</v>
      </c>
      <c r="V210" s="313">
        <v>2402.3375292126752</v>
      </c>
      <c r="X210" s="313">
        <v>2439.2272007225151</v>
      </c>
    </row>
    <row r="211" spans="1:24" x14ac:dyDescent="0.25">
      <c r="A211" s="313">
        <v>4</v>
      </c>
      <c r="C211" s="313">
        <f>IF(E211=E210,C210+1,1)</f>
        <v>20</v>
      </c>
      <c r="D211" s="313">
        <f>IF(M211=M210,D210,C211)</f>
        <v>20</v>
      </c>
      <c r="E211" s="313">
        <f>10+VALUE(RIGHT(LEFT(G211,3),1))</f>
        <v>16</v>
      </c>
      <c r="F211" s="313" t="str">
        <f>RIGHT(G211,2) &amp; IF(A211&lt;2,"x","")</f>
        <v>pm</v>
      </c>
      <c r="G211" s="313" t="s">
        <v>988</v>
      </c>
      <c r="H211" s="313" t="s">
        <v>240</v>
      </c>
      <c r="I211" s="313" t="s">
        <v>989</v>
      </c>
      <c r="K211" s="314">
        <f>LOOKUP(1E+100,M211:AC211)</f>
        <v>2391.9418446324321</v>
      </c>
      <c r="M211" s="314">
        <v>2600</v>
      </c>
      <c r="N211" s="313">
        <v>2519.373311515817</v>
      </c>
      <c r="R211" s="313" t="str">
        <f>IF(AND((J211="This"),(L211="Only")),VLOOKUP(G211,#REF!,7,FALSE),"")</f>
        <v/>
      </c>
      <c r="S211" s="313">
        <v>2440.4365770006116</v>
      </c>
      <c r="U211" s="313">
        <v>2391.9418446324321</v>
      </c>
    </row>
    <row r="212" spans="1:24" x14ac:dyDescent="0.25">
      <c r="A212" s="313">
        <v>7</v>
      </c>
      <c r="C212" s="313">
        <f>IF(E212=E211,C211+1,1)</f>
        <v>21</v>
      </c>
      <c r="D212" s="313">
        <f>IF(M212=M211,D211,C212)</f>
        <v>21</v>
      </c>
      <c r="E212" s="313">
        <f>10+VALUE(RIGHT(LEFT(G212,3),1))</f>
        <v>16</v>
      </c>
      <c r="F212" s="313" t="str">
        <f>RIGHT(G212,2) &amp; IF(A212&lt;2,"x","")</f>
        <v>pm</v>
      </c>
      <c r="G212" s="313" t="s">
        <v>998</v>
      </c>
      <c r="H212" s="313" t="s">
        <v>697</v>
      </c>
      <c r="I212" s="313" t="s">
        <v>999</v>
      </c>
      <c r="K212" s="314">
        <f>LOOKUP(1E+100,M212:AC212)</f>
        <v>2378.1574226998227</v>
      </c>
      <c r="M212" s="314">
        <v>2571.4285714285716</v>
      </c>
      <c r="N212" s="313">
        <v>2493.8050892225788</v>
      </c>
      <c r="P212" s="313">
        <v>2448.3002595797084</v>
      </c>
      <c r="R212" s="313" t="str">
        <f>IF(AND((J212="This"),(L212="Only")),VLOOKUP(G212,#REF!,7,FALSE),"")</f>
        <v/>
      </c>
      <c r="S212" s="313">
        <v>2384.9147310838553</v>
      </c>
      <c r="U212" s="313">
        <v>2373.9518684217605</v>
      </c>
      <c r="W212" s="313">
        <v>2378.1574226998227</v>
      </c>
    </row>
    <row r="213" spans="1:24" x14ac:dyDescent="0.25">
      <c r="A213" s="313">
        <v>4</v>
      </c>
      <c r="C213" s="313">
        <f>IF(E213=E212,C212+1,1)</f>
        <v>22</v>
      </c>
      <c r="D213" s="313">
        <f>IF(M213=M212,D212,C213)</f>
        <v>22</v>
      </c>
      <c r="E213" s="313">
        <f>10+VALUE(RIGHT(LEFT(G213,3),1))</f>
        <v>16</v>
      </c>
      <c r="F213" s="313" t="str">
        <f>RIGHT(G213,2) &amp; IF(A213&lt;2,"x","")</f>
        <v>pm</v>
      </c>
      <c r="G213" s="313" t="s">
        <v>1000</v>
      </c>
      <c r="H213" s="313" t="s">
        <v>235</v>
      </c>
      <c r="I213" s="313" t="s">
        <v>1001</v>
      </c>
      <c r="K213" s="314">
        <f>LOOKUP(1E+100,M213:AC213)</f>
        <v>2353.5467439155041</v>
      </c>
      <c r="M213" s="314">
        <v>2500</v>
      </c>
      <c r="O213" s="313">
        <v>2435.8191331501785</v>
      </c>
      <c r="R213" s="313" t="str">
        <f>IF(AND((J213="This"),(L213="Only")),VLOOKUP(G213,#REF!,7,FALSE),"")</f>
        <v/>
      </c>
      <c r="S213" s="313">
        <v>2375.2466911492552</v>
      </c>
      <c r="U213" s="313">
        <v>2355.6429300299578</v>
      </c>
      <c r="V213" s="313">
        <v>2353.5467439155041</v>
      </c>
    </row>
    <row r="214" spans="1:24" x14ac:dyDescent="0.25">
      <c r="A214" s="313">
        <v>5</v>
      </c>
      <c r="C214" s="313">
        <f>IF(E214=E213,C213+1,1)</f>
        <v>23</v>
      </c>
      <c r="D214" s="313">
        <f>IF(M214=M213,D213,C214)</f>
        <v>23</v>
      </c>
      <c r="E214" s="313">
        <f>10+VALUE(RIGHT(LEFT(G214,3),1))</f>
        <v>16</v>
      </c>
      <c r="F214" s="313" t="str">
        <f>RIGHT(G214,2) &amp; IF(A214&lt;2,"x","")</f>
        <v>pm</v>
      </c>
      <c r="G214" s="313" t="s">
        <v>1006</v>
      </c>
      <c r="H214" s="313" t="s">
        <v>288</v>
      </c>
      <c r="I214" s="313" t="s">
        <v>1007</v>
      </c>
      <c r="K214" s="314">
        <f>LOOKUP(1E+100,M214:AC214)</f>
        <v>2312.0153805811506</v>
      </c>
      <c r="M214" s="314">
        <v>2200</v>
      </c>
      <c r="O214" s="313">
        <v>2205.5690555416468</v>
      </c>
      <c r="P214" s="313">
        <v>2197.157441880373</v>
      </c>
      <c r="R214" s="313" t="str">
        <f>IF(AND((J214="This"),(L214="Only")),VLOOKUP(G214,#REF!,7,FALSE),"")</f>
        <v/>
      </c>
      <c r="S214" s="313">
        <v>2197.2479555669461</v>
      </c>
      <c r="T214" s="313">
        <v>2276.1308192442684</v>
      </c>
      <c r="V214" s="313">
        <v>2278.1955182796933</v>
      </c>
      <c r="X214" s="313">
        <v>2312.0153805811506</v>
      </c>
    </row>
    <row r="215" spans="1:24" x14ac:dyDescent="0.25">
      <c r="A215" s="313">
        <v>5</v>
      </c>
      <c r="C215" s="313">
        <f>IF(E215=E214,C214+1,1)</f>
        <v>24</v>
      </c>
      <c r="D215" s="313">
        <f>IF(M215=M214,D214,C215)</f>
        <v>23</v>
      </c>
      <c r="E215" s="313">
        <f>10+VALUE(RIGHT(LEFT(G215,3),1))</f>
        <v>16</v>
      </c>
      <c r="F215" s="313" t="str">
        <f>RIGHT(G215,2) &amp; IF(A215&lt;2,"x","")</f>
        <v>pm</v>
      </c>
      <c r="G215" s="313" t="s">
        <v>1008</v>
      </c>
      <c r="H215" s="313" t="s">
        <v>230</v>
      </c>
      <c r="I215" s="313" t="s">
        <v>1009</v>
      </c>
      <c r="K215" s="314">
        <f>LOOKUP(1E+100,M215:AC215)</f>
        <v>2266.7639928315944</v>
      </c>
      <c r="M215" s="314">
        <v>2200</v>
      </c>
      <c r="O215" s="313">
        <v>2247.1528827365905</v>
      </c>
      <c r="R215" s="313" t="str">
        <f>IF(AND((J215="This"),(L215="Only")),VLOOKUP(G215,#REF!,7,FALSE),"")</f>
        <v/>
      </c>
      <c r="S215" s="313">
        <v>2248.5740109483663</v>
      </c>
      <c r="T215" s="313">
        <v>2239.1016155301213</v>
      </c>
      <c r="V215" s="313">
        <v>2266.7639928315944</v>
      </c>
    </row>
    <row r="216" spans="1:24" x14ac:dyDescent="0.25">
      <c r="A216" s="313">
        <v>6</v>
      </c>
      <c r="C216" s="313">
        <f>IF(E216=E215,C215+1,1)</f>
        <v>25</v>
      </c>
      <c r="D216" s="313">
        <f>IF(M216=M215,D215,C216)</f>
        <v>25</v>
      </c>
      <c r="E216" s="313">
        <f>10+VALUE(RIGHT(LEFT(G216,3),1))</f>
        <v>16</v>
      </c>
      <c r="F216" s="313" t="str">
        <f>RIGHT(G216,2) &amp; IF(A216&lt;2,"x","")</f>
        <v>pm</v>
      </c>
      <c r="G216" s="313" t="s">
        <v>535</v>
      </c>
      <c r="H216" s="313" t="s">
        <v>204</v>
      </c>
      <c r="I216" s="313" t="s">
        <v>534</v>
      </c>
      <c r="K216" s="314">
        <f>LOOKUP(1E+100,M216:AC216)</f>
        <v>2256.3277050759757</v>
      </c>
      <c r="M216" s="314">
        <v>2533.3333333333335</v>
      </c>
      <c r="O216" s="313">
        <v>2410.6103701813759</v>
      </c>
      <c r="P216" s="313">
        <v>2349.8800367613849</v>
      </c>
      <c r="R216" s="313" t="str">
        <f>IF(AND((J216="This"),(L216="Only")),VLOOKUP(G216,#REF!,7,FALSE),"")</f>
        <v/>
      </c>
      <c r="S216" s="313">
        <v>2315.1460222697501</v>
      </c>
      <c r="U216" s="313">
        <v>2308.3203044824509</v>
      </c>
      <c r="V216" s="313">
        <v>2284.2292031823108</v>
      </c>
      <c r="W216" s="313">
        <v>2278.9436446962341</v>
      </c>
      <c r="X216" s="313">
        <v>2256.3277050759757</v>
      </c>
    </row>
    <row r="217" spans="1:24" x14ac:dyDescent="0.25">
      <c r="A217" s="313">
        <v>5</v>
      </c>
      <c r="C217" s="313">
        <f>IF(E217=E216,C216+1,1)</f>
        <v>26</v>
      </c>
      <c r="D217" s="313">
        <f>IF(M217=M216,D216,C217)</f>
        <v>26</v>
      </c>
      <c r="E217" s="313">
        <f>10+VALUE(RIGHT(LEFT(G217,3),1))</f>
        <v>16</v>
      </c>
      <c r="F217" s="313" t="str">
        <f>RIGHT(G217,2) &amp; IF(A217&lt;2,"x","")</f>
        <v>pm</v>
      </c>
      <c r="G217" s="313" t="s">
        <v>242</v>
      </c>
      <c r="H217" s="313" t="s">
        <v>201</v>
      </c>
      <c r="I217" s="313" t="s">
        <v>195</v>
      </c>
      <c r="K217" s="314">
        <f>LOOKUP(1E+100,M217:AC217)</f>
        <v>2237.1722859639631</v>
      </c>
      <c r="M217" s="314">
        <v>2200</v>
      </c>
      <c r="R217" s="313" t="str">
        <f>IF(AND((J217="This"),(L217="Only")),VLOOKUP(G217,#REF!,7,FALSE),"")</f>
        <v/>
      </c>
      <c r="T217" s="313">
        <v>2222.3068225794136</v>
      </c>
      <c r="V217" s="313">
        <v>2218.4199647772912</v>
      </c>
      <c r="X217" s="313">
        <v>2237.1722859639631</v>
      </c>
    </row>
    <row r="218" spans="1:24" x14ac:dyDescent="0.25">
      <c r="A218" s="313">
        <v>3</v>
      </c>
      <c r="C218" s="313">
        <f>IF(E218=E217,C217+1,1)</f>
        <v>27</v>
      </c>
      <c r="D218" s="313">
        <f>IF(M218=M217,D217,C218)</f>
        <v>26</v>
      </c>
      <c r="E218" s="313">
        <f>10+VALUE(RIGHT(LEFT(G218,3),1))</f>
        <v>16</v>
      </c>
      <c r="F218" s="313" t="str">
        <f>RIGHT(G218,2) &amp; IF(A218&lt;2,"x","")</f>
        <v>pm</v>
      </c>
      <c r="G218" s="313" t="s">
        <v>330</v>
      </c>
      <c r="H218" s="313" t="s">
        <v>287</v>
      </c>
      <c r="I218" s="313" t="s">
        <v>329</v>
      </c>
      <c r="K218" s="314">
        <f>LOOKUP(1E+100,M218:AC218)</f>
        <v>2160.7120222216377</v>
      </c>
      <c r="M218" s="314">
        <v>2200</v>
      </c>
      <c r="R218" s="313" t="str">
        <f>IF(AND((J218="This"),(L218="Only")),VLOOKUP(G218,#REF!,7,FALSE),"")</f>
        <v/>
      </c>
      <c r="S218" s="313">
        <v>2160.7120222216377</v>
      </c>
    </row>
    <row r="219" spans="1:24" x14ac:dyDescent="0.25">
      <c r="A219" s="313">
        <v>4</v>
      </c>
      <c r="C219" s="313">
        <f>IF(E219=E218,C218+1,1)</f>
        <v>28</v>
      </c>
      <c r="D219" s="313">
        <f>IF(M219=M218,D218,C219)</f>
        <v>26</v>
      </c>
      <c r="E219" s="313">
        <f>10+VALUE(RIGHT(LEFT(G219,3),1))</f>
        <v>16</v>
      </c>
      <c r="F219" s="313" t="str">
        <f>RIGHT(G219,2) &amp; IF(A219&lt;2,"x","")</f>
        <v>pm</v>
      </c>
      <c r="G219" s="313" t="s">
        <v>500</v>
      </c>
      <c r="H219" s="313" t="s">
        <v>494</v>
      </c>
      <c r="I219" s="313" t="s">
        <v>499</v>
      </c>
      <c r="K219" s="314">
        <f>LOOKUP(1E+100,M219:AC219)</f>
        <v>2128.9839191079691</v>
      </c>
      <c r="M219" s="314">
        <v>2200</v>
      </c>
      <c r="R219" s="313" t="str">
        <f>IF(AND((J219="This"),(L219="Only")),VLOOKUP(G219,#REF!,7,FALSE),"")</f>
        <v/>
      </c>
      <c r="S219" s="313">
        <v>2148.4247333494636</v>
      </c>
      <c r="V219" s="313">
        <v>2139.4047424288392</v>
      </c>
      <c r="X219" s="313">
        <v>2128.9839191079691</v>
      </c>
    </row>
    <row r="220" spans="1:24" x14ac:dyDescent="0.25">
      <c r="A220" s="313">
        <v>5</v>
      </c>
      <c r="C220" s="313">
        <f>IF(E220=E219,C219+1,1)</f>
        <v>29</v>
      </c>
      <c r="D220" s="313">
        <f>IF(M220=M219,D219,C220)</f>
        <v>26</v>
      </c>
      <c r="E220" s="313">
        <f>10+VALUE(RIGHT(LEFT(G220,3),1))</f>
        <v>16</v>
      </c>
      <c r="F220" s="313" t="str">
        <f>RIGHT(G220,2) &amp; IF(A220&lt;2,"x","")</f>
        <v>pm</v>
      </c>
      <c r="G220" s="313" t="s">
        <v>202</v>
      </c>
      <c r="H220" s="313" t="s">
        <v>201</v>
      </c>
      <c r="I220" s="313" t="s">
        <v>328</v>
      </c>
      <c r="K220" s="314">
        <f>LOOKUP(1E+100,M220:AC220)</f>
        <v>2121.5089713346406</v>
      </c>
      <c r="M220" s="314">
        <v>2200</v>
      </c>
      <c r="R220" s="313" t="str">
        <f>IF(AND((J220="This"),(L220="Only")),VLOOKUP(G220,#REF!,7,FALSE),"")</f>
        <v/>
      </c>
      <c r="S220" s="313">
        <v>2137.2978832051181</v>
      </c>
      <c r="T220" s="313">
        <v>2138.5872760572856</v>
      </c>
      <c r="V220" s="313">
        <v>2099.9123103292327</v>
      </c>
      <c r="X220" s="313">
        <v>2121.5089713346406</v>
      </c>
    </row>
    <row r="221" spans="1:24" x14ac:dyDescent="0.25">
      <c r="A221" s="313">
        <v>6</v>
      </c>
      <c r="C221" s="313">
        <f>IF(E221=E220,C220+1,1)</f>
        <v>30</v>
      </c>
      <c r="D221" s="313">
        <f>IF(M221=M220,D220,C221)</f>
        <v>26</v>
      </c>
      <c r="E221" s="313">
        <f>10+VALUE(RIGHT(LEFT(G221,3),1))</f>
        <v>16</v>
      </c>
      <c r="F221" s="313" t="str">
        <f>RIGHT(G221,2) &amp; IF(A221&lt;2,"x","")</f>
        <v>pm</v>
      </c>
      <c r="G221" s="313" t="s">
        <v>231</v>
      </c>
      <c r="H221" s="313" t="s">
        <v>204</v>
      </c>
      <c r="I221" s="313" t="s">
        <v>196</v>
      </c>
      <c r="K221" s="314">
        <f>LOOKUP(1E+100,M221:AC221)</f>
        <v>2120.4596707246342</v>
      </c>
      <c r="M221" s="314">
        <v>2200</v>
      </c>
      <c r="O221" s="313">
        <v>2147.6804939990402</v>
      </c>
      <c r="R221" s="313" t="str">
        <f>IF(AND((J221="This"),(L221="Only")),VLOOKUP(G221,#REF!,7,FALSE),"")</f>
        <v/>
      </c>
      <c r="S221" s="313">
        <v>2152.6230640752033</v>
      </c>
      <c r="T221" s="313">
        <v>2122.4112829190817</v>
      </c>
      <c r="V221" s="313">
        <v>2167.0306689877511</v>
      </c>
      <c r="W221" s="313">
        <v>2162.1770239839025</v>
      </c>
      <c r="X221" s="313">
        <v>2120.4596707246342</v>
      </c>
    </row>
    <row r="222" spans="1:24" x14ac:dyDescent="0.25">
      <c r="A222" s="313">
        <v>5</v>
      </c>
      <c r="C222" s="313">
        <f>IF(E222=E221,C221+1,1)</f>
        <v>31</v>
      </c>
      <c r="D222" s="313">
        <f>IF(M222=M221,D221,C222)</f>
        <v>26</v>
      </c>
      <c r="E222" s="313">
        <f>10+VALUE(RIGHT(LEFT(G222,3),1))</f>
        <v>16</v>
      </c>
      <c r="F222" s="313" t="str">
        <f>RIGHT(G222,2) &amp; IF(A222&lt;2,"x","")</f>
        <v>pm</v>
      </c>
      <c r="G222" s="313" t="s">
        <v>386</v>
      </c>
      <c r="H222" s="313" t="s">
        <v>205</v>
      </c>
      <c r="I222" s="313" t="s">
        <v>385</v>
      </c>
      <c r="K222" s="314">
        <f>LOOKUP(1E+100,M222:AC222)</f>
        <v>2088.7469132562519</v>
      </c>
      <c r="M222" s="314">
        <v>2200</v>
      </c>
      <c r="R222" s="313" t="str">
        <f>IF(AND((J222="This"),(L222="Only")),VLOOKUP(G222,#REF!,7,FALSE),"")</f>
        <v/>
      </c>
      <c r="S222" s="313">
        <v>2179.626578556059</v>
      </c>
      <c r="T222" s="313">
        <v>2098.9025643154096</v>
      </c>
      <c r="V222" s="313">
        <v>2106.3788912330715</v>
      </c>
      <c r="X222" s="313">
        <v>2088.7469132562519</v>
      </c>
    </row>
    <row r="223" spans="1:24" x14ac:dyDescent="0.25">
      <c r="A223" s="313">
        <v>2</v>
      </c>
      <c r="C223" s="313">
        <f>IF(E223=E222,C222+1,1)</f>
        <v>1</v>
      </c>
      <c r="D223" s="313">
        <f>IF(M223=M222,D222,C223)</f>
        <v>1</v>
      </c>
      <c r="E223" s="313">
        <f>10+VALUE(RIGHT(LEFT(G223,3),1))</f>
        <v>17</v>
      </c>
      <c r="F223" s="313" t="str">
        <f>RIGHT(G223,2) &amp; IF(A223&lt;2,"x","")</f>
        <v>pm</v>
      </c>
      <c r="G223" s="313" t="s">
        <v>1076</v>
      </c>
      <c r="H223" s="313" t="s">
        <v>240</v>
      </c>
      <c r="I223" s="313" t="s">
        <v>1077</v>
      </c>
      <c r="K223" s="314">
        <f>LOOKUP(1E+100,M223:AC223)</f>
        <v>2934.3283800734494</v>
      </c>
      <c r="M223" s="314">
        <v>2800</v>
      </c>
      <c r="N223" s="313">
        <v>2922.5577973738191</v>
      </c>
      <c r="R223" s="313" t="str">
        <f>IF(AND((J223="This"),(L223="Only")),VLOOKUP(G223,#REF!,7,FALSE),"")</f>
        <v/>
      </c>
      <c r="U223" s="313">
        <v>2934.3283800734494</v>
      </c>
    </row>
    <row r="224" spans="1:24" x14ac:dyDescent="0.25">
      <c r="A224" s="313">
        <v>5</v>
      </c>
      <c r="C224" s="313">
        <f>IF(E224=E223,C223+1,1)</f>
        <v>2</v>
      </c>
      <c r="D224" s="313">
        <f>IF(M224=M223,D223,C224)</f>
        <v>1</v>
      </c>
      <c r="E224" s="313">
        <f>10+VALUE(RIGHT(LEFT(G224,3),1))</f>
        <v>17</v>
      </c>
      <c r="F224" s="313" t="str">
        <f>RIGHT(G224,2) &amp; IF(A224&lt;2,"x","")</f>
        <v>pm</v>
      </c>
      <c r="G224" s="313" t="s">
        <v>1050</v>
      </c>
      <c r="H224" s="313" t="s">
        <v>1051</v>
      </c>
      <c r="I224" s="313" t="s">
        <v>1052</v>
      </c>
      <c r="K224" s="314">
        <f>LOOKUP(1E+100,M224:AC224)</f>
        <v>2905.4623849496193</v>
      </c>
      <c r="M224" s="314">
        <v>2800</v>
      </c>
      <c r="P224" s="313">
        <v>2898.4548657689761</v>
      </c>
      <c r="R224" s="313" t="str">
        <f>IF(AND((J224="This"),(L224="Only")),VLOOKUP(G224,#REF!,7,FALSE),"")</f>
        <v/>
      </c>
      <c r="S224" s="313">
        <v>2936.9880533615292</v>
      </c>
      <c r="U224" s="313">
        <v>2905.4623849496193</v>
      </c>
    </row>
    <row r="225" spans="1:24" x14ac:dyDescent="0.25">
      <c r="A225" s="313">
        <v>3</v>
      </c>
      <c r="C225" s="313">
        <f>IF(E225=E224,C224+1,1)</f>
        <v>3</v>
      </c>
      <c r="D225" s="313">
        <f>IF(M225=M224,D224,C225)</f>
        <v>1</v>
      </c>
      <c r="E225" s="313">
        <f>10+VALUE(RIGHT(LEFT(G225,3),1))</f>
        <v>17</v>
      </c>
      <c r="F225" s="313" t="str">
        <f>RIGHT(G225,2) &amp; IF(A225&lt;2,"x","")</f>
        <v>pm</v>
      </c>
      <c r="G225" s="313" t="s">
        <v>1082</v>
      </c>
      <c r="H225" s="313" t="s">
        <v>201</v>
      </c>
      <c r="I225" s="313" t="s">
        <v>1083</v>
      </c>
      <c r="K225" s="314">
        <f>LOOKUP(1E+100,M225:AC225)</f>
        <v>2901.4817872939348</v>
      </c>
      <c r="M225" s="314">
        <v>2800</v>
      </c>
      <c r="R225" s="313" t="str">
        <f>IF(AND((J225="This"),(L225="Only")),VLOOKUP(G225,#REF!,7,FALSE),"")</f>
        <v/>
      </c>
      <c r="U225" s="313">
        <v>2877.9167206621883</v>
      </c>
      <c r="W225" s="313">
        <v>2901.4817872939348</v>
      </c>
    </row>
    <row r="226" spans="1:24" x14ac:dyDescent="0.25">
      <c r="A226" s="313">
        <v>2</v>
      </c>
      <c r="C226" s="313">
        <f>IF(E226=E225,C225+1,1)</f>
        <v>4</v>
      </c>
      <c r="D226" s="313">
        <f>IF(M226=M225,D225,C226)</f>
        <v>1</v>
      </c>
      <c r="E226" s="313">
        <f>10+VALUE(RIGHT(LEFT(G226,3),1))</f>
        <v>17</v>
      </c>
      <c r="F226" s="313" t="str">
        <f>RIGHT(G226,2) &amp; IF(A226&lt;2,"x","")</f>
        <v>pm</v>
      </c>
      <c r="G226" s="313" t="s">
        <v>1061</v>
      </c>
      <c r="H226" s="313" t="s">
        <v>559</v>
      </c>
      <c r="I226" s="313" t="s">
        <v>1062</v>
      </c>
      <c r="K226" s="314">
        <f>LOOKUP(1E+100,M226:AC226)</f>
        <v>2901.4124452884193</v>
      </c>
      <c r="M226" s="314">
        <v>2800</v>
      </c>
      <c r="R226" s="313" t="str">
        <f>IF(AND((J226="This"),(L226="Only")),VLOOKUP(G226,#REF!,7,FALSE),"")</f>
        <v/>
      </c>
      <c r="S226" s="313">
        <v>2901.4124452884193</v>
      </c>
    </row>
    <row r="227" spans="1:24" x14ac:dyDescent="0.25">
      <c r="A227" s="313">
        <v>4</v>
      </c>
      <c r="C227" s="313">
        <f>IF(E227=E226,C226+1,1)</f>
        <v>5</v>
      </c>
      <c r="D227" s="313">
        <f>IF(M227=M226,D226,C227)</f>
        <v>1</v>
      </c>
      <c r="E227" s="313">
        <f>10+VALUE(RIGHT(LEFT(G227,3),1))</f>
        <v>17</v>
      </c>
      <c r="F227" s="313" t="str">
        <f>RIGHT(G227,2) &amp; IF(A227&lt;2,"x","")</f>
        <v>pm</v>
      </c>
      <c r="G227" s="313" t="s">
        <v>1053</v>
      </c>
      <c r="H227" s="313" t="s">
        <v>198</v>
      </c>
      <c r="I227" s="313" t="s">
        <v>1054</v>
      </c>
      <c r="K227" s="314">
        <f>LOOKUP(1E+100,M227:AC227)</f>
        <v>2898.4661809305749</v>
      </c>
      <c r="M227" s="314">
        <v>2800</v>
      </c>
      <c r="P227" s="313">
        <v>2840.4219447808714</v>
      </c>
      <c r="R227" s="313" t="str">
        <f>IF(AND((J227="This"),(L227="Only")),VLOOKUP(G227,#REF!,7,FALSE),"")</f>
        <v/>
      </c>
      <c r="S227" s="313">
        <v>2907.017912342078</v>
      </c>
      <c r="U227" s="313">
        <v>2898.4661809305749</v>
      </c>
    </row>
    <row r="228" spans="1:24" x14ac:dyDescent="0.25">
      <c r="A228" s="313">
        <v>3</v>
      </c>
      <c r="C228" s="313">
        <f>IF(E228=E227,C227+1,1)</f>
        <v>6</v>
      </c>
      <c r="D228" s="313">
        <f>IF(M228=M227,D227,C228)</f>
        <v>1</v>
      </c>
      <c r="E228" s="313">
        <f>10+VALUE(RIGHT(LEFT(G228,3),1))</f>
        <v>17</v>
      </c>
      <c r="F228" s="313" t="str">
        <f>RIGHT(G228,2) &amp; IF(A228&lt;2,"x","")</f>
        <v>pm</v>
      </c>
      <c r="G228" s="313" t="s">
        <v>1059</v>
      </c>
      <c r="H228" s="313" t="s">
        <v>282</v>
      </c>
      <c r="I228" s="313" t="s">
        <v>1060</v>
      </c>
      <c r="K228" s="314">
        <f>LOOKUP(1E+100,M228:AC228)</f>
        <v>2867.0704945911393</v>
      </c>
      <c r="M228" s="314">
        <v>2800</v>
      </c>
      <c r="N228" s="313">
        <v>2874.5669843189626</v>
      </c>
      <c r="R228" s="313" t="str">
        <f>IF(AND((J228="This"),(L228="Only")),VLOOKUP(G228,#REF!,7,FALSE),"")</f>
        <v/>
      </c>
      <c r="U228" s="313">
        <v>2867.0704945911393</v>
      </c>
    </row>
    <row r="229" spans="1:24" x14ac:dyDescent="0.25">
      <c r="A229" s="313">
        <v>4</v>
      </c>
      <c r="C229" s="313">
        <f>IF(E229=E228,C228+1,1)</f>
        <v>7</v>
      </c>
      <c r="D229" s="313">
        <f>IF(M229=M228,D228,C229)</f>
        <v>1</v>
      </c>
      <c r="E229" s="313">
        <f>10+VALUE(RIGHT(LEFT(G229,3),1))</f>
        <v>17</v>
      </c>
      <c r="F229" s="313" t="str">
        <f>RIGHT(G229,2) &amp; IF(A229&lt;2,"x","")</f>
        <v>pm</v>
      </c>
      <c r="G229" s="313" t="s">
        <v>1041</v>
      </c>
      <c r="H229" s="313" t="s">
        <v>207</v>
      </c>
      <c r="I229" s="313" t="s">
        <v>1042</v>
      </c>
      <c r="K229" s="314">
        <f>LOOKUP(1E+100,M229:AC229)</f>
        <v>2816.5378582032677</v>
      </c>
      <c r="M229" s="314">
        <v>2800</v>
      </c>
      <c r="N229" s="313">
        <v>2871.6284059333157</v>
      </c>
      <c r="R229" s="313" t="str">
        <f>IF(AND((J229="This"),(L229="Only")),VLOOKUP(G229,#REF!,7,FALSE),"")</f>
        <v/>
      </c>
      <c r="U229" s="313">
        <v>2869.0678291595218</v>
      </c>
      <c r="W229" s="313">
        <v>2816.5378582032677</v>
      </c>
    </row>
    <row r="230" spans="1:24" x14ac:dyDescent="0.25">
      <c r="A230" s="313">
        <v>4</v>
      </c>
      <c r="C230" s="313">
        <f>IF(E230=E229,C229+1,1)</f>
        <v>8</v>
      </c>
      <c r="D230" s="313">
        <f>IF(M230=M229,D229,C230)</f>
        <v>8</v>
      </c>
      <c r="E230" s="313">
        <f>10+VALUE(RIGHT(LEFT(G230,3),1))</f>
        <v>17</v>
      </c>
      <c r="F230" s="313" t="str">
        <f>RIGHT(G230,2) &amp; IF(A230&lt;2,"x","")</f>
        <v>pm</v>
      </c>
      <c r="G230" s="313" t="s">
        <v>1080</v>
      </c>
      <c r="H230" s="313" t="s">
        <v>281</v>
      </c>
      <c r="I230" s="313" t="s">
        <v>1081</v>
      </c>
      <c r="K230" s="314">
        <f>LOOKUP(1E+100,M230:AC230)</f>
        <v>2806.0043200734549</v>
      </c>
      <c r="M230" s="314">
        <v>2750</v>
      </c>
      <c r="R230" s="313" t="str">
        <f>IF(AND((J230="This"),(L230="Only")),VLOOKUP(G230,#REF!,7,FALSE),"")</f>
        <v/>
      </c>
      <c r="S230" s="313">
        <v>2737.0667429308878</v>
      </c>
      <c r="W230" s="313">
        <v>2806.0043200734549</v>
      </c>
    </row>
    <row r="231" spans="1:24" x14ac:dyDescent="0.25">
      <c r="A231" s="313">
        <v>3</v>
      </c>
      <c r="C231" s="313">
        <f>IF(E231=E230,C230+1,1)</f>
        <v>9</v>
      </c>
      <c r="D231" s="313">
        <f>IF(M231=M230,D230,C231)</f>
        <v>9</v>
      </c>
      <c r="E231" s="313">
        <f>10+VALUE(RIGHT(LEFT(G231,3),1))</f>
        <v>17</v>
      </c>
      <c r="F231" s="313" t="str">
        <f>RIGHT(G231,2) &amp; IF(A231&lt;2,"x","")</f>
        <v>pm</v>
      </c>
      <c r="G231" s="313" t="s">
        <v>1071</v>
      </c>
      <c r="H231" s="313" t="s">
        <v>510</v>
      </c>
      <c r="I231" s="313" t="s">
        <v>1072</v>
      </c>
      <c r="K231" s="314">
        <f>LOOKUP(1E+100,M231:AC231)</f>
        <v>2801.5686837922772</v>
      </c>
      <c r="M231" s="314">
        <v>2800</v>
      </c>
      <c r="N231" s="313">
        <v>2817.626099057934</v>
      </c>
      <c r="P231" s="313">
        <v>2800.0897910250219</v>
      </c>
      <c r="R231" s="313" t="str">
        <f>IF(AND((J231="This"),(L231="Only")),VLOOKUP(G231,#REF!,7,FALSE),"")</f>
        <v/>
      </c>
      <c r="U231" s="313">
        <v>2801.5686837922772</v>
      </c>
    </row>
    <row r="232" spans="1:24" x14ac:dyDescent="0.25">
      <c r="A232" s="313">
        <v>4</v>
      </c>
      <c r="C232" s="313">
        <f>IF(E232=E231,C231+1,1)</f>
        <v>10</v>
      </c>
      <c r="D232" s="313">
        <f>IF(M232=M231,D231,C232)</f>
        <v>9</v>
      </c>
      <c r="E232" s="313">
        <f>10+VALUE(RIGHT(LEFT(G232,3),1))</f>
        <v>17</v>
      </c>
      <c r="F232" s="313" t="str">
        <f>RIGHT(G232,2) &amp; IF(A232&lt;2,"x","")</f>
        <v>pm</v>
      </c>
      <c r="G232" s="313" t="s">
        <v>1039</v>
      </c>
      <c r="H232" s="313" t="s">
        <v>207</v>
      </c>
      <c r="I232" s="313" t="s">
        <v>1040</v>
      </c>
      <c r="K232" s="314">
        <f>LOOKUP(1E+100,M232:AC232)</f>
        <v>2783.5541479237368</v>
      </c>
      <c r="M232" s="314">
        <v>2800</v>
      </c>
      <c r="N232" s="313">
        <v>2833.6024184475791</v>
      </c>
      <c r="R232" s="313" t="str">
        <f>IF(AND((J232="This"),(L232="Only")),VLOOKUP(G232,#REF!,7,FALSE),"")</f>
        <v/>
      </c>
      <c r="U232" s="313">
        <v>2842.9172020109409</v>
      </c>
      <c r="W232" s="313">
        <v>2783.5541479237368</v>
      </c>
    </row>
    <row r="233" spans="1:24" x14ac:dyDescent="0.25">
      <c r="A233" s="313">
        <v>2</v>
      </c>
      <c r="C233" s="313">
        <f>IF(E233=E232,C232+1,1)</f>
        <v>11</v>
      </c>
      <c r="D233" s="313">
        <f>IF(M233=M232,D232,C233)</f>
        <v>9</v>
      </c>
      <c r="E233" s="313">
        <f>10+VALUE(RIGHT(LEFT(G233,3),1))</f>
        <v>17</v>
      </c>
      <c r="F233" s="313" t="str">
        <f>RIGHT(G233,2) &amp; IF(A233&lt;2,"x","")</f>
        <v>pm</v>
      </c>
      <c r="G233" s="313" t="s">
        <v>1063</v>
      </c>
      <c r="H233" s="313" t="s">
        <v>559</v>
      </c>
      <c r="I233" s="313" t="s">
        <v>1064</v>
      </c>
      <c r="K233" s="314">
        <f>LOOKUP(1E+100,M233:AC233)</f>
        <v>2764.8764653951607</v>
      </c>
      <c r="M233" s="314">
        <v>2800</v>
      </c>
      <c r="R233" s="313" t="str">
        <f>IF(AND((J233="This"),(L233="Only")),VLOOKUP(G233,#REF!,7,FALSE),"")</f>
        <v/>
      </c>
      <c r="S233" s="313">
        <v>2764.8764653951607</v>
      </c>
    </row>
    <row r="234" spans="1:24" x14ac:dyDescent="0.25">
      <c r="A234" s="313">
        <v>3</v>
      </c>
      <c r="C234" s="313">
        <f>IF(E234=E233,C233+1,1)</f>
        <v>12</v>
      </c>
      <c r="D234" s="313">
        <f>IF(M234=M233,D233,C234)</f>
        <v>9</v>
      </c>
      <c r="E234" s="313">
        <f>10+VALUE(RIGHT(LEFT(G234,3),1))</f>
        <v>17</v>
      </c>
      <c r="F234" s="313" t="str">
        <f>RIGHT(G234,2) &amp; IF(A234&lt;2,"x","")</f>
        <v>pm</v>
      </c>
      <c r="G234" s="313" t="s">
        <v>1067</v>
      </c>
      <c r="H234" s="313" t="s">
        <v>254</v>
      </c>
      <c r="I234" s="313" t="s">
        <v>1068</v>
      </c>
      <c r="K234" s="314">
        <f>LOOKUP(1E+100,M234:AC234)</f>
        <v>2756.5442705995047</v>
      </c>
      <c r="M234" s="314">
        <v>2800</v>
      </c>
      <c r="N234" s="313">
        <v>2797.8823937745101</v>
      </c>
      <c r="R234" s="313" t="str">
        <f>IF(AND((J234="This"),(L234="Only")),VLOOKUP(G234,#REF!,7,FALSE),"")</f>
        <v/>
      </c>
      <c r="X234" s="313">
        <v>2756.5442705995047</v>
      </c>
    </row>
    <row r="235" spans="1:24" x14ac:dyDescent="0.25">
      <c r="A235" s="313">
        <v>4</v>
      </c>
      <c r="C235" s="313">
        <f>IF(E235=E234,C234+1,1)</f>
        <v>13</v>
      </c>
      <c r="D235" s="313">
        <f>IF(M235=M234,D234,C235)</f>
        <v>13</v>
      </c>
      <c r="E235" s="313">
        <f>10+VALUE(RIGHT(LEFT(G235,3),1))</f>
        <v>17</v>
      </c>
      <c r="F235" s="313" t="str">
        <f>RIGHT(G235,2) &amp; IF(A235&lt;2,"x","")</f>
        <v>pm</v>
      </c>
      <c r="G235" s="313" t="s">
        <v>1091</v>
      </c>
      <c r="H235" s="313" t="s">
        <v>700</v>
      </c>
      <c r="I235" s="313" t="s">
        <v>1092</v>
      </c>
      <c r="K235" s="314">
        <f>LOOKUP(1E+100,M235:AC235)</f>
        <v>2729.9711784317674</v>
      </c>
      <c r="M235" s="314">
        <v>2600</v>
      </c>
      <c r="P235" s="313">
        <v>2708.9205411170788</v>
      </c>
      <c r="R235" s="313" t="str">
        <f>IF(AND((J235="This"),(L235="Only")),VLOOKUP(G235,#REF!,7,FALSE),"")</f>
        <v/>
      </c>
      <c r="S235" s="313">
        <v>2695.9097757652876</v>
      </c>
      <c r="T235" s="313">
        <v>2695.8819375084886</v>
      </c>
      <c r="V235" s="313">
        <v>2729.9711784317674</v>
      </c>
    </row>
    <row r="236" spans="1:24" x14ac:dyDescent="0.25">
      <c r="A236" s="313">
        <v>5</v>
      </c>
      <c r="C236" s="313">
        <f>IF(E236=E235,C235+1,1)</f>
        <v>14</v>
      </c>
      <c r="D236" s="313">
        <f>IF(M236=M235,D235,C236)</f>
        <v>14</v>
      </c>
      <c r="E236" s="313">
        <f>10+VALUE(RIGHT(LEFT(G236,3),1))</f>
        <v>17</v>
      </c>
      <c r="F236" s="313" t="str">
        <f>RIGHT(G236,2) &amp; IF(A236&lt;2,"x","")</f>
        <v>pm</v>
      </c>
      <c r="G236" s="313" t="s">
        <v>336</v>
      </c>
      <c r="H236" s="313" t="s">
        <v>211</v>
      </c>
      <c r="I236" s="313" t="s">
        <v>1073</v>
      </c>
      <c r="K236" s="314">
        <f>LOOKUP(1E+100,M236:AC236)</f>
        <v>2685.7664812997232</v>
      </c>
      <c r="M236" s="314">
        <v>2800</v>
      </c>
      <c r="N236" s="313">
        <v>2765.4519842745844</v>
      </c>
      <c r="P236" s="313">
        <v>2747.2792108998428</v>
      </c>
      <c r="R236" s="313" t="str">
        <f>IF(AND((J236="This"),(L236="Only")),VLOOKUP(G236,#REF!,7,FALSE),"")</f>
        <v/>
      </c>
      <c r="U236" s="313">
        <v>2715.1945084168383</v>
      </c>
      <c r="W236" s="313">
        <v>2685.7664812997232</v>
      </c>
    </row>
    <row r="237" spans="1:24" x14ac:dyDescent="0.25">
      <c r="A237" s="313">
        <v>4</v>
      </c>
      <c r="C237" s="313">
        <f>IF(E237=E236,C236+1,1)</f>
        <v>15</v>
      </c>
      <c r="D237" s="313">
        <f>IF(M237=M236,D236,C237)</f>
        <v>14</v>
      </c>
      <c r="E237" s="313">
        <f>10+VALUE(RIGHT(LEFT(G237,3),1))</f>
        <v>17</v>
      </c>
      <c r="F237" s="313" t="str">
        <f>RIGHT(G237,2) &amp; IF(A237&lt;2,"x","")</f>
        <v>pm</v>
      </c>
      <c r="G237" s="313" t="s">
        <v>1048</v>
      </c>
      <c r="H237" s="313" t="s">
        <v>340</v>
      </c>
      <c r="I237" s="313" t="s">
        <v>1049</v>
      </c>
      <c r="K237" s="314">
        <f>LOOKUP(1E+100,M237:AC237)</f>
        <v>2644.4503319334203</v>
      </c>
      <c r="M237" s="314">
        <v>2800</v>
      </c>
      <c r="N237" s="313">
        <v>2752.6182883776373</v>
      </c>
      <c r="R237" s="313" t="str">
        <f>IF(AND((J237="This"),(L237="Only")),VLOOKUP(G237,#REF!,7,FALSE),"")</f>
        <v/>
      </c>
      <c r="U237" s="313">
        <v>2683.7023578396006</v>
      </c>
      <c r="W237" s="313">
        <v>2644.4503319334203</v>
      </c>
    </row>
    <row r="238" spans="1:24" x14ac:dyDescent="0.25">
      <c r="A238" s="313">
        <v>4</v>
      </c>
      <c r="C238" s="313">
        <f>IF(E238=E237,C237+1,1)</f>
        <v>16</v>
      </c>
      <c r="D238" s="313">
        <f>IF(M238=M237,D237,C238)</f>
        <v>16</v>
      </c>
      <c r="E238" s="313">
        <f>10+VALUE(RIGHT(LEFT(G238,3),1))</f>
        <v>17</v>
      </c>
      <c r="F238" s="313" t="str">
        <f>RIGHT(G238,2) &amp; IF(A238&lt;2,"x","")</f>
        <v>pm</v>
      </c>
      <c r="G238" s="313" t="s">
        <v>502</v>
      </c>
      <c r="H238" s="313" t="s">
        <v>494</v>
      </c>
      <c r="I238" s="313" t="s">
        <v>501</v>
      </c>
      <c r="K238" s="314">
        <f>LOOKUP(1E+100,M238:AC238)</f>
        <v>2608.2421877492102</v>
      </c>
      <c r="M238" s="314">
        <v>2400</v>
      </c>
      <c r="R238" s="313" t="str">
        <f>IF(AND((J238="This"),(L238="Only")),VLOOKUP(G238,#REF!,7,FALSE),"")</f>
        <v/>
      </c>
      <c r="S238" s="313">
        <v>2418.2277960489441</v>
      </c>
      <c r="V238" s="313">
        <v>2486.9719356907308</v>
      </c>
      <c r="X238" s="313">
        <v>2608.2421877492102</v>
      </c>
    </row>
    <row r="239" spans="1:24" x14ac:dyDescent="0.25">
      <c r="A239" s="313">
        <v>3</v>
      </c>
      <c r="C239" s="313">
        <f>IF(E239=E238,C238+1,1)</f>
        <v>17</v>
      </c>
      <c r="D239" s="313">
        <f>IF(M239=M238,D238,C239)</f>
        <v>17</v>
      </c>
      <c r="E239" s="313">
        <f>10+VALUE(RIGHT(LEFT(G239,3),1))</f>
        <v>17</v>
      </c>
      <c r="F239" s="313" t="str">
        <f>RIGHT(G239,2) &amp; IF(A239&lt;2,"x","")</f>
        <v>pm</v>
      </c>
      <c r="G239" s="313" t="s">
        <v>1086</v>
      </c>
      <c r="H239" s="313" t="s">
        <v>1087</v>
      </c>
      <c r="I239" s="313" t="s">
        <v>1088</v>
      </c>
      <c r="K239" s="314">
        <f>LOOKUP(1E+100,M239:AC239)</f>
        <v>2582.5446895021764</v>
      </c>
      <c r="M239" s="314">
        <v>2600</v>
      </c>
      <c r="O239" s="313">
        <v>2588.7054530220494</v>
      </c>
      <c r="R239" s="313" t="str">
        <f>IF(AND((J239="This"),(L239="Only")),VLOOKUP(G239,#REF!,7,FALSE),"")</f>
        <v/>
      </c>
      <c r="W239" s="313">
        <v>2582.5446895021764</v>
      </c>
    </row>
    <row r="240" spans="1:24" x14ac:dyDescent="0.25">
      <c r="A240" s="313">
        <v>6</v>
      </c>
      <c r="C240" s="313">
        <f>IF(E240=E239,C239+1,1)</f>
        <v>18</v>
      </c>
      <c r="D240" s="313">
        <f>IF(M240=M239,D239,C240)</f>
        <v>18</v>
      </c>
      <c r="E240" s="313">
        <f>10+VALUE(RIGHT(LEFT(G240,3),1))</f>
        <v>17</v>
      </c>
      <c r="F240" s="313" t="str">
        <f>RIGHT(G240,2) &amp; IF(A240&lt;2,"x","")</f>
        <v>pm</v>
      </c>
      <c r="G240" s="313" t="s">
        <v>1055</v>
      </c>
      <c r="H240" s="313" t="s">
        <v>216</v>
      </c>
      <c r="I240" s="313" t="s">
        <v>1056</v>
      </c>
      <c r="K240" s="314">
        <f>LOOKUP(1E+100,M240:AC240)</f>
        <v>2529.7913484695341</v>
      </c>
      <c r="M240" s="314">
        <v>2800</v>
      </c>
      <c r="N240" s="313">
        <v>2726.4435267606004</v>
      </c>
      <c r="P240" s="313">
        <v>2667.1192641229122</v>
      </c>
      <c r="R240" s="313" t="str">
        <f>IF(AND((J240="This"),(L240="Only")),VLOOKUP(G240,#REF!,7,FALSE),"")</f>
        <v/>
      </c>
      <c r="S240" s="313">
        <v>2635.254000507688</v>
      </c>
      <c r="U240" s="313">
        <v>2571.5237468395812</v>
      </c>
      <c r="W240" s="313">
        <v>2529.7913484695341</v>
      </c>
    </row>
    <row r="241" spans="1:24" x14ac:dyDescent="0.25">
      <c r="A241" s="313">
        <v>4</v>
      </c>
      <c r="C241" s="313">
        <f>IF(E241=E240,C240+1,1)</f>
        <v>19</v>
      </c>
      <c r="D241" s="313">
        <f>IF(M241=M240,D240,C241)</f>
        <v>19</v>
      </c>
      <c r="E241" s="313">
        <f>10+VALUE(RIGHT(LEFT(G241,3),1))</f>
        <v>17</v>
      </c>
      <c r="F241" s="313" t="str">
        <f>RIGHT(G241,2) &amp; IF(A241&lt;2,"x","")</f>
        <v>pm</v>
      </c>
      <c r="G241" s="313" t="s">
        <v>1089</v>
      </c>
      <c r="H241" s="313" t="s">
        <v>281</v>
      </c>
      <c r="I241" s="313" t="s">
        <v>1090</v>
      </c>
      <c r="K241" s="314">
        <f>LOOKUP(1E+100,M241:AC241)</f>
        <v>2525.4338041158107</v>
      </c>
      <c r="M241" s="314">
        <v>2600</v>
      </c>
      <c r="R241" s="313" t="str">
        <f>IF(AND((J241="This"),(L241="Only")),VLOOKUP(G241,#REF!,7,FALSE),"")</f>
        <v/>
      </c>
      <c r="S241" s="313">
        <v>2562.1409322019244</v>
      </c>
      <c r="W241" s="313">
        <v>2525.4338041158107</v>
      </c>
    </row>
    <row r="242" spans="1:24" x14ac:dyDescent="0.25">
      <c r="A242" s="313">
        <v>5</v>
      </c>
      <c r="C242" s="313">
        <f>IF(E242=E241,C241+1,1)</f>
        <v>20</v>
      </c>
      <c r="D242" s="313">
        <f>IF(M242=M241,D241,C242)</f>
        <v>20</v>
      </c>
      <c r="E242" s="313">
        <f>10+VALUE(RIGHT(LEFT(G242,3),1))</f>
        <v>17</v>
      </c>
      <c r="F242" s="313" t="str">
        <f>RIGHT(G242,2) &amp; IF(A242&lt;2,"x","")</f>
        <v>pm</v>
      </c>
      <c r="G242" s="313" t="s">
        <v>446</v>
      </c>
      <c r="H242" s="313" t="s">
        <v>444</v>
      </c>
      <c r="I242" s="313" t="s">
        <v>445</v>
      </c>
      <c r="K242" s="314">
        <f>LOOKUP(1E+100,M242:AC242)</f>
        <v>2522.9578399868501</v>
      </c>
      <c r="M242" s="314">
        <v>2400</v>
      </c>
      <c r="O242" s="313">
        <v>2391.3097924964568</v>
      </c>
      <c r="R242" s="313" t="str">
        <f>IF(AND((J242="This"),(L242="Only")),VLOOKUP(G242,#REF!,7,FALSE),"")</f>
        <v/>
      </c>
      <c r="S242" s="313">
        <v>2478.0997606551555</v>
      </c>
      <c r="T242" s="313">
        <v>2562.1064003900715</v>
      </c>
      <c r="V242" s="313">
        <v>2490.7546597563824</v>
      </c>
      <c r="X242" s="313">
        <v>2522.9578399868501</v>
      </c>
    </row>
    <row r="243" spans="1:24" x14ac:dyDescent="0.25">
      <c r="A243" s="313">
        <v>4</v>
      </c>
      <c r="C243" s="313">
        <f>IF(E243=E242,C242+1,1)</f>
        <v>21</v>
      </c>
      <c r="D243" s="313">
        <f>IF(M243=M242,D242,C243)</f>
        <v>20</v>
      </c>
      <c r="E243" s="313">
        <f>10+VALUE(RIGHT(LEFT(G243,3),1))</f>
        <v>17</v>
      </c>
      <c r="F243" s="313" t="str">
        <f>RIGHT(G243,2) &amp; IF(A243&lt;2,"x","")</f>
        <v>pm</v>
      </c>
      <c r="G243" s="313" t="s">
        <v>408</v>
      </c>
      <c r="H243" s="313" t="s">
        <v>198</v>
      </c>
      <c r="I243" s="313" t="s">
        <v>407</v>
      </c>
      <c r="K243" s="314">
        <f>LOOKUP(1E+100,M243:AC243)</f>
        <v>2475.4846792924523</v>
      </c>
      <c r="M243" s="314">
        <v>2400</v>
      </c>
      <c r="R243" s="313" t="str">
        <f>IF(AND((J243="This"),(L243="Only")),VLOOKUP(G243,#REF!,7,FALSE),"")</f>
        <v/>
      </c>
      <c r="S243" s="313">
        <v>2469.0671056915025</v>
      </c>
      <c r="T243" s="313">
        <v>2431.5669234490088</v>
      </c>
      <c r="X243" s="313">
        <v>2475.4846792924523</v>
      </c>
    </row>
    <row r="244" spans="1:24" x14ac:dyDescent="0.25">
      <c r="A244" s="313">
        <v>6</v>
      </c>
      <c r="C244" s="313">
        <f>IF(E244=E243,C243+1,1)</f>
        <v>22</v>
      </c>
      <c r="D244" s="313">
        <f>IF(M244=M243,D243,C244)</f>
        <v>22</v>
      </c>
      <c r="E244" s="313">
        <f>10+VALUE(RIGHT(LEFT(G244,3),1))</f>
        <v>17</v>
      </c>
      <c r="F244" s="313" t="str">
        <f>RIGHT(G244,2) &amp; IF(A244&lt;2,"x","")</f>
        <v>pm</v>
      </c>
      <c r="G244" s="313" t="s">
        <v>1084</v>
      </c>
      <c r="H244" s="313" t="s">
        <v>697</v>
      </c>
      <c r="I244" s="313" t="s">
        <v>1085</v>
      </c>
      <c r="K244" s="314">
        <f>LOOKUP(1E+100,M244:AC244)</f>
        <v>2461.1682047986947</v>
      </c>
      <c r="M244" s="314">
        <v>2600</v>
      </c>
      <c r="O244" s="313">
        <v>2533.6041340909615</v>
      </c>
      <c r="R244" s="313" t="str">
        <f>IF(AND((J244="This"),(L244="Only")),VLOOKUP(G244,#REF!,7,FALSE),"")</f>
        <v/>
      </c>
      <c r="S244" s="313">
        <v>2561.5348410704928</v>
      </c>
      <c r="U244" s="313">
        <v>2503.2179928017745</v>
      </c>
      <c r="V244" s="313">
        <v>2461.1682047986947</v>
      </c>
    </row>
    <row r="245" spans="1:24" x14ac:dyDescent="0.25">
      <c r="A245" s="313">
        <v>3</v>
      </c>
      <c r="C245" s="313">
        <f>IF(E245=E244,C244+1,1)</f>
        <v>23</v>
      </c>
      <c r="D245" s="313">
        <f>IF(M245=M244,D244,C245)</f>
        <v>23</v>
      </c>
      <c r="E245" s="313">
        <f>10+VALUE(RIGHT(LEFT(G245,3),1))</f>
        <v>17</v>
      </c>
      <c r="F245" s="313" t="str">
        <f>RIGHT(G245,2) &amp; IF(A245&lt;2,"x","")</f>
        <v>pm</v>
      </c>
      <c r="G245" s="313" t="s">
        <v>1093</v>
      </c>
      <c r="H245" s="313" t="s">
        <v>287</v>
      </c>
      <c r="I245" s="313" t="s">
        <v>1094</v>
      </c>
      <c r="K245" s="314">
        <f>LOOKUP(1E+100,M245:AC245)</f>
        <v>2448.5829328502982</v>
      </c>
      <c r="M245" s="314">
        <v>2533.3333333333335</v>
      </c>
      <c r="R245" s="313" t="str">
        <f>IF(AND((J245="This"),(L245="Only")),VLOOKUP(G245,#REF!,7,FALSE),"")</f>
        <v/>
      </c>
      <c r="T245" s="313">
        <v>2448.5829328502982</v>
      </c>
    </row>
    <row r="246" spans="1:24" x14ac:dyDescent="0.25">
      <c r="A246" s="313">
        <v>5</v>
      </c>
      <c r="C246" s="313">
        <f>IF(E246=E245,C245+1,1)</f>
        <v>24</v>
      </c>
      <c r="D246" s="313">
        <f>IF(M246=M245,D245,C246)</f>
        <v>24</v>
      </c>
      <c r="E246" s="313">
        <f>10+VALUE(RIGHT(LEFT(G246,3),1))</f>
        <v>17</v>
      </c>
      <c r="F246" s="313" t="str">
        <f>RIGHT(G246,2) &amp; IF(A246&lt;2,"x","")</f>
        <v>pm</v>
      </c>
      <c r="G246" s="313" t="s">
        <v>370</v>
      </c>
      <c r="H246" s="313" t="s">
        <v>199</v>
      </c>
      <c r="I246" s="313" t="s">
        <v>369</v>
      </c>
      <c r="K246" s="314">
        <f>LOOKUP(1E+100,M246:AC246)</f>
        <v>2445.8716574009577</v>
      </c>
      <c r="M246" s="314">
        <v>2440</v>
      </c>
      <c r="O246" s="313">
        <v>2486.7710445931716</v>
      </c>
      <c r="R246" s="313" t="str">
        <f>IF(AND((J246="This"),(L246="Only")),VLOOKUP(G246,#REF!,7,FALSE),"")</f>
        <v/>
      </c>
      <c r="S246" s="313">
        <v>2462.5038673672475</v>
      </c>
      <c r="V246" s="313">
        <v>2470.5768512788477</v>
      </c>
      <c r="X246" s="313">
        <v>2445.8716574009577</v>
      </c>
    </row>
    <row r="247" spans="1:24" x14ac:dyDescent="0.25">
      <c r="A247" s="313">
        <v>4</v>
      </c>
      <c r="C247" s="313">
        <f>IF(E247=E246,C246+1,1)</f>
        <v>25</v>
      </c>
      <c r="D247" s="313">
        <f>IF(M247=M246,D246,C247)</f>
        <v>25</v>
      </c>
      <c r="E247" s="313">
        <f>10+VALUE(RIGHT(LEFT(G247,3),1))</f>
        <v>17</v>
      </c>
      <c r="F247" s="313" t="str">
        <f>RIGHT(G247,2) &amp; IF(A247&lt;2,"x","")</f>
        <v>pm</v>
      </c>
      <c r="G247" s="313" t="s">
        <v>334</v>
      </c>
      <c r="H247" s="313" t="s">
        <v>237</v>
      </c>
      <c r="I247" s="313" t="s">
        <v>333</v>
      </c>
      <c r="K247" s="314">
        <f>LOOKUP(1E+100,M247:AC247)</f>
        <v>2439.2132348910172</v>
      </c>
      <c r="M247" s="314">
        <v>2400</v>
      </c>
      <c r="R247" s="313" t="str">
        <f>IF(AND((J247="This"),(L247="Only")),VLOOKUP(G247,#REF!,7,FALSE),"")</f>
        <v/>
      </c>
      <c r="T247" s="313">
        <v>2456.2391071311727</v>
      </c>
      <c r="X247" s="313">
        <v>2439.2132348910172</v>
      </c>
    </row>
    <row r="248" spans="1:24" x14ac:dyDescent="0.25">
      <c r="A248" s="313">
        <v>6</v>
      </c>
      <c r="C248" s="313">
        <f>IF(E248=E247,C247+1,1)</f>
        <v>26</v>
      </c>
      <c r="D248" s="313">
        <f>IF(M248=M247,D247,C248)</f>
        <v>26</v>
      </c>
      <c r="E248" s="313">
        <f>10+VALUE(RIGHT(LEFT(G248,3),1))</f>
        <v>17</v>
      </c>
      <c r="F248" s="313" t="str">
        <f>RIGHT(G248,2) &amp; IF(A248&lt;2,"x","")</f>
        <v>pm</v>
      </c>
      <c r="G248" s="313" t="s">
        <v>395</v>
      </c>
      <c r="H248" s="313" t="s">
        <v>204</v>
      </c>
      <c r="I248" s="313" t="s">
        <v>394</v>
      </c>
      <c r="K248" s="314">
        <f>LOOKUP(1E+100,M248:AC248)</f>
        <v>2410.9866305444343</v>
      </c>
      <c r="M248" s="314">
        <v>2600</v>
      </c>
      <c r="O248" s="313">
        <v>2571.5996209638265</v>
      </c>
      <c r="P248" s="313">
        <v>2520.9451500265227</v>
      </c>
      <c r="R248" s="313" t="str">
        <f>IF(AND((J248="This"),(L248="Only")),VLOOKUP(G248,#REF!,7,FALSE),"")</f>
        <v/>
      </c>
      <c r="T248" s="313">
        <v>2402.5111436308193</v>
      </c>
      <c r="U248" s="313">
        <v>2452.0796475240045</v>
      </c>
      <c r="X248" s="313">
        <v>2410.9866305444343</v>
      </c>
    </row>
    <row r="249" spans="1:24" x14ac:dyDescent="0.25">
      <c r="A249" s="313">
        <v>6</v>
      </c>
      <c r="C249" s="313">
        <f>IF(E249=E248,C248+1,1)</f>
        <v>27</v>
      </c>
      <c r="D249" s="313">
        <f>IF(M249=M248,D248,C249)</f>
        <v>27</v>
      </c>
      <c r="E249" s="313">
        <f>10+VALUE(RIGHT(LEFT(G249,3),1))</f>
        <v>17</v>
      </c>
      <c r="F249" s="313" t="str">
        <f>RIGHT(G249,2) &amp; IF(A249&lt;2,"x","")</f>
        <v>pm</v>
      </c>
      <c r="G249" s="313" t="s">
        <v>1074</v>
      </c>
      <c r="H249" s="313" t="s">
        <v>211</v>
      </c>
      <c r="I249" s="313" t="s">
        <v>1075</v>
      </c>
      <c r="K249" s="314">
        <f>LOOKUP(1E+100,M249:AC249)</f>
        <v>2403.2374854041041</v>
      </c>
      <c r="M249" s="314">
        <v>2800</v>
      </c>
      <c r="N249" s="313">
        <v>2671.4711193477101</v>
      </c>
      <c r="P249" s="313">
        <v>2618.8887478463598</v>
      </c>
      <c r="R249" s="313" t="str">
        <f>IF(AND((J249="This"),(L249="Only")),VLOOKUP(G249,#REF!,7,FALSE),"")</f>
        <v/>
      </c>
      <c r="U249" s="313">
        <v>2508.6951160240778</v>
      </c>
      <c r="W249" s="313">
        <v>2403.2374854041041</v>
      </c>
    </row>
    <row r="250" spans="1:24" x14ac:dyDescent="0.25">
      <c r="A250" s="313">
        <v>5</v>
      </c>
      <c r="C250" s="313">
        <f>IF(E250=E249,C249+1,1)</f>
        <v>28</v>
      </c>
      <c r="D250" s="313">
        <f>IF(M250=M249,D249,C250)</f>
        <v>28</v>
      </c>
      <c r="E250" s="313">
        <f>10+VALUE(RIGHT(LEFT(G250,3),1))</f>
        <v>17</v>
      </c>
      <c r="F250" s="313" t="str">
        <f>RIGHT(G250,2) &amp; IF(A250&lt;2,"x","")</f>
        <v>pm</v>
      </c>
      <c r="G250" s="313" t="s">
        <v>247</v>
      </c>
      <c r="H250" s="313" t="s">
        <v>205</v>
      </c>
      <c r="I250" s="313" t="s">
        <v>387</v>
      </c>
      <c r="K250" s="314">
        <f>LOOKUP(1E+100,M250:AC250)</f>
        <v>2370.9248166756943</v>
      </c>
      <c r="M250" s="314">
        <v>2400</v>
      </c>
      <c r="R250" s="313" t="str">
        <f>IF(AND((J250="This"),(L250="Only")),VLOOKUP(G250,#REF!,7,FALSE),"")</f>
        <v/>
      </c>
      <c r="S250" s="313">
        <v>2385.4093469267709</v>
      </c>
      <c r="T250" s="313">
        <v>2357.2024717461968</v>
      </c>
      <c r="V250" s="313">
        <v>2405.2146345930723</v>
      </c>
      <c r="X250" s="313">
        <v>2370.9248166756943</v>
      </c>
    </row>
    <row r="251" spans="1:24" x14ac:dyDescent="0.25">
      <c r="A251" s="313">
        <v>2</v>
      </c>
      <c r="C251" s="313">
        <f>IF(E251=E250,C250+1,1)</f>
        <v>29</v>
      </c>
      <c r="D251" s="313">
        <f>IF(M251=M250,D250,C251)</f>
        <v>28</v>
      </c>
      <c r="E251" s="313">
        <f>10+VALUE(RIGHT(LEFT(G251,3),1))</f>
        <v>17</v>
      </c>
      <c r="F251" s="313" t="str">
        <f>RIGHT(G251,2) &amp; IF(A251&lt;2,"x","")</f>
        <v>pm</v>
      </c>
      <c r="G251" s="313" t="s">
        <v>1097</v>
      </c>
      <c r="H251" s="313" t="s">
        <v>559</v>
      </c>
      <c r="I251" s="313" t="s">
        <v>1098</v>
      </c>
      <c r="K251" s="314">
        <f>LOOKUP(1E+100,M251:AC251)</f>
        <v>2357.6436227783074</v>
      </c>
      <c r="M251" s="314">
        <v>2400</v>
      </c>
      <c r="R251" s="313" t="str">
        <f>IF(AND((J251="This"),(L251="Only")),VLOOKUP(G251,#REF!,7,FALSE),"")</f>
        <v/>
      </c>
      <c r="V251" s="313">
        <v>2357.6436227783074</v>
      </c>
    </row>
    <row r="252" spans="1:24" x14ac:dyDescent="0.25">
      <c r="A252" s="313">
        <v>4</v>
      </c>
      <c r="C252" s="313">
        <f>IF(E252=E251,C251+1,1)</f>
        <v>30</v>
      </c>
      <c r="D252" s="313">
        <f>IF(M252=M251,D251,C252)</f>
        <v>28</v>
      </c>
      <c r="E252" s="313">
        <f>10+VALUE(RIGHT(LEFT(G252,3),1))</f>
        <v>17</v>
      </c>
      <c r="F252" s="313" t="str">
        <f>RIGHT(G252,2) &amp; IF(A252&lt;2,"x","")</f>
        <v>pm</v>
      </c>
      <c r="G252" s="313" t="s">
        <v>335</v>
      </c>
      <c r="H252" s="313" t="s">
        <v>201</v>
      </c>
      <c r="I252" s="313" t="s">
        <v>467</v>
      </c>
      <c r="K252" s="314">
        <f>LOOKUP(1E+100,M252:AC252)</f>
        <v>2346.1947066340813</v>
      </c>
      <c r="M252" s="314">
        <v>2400</v>
      </c>
      <c r="R252" s="313" t="str">
        <f>IF(AND((J252="This"),(L252="Only")),VLOOKUP(G252,#REF!,7,FALSE),"")</f>
        <v/>
      </c>
      <c r="S252" s="313">
        <v>2343.6691822827524</v>
      </c>
      <c r="T252" s="313">
        <v>2355.4932684736682</v>
      </c>
      <c r="V252" s="313">
        <v>2329.7910227662092</v>
      </c>
      <c r="X252" s="313">
        <v>2346.1947066340813</v>
      </c>
    </row>
    <row r="253" spans="1:24" x14ac:dyDescent="0.25">
      <c r="A253" s="313">
        <v>4</v>
      </c>
      <c r="C253" s="313">
        <f>IF(E253=E252,C252+1,1)</f>
        <v>31</v>
      </c>
      <c r="D253" s="313">
        <f>IF(M253=M252,D252,C253)</f>
        <v>31</v>
      </c>
      <c r="E253" s="313">
        <f>10+VALUE(RIGHT(LEFT(G253,3),1))</f>
        <v>17</v>
      </c>
      <c r="F253" s="313" t="str">
        <f>RIGHT(G253,2) &amp; IF(A253&lt;2,"x","")</f>
        <v>pm</v>
      </c>
      <c r="G253" s="313" t="s">
        <v>1095</v>
      </c>
      <c r="H253" s="313" t="s">
        <v>526</v>
      </c>
      <c r="I253" s="313" t="s">
        <v>1096</v>
      </c>
      <c r="K253" s="314">
        <f>LOOKUP(1E+100,M253:AC253)</f>
        <v>2294.9565143634281</v>
      </c>
      <c r="M253" s="314">
        <v>2500</v>
      </c>
      <c r="O253" s="313">
        <v>2418.1090459560842</v>
      </c>
      <c r="R253" s="313" t="str">
        <f>IF(AND((J253="This"),(L253="Only")),VLOOKUP(G253,#REF!,7,FALSE),"")</f>
        <v/>
      </c>
      <c r="T253" s="313">
        <v>2297.6185183969365</v>
      </c>
      <c r="U253" s="313">
        <v>2294.9565143634281</v>
      </c>
    </row>
    <row r="254" spans="1:24" x14ac:dyDescent="0.25">
      <c r="A254" s="313">
        <v>2</v>
      </c>
      <c r="C254" s="313">
        <f>IF(E254=E253,C253+1,1)</f>
        <v>1</v>
      </c>
      <c r="D254" s="313">
        <f>IF(M254=M253,D253,C254)</f>
        <v>1</v>
      </c>
      <c r="E254" s="313">
        <f>10+VALUE(RIGHT(LEFT(G254,3),1))</f>
        <v>18</v>
      </c>
      <c r="F254" s="313" t="str">
        <f>RIGHT(G254,2) &amp; IF(A254&lt;2,"x","")</f>
        <v>pm</v>
      </c>
      <c r="G254" s="313" t="s">
        <v>1135</v>
      </c>
      <c r="H254" s="313" t="s">
        <v>201</v>
      </c>
      <c r="I254" s="313" t="s">
        <v>1136</v>
      </c>
      <c r="K254" s="314">
        <f>LOOKUP(1E+100,M254:AC254)</f>
        <v>3108.3510027587017</v>
      </c>
      <c r="M254" s="314">
        <v>3000</v>
      </c>
      <c r="R254" s="313" t="str">
        <f>IF(AND((J254="This"),(L254="Only")),VLOOKUP(G254,#REF!,7,FALSE),"")</f>
        <v/>
      </c>
      <c r="U254" s="313">
        <v>3033.6021688753772</v>
      </c>
      <c r="W254" s="313">
        <v>3108.3510027587017</v>
      </c>
    </row>
    <row r="255" spans="1:24" x14ac:dyDescent="0.25">
      <c r="A255" s="313">
        <v>2</v>
      </c>
      <c r="C255" s="313">
        <f>IF(E255=E254,C254+1,1)</f>
        <v>2</v>
      </c>
      <c r="D255" s="313">
        <f>IF(M255=M254,D254,C255)</f>
        <v>1</v>
      </c>
      <c r="E255" s="313">
        <f>10+VALUE(RIGHT(LEFT(G255,3),1))</f>
        <v>18</v>
      </c>
      <c r="F255" s="313" t="str">
        <f>RIGHT(G255,2) &amp; IF(A255&lt;2,"x","")</f>
        <v>pm</v>
      </c>
      <c r="G255" s="313" t="s">
        <v>1124</v>
      </c>
      <c r="H255" s="313" t="s">
        <v>559</v>
      </c>
      <c r="I255" s="313" t="s">
        <v>1125</v>
      </c>
      <c r="K255" s="314">
        <f>LOOKUP(1E+100,M255:AC255)</f>
        <v>3106.1013274780757</v>
      </c>
      <c r="M255" s="314">
        <v>3000</v>
      </c>
      <c r="R255" s="313" t="str">
        <f>IF(AND((J255="This"),(L255="Only")),VLOOKUP(G255,#REF!,7,FALSE),"")</f>
        <v/>
      </c>
      <c r="S255" s="313">
        <v>3106.1013274780757</v>
      </c>
    </row>
    <row r="256" spans="1:24" x14ac:dyDescent="0.25">
      <c r="A256" s="313">
        <v>5</v>
      </c>
      <c r="C256" s="313">
        <f>IF(E256=E255,C255+1,1)</f>
        <v>3</v>
      </c>
      <c r="D256" s="313">
        <f>IF(M256=M255,D255,C256)</f>
        <v>1</v>
      </c>
      <c r="E256" s="313">
        <f>10+VALUE(RIGHT(LEFT(G256,3),1))</f>
        <v>18</v>
      </c>
      <c r="F256" s="313" t="str">
        <f>RIGHT(G256,2) &amp; IF(A256&lt;2,"x","")</f>
        <v>pm</v>
      </c>
      <c r="G256" s="313" t="s">
        <v>1142</v>
      </c>
      <c r="H256" s="313" t="s">
        <v>240</v>
      </c>
      <c r="I256" s="313" t="s">
        <v>1143</v>
      </c>
      <c r="K256" s="314">
        <f>LOOKUP(1E+100,M256:AC256)</f>
        <v>3097.2487743814136</v>
      </c>
      <c r="M256" s="314">
        <v>3000</v>
      </c>
      <c r="N256" s="313">
        <v>3009.2514829430538</v>
      </c>
      <c r="R256" s="313" t="str">
        <f>IF(AND((J256="This"),(L256="Only")),VLOOKUP(G256,#REF!,7,FALSE),"")</f>
        <v/>
      </c>
      <c r="S256" s="313">
        <v>2963.2964479003485</v>
      </c>
      <c r="U256" s="313">
        <v>3029.7830029113002</v>
      </c>
      <c r="W256" s="313">
        <v>3097.2487743814136</v>
      </c>
    </row>
    <row r="257" spans="1:24" x14ac:dyDescent="0.25">
      <c r="A257" s="313">
        <v>3</v>
      </c>
      <c r="C257" s="313">
        <f>IF(E257=E256,C256+1,1)</f>
        <v>4</v>
      </c>
      <c r="D257" s="313">
        <f>IF(M257=M256,D256,C257)</f>
        <v>1</v>
      </c>
      <c r="E257" s="313">
        <f>10+VALUE(RIGHT(LEFT(G257,3),1))</f>
        <v>18</v>
      </c>
      <c r="F257" s="313" t="str">
        <f>RIGHT(G257,2) &amp; IF(A257&lt;2,"x","")</f>
        <v>pm</v>
      </c>
      <c r="G257" s="313" t="s">
        <v>1111</v>
      </c>
      <c r="H257" s="313" t="s">
        <v>207</v>
      </c>
      <c r="I257" s="313" t="s">
        <v>1112</v>
      </c>
      <c r="K257" s="314">
        <f>LOOKUP(1E+100,M257:AC257)</f>
        <v>3067.1173150491368</v>
      </c>
      <c r="M257" s="314">
        <v>3000</v>
      </c>
      <c r="N257" s="313">
        <v>3042.4287957562287</v>
      </c>
      <c r="R257" s="313" t="str">
        <f>IF(AND((J257="This"),(L257="Only")),VLOOKUP(G257,#REF!,7,FALSE),"")</f>
        <v/>
      </c>
      <c r="U257" s="313">
        <v>3102.9189764040821</v>
      </c>
      <c r="W257" s="313">
        <v>3067.1173150491368</v>
      </c>
    </row>
    <row r="258" spans="1:24" x14ac:dyDescent="0.25">
      <c r="A258" s="313">
        <v>6</v>
      </c>
      <c r="C258" s="313">
        <f>IF(E258=E257,C257+1,1)</f>
        <v>5</v>
      </c>
      <c r="D258" s="313">
        <f>IF(M258=M257,D257,C258)</f>
        <v>1</v>
      </c>
      <c r="E258" s="313">
        <f>10+VALUE(RIGHT(LEFT(G258,3),1))</f>
        <v>18</v>
      </c>
      <c r="F258" s="313" t="str">
        <f>RIGHT(G258,2) &amp; IF(A258&lt;2,"x","")</f>
        <v>pm</v>
      </c>
      <c r="G258" s="313" t="s">
        <v>1121</v>
      </c>
      <c r="H258" s="313" t="s">
        <v>216</v>
      </c>
      <c r="I258" s="313" t="s">
        <v>1122</v>
      </c>
      <c r="K258" s="314">
        <f>LOOKUP(1E+100,M258:AC258)</f>
        <v>3018.9530721179772</v>
      </c>
      <c r="M258" s="314">
        <v>3000</v>
      </c>
      <c r="N258" s="313">
        <v>2917.3787570454606</v>
      </c>
      <c r="P258" s="313">
        <v>2966.1072131875057</v>
      </c>
      <c r="R258" s="313" t="str">
        <f>IF(AND((J258="This"),(L258="Only")),VLOOKUP(G258,#REF!,7,FALSE),"")</f>
        <v/>
      </c>
      <c r="S258" s="313">
        <v>2924.8856891760802</v>
      </c>
      <c r="U258" s="313">
        <v>2929.4323751758852</v>
      </c>
      <c r="W258" s="313">
        <v>3018.9530721179772</v>
      </c>
    </row>
    <row r="259" spans="1:24" x14ac:dyDescent="0.25">
      <c r="A259" s="313">
        <v>2</v>
      </c>
      <c r="C259" s="313">
        <f>IF(E259=E258,C258+1,1)</f>
        <v>6</v>
      </c>
      <c r="D259" s="313">
        <f>IF(M259=M258,D258,C259)</f>
        <v>1</v>
      </c>
      <c r="E259" s="313">
        <f>10+VALUE(RIGHT(LEFT(G259,3),1))</f>
        <v>18</v>
      </c>
      <c r="F259" s="313" t="str">
        <f>RIGHT(G259,2) &amp; IF(A259&lt;2,"x","")</f>
        <v>pm</v>
      </c>
      <c r="G259" s="313" t="s">
        <v>1113</v>
      </c>
      <c r="H259" s="313" t="s">
        <v>393</v>
      </c>
      <c r="I259" s="313" t="s">
        <v>1114</v>
      </c>
      <c r="K259" s="314">
        <f>LOOKUP(1E+100,M259:AC259)</f>
        <v>3013.3111133784737</v>
      </c>
      <c r="M259" s="314">
        <v>3000</v>
      </c>
      <c r="N259" s="313">
        <v>3013.3111133784737</v>
      </c>
      <c r="R259" s="313" t="str">
        <f>IF(AND((J259="This"),(L259="Only")),VLOOKUP(G259,#REF!,7,FALSE),"")</f>
        <v/>
      </c>
    </row>
    <row r="260" spans="1:24" x14ac:dyDescent="0.25">
      <c r="A260" s="313">
        <v>4</v>
      </c>
      <c r="C260" s="313">
        <f>IF(E260=E259,C259+1,1)</f>
        <v>7</v>
      </c>
      <c r="D260" s="313">
        <f>IF(M260=M259,D259,C260)</f>
        <v>1</v>
      </c>
      <c r="E260" s="313">
        <f>10+VALUE(RIGHT(LEFT(G260,3),1))</f>
        <v>18</v>
      </c>
      <c r="F260" s="313" t="str">
        <f>RIGHT(G260,2) &amp; IF(A260&lt;2,"x","")</f>
        <v>pm</v>
      </c>
      <c r="G260" s="313" t="s">
        <v>339</v>
      </c>
      <c r="H260" s="313" t="s">
        <v>340</v>
      </c>
      <c r="I260" s="313" t="s">
        <v>338</v>
      </c>
      <c r="K260" s="314">
        <f>LOOKUP(1E+100,M260:AC260)</f>
        <v>2987.6119148963471</v>
      </c>
      <c r="M260" s="314">
        <v>3000</v>
      </c>
      <c r="N260" s="313">
        <v>2980.2992862947854</v>
      </c>
      <c r="R260" s="313" t="str">
        <f>IF(AND((J260="This"),(L260="Only")),VLOOKUP(G260,#REF!,7,FALSE),"")</f>
        <v/>
      </c>
      <c r="U260" s="313">
        <v>3026.1359908797672</v>
      </c>
      <c r="W260" s="313">
        <v>2987.6119148963471</v>
      </c>
    </row>
    <row r="261" spans="1:24" x14ac:dyDescent="0.25">
      <c r="A261" s="313">
        <v>2</v>
      </c>
      <c r="C261" s="313">
        <f>IF(E261=E260,C260+1,1)</f>
        <v>8</v>
      </c>
      <c r="D261" s="313">
        <f>IF(M261=M260,D260,C261)</f>
        <v>1</v>
      </c>
      <c r="E261" s="313">
        <f>10+VALUE(RIGHT(LEFT(G261,3),1))</f>
        <v>18</v>
      </c>
      <c r="F261" s="313" t="str">
        <f>RIGHT(G261,2) &amp; IF(A261&lt;2,"x","")</f>
        <v>pm</v>
      </c>
      <c r="G261" s="313" t="s">
        <v>1126</v>
      </c>
      <c r="H261" s="313" t="s">
        <v>559</v>
      </c>
      <c r="I261" s="313" t="s">
        <v>1127</v>
      </c>
      <c r="K261" s="314">
        <f>LOOKUP(1E+100,M261:AC261)</f>
        <v>2950.854734176065</v>
      </c>
      <c r="M261" s="314">
        <v>3000</v>
      </c>
      <c r="R261" s="313" t="str">
        <f>IF(AND((J261="This"),(L261="Only")),VLOOKUP(G261,#REF!,7,FALSE),"")</f>
        <v/>
      </c>
      <c r="W261" s="313">
        <v>2950.854734176065</v>
      </c>
    </row>
    <row r="262" spans="1:24" x14ac:dyDescent="0.25">
      <c r="A262" s="313">
        <v>3</v>
      </c>
      <c r="C262" s="313">
        <f>IF(E262=E261,C261+1,1)</f>
        <v>9</v>
      </c>
      <c r="D262" s="313">
        <f>IF(M262=M261,D261,C262)</f>
        <v>1</v>
      </c>
      <c r="E262" s="313">
        <f>10+VALUE(RIGHT(LEFT(G262,3),1))</f>
        <v>18</v>
      </c>
      <c r="F262" s="313" t="str">
        <f>RIGHT(G262,2) &amp; IF(A262&lt;2,"x","")</f>
        <v>pm</v>
      </c>
      <c r="G262" s="313" t="s">
        <v>1107</v>
      </c>
      <c r="H262" s="313" t="s">
        <v>213</v>
      </c>
      <c r="I262" s="313" t="s">
        <v>1108</v>
      </c>
      <c r="K262" s="314">
        <f>LOOKUP(1E+100,M262:AC262)</f>
        <v>2924.5527645061525</v>
      </c>
      <c r="M262" s="314">
        <v>3000</v>
      </c>
      <c r="N262" s="313">
        <v>2913.866898564183</v>
      </c>
      <c r="R262" s="313" t="str">
        <f>IF(AND((J262="This"),(L262="Only")),VLOOKUP(G262,#REF!,7,FALSE),"")</f>
        <v/>
      </c>
      <c r="W262" s="313">
        <v>2924.5527645061525</v>
      </c>
    </row>
    <row r="263" spans="1:24" x14ac:dyDescent="0.25">
      <c r="A263" s="313">
        <v>4</v>
      </c>
      <c r="C263" s="313">
        <f>IF(E263=E262,C262+1,1)</f>
        <v>10</v>
      </c>
      <c r="D263" s="313">
        <f>IF(M263=M262,D262,C263)</f>
        <v>10</v>
      </c>
      <c r="E263" s="313">
        <f>10+VALUE(RIGHT(LEFT(G263,3),1))</f>
        <v>18</v>
      </c>
      <c r="F263" s="313" t="str">
        <f>RIGHT(G263,2) &amp; IF(A263&lt;2,"x","")</f>
        <v>pm</v>
      </c>
      <c r="G263" s="313" t="s">
        <v>1155</v>
      </c>
      <c r="H263" s="313" t="s">
        <v>235</v>
      </c>
      <c r="I263" s="313" t="s">
        <v>1156</v>
      </c>
      <c r="K263" s="314">
        <f>LOOKUP(1E+100,M263:AC263)</f>
        <v>2890.9544526692098</v>
      </c>
      <c r="M263" s="314">
        <v>2700</v>
      </c>
      <c r="O263" s="313">
        <v>2776.0452308811364</v>
      </c>
      <c r="R263" s="313" t="str">
        <f>IF(AND((J263="This"),(L263="Only")),VLOOKUP(G263,#REF!,7,FALSE),"")</f>
        <v/>
      </c>
      <c r="S263" s="313">
        <v>2783.0988267322386</v>
      </c>
      <c r="U263" s="313">
        <v>2827.7212205588357</v>
      </c>
      <c r="W263" s="313">
        <v>2890.9544526692098</v>
      </c>
    </row>
    <row r="264" spans="1:24" x14ac:dyDescent="0.25">
      <c r="A264" s="313">
        <v>4</v>
      </c>
      <c r="C264" s="313">
        <f>IF(E264=E263,C263+1,1)</f>
        <v>11</v>
      </c>
      <c r="D264" s="313">
        <f>IF(M264=M263,D263,C264)</f>
        <v>11</v>
      </c>
      <c r="E264" s="313">
        <f>10+VALUE(RIGHT(LEFT(G264,3),1))</f>
        <v>18</v>
      </c>
      <c r="F264" s="313" t="str">
        <f>RIGHT(G264,2) &amp; IF(A264&lt;2,"x","")</f>
        <v>pm</v>
      </c>
      <c r="G264" s="313" t="s">
        <v>1153</v>
      </c>
      <c r="H264" s="313" t="s">
        <v>199</v>
      </c>
      <c r="I264" s="313" t="s">
        <v>1154</v>
      </c>
      <c r="K264" s="314">
        <f>LOOKUP(1E+100,M264:AC264)</f>
        <v>2863.8315277287957</v>
      </c>
      <c r="M264" s="314">
        <v>2900</v>
      </c>
      <c r="O264" s="313">
        <v>2844.5131492724072</v>
      </c>
      <c r="P264" s="313">
        <v>2852.013041893284</v>
      </c>
      <c r="R264" s="313" t="str">
        <f>IF(AND((J264="This"),(L264="Only")),VLOOKUP(G264,#REF!,7,FALSE),"")</f>
        <v/>
      </c>
      <c r="U264" s="313">
        <v>2863.8315277287957</v>
      </c>
    </row>
    <row r="265" spans="1:24" x14ac:dyDescent="0.25">
      <c r="A265" s="313">
        <v>6</v>
      </c>
      <c r="C265" s="313">
        <f>IF(E265=E264,C264+1,1)</f>
        <v>12</v>
      </c>
      <c r="D265" s="313">
        <f>IF(M265=M264,D264,C265)</f>
        <v>12</v>
      </c>
      <c r="E265" s="313">
        <f>10+VALUE(RIGHT(LEFT(G265,3),1))</f>
        <v>18</v>
      </c>
      <c r="F265" s="313" t="str">
        <f>RIGHT(G265,2) &amp; IF(A265&lt;2,"x","")</f>
        <v>pm</v>
      </c>
      <c r="G265" s="313" t="s">
        <v>1119</v>
      </c>
      <c r="H265" s="313" t="s">
        <v>411</v>
      </c>
      <c r="I265" s="313" t="s">
        <v>1120</v>
      </c>
      <c r="K265" s="314">
        <f>LOOKUP(1E+100,M265:AC265)</f>
        <v>2826.5429016799544</v>
      </c>
      <c r="M265" s="314">
        <v>3000</v>
      </c>
      <c r="P265" s="313">
        <v>3018.0395256703673</v>
      </c>
      <c r="R265" s="313" t="str">
        <f>IF(AND((J265="This"),(L265="Only")),VLOOKUP(G265,#REF!,7,FALSE),"")</f>
        <v/>
      </c>
      <c r="S265" s="313">
        <v>2936.7667185645291</v>
      </c>
      <c r="U265" s="313">
        <v>2875.3494936020707</v>
      </c>
      <c r="W265" s="313">
        <v>2826.5429016799544</v>
      </c>
    </row>
    <row r="266" spans="1:24" x14ac:dyDescent="0.25">
      <c r="A266" s="313">
        <v>4</v>
      </c>
      <c r="C266" s="313">
        <f>IF(E266=E265,C265+1,1)</f>
        <v>13</v>
      </c>
      <c r="D266" s="313">
        <f>IF(M266=M265,D265,C266)</f>
        <v>13</v>
      </c>
      <c r="E266" s="313">
        <f>10+VALUE(RIGHT(LEFT(G266,3),1))</f>
        <v>18</v>
      </c>
      <c r="F266" s="313" t="str">
        <f>RIGHT(G266,2) &amp; IF(A266&lt;2,"x","")</f>
        <v>pm</v>
      </c>
      <c r="G266" s="313" t="s">
        <v>1163</v>
      </c>
      <c r="H266" s="313" t="s">
        <v>1164</v>
      </c>
      <c r="I266" s="313" t="s">
        <v>1165</v>
      </c>
      <c r="K266" s="314">
        <f>LOOKUP(1E+100,M266:AC266)</f>
        <v>2769.9544095367178</v>
      </c>
      <c r="M266" s="314">
        <v>2600</v>
      </c>
      <c r="O266" s="313">
        <v>2680.3264856208189</v>
      </c>
      <c r="R266" s="313" t="str">
        <f>IF(AND((J266="This"),(L266="Only")),VLOOKUP(G266,#REF!,7,FALSE),"")</f>
        <v/>
      </c>
      <c r="T266" s="313">
        <v>2769.9544095367178</v>
      </c>
    </row>
    <row r="267" spans="1:24" x14ac:dyDescent="0.25">
      <c r="A267" s="313">
        <v>4</v>
      </c>
      <c r="C267" s="313">
        <f>IF(E267=E266,C266+1,1)</f>
        <v>14</v>
      </c>
      <c r="D267" s="313">
        <f>IF(M267=M266,D266,C267)</f>
        <v>14</v>
      </c>
      <c r="E267" s="313">
        <f>10+VALUE(RIGHT(LEFT(G267,3),1))</f>
        <v>18</v>
      </c>
      <c r="F267" s="313" t="str">
        <f>RIGHT(G267,2) &amp; IF(A267&lt;2,"x","")</f>
        <v>pm</v>
      </c>
      <c r="G267" s="313" t="s">
        <v>1150</v>
      </c>
      <c r="H267" s="313" t="s">
        <v>1151</v>
      </c>
      <c r="I267" s="313" t="s">
        <v>1152</v>
      </c>
      <c r="K267" s="314">
        <f>LOOKUP(1E+100,M267:AC267)</f>
        <v>2738.8655374245086</v>
      </c>
      <c r="M267" s="314">
        <v>2900</v>
      </c>
      <c r="P267" s="313">
        <v>2825.7321255667107</v>
      </c>
      <c r="R267" s="313" t="str">
        <f>IF(AND((J267="This"),(L267="Only")),VLOOKUP(G267,#REF!,7,FALSE),"")</f>
        <v/>
      </c>
      <c r="S267" s="313">
        <v>2756.6598634333782</v>
      </c>
      <c r="U267" s="313">
        <v>2778.8957456721564</v>
      </c>
      <c r="W267" s="313">
        <v>2738.8655374245086</v>
      </c>
    </row>
    <row r="268" spans="1:24" x14ac:dyDescent="0.25">
      <c r="A268" s="313">
        <v>7</v>
      </c>
      <c r="C268" s="313">
        <f>IF(E268=E267,C267+1,1)</f>
        <v>15</v>
      </c>
      <c r="D268" s="313">
        <f>IF(M268=M267,D267,C268)</f>
        <v>15</v>
      </c>
      <c r="E268" s="313">
        <f>10+VALUE(RIGHT(LEFT(G268,3),1))</f>
        <v>18</v>
      </c>
      <c r="F268" s="313" t="str">
        <f>RIGHT(G268,2) &amp; IF(A268&lt;2,"x","")</f>
        <v>pm</v>
      </c>
      <c r="G268" s="313" t="s">
        <v>469</v>
      </c>
      <c r="H268" s="313" t="s">
        <v>470</v>
      </c>
      <c r="I268" s="313" t="s">
        <v>468</v>
      </c>
      <c r="K268" s="314">
        <f>LOOKUP(1E+100,M268:AC268)</f>
        <v>2657.5586247368501</v>
      </c>
      <c r="M268" s="314">
        <v>2600</v>
      </c>
      <c r="O268" s="313">
        <v>2635.3110386339977</v>
      </c>
      <c r="R268" s="313" t="str">
        <f>IF(AND((J268="This"),(L268="Only")),VLOOKUP(G268,#REF!,7,FALSE),"")</f>
        <v/>
      </c>
      <c r="S268" s="313">
        <v>2679.1300397754653</v>
      </c>
      <c r="T268" s="313">
        <v>2607.9641530366357</v>
      </c>
      <c r="V268" s="313">
        <v>2679.7684181029094</v>
      </c>
      <c r="X268" s="313">
        <v>2657.5586247368501</v>
      </c>
    </row>
    <row r="269" spans="1:24" x14ac:dyDescent="0.25">
      <c r="A269" s="313">
        <v>6</v>
      </c>
      <c r="C269" s="313">
        <f>IF(E269=E268,C268+1,1)</f>
        <v>16</v>
      </c>
      <c r="D269" s="313">
        <f>IF(M269=M268,D268,C269)</f>
        <v>15</v>
      </c>
      <c r="E269" s="313">
        <f>10+VALUE(RIGHT(LEFT(G269,3),1))</f>
        <v>18</v>
      </c>
      <c r="F269" s="313" t="str">
        <f>RIGHT(G269,2) &amp; IF(A269&lt;2,"x","")</f>
        <v>pm</v>
      </c>
      <c r="G269" s="313" t="s">
        <v>447</v>
      </c>
      <c r="H269" s="313" t="s">
        <v>217</v>
      </c>
      <c r="I269" s="313" t="s">
        <v>197</v>
      </c>
      <c r="K269" s="314">
        <f>LOOKUP(1E+100,M269:AC269)</f>
        <v>2525.9864157239717</v>
      </c>
      <c r="M269" s="314">
        <v>2600</v>
      </c>
      <c r="O269" s="313">
        <v>2566.197479933051</v>
      </c>
      <c r="R269" s="313" t="str">
        <f>IF(AND((J269="This"),(L269="Only")),VLOOKUP(G269,#REF!,7,FALSE),"")</f>
        <v/>
      </c>
      <c r="S269" s="313">
        <v>2571.5829841924087</v>
      </c>
      <c r="T269" s="313">
        <v>2604.5313523756722</v>
      </c>
      <c r="V269" s="313">
        <v>2574.5716672740141</v>
      </c>
      <c r="X269" s="313">
        <v>2525.9864157239717</v>
      </c>
    </row>
    <row r="270" spans="1:24" x14ac:dyDescent="0.25">
      <c r="A270" s="313">
        <v>5</v>
      </c>
      <c r="C270" s="313">
        <f>IF(E270=E269,C269+1,1)</f>
        <v>17</v>
      </c>
      <c r="D270" s="313">
        <f>IF(M270=M269,D269,C270)</f>
        <v>15</v>
      </c>
      <c r="E270" s="313">
        <f>10+VALUE(RIGHT(LEFT(G270,3),1))</f>
        <v>18</v>
      </c>
      <c r="F270" s="313" t="str">
        <f>RIGHT(G270,2) &amp; IF(A270&lt;2,"x","")</f>
        <v>pm</v>
      </c>
      <c r="G270" s="313" t="s">
        <v>223</v>
      </c>
      <c r="H270" s="313" t="s">
        <v>205</v>
      </c>
      <c r="I270" s="313" t="s">
        <v>388</v>
      </c>
      <c r="K270" s="314">
        <f>LOOKUP(1E+100,M270:AC270)</f>
        <v>2494.8114327205249</v>
      </c>
      <c r="M270" s="314">
        <v>2600</v>
      </c>
      <c r="R270" s="313" t="str">
        <f>IF(AND((J270="This"),(L270="Only")),VLOOKUP(G270,#REF!,7,FALSE),"")</f>
        <v/>
      </c>
      <c r="S270" s="313">
        <v>2637.3852923767972</v>
      </c>
      <c r="T270" s="313">
        <v>2601.7693263635874</v>
      </c>
      <c r="V270" s="313">
        <v>2580.5462836263409</v>
      </c>
      <c r="X270" s="313">
        <v>2494.8114327205249</v>
      </c>
    </row>
    <row r="271" spans="1:24" x14ac:dyDescent="0.25">
      <c r="A271" s="313">
        <v>6</v>
      </c>
      <c r="C271" s="313">
        <f>IF(E271=E270,C270+1,1)</f>
        <v>18</v>
      </c>
      <c r="D271" s="313">
        <f>IF(M271=M270,D270,C271)</f>
        <v>18</v>
      </c>
      <c r="E271" s="313">
        <f>10+VALUE(RIGHT(LEFT(G271,3),1))</f>
        <v>18</v>
      </c>
      <c r="F271" s="313" t="str">
        <f>RIGHT(G271,2) &amp; IF(A271&lt;2,"x","")</f>
        <v>pm</v>
      </c>
      <c r="G271" s="313" t="s">
        <v>1157</v>
      </c>
      <c r="H271" s="313" t="s">
        <v>230</v>
      </c>
      <c r="I271" s="313" t="s">
        <v>1158</v>
      </c>
      <c r="K271" s="314">
        <f>LOOKUP(1E+100,M271:AC271)</f>
        <v>2478.8272462330083</v>
      </c>
      <c r="M271" s="314">
        <v>2666.6666666666665</v>
      </c>
      <c r="O271" s="313">
        <v>2606.2172201158401</v>
      </c>
      <c r="R271" s="313" t="str">
        <f>IF(AND((J271="This"),(L271="Only")),VLOOKUP(G271,#REF!,7,FALSE),"")</f>
        <v/>
      </c>
      <c r="S271" s="313">
        <v>2533.5380243836562</v>
      </c>
      <c r="V271" s="313">
        <v>2478.8272462330083</v>
      </c>
    </row>
    <row r="276" spans="7:7" x14ac:dyDescent="0.25">
      <c r="G276" s="1032"/>
    </row>
    <row r="290" spans="7:7" x14ac:dyDescent="0.25">
      <c r="G290" s="1032"/>
    </row>
    <row r="431" spans="7:9" x14ac:dyDescent="0.25">
      <c r="G431" s="1034"/>
      <c r="H431" s="1032"/>
    </row>
    <row r="432" spans="7:9" x14ac:dyDescent="0.25">
      <c r="G432" s="1034"/>
      <c r="H432" s="1032"/>
      <c r="I432" s="1032"/>
    </row>
    <row r="433" spans="7:9" x14ac:dyDescent="0.25">
      <c r="G433" s="1034"/>
      <c r="H433" s="1032"/>
      <c r="I433" s="1032"/>
    </row>
  </sheetData>
  <sortState ref="A2:AI445">
    <sortCondition ref="E2:E999"/>
    <sortCondition descending="1" ref="K2:K999"/>
    <sortCondition ref="G2:G999"/>
  </sortState>
  <conditionalFormatting sqref="C264:F264 AJ428:IV431 A428:AG431 A434:AG435 AJ434:IV435 A442:AG442 AJ442:IV442 A446:AG65536 AJ446:IV65536">
    <cfRule type="expression" dxfId="292" priority="186">
      <formula>$E264=10</formula>
    </cfRule>
    <cfRule type="expression" dxfId="291" priority="187">
      <formula>$E264=11</formula>
    </cfRule>
    <cfRule type="expression" dxfId="290" priority="188">
      <formula>$E264=18</formula>
    </cfRule>
    <cfRule type="expression" dxfId="289" priority="189">
      <formula>$E264=17</formula>
    </cfRule>
    <cfRule type="expression" dxfId="288" priority="190">
      <formula>$E264=16</formula>
    </cfRule>
    <cfRule type="expression" dxfId="287" priority="191">
      <formula>$E264=15</formula>
    </cfRule>
    <cfRule type="expression" dxfId="286" priority="192">
      <formula>$E264=14</formula>
    </cfRule>
    <cfRule type="expression" dxfId="285" priority="193">
      <formula>$E264=13</formula>
    </cfRule>
    <cfRule type="expression" dxfId="284" priority="194">
      <formula>$E264=12</formula>
    </cfRule>
  </conditionalFormatting>
  <conditionalFormatting sqref="K2:K427">
    <cfRule type="expression" dxfId="283" priority="177">
      <formula>$E2=10</formula>
    </cfRule>
    <cfRule type="expression" dxfId="282" priority="178">
      <formula>$E2=11</formula>
    </cfRule>
    <cfRule type="expression" dxfId="281" priority="179">
      <formula>$E2=18</formula>
    </cfRule>
    <cfRule type="expression" dxfId="280" priority="180">
      <formula>$E2=17</formula>
    </cfRule>
    <cfRule type="expression" dxfId="279" priority="181">
      <formula>$E2=16</formula>
    </cfRule>
    <cfRule type="expression" dxfId="278" priority="182">
      <formula>$E2=15</formula>
    </cfRule>
    <cfRule type="expression" dxfId="277" priority="183">
      <formula>$E2=14</formula>
    </cfRule>
    <cfRule type="expression" dxfId="276" priority="184">
      <formula>$E2=13</formula>
    </cfRule>
    <cfRule type="expression" dxfId="275" priority="185">
      <formula>$E2=12</formula>
    </cfRule>
  </conditionalFormatting>
  <conditionalFormatting sqref="G1:I1">
    <cfRule type="containsText" dxfId="274" priority="293" operator="containsText" text="CSRA">
      <formula>NOT(ISERROR(SEARCH("CSRA",G1)))</formula>
    </cfRule>
  </conditionalFormatting>
  <conditionalFormatting sqref="AJ1:IV431 A1:AG431 A434:AG435 AJ434:IV435 A442:AG442 AJ442:IV442 A446:AG65536 AJ446:IV65536">
    <cfRule type="expression" dxfId="273" priority="285">
      <formula>$E1&lt;12</formula>
    </cfRule>
    <cfRule type="expression" dxfId="272" priority="286">
      <formula>$E1=18</formula>
    </cfRule>
    <cfRule type="expression" dxfId="271" priority="287">
      <formula>$E1=17</formula>
    </cfRule>
    <cfRule type="expression" dxfId="270" priority="288">
      <formula>$E1=16</formula>
    </cfRule>
    <cfRule type="expression" dxfId="269" priority="289">
      <formula>$E1=15</formula>
    </cfRule>
    <cfRule type="expression" dxfId="268" priority="290">
      <formula>$E1=14</formula>
    </cfRule>
    <cfRule type="expression" dxfId="267" priority="291">
      <formula>$E1=13</formula>
    </cfRule>
    <cfRule type="expression" dxfId="266" priority="292">
      <formula>$E1=12</formula>
    </cfRule>
  </conditionalFormatting>
  <conditionalFormatting sqref="AJ1:IV427 A1:AG427 R428:R431">
    <cfRule type="expression" dxfId="265" priority="276">
      <formula>$E1=10</formula>
    </cfRule>
    <cfRule type="expression" dxfId="264" priority="277">
      <formula>$E1=11</formula>
    </cfRule>
    <cfRule type="expression" dxfId="263" priority="278">
      <formula>$E1=18</formula>
    </cfRule>
    <cfRule type="expression" dxfId="262" priority="279">
      <formula>$E1=17</formula>
    </cfRule>
    <cfRule type="expression" dxfId="261" priority="280">
      <formula>$E1=16</formula>
    </cfRule>
    <cfRule type="expression" dxfId="260" priority="281">
      <formula>$E1=15</formula>
    </cfRule>
    <cfRule type="expression" dxfId="259" priority="282">
      <formula>$E1=14</formula>
    </cfRule>
    <cfRule type="expression" dxfId="258" priority="283">
      <formula>$E1=13</formula>
    </cfRule>
    <cfRule type="expression" dxfId="257" priority="284">
      <formula>$E1=12</formula>
    </cfRule>
  </conditionalFormatting>
  <conditionalFormatting sqref="A255:AG255 AK255:IV255">
    <cfRule type="expression" dxfId="256" priority="267">
      <formula>$E255=10</formula>
    </cfRule>
    <cfRule type="expression" dxfId="255" priority="268">
      <formula>$E255=11</formula>
    </cfRule>
    <cfRule type="expression" dxfId="254" priority="269">
      <formula>$E255=18</formula>
    </cfRule>
    <cfRule type="expression" dxfId="253" priority="270">
      <formula>$E255=17</formula>
    </cfRule>
    <cfRule type="expression" dxfId="252" priority="271">
      <formula>$E255=16</formula>
    </cfRule>
    <cfRule type="expression" dxfId="251" priority="272">
      <formula>$E255=15</formula>
    </cfRule>
    <cfRule type="expression" dxfId="250" priority="273">
      <formula>$E255=14</formula>
    </cfRule>
    <cfRule type="expression" dxfId="249" priority="274">
      <formula>$E255=13</formula>
    </cfRule>
    <cfRule type="expression" dxfId="248" priority="275">
      <formula>$E255=12</formula>
    </cfRule>
  </conditionalFormatting>
  <conditionalFormatting sqref="AK265:IV268 A265:AG268">
    <cfRule type="expression" dxfId="247" priority="258">
      <formula>$E265=10</formula>
    </cfRule>
    <cfRule type="expression" dxfId="246" priority="259">
      <formula>$E265=11</formula>
    </cfRule>
    <cfRule type="expression" dxfId="245" priority="260">
      <formula>$E265=18</formula>
    </cfRule>
    <cfRule type="expression" dxfId="244" priority="261">
      <formula>$E265=17</formula>
    </cfRule>
    <cfRule type="expression" dxfId="243" priority="262">
      <formula>$E265=16</formula>
    </cfRule>
    <cfRule type="expression" dxfId="242" priority="263">
      <formula>$E265=15</formula>
    </cfRule>
    <cfRule type="expression" dxfId="241" priority="264">
      <formula>$E265=14</formula>
    </cfRule>
    <cfRule type="expression" dxfId="240" priority="265">
      <formula>$E265=13</formula>
    </cfRule>
    <cfRule type="expression" dxfId="239" priority="266">
      <formula>$E265=12</formula>
    </cfRule>
  </conditionalFormatting>
  <conditionalFormatting sqref="A262:AG262 A261:F261 J261:AG261 H263 K263:AG263 A263:F263 AJ261:IV263">
    <cfRule type="expression" dxfId="238" priority="249">
      <formula>$E261=10</formula>
    </cfRule>
    <cfRule type="expression" dxfId="237" priority="250">
      <formula>$E261=11</formula>
    </cfRule>
    <cfRule type="expression" dxfId="236" priority="251">
      <formula>$E261=18</formula>
    </cfRule>
    <cfRule type="expression" dxfId="235" priority="252">
      <formula>$E261=17</formula>
    </cfRule>
    <cfRule type="expression" dxfId="234" priority="253">
      <formula>$E261=16</formula>
    </cfRule>
    <cfRule type="expression" dxfId="233" priority="254">
      <formula>$E261=15</formula>
    </cfRule>
    <cfRule type="expression" dxfId="232" priority="255">
      <formula>$E261=14</formula>
    </cfRule>
    <cfRule type="expression" dxfId="231" priority="256">
      <formula>$E261=13</formula>
    </cfRule>
    <cfRule type="expression" dxfId="230" priority="257">
      <formula>$E261=12</formula>
    </cfRule>
  </conditionalFormatting>
  <conditionalFormatting sqref="H261">
    <cfRule type="expression" dxfId="229" priority="240">
      <formula>$E261=10</formula>
    </cfRule>
    <cfRule type="expression" dxfId="228" priority="241">
      <formula>$E261=11</formula>
    </cfRule>
    <cfRule type="expression" dxfId="227" priority="242">
      <formula>$E261=18</formula>
    </cfRule>
    <cfRule type="expression" dxfId="226" priority="243">
      <formula>$E261=17</formula>
    </cfRule>
    <cfRule type="expression" dxfId="225" priority="244">
      <formula>$E261=16</formula>
    </cfRule>
    <cfRule type="expression" dxfId="224" priority="245">
      <formula>$E261=15</formula>
    </cfRule>
    <cfRule type="expression" dxfId="223" priority="246">
      <formula>$E261=14</formula>
    </cfRule>
    <cfRule type="expression" dxfId="222" priority="247">
      <formula>$E261=13</formula>
    </cfRule>
    <cfRule type="expression" dxfId="221" priority="248">
      <formula>$E261=12</formula>
    </cfRule>
  </conditionalFormatting>
  <conditionalFormatting sqref="A258:AG260 C261:F427 AJ258:IV260">
    <cfRule type="expression" dxfId="220" priority="231">
      <formula>$E258=10</formula>
    </cfRule>
    <cfRule type="expression" dxfId="219" priority="232">
      <formula>$E258=11</formula>
    </cfRule>
    <cfRule type="expression" dxfId="218" priority="233">
      <formula>$E258=18</formula>
    </cfRule>
    <cfRule type="expression" dxfId="217" priority="234">
      <formula>$E258=17</formula>
    </cfRule>
    <cfRule type="expression" dxfId="216" priority="235">
      <formula>$E258=16</formula>
    </cfRule>
    <cfRule type="expression" dxfId="215" priority="236">
      <formula>$E258=15</formula>
    </cfRule>
    <cfRule type="expression" dxfId="214" priority="237">
      <formula>$E258=14</formula>
    </cfRule>
    <cfRule type="expression" dxfId="213" priority="238">
      <formula>$E258=13</formula>
    </cfRule>
    <cfRule type="expression" dxfId="212" priority="239">
      <formula>$E258=12</formula>
    </cfRule>
  </conditionalFormatting>
  <conditionalFormatting sqref="A264:B264 J264 N264:AG264 L264 H264 AJ264:IV264">
    <cfRule type="expression" dxfId="211" priority="222">
      <formula>$E264=10</formula>
    </cfRule>
    <cfRule type="expression" dxfId="210" priority="223">
      <formula>$E264=11</formula>
    </cfRule>
    <cfRule type="expression" dxfId="209" priority="224">
      <formula>$E264=18</formula>
    </cfRule>
    <cfRule type="expression" dxfId="208" priority="225">
      <formula>$E264=17</formula>
    </cfRule>
    <cfRule type="expression" dxfId="207" priority="226">
      <formula>$E264=16</formula>
    </cfRule>
    <cfRule type="expression" dxfId="206" priority="227">
      <formula>$E264=15</formula>
    </cfRule>
    <cfRule type="expression" dxfId="205" priority="228">
      <formula>$E264=14</formula>
    </cfRule>
    <cfRule type="expression" dxfId="204" priority="229">
      <formula>$E264=13</formula>
    </cfRule>
    <cfRule type="expression" dxfId="203" priority="230">
      <formula>$E264=12</formula>
    </cfRule>
  </conditionalFormatting>
  <conditionalFormatting sqref="M264">
    <cfRule type="expression" dxfId="202" priority="213">
      <formula>$E264=10</formula>
    </cfRule>
    <cfRule type="expression" dxfId="201" priority="214">
      <formula>$E264=11</formula>
    </cfRule>
    <cfRule type="expression" dxfId="200" priority="215">
      <formula>$E264=18</formula>
    </cfRule>
    <cfRule type="expression" dxfId="199" priority="216">
      <formula>$E264=17</formula>
    </cfRule>
    <cfRule type="expression" dxfId="198" priority="217">
      <formula>$E264=16</formula>
    </cfRule>
    <cfRule type="expression" dxfId="197" priority="218">
      <formula>$E264=15</formula>
    </cfRule>
    <cfRule type="expression" dxfId="196" priority="219">
      <formula>$E264=14</formula>
    </cfRule>
    <cfRule type="expression" dxfId="195" priority="220">
      <formula>$E264=13</formula>
    </cfRule>
    <cfRule type="expression" dxfId="194" priority="221">
      <formula>$E264=12</formula>
    </cfRule>
  </conditionalFormatting>
  <conditionalFormatting sqref="K264">
    <cfRule type="expression" dxfId="193" priority="204">
      <formula>$E264=10</formula>
    </cfRule>
    <cfRule type="expression" dxfId="192" priority="205">
      <formula>$E264=11</formula>
    </cfRule>
    <cfRule type="expression" dxfId="191" priority="206">
      <formula>$E264=18</formula>
    </cfRule>
    <cfRule type="expression" dxfId="190" priority="207">
      <formula>$E264=17</formula>
    </cfRule>
    <cfRule type="expression" dxfId="189" priority="208">
      <formula>$E264=16</formula>
    </cfRule>
    <cfRule type="expression" dxfId="188" priority="209">
      <formula>$E264=15</formula>
    </cfRule>
    <cfRule type="expression" dxfId="187" priority="210">
      <formula>$E264=14</formula>
    </cfRule>
    <cfRule type="expression" dxfId="186" priority="211">
      <formula>$E264=13</formula>
    </cfRule>
    <cfRule type="expression" dxfId="185" priority="212">
      <formula>$E264=12</formula>
    </cfRule>
  </conditionalFormatting>
  <conditionalFormatting sqref="G264">
    <cfRule type="expression" dxfId="184" priority="195">
      <formula>$E264=10</formula>
    </cfRule>
    <cfRule type="expression" dxfId="183" priority="196">
      <formula>$E264=11</formula>
    </cfRule>
    <cfRule type="expression" dxfId="182" priority="197">
      <formula>$E264=18</formula>
    </cfRule>
    <cfRule type="expression" dxfId="181" priority="198">
      <formula>$E264=17</formula>
    </cfRule>
    <cfRule type="expression" dxfId="180" priority="199">
      <formula>$E264=16</formula>
    </cfRule>
    <cfRule type="expression" dxfId="179" priority="200">
      <formula>$E264=15</formula>
    </cfRule>
    <cfRule type="expression" dxfId="178" priority="201">
      <formula>$E264=14</formula>
    </cfRule>
    <cfRule type="expression" dxfId="177" priority="202">
      <formula>$E264=13</formula>
    </cfRule>
    <cfRule type="expression" dxfId="176" priority="203">
      <formula>$E264=12</formula>
    </cfRule>
  </conditionalFormatting>
  <conditionalFormatting sqref="C429:F431">
    <cfRule type="expression" dxfId="175" priority="168">
      <formula>$E429=10</formula>
    </cfRule>
    <cfRule type="expression" dxfId="174" priority="169">
      <formula>$E429=11</formula>
    </cfRule>
    <cfRule type="expression" dxfId="173" priority="170">
      <formula>$E429=18</formula>
    </cfRule>
    <cfRule type="expression" dxfId="172" priority="171">
      <formula>$E429=17</formula>
    </cfRule>
    <cfRule type="expression" dxfId="171" priority="172">
      <formula>$E429=16</formula>
    </cfRule>
    <cfRule type="expression" dxfId="170" priority="173">
      <formula>$E429=15</formula>
    </cfRule>
    <cfRule type="expression" dxfId="169" priority="174">
      <formula>$E429=14</formula>
    </cfRule>
    <cfRule type="expression" dxfId="168" priority="175">
      <formula>$E429=13</formula>
    </cfRule>
    <cfRule type="expression" dxfId="167" priority="176">
      <formula>$E429=12</formula>
    </cfRule>
  </conditionalFormatting>
  <conditionalFormatting sqref="C429:F431">
    <cfRule type="expression" dxfId="166" priority="159">
      <formula>$E429=10</formula>
    </cfRule>
    <cfRule type="expression" dxfId="165" priority="160">
      <formula>$E429=11</formula>
    </cfRule>
    <cfRule type="expression" dxfId="164" priority="161">
      <formula>$E429=18</formula>
    </cfRule>
    <cfRule type="expression" dxfId="163" priority="162">
      <formula>$E429=17</formula>
    </cfRule>
    <cfRule type="expression" dxfId="162" priority="163">
      <formula>$E429=16</formula>
    </cfRule>
    <cfRule type="expression" dxfId="161" priority="164">
      <formula>$E429=15</formula>
    </cfRule>
    <cfRule type="expression" dxfId="160" priority="165">
      <formula>$E429=14</formula>
    </cfRule>
    <cfRule type="expression" dxfId="159" priority="166">
      <formula>$E429=13</formula>
    </cfRule>
    <cfRule type="expression" dxfId="158" priority="167">
      <formula>$E429=12</formula>
    </cfRule>
  </conditionalFormatting>
  <conditionalFormatting sqref="K429:K431">
    <cfRule type="expression" dxfId="157" priority="141">
      <formula>$E429=10</formula>
    </cfRule>
    <cfRule type="expression" dxfId="156" priority="142">
      <formula>$E429=11</formula>
    </cfRule>
    <cfRule type="expression" dxfId="155" priority="143">
      <formula>$E429=18</formula>
    </cfRule>
    <cfRule type="expression" dxfId="154" priority="144">
      <formula>$E429=17</formula>
    </cfRule>
    <cfRule type="expression" dxfId="153" priority="145">
      <formula>$E429=16</formula>
    </cfRule>
    <cfRule type="expression" dxfId="152" priority="146">
      <formula>$E429=15</formula>
    </cfRule>
    <cfRule type="expression" dxfId="151" priority="147">
      <formula>$E429=14</formula>
    </cfRule>
    <cfRule type="expression" dxfId="150" priority="148">
      <formula>$E429=13</formula>
    </cfRule>
    <cfRule type="expression" dxfId="149" priority="149">
      <formula>$E429=12</formula>
    </cfRule>
  </conditionalFormatting>
  <conditionalFormatting sqref="H429:M431">
    <cfRule type="expression" dxfId="148" priority="150">
      <formula>$E429=10</formula>
    </cfRule>
    <cfRule type="expression" dxfId="147" priority="151">
      <formula>$E429=11</formula>
    </cfRule>
    <cfRule type="expression" dxfId="146" priority="152">
      <formula>$E429=18</formula>
    </cfRule>
    <cfRule type="expression" dxfId="145" priority="153">
      <formula>$E429=17</formula>
    </cfRule>
    <cfRule type="expression" dxfId="144" priority="154">
      <formula>$E429=16</formula>
    </cfRule>
    <cfRule type="expression" dxfId="143" priority="155">
      <formula>$E429=15</formula>
    </cfRule>
    <cfRule type="expression" dxfId="142" priority="156">
      <formula>$E429=14</formula>
    </cfRule>
    <cfRule type="expression" dxfId="141" priority="157">
      <formula>$E429=13</formula>
    </cfRule>
    <cfRule type="expression" dxfId="140" priority="158">
      <formula>$E429=12</formula>
    </cfRule>
  </conditionalFormatting>
  <conditionalFormatting sqref="AJ432:IV432 A432:AG432">
    <cfRule type="expression" dxfId="139" priority="124">
      <formula>$E432=10</formula>
    </cfRule>
    <cfRule type="expression" dxfId="138" priority="125">
      <formula>$E432=11</formula>
    </cfRule>
    <cfRule type="expression" dxfId="137" priority="126">
      <formula>$E432=18</formula>
    </cfRule>
    <cfRule type="expression" dxfId="136" priority="127">
      <formula>$E432=17</formula>
    </cfRule>
    <cfRule type="expression" dxfId="135" priority="128">
      <formula>$E432=16</formula>
    </cfRule>
    <cfRule type="expression" dxfId="134" priority="129">
      <formula>$E432=15</formula>
    </cfRule>
    <cfRule type="expression" dxfId="133" priority="130">
      <formula>$E432=14</formula>
    </cfRule>
    <cfRule type="expression" dxfId="132" priority="131">
      <formula>$E432=13</formula>
    </cfRule>
    <cfRule type="expression" dxfId="131" priority="132">
      <formula>$E432=12</formula>
    </cfRule>
  </conditionalFormatting>
  <conditionalFormatting sqref="K432">
    <cfRule type="expression" dxfId="130" priority="106">
      <formula>$E432=10</formula>
    </cfRule>
    <cfRule type="expression" dxfId="129" priority="107">
      <formula>$E432=11</formula>
    </cfRule>
    <cfRule type="expression" dxfId="128" priority="108">
      <formula>$E432=18</formula>
    </cfRule>
    <cfRule type="expression" dxfId="127" priority="109">
      <formula>$E432=17</formula>
    </cfRule>
    <cfRule type="expression" dxfId="126" priority="110">
      <formula>$E432=16</formula>
    </cfRule>
    <cfRule type="expression" dxfId="125" priority="111">
      <formula>$E432=15</formula>
    </cfRule>
    <cfRule type="expression" dxfId="124" priority="112">
      <formula>$E432=14</formula>
    </cfRule>
    <cfRule type="expression" dxfId="123" priority="113">
      <formula>$E432=13</formula>
    </cfRule>
    <cfRule type="expression" dxfId="122" priority="114">
      <formula>$E432=12</formula>
    </cfRule>
  </conditionalFormatting>
  <conditionalFormatting sqref="C432:F432">
    <cfRule type="expression" dxfId="121" priority="115">
      <formula>$E432=10</formula>
    </cfRule>
    <cfRule type="expression" dxfId="120" priority="116">
      <formula>$E432=11</formula>
    </cfRule>
    <cfRule type="expression" dxfId="119" priority="117">
      <formula>$E432=18</formula>
    </cfRule>
    <cfRule type="expression" dxfId="118" priority="118">
      <formula>$E432=17</formula>
    </cfRule>
    <cfRule type="expression" dxfId="117" priority="119">
      <formula>$E432=16</formula>
    </cfRule>
    <cfRule type="expression" dxfId="116" priority="120">
      <formula>$E432=15</formula>
    </cfRule>
    <cfRule type="expression" dxfId="115" priority="121">
      <formula>$E432=14</formula>
    </cfRule>
    <cfRule type="expression" dxfId="114" priority="122">
      <formula>$E432=13</formula>
    </cfRule>
    <cfRule type="expression" dxfId="113" priority="123">
      <formula>$E432=12</formula>
    </cfRule>
  </conditionalFormatting>
  <conditionalFormatting sqref="AJ432:IV432 A432:AG432">
    <cfRule type="expression" dxfId="112" priority="133">
      <formula>$E432&lt;12</formula>
    </cfRule>
    <cfRule type="expression" dxfId="111" priority="134">
      <formula>$E432=18</formula>
    </cfRule>
    <cfRule type="expression" dxfId="110" priority="135">
      <formula>$E432=17</formula>
    </cfRule>
    <cfRule type="expression" dxfId="109" priority="136">
      <formula>$E432=16</formula>
    </cfRule>
    <cfRule type="expression" dxfId="108" priority="137">
      <formula>$E432=15</formula>
    </cfRule>
    <cfRule type="expression" dxfId="107" priority="138">
      <formula>$E432=14</formula>
    </cfRule>
    <cfRule type="expression" dxfId="106" priority="139">
      <formula>$E432=13</formula>
    </cfRule>
    <cfRule type="expression" dxfId="105" priority="140">
      <formula>$E432=12</formula>
    </cfRule>
  </conditionalFormatting>
  <conditionalFormatting sqref="C433:F433">
    <cfRule type="expression" dxfId="104" priority="80">
      <formula>$E433=10</formula>
    </cfRule>
    <cfRule type="expression" dxfId="103" priority="81">
      <formula>$E433=11</formula>
    </cfRule>
    <cfRule type="expression" dxfId="102" priority="82">
      <formula>$E433=18</formula>
    </cfRule>
    <cfRule type="expression" dxfId="101" priority="83">
      <formula>$E433=17</formula>
    </cfRule>
    <cfRule type="expression" dxfId="100" priority="84">
      <formula>$E433=16</formula>
    </cfRule>
    <cfRule type="expression" dxfId="99" priority="85">
      <formula>$E433=15</formula>
    </cfRule>
    <cfRule type="expression" dxfId="98" priority="86">
      <formula>$E433=14</formula>
    </cfRule>
    <cfRule type="expression" dxfId="97" priority="87">
      <formula>$E433=13</formula>
    </cfRule>
    <cfRule type="expression" dxfId="96" priority="88">
      <formula>$E433=12</formula>
    </cfRule>
  </conditionalFormatting>
  <conditionalFormatting sqref="K433">
    <cfRule type="expression" dxfId="95" priority="71">
      <formula>$E433=10</formula>
    </cfRule>
    <cfRule type="expression" dxfId="94" priority="72">
      <formula>$E433=11</formula>
    </cfRule>
    <cfRule type="expression" dxfId="93" priority="73">
      <formula>$E433=18</formula>
    </cfRule>
    <cfRule type="expression" dxfId="92" priority="74">
      <formula>$E433=17</formula>
    </cfRule>
    <cfRule type="expression" dxfId="91" priority="75">
      <formula>$E433=16</formula>
    </cfRule>
    <cfRule type="expression" dxfId="90" priority="76">
      <formula>$E433=15</formula>
    </cfRule>
    <cfRule type="expression" dxfId="89" priority="77">
      <formula>$E433=14</formula>
    </cfRule>
    <cfRule type="expression" dxfId="88" priority="78">
      <formula>$E433=13</formula>
    </cfRule>
    <cfRule type="expression" dxfId="87" priority="79">
      <formula>$E433=12</formula>
    </cfRule>
  </conditionalFormatting>
  <conditionalFormatting sqref="AJ433:IV433 A433:AG433">
    <cfRule type="expression" dxfId="86" priority="98">
      <formula>$E433&lt;12</formula>
    </cfRule>
    <cfRule type="expression" dxfId="85" priority="99">
      <formula>$E433=18</formula>
    </cfRule>
    <cfRule type="expression" dxfId="84" priority="100">
      <formula>$E433=17</formula>
    </cfRule>
    <cfRule type="expression" dxfId="83" priority="101">
      <formula>$E433=16</formula>
    </cfRule>
    <cfRule type="expression" dxfId="82" priority="102">
      <formula>$E433=15</formula>
    </cfRule>
    <cfRule type="expression" dxfId="81" priority="103">
      <formula>$E433=14</formula>
    </cfRule>
    <cfRule type="expression" dxfId="80" priority="104">
      <formula>$E433=13</formula>
    </cfRule>
    <cfRule type="expression" dxfId="79" priority="105">
      <formula>$E433=12</formula>
    </cfRule>
  </conditionalFormatting>
  <conditionalFormatting sqref="AJ433:IV433 A433:AG433">
    <cfRule type="expression" dxfId="78" priority="89">
      <formula>$E433=10</formula>
    </cfRule>
    <cfRule type="expression" dxfId="77" priority="90">
      <formula>$E433=11</formula>
    </cfRule>
    <cfRule type="expression" dxfId="76" priority="91">
      <formula>$E433=18</formula>
    </cfRule>
    <cfRule type="expression" dxfId="75" priority="92">
      <formula>$E433=17</formula>
    </cfRule>
    <cfRule type="expression" dxfId="74" priority="93">
      <formula>$E433=16</formula>
    </cfRule>
    <cfRule type="expression" dxfId="73" priority="94">
      <formula>$E433=15</formula>
    </cfRule>
    <cfRule type="expression" dxfId="72" priority="95">
      <formula>$E433=14</formula>
    </cfRule>
    <cfRule type="expression" dxfId="71" priority="96">
      <formula>$E433=13</formula>
    </cfRule>
    <cfRule type="expression" dxfId="70" priority="97">
      <formula>$E433=12</formula>
    </cfRule>
  </conditionalFormatting>
  <conditionalFormatting sqref="K436:K441">
    <cfRule type="expression" dxfId="69" priority="36">
      <formula>$E436=10</formula>
    </cfRule>
    <cfRule type="expression" dxfId="68" priority="37">
      <formula>$E436=11</formula>
    </cfRule>
    <cfRule type="expression" dxfId="67" priority="38">
      <formula>$E436=18</formula>
    </cfRule>
    <cfRule type="expression" dxfId="66" priority="39">
      <formula>$E436=17</formula>
    </cfRule>
    <cfRule type="expression" dxfId="65" priority="40">
      <formula>$E436=16</formula>
    </cfRule>
    <cfRule type="expression" dxfId="64" priority="41">
      <formula>$E436=15</formula>
    </cfRule>
    <cfRule type="expression" dxfId="63" priority="42">
      <formula>$E436=14</formula>
    </cfRule>
    <cfRule type="expression" dxfId="62" priority="43">
      <formula>$E436=13</formula>
    </cfRule>
    <cfRule type="expression" dxfId="61" priority="44">
      <formula>$E436=12</formula>
    </cfRule>
  </conditionalFormatting>
  <conditionalFormatting sqref="C436:F441">
    <cfRule type="expression" dxfId="60" priority="45">
      <formula>$E436=10</formula>
    </cfRule>
    <cfRule type="expression" dxfId="59" priority="46">
      <formula>$E436=11</formula>
    </cfRule>
    <cfRule type="expression" dxfId="58" priority="47">
      <formula>$E436=18</formula>
    </cfRule>
    <cfRule type="expression" dxfId="57" priority="48">
      <formula>$E436=17</formula>
    </cfRule>
    <cfRule type="expression" dxfId="56" priority="49">
      <formula>$E436=16</formula>
    </cfRule>
    <cfRule type="expression" dxfId="55" priority="50">
      <formula>$E436=15</formula>
    </cfRule>
    <cfRule type="expression" dxfId="54" priority="51">
      <formula>$E436=14</formula>
    </cfRule>
    <cfRule type="expression" dxfId="53" priority="52">
      <formula>$E436=13</formula>
    </cfRule>
    <cfRule type="expression" dxfId="52" priority="53">
      <formula>$E436=12</formula>
    </cfRule>
  </conditionalFormatting>
  <conditionalFormatting sqref="AJ436:IV441 A436:AG441">
    <cfRule type="expression" dxfId="51" priority="63">
      <formula>$E436&lt;12</formula>
    </cfRule>
    <cfRule type="expression" dxfId="50" priority="64">
      <formula>$E436=18</formula>
    </cfRule>
    <cfRule type="expression" dxfId="49" priority="65">
      <formula>$E436=17</formula>
    </cfRule>
    <cfRule type="expression" dxfId="48" priority="66">
      <formula>$E436=16</formula>
    </cfRule>
    <cfRule type="expression" dxfId="47" priority="67">
      <formula>$E436=15</formula>
    </cfRule>
    <cfRule type="expression" dxfId="46" priority="68">
      <formula>$E436=14</formula>
    </cfRule>
    <cfRule type="expression" dxfId="45" priority="69">
      <formula>$E436=13</formula>
    </cfRule>
    <cfRule type="expression" dxfId="44" priority="70">
      <formula>$E436=12</formula>
    </cfRule>
  </conditionalFormatting>
  <conditionalFormatting sqref="AJ436:IV441 A436:AG441">
    <cfRule type="expression" dxfId="43" priority="54">
      <formula>$E436=10</formula>
    </cfRule>
    <cfRule type="expression" dxfId="42" priority="55">
      <formula>$E436=11</formula>
    </cfRule>
    <cfRule type="expression" dxfId="41" priority="56">
      <formula>$E436=18</formula>
    </cfRule>
    <cfRule type="expression" dxfId="40" priority="57">
      <formula>$E436=17</formula>
    </cfRule>
    <cfRule type="expression" dxfId="39" priority="58">
      <formula>$E436=16</formula>
    </cfRule>
    <cfRule type="expression" dxfId="38" priority="59">
      <formula>$E436=15</formula>
    </cfRule>
    <cfRule type="expression" dxfId="37" priority="60">
      <formula>$E436=14</formula>
    </cfRule>
    <cfRule type="expression" dxfId="36" priority="61">
      <formula>$E436=13</formula>
    </cfRule>
    <cfRule type="expression" dxfId="35" priority="62">
      <formula>$E436=12</formula>
    </cfRule>
  </conditionalFormatting>
  <conditionalFormatting sqref="K443:K445">
    <cfRule type="expression" dxfId="34" priority="1">
      <formula>$E443=10</formula>
    </cfRule>
    <cfRule type="expression" dxfId="33" priority="2">
      <formula>$E443=11</formula>
    </cfRule>
    <cfRule type="expression" dxfId="32" priority="3">
      <formula>$E443=18</formula>
    </cfRule>
    <cfRule type="expression" dxfId="31" priority="4">
      <formula>$E443=17</formula>
    </cfRule>
    <cfRule type="expression" dxfId="30" priority="5">
      <formula>$E443=16</formula>
    </cfRule>
    <cfRule type="expression" dxfId="29" priority="6">
      <formula>$E443=15</formula>
    </cfRule>
    <cfRule type="expression" dxfId="28" priority="7">
      <formula>$E443=14</formula>
    </cfRule>
    <cfRule type="expression" dxfId="27" priority="8">
      <formula>$E443=13</formula>
    </cfRule>
    <cfRule type="expression" dxfId="26" priority="9">
      <formula>$E443=12</formula>
    </cfRule>
  </conditionalFormatting>
  <conditionalFormatting sqref="C443:F445">
    <cfRule type="expression" dxfId="25" priority="10">
      <formula>$E443=10</formula>
    </cfRule>
    <cfRule type="expression" dxfId="24" priority="11">
      <formula>$E443=11</formula>
    </cfRule>
    <cfRule type="expression" dxfId="23" priority="12">
      <formula>$E443=18</formula>
    </cfRule>
    <cfRule type="expression" dxfId="22" priority="13">
      <formula>$E443=17</formula>
    </cfRule>
    <cfRule type="expression" dxfId="21" priority="14">
      <formula>$E443=16</formula>
    </cfRule>
    <cfRule type="expression" dxfId="20" priority="15">
      <formula>$E443=15</formula>
    </cfRule>
    <cfRule type="expression" dxfId="19" priority="16">
      <formula>$E443=14</formula>
    </cfRule>
    <cfRule type="expression" dxfId="18" priority="17">
      <formula>$E443=13</formula>
    </cfRule>
    <cfRule type="expression" dxfId="17" priority="18">
      <formula>$E443=12</formula>
    </cfRule>
  </conditionalFormatting>
  <conditionalFormatting sqref="AJ443:IV445 A443:AG445">
    <cfRule type="expression" dxfId="16" priority="28">
      <formula>$E443&lt;12</formula>
    </cfRule>
    <cfRule type="expression" dxfId="15" priority="29">
      <formula>$E443=18</formula>
    </cfRule>
    <cfRule type="expression" dxfId="14" priority="30">
      <formula>$E443=17</formula>
    </cfRule>
    <cfRule type="expression" dxfId="13" priority="31">
      <formula>$E443=16</formula>
    </cfRule>
    <cfRule type="expression" dxfId="12" priority="32">
      <formula>$E443=15</formula>
    </cfRule>
    <cfRule type="expression" dxfId="11" priority="33">
      <formula>$E443=14</formula>
    </cfRule>
    <cfRule type="expression" dxfId="10" priority="34">
      <formula>$E443=13</formula>
    </cfRule>
    <cfRule type="expression" dxfId="9" priority="35">
      <formula>$E443=12</formula>
    </cfRule>
  </conditionalFormatting>
  <conditionalFormatting sqref="AJ443:IV445 A443:AG445">
    <cfRule type="expression" dxfId="8" priority="19">
      <formula>$E443=10</formula>
    </cfRule>
    <cfRule type="expression" dxfId="7" priority="20">
      <formula>$E443=11</formula>
    </cfRule>
    <cfRule type="expression" dxfId="6" priority="21">
      <formula>$E443=18</formula>
    </cfRule>
    <cfRule type="expression" dxfId="5" priority="22">
      <formula>$E443=17</formula>
    </cfRule>
    <cfRule type="expression" dxfId="4" priority="23">
      <formula>$E443=16</formula>
    </cfRule>
    <cfRule type="expression" dxfId="3" priority="24">
      <formula>$E443=15</formula>
    </cfRule>
    <cfRule type="expression" dxfId="2" priority="25">
      <formula>$E443=14</formula>
    </cfRule>
    <cfRule type="expression" dxfId="1" priority="26">
      <formula>$E443=13</formula>
    </cfRule>
    <cfRule type="expression" dxfId="0" priority="27">
      <formula>$E443=12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15</vt:i4>
      </vt:variant>
    </vt:vector>
  </HeadingPairs>
  <TitlesOfParts>
    <vt:vector size="32" baseType="lpstr">
      <vt:lpstr>5 Tm Pool Auto (2)</vt:lpstr>
      <vt:lpstr>4 Tm Pool Auto (2)</vt:lpstr>
      <vt:lpstr>4 Tm Rd 1</vt:lpstr>
      <vt:lpstr>5 Tm Rd 1</vt:lpstr>
      <vt:lpstr>12 CLub A Division 14 tm po</vt:lpstr>
      <vt:lpstr>12 Club B Div 10 tms</vt:lpstr>
      <vt:lpstr>13 Club  Div A 20 tms (2)</vt:lpstr>
      <vt:lpstr>13 Club B Div 10 tms </vt:lpstr>
      <vt:lpstr>14 Club Division A 15 tms</vt:lpstr>
      <vt:lpstr>14 CLub B Division 14 tm po (2)</vt:lpstr>
      <vt:lpstr>15 Club 15 tms</vt:lpstr>
      <vt:lpstr>16 Club 15 tms </vt:lpstr>
      <vt:lpstr>17 -18 Club 15 Tms </vt:lpstr>
      <vt:lpstr>RatingResultsSummary</vt:lpstr>
      <vt:lpstr>Initial</vt:lpstr>
      <vt:lpstr>Final</vt:lpstr>
      <vt:lpstr>Final-PM</vt:lpstr>
      <vt:lpstr>'13 Club  Div A 20 tms (2)'!Gold_Division</vt:lpstr>
      <vt:lpstr>'12 CLub A Division 14 tm po'!Print_Area</vt:lpstr>
      <vt:lpstr>'12 Club B Div 10 tms'!Print_Area</vt:lpstr>
      <vt:lpstr>'13 Club  Div A 20 tms (2)'!Print_Area</vt:lpstr>
      <vt:lpstr>'13 Club B Div 10 tms '!Print_Area</vt:lpstr>
      <vt:lpstr>'14 CLub B Division 14 tm po (2)'!Print_Area</vt:lpstr>
      <vt:lpstr>'14 Club Division A 15 tms'!Print_Area</vt:lpstr>
      <vt:lpstr>'15 Club 15 tms'!Print_Area</vt:lpstr>
      <vt:lpstr>'16 Club 15 tms '!Print_Area</vt:lpstr>
      <vt:lpstr>'17 -18 Club 15 Tms '!Print_Area</vt:lpstr>
      <vt:lpstr>'4 Tm Pool Auto (2)'!Print_Area</vt:lpstr>
      <vt:lpstr>'4 Tm Rd 1'!Print_Area</vt:lpstr>
      <vt:lpstr>'5 Tm Pool Auto (2)'!Print_Area</vt:lpstr>
      <vt:lpstr>'5 Tm Rd 1'!Print_Area</vt:lpstr>
      <vt:lpstr>'13 Club  Div A 20 tms (2)'!Silver_Division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Palmetto</dc:creator>
  <cp:lastModifiedBy>Lance</cp:lastModifiedBy>
  <cp:lastPrinted>2016-03-05T21:07:14Z</cp:lastPrinted>
  <dcterms:created xsi:type="dcterms:W3CDTF">2014-01-02T03:10:44Z</dcterms:created>
  <dcterms:modified xsi:type="dcterms:W3CDTF">2016-03-06T14:16:11Z</dcterms:modified>
</cp:coreProperties>
</file>